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260f1994eb51c2be/pycrash/projects/validation impact momentum/docs/"/>
    </mc:Choice>
  </mc:AlternateContent>
  <xr:revisionPtr revIDLastSave="8" documentId="8_{F8EC6A3C-1B0A-4936-B0A1-D41FF31C64B7}" xr6:coauthVersionLast="45" xr6:coauthVersionMax="45" xr10:uidLastSave="{199454B7-7367-46FC-9BE2-278C65686334}"/>
  <bookViews>
    <workbookView xWindow="-38510" yWindow="-70" windowWidth="38620" windowHeight="21220" activeTab="1" xr2:uid="{00000000-000D-0000-FFFF-FFFF00000000}"/>
  </bookViews>
  <sheets>
    <sheet name="Carpenter" sheetId="20" r:id="rId1"/>
    <sheet name="IMPC (match Joe)" sheetId="1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9" l="1"/>
  <c r="B12" i="19" l="1"/>
  <c r="I5" i="19" l="1"/>
  <c r="B16" i="20" l="1"/>
  <c r="K11" i="20"/>
  <c r="J11" i="20"/>
  <c r="C14" i="20" s="1"/>
  <c r="B11" i="20"/>
  <c r="B14" i="20" s="1"/>
  <c r="A11" i="20"/>
  <c r="A14" i="20" s="1"/>
  <c r="F4" i="20"/>
  <c r="D4" i="20"/>
  <c r="C4" i="20"/>
  <c r="K3" i="20"/>
  <c r="D3" i="20"/>
  <c r="C3" i="20"/>
  <c r="E11" i="20" s="1"/>
  <c r="C11" i="19"/>
  <c r="B47" i="19"/>
  <c r="J14" i="20" l="1"/>
  <c r="C11" i="20"/>
  <c r="D14" i="20" s="1"/>
  <c r="G11" i="20"/>
  <c r="F17" i="20" s="1"/>
  <c r="D11" i="20"/>
  <c r="H11" i="20" s="1"/>
  <c r="F14" i="20"/>
  <c r="F11" i="20"/>
  <c r="B18" i="20" l="1"/>
  <c r="E17" i="20"/>
  <c r="H14" i="20"/>
  <c r="G14" i="20"/>
  <c r="D17" i="20"/>
  <c r="G17" i="20" s="1"/>
  <c r="B17" i="20"/>
  <c r="B19" i="20" s="1"/>
  <c r="E14" i="20"/>
  <c r="I14" i="20" l="1"/>
  <c r="K14" i="20"/>
  <c r="L14" i="20" s="1"/>
  <c r="L17" i="20" l="1"/>
  <c r="K17" i="20" s="1"/>
  <c r="L18" i="20"/>
  <c r="K18" i="20" s="1"/>
  <c r="H17" i="20"/>
  <c r="I17" i="20"/>
  <c r="L19" i="20" l="1"/>
  <c r="J17" i="20"/>
  <c r="K19" i="20"/>
  <c r="B21" i="20" l="1"/>
  <c r="A21" i="20"/>
  <c r="C21" i="20"/>
  <c r="C22" i="20" l="1"/>
  <c r="E21" i="20"/>
  <c r="I31" i="20" s="1"/>
  <c r="H21" i="20"/>
  <c r="J31" i="20" s="1"/>
  <c r="D21" i="20"/>
  <c r="G21" i="20"/>
  <c r="I21" i="20"/>
  <c r="F21" i="20"/>
  <c r="G25" i="20" l="1"/>
  <c r="G28" i="20" s="1"/>
  <c r="F25" i="20"/>
  <c r="G31" i="20"/>
  <c r="C31" i="20"/>
  <c r="I25" i="20"/>
  <c r="I28" i="20" s="1"/>
  <c r="D31" i="20"/>
  <c r="E25" i="20"/>
  <c r="E28" i="20" s="1"/>
  <c r="B31" i="20"/>
  <c r="B25" i="20"/>
  <c r="C25" i="20"/>
  <c r="C28" i="20" s="1"/>
  <c r="F31" i="20"/>
  <c r="A31" i="20"/>
  <c r="K31" i="20" l="1"/>
  <c r="I36" i="20" s="1"/>
  <c r="E31" i="20"/>
  <c r="H31" i="20"/>
  <c r="H36" i="20" s="1"/>
  <c r="J36" i="20" s="1"/>
  <c r="H25" i="20"/>
  <c r="F28" i="20"/>
  <c r="H28" i="20" s="1"/>
  <c r="D25" i="20"/>
  <c r="B28" i="20"/>
  <c r="D28" i="20" s="1"/>
  <c r="E32" i="20" l="1"/>
  <c r="E36" i="20"/>
  <c r="A36" i="20"/>
  <c r="F36" i="20"/>
  <c r="B36" i="20"/>
  <c r="C36" i="20" l="1"/>
  <c r="C49" i="19" l="1"/>
  <c r="A96" i="19"/>
  <c r="A95" i="19"/>
  <c r="D83" i="19"/>
  <c r="D98" i="19" s="1"/>
  <c r="C83" i="19"/>
  <c r="C98" i="19" s="1"/>
  <c r="B83" i="19"/>
  <c r="A83" i="19"/>
  <c r="C70" i="19"/>
  <c r="B30" i="19"/>
  <c r="B27" i="19"/>
  <c r="B26" i="19"/>
  <c r="C19" i="19"/>
  <c r="B19" i="19"/>
  <c r="D13" i="19"/>
  <c r="C12" i="19"/>
  <c r="B10" i="19"/>
  <c r="R6" i="19"/>
  <c r="I6" i="19"/>
  <c r="R5" i="19"/>
  <c r="T5" i="19" s="1"/>
  <c r="O5" i="19"/>
  <c r="B28" i="19" l="1"/>
  <c r="C47" i="19"/>
  <c r="B99" i="19"/>
  <c r="C50" i="19"/>
  <c r="A99" i="19"/>
  <c r="C28" i="19"/>
  <c r="C54" i="19" s="1"/>
  <c r="C48" i="19"/>
  <c r="B101" i="19"/>
  <c r="B29" i="19"/>
  <c r="C29" i="19"/>
  <c r="A101" i="19"/>
  <c r="I8" i="19"/>
  <c r="B71" i="19"/>
  <c r="B13" i="19"/>
  <c r="I9" i="19"/>
  <c r="C71" i="19"/>
  <c r="B50" i="19"/>
  <c r="B48" i="19"/>
  <c r="B49" i="19"/>
  <c r="B70" i="19"/>
  <c r="A84" i="19"/>
  <c r="A97" i="19"/>
  <c r="B58" i="19"/>
  <c r="E58" i="19" s="1"/>
  <c r="A89" i="19"/>
  <c r="A94" i="19"/>
  <c r="A98" i="19"/>
  <c r="B96" i="19"/>
  <c r="C84" i="19"/>
  <c r="C89" i="19"/>
  <c r="C94" i="19"/>
  <c r="C95" i="19"/>
  <c r="C96" i="19"/>
  <c r="C97" i="19"/>
  <c r="B84" i="19"/>
  <c r="B89" i="19"/>
  <c r="B94" i="19"/>
  <c r="B95" i="19"/>
  <c r="B97" i="19"/>
  <c r="B98" i="19"/>
  <c r="D84" i="19"/>
  <c r="D89" i="19"/>
  <c r="D94" i="19"/>
  <c r="D95" i="19"/>
  <c r="D96" i="19"/>
  <c r="D97" i="19"/>
  <c r="B56" i="19" l="1"/>
  <c r="E56" i="19" s="1"/>
  <c r="B57" i="19"/>
  <c r="E57" i="19" s="1"/>
  <c r="C51" i="19"/>
  <c r="B85" i="19"/>
  <c r="B86" i="19" s="1"/>
  <c r="B87" i="19" s="1"/>
  <c r="B88" i="19"/>
  <c r="A85" i="19"/>
  <c r="A86" i="19" s="1"/>
  <c r="A87" i="19" s="1"/>
  <c r="A88" i="19"/>
  <c r="B51" i="19"/>
  <c r="B52" i="19" s="1"/>
  <c r="D92" i="19"/>
  <c r="D90" i="19"/>
  <c r="D91" i="19" s="1"/>
  <c r="C92" i="19"/>
  <c r="C90" i="19"/>
  <c r="C91" i="19" s="1"/>
  <c r="B54" i="19"/>
  <c r="B55" i="19" s="1"/>
  <c r="D88" i="19"/>
  <c r="D85" i="19"/>
  <c r="D86" i="19" s="1"/>
  <c r="D87" i="19" s="1"/>
  <c r="C88" i="19"/>
  <c r="C85" i="19"/>
  <c r="C86" i="19" s="1"/>
  <c r="C87" i="19" s="1"/>
  <c r="A92" i="19"/>
  <c r="A90" i="19"/>
  <c r="A91" i="19" s="1"/>
  <c r="B92" i="19"/>
  <c r="B90" i="19"/>
  <c r="B91" i="19" s="1"/>
  <c r="B59" i="19" l="1"/>
  <c r="E59" i="19" s="1"/>
  <c r="B62" i="19"/>
  <c r="B61" i="19" l="1"/>
  <c r="B24" i="19" s="1"/>
  <c r="C24" i="19" s="1"/>
  <c r="C62" i="19" l="1"/>
  <c r="C61" i="19" s="1"/>
  <c r="C64" i="19" l="1"/>
  <c r="C66" i="19" s="1"/>
  <c r="B36" i="19"/>
  <c r="C65" i="19"/>
  <c r="C67" i="19" s="1"/>
  <c r="C68" i="19" s="1"/>
  <c r="C36" i="19"/>
  <c r="C41" i="19" s="1"/>
  <c r="B41" i="19"/>
  <c r="B64" i="19"/>
  <c r="B43" i="19"/>
  <c r="B65" i="19"/>
  <c r="B67" i="19" s="1"/>
  <c r="C69" i="19" l="1"/>
  <c r="D104" i="19" s="1"/>
  <c r="D115" i="19" s="1"/>
  <c r="C34" i="19"/>
  <c r="C35" i="19"/>
  <c r="C37" i="19" s="1"/>
  <c r="B103" i="19"/>
  <c r="B73" i="19"/>
  <c r="B34" i="19"/>
  <c r="B66" i="19"/>
  <c r="B35" i="19"/>
  <c r="B53" i="19"/>
  <c r="J7" i="19"/>
  <c r="K7" i="19" s="1"/>
  <c r="L7" i="19" s="1"/>
  <c r="M7" i="19" s="1"/>
  <c r="C73" i="19"/>
  <c r="C103" i="19"/>
  <c r="C40" i="19"/>
  <c r="C104" i="19"/>
  <c r="C39" i="19"/>
  <c r="C72" i="19" s="1"/>
  <c r="C38" i="19" l="1"/>
  <c r="D114" i="19"/>
  <c r="D110" i="19"/>
  <c r="D111" i="19" s="1"/>
  <c r="D112" i="19" s="1"/>
  <c r="D105" i="19"/>
  <c r="D109" i="19" s="1"/>
  <c r="B37" i="19"/>
  <c r="J6" i="19"/>
  <c r="B77" i="19"/>
  <c r="B75" i="19"/>
  <c r="B42" i="19"/>
  <c r="B76" i="19"/>
  <c r="B69" i="19"/>
  <c r="B104" i="19" s="1"/>
  <c r="B68" i="19"/>
  <c r="B38" i="19"/>
  <c r="J5" i="19"/>
  <c r="D106" i="19"/>
  <c r="D107" i="19" s="1"/>
  <c r="D108" i="19" s="1"/>
  <c r="C114" i="19"/>
  <c r="C110" i="19"/>
  <c r="C105" i="19"/>
  <c r="C115" i="19"/>
  <c r="D113" i="19"/>
  <c r="D118" i="19"/>
  <c r="D116" i="19"/>
  <c r="D117" i="19"/>
  <c r="A104" i="19" l="1"/>
  <c r="B40" i="19"/>
  <c r="B39" i="19"/>
  <c r="B72" i="19" s="1"/>
  <c r="B74" i="19" s="1"/>
  <c r="B105" i="19"/>
  <c r="B115" i="19"/>
  <c r="B114" i="19"/>
  <c r="B110" i="19"/>
  <c r="J9" i="19"/>
  <c r="K5" i="19"/>
  <c r="L5" i="19" s="1"/>
  <c r="M5" i="19" s="1"/>
  <c r="K6" i="19"/>
  <c r="L6" i="19" s="1"/>
  <c r="M6" i="19" s="1"/>
  <c r="J8" i="19"/>
  <c r="B45" i="19"/>
  <c r="C45" i="19"/>
  <c r="C118" i="19"/>
  <c r="C117" i="19"/>
  <c r="C116" i="19"/>
  <c r="C106" i="19"/>
  <c r="C107" i="19" s="1"/>
  <c r="C108" i="19" s="1"/>
  <c r="C109" i="19"/>
  <c r="C113" i="19"/>
  <c r="C111" i="19"/>
  <c r="C112" i="19" s="1"/>
  <c r="B111" i="19" l="1"/>
  <c r="B112" i="19" s="1"/>
  <c r="B113" i="19"/>
  <c r="B109" i="19"/>
  <c r="B106" i="19"/>
  <c r="B107" i="19" s="1"/>
  <c r="B108" i="19" s="1"/>
  <c r="M9" i="19"/>
  <c r="M10" i="19" s="1"/>
  <c r="B117" i="19"/>
  <c r="B116" i="19"/>
  <c r="B118" i="19"/>
  <c r="A114" i="19"/>
  <c r="A110" i="19"/>
  <c r="A105" i="19"/>
  <c r="A115" i="19"/>
  <c r="A116" i="19" l="1"/>
  <c r="A118" i="19"/>
  <c r="A117" i="19"/>
  <c r="A109" i="19"/>
  <c r="A106" i="19"/>
  <c r="A107" i="19" s="1"/>
  <c r="A108" i="19" s="1"/>
  <c r="A111" i="19"/>
  <c r="A112" i="19" s="1"/>
  <c r="A113" i="19"/>
</calcChain>
</file>

<file path=xl/sharedStrings.xml><?xml version="1.0" encoding="utf-8"?>
<sst xmlns="http://schemas.openxmlformats.org/spreadsheetml/2006/main" count="374" uniqueCount="268">
  <si>
    <t>CG</t>
  </si>
  <si>
    <t>Vehicle specs</t>
  </si>
  <si>
    <t>Impulse Momentum Planar Collision - Parameters defined by Carpenter 2019-01-0422</t>
  </si>
  <si>
    <t>English units for everything</t>
  </si>
  <si>
    <t>Red = input</t>
  </si>
  <si>
    <t>Vehicle 1</t>
  </si>
  <si>
    <t>Vehicle 2</t>
  </si>
  <si>
    <t>Green = copied input (possibly with unit conversion)</t>
  </si>
  <si>
    <t>Blue = output</t>
  </si>
  <si>
    <t>model</t>
  </si>
  <si>
    <t>m</t>
  </si>
  <si>
    <t>lbs</t>
  </si>
  <si>
    <t>vehicle mass</t>
  </si>
  <si>
    <t>I</t>
  </si>
  <si>
    <t>lb-in-s^2</t>
  </si>
  <si>
    <t>vehicle yaw moment of inertia</t>
  </si>
  <si>
    <t>k</t>
  </si>
  <si>
    <t>in</t>
  </si>
  <si>
    <t>vehicle radius of gyration</t>
  </si>
  <si>
    <t>k/WB</t>
  </si>
  <si>
    <t>normalized radius of gyration (see Heydinger 1999 Fig 9)</t>
  </si>
  <si>
    <t>OL</t>
  </si>
  <si>
    <t>overall length</t>
  </si>
  <si>
    <t>OW</t>
  </si>
  <si>
    <t>overall width</t>
  </si>
  <si>
    <t>WB</t>
  </si>
  <si>
    <t>wheelbase</t>
  </si>
  <si>
    <t>F</t>
  </si>
  <si>
    <t>front overhang</t>
  </si>
  <si>
    <t>WD</t>
  </si>
  <si>
    <t>weight distribution - proportion of weight on front axle</t>
  </si>
  <si>
    <t>CGF</t>
  </si>
  <si>
    <t>distance from CG to front bumper</t>
  </si>
  <si>
    <t>Inputs</t>
  </si>
  <si>
    <t>gamma</t>
  </si>
  <si>
    <t>deg</t>
  </si>
  <si>
    <t>Angle of contact plane (normal CCW from +x)</t>
  </si>
  <si>
    <t>e</t>
  </si>
  <si>
    <t>restitution coefficient</t>
  </si>
  <si>
    <t xml:space="preserve">mu </t>
  </si>
  <si>
    <t>sliding?</t>
  </si>
  <si>
    <t>available friction</t>
  </si>
  <si>
    <t>mu slide</t>
  </si>
  <si>
    <t>friction required to prevent sliding</t>
  </si>
  <si>
    <t xml:space="preserve">theta </t>
  </si>
  <si>
    <t>initial heading angle (CCW from +x)</t>
  </si>
  <si>
    <t>du</t>
  </si>
  <si>
    <t>longitudinal distance from CG to contact point (forward is +)</t>
  </si>
  <si>
    <t>dv</t>
  </si>
  <si>
    <t>lateral distance from CG to contact point (right is +)</t>
  </si>
  <si>
    <t>dt</t>
  </si>
  <si>
    <t>tangential distance from CG to contact point</t>
  </si>
  <si>
    <t>dn</t>
  </si>
  <si>
    <t>normal distance from CG to contact point</t>
  </si>
  <si>
    <t>vu</t>
  </si>
  <si>
    <t>mph</t>
  </si>
  <si>
    <t>pre-impact forward velocity</t>
  </si>
  <si>
    <t>vv</t>
  </si>
  <si>
    <t>pre-impact rightward velocity</t>
  </si>
  <si>
    <t xml:space="preserve">omega </t>
  </si>
  <si>
    <t>deg/s</t>
  </si>
  <si>
    <t>initial yaw velocity (CCW)</t>
  </si>
  <si>
    <t>Outputs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</si>
  <si>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Vu</t>
    </r>
  </si>
  <si>
    <t>longitudinal change in velocity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</si>
  <si>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Vv</t>
    </r>
  </si>
  <si>
    <t>lateral change in velocity</t>
  </si>
  <si>
    <t>DW</t>
  </si>
  <si>
    <t>change in yaw rate</t>
  </si>
  <si>
    <t>PDOF</t>
  </si>
  <si>
    <t>principal direction of force (CW from 12 o'clock)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</si>
  <si>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V</t>
    </r>
  </si>
  <si>
    <t>overall change in velocity</t>
  </si>
  <si>
    <t>Vres</t>
  </si>
  <si>
    <t>final resultant velocity</t>
  </si>
  <si>
    <t>final cg velocity angle (CCW from +x)</t>
  </si>
  <si>
    <t xml:space="preserve">Omega  </t>
  </si>
  <si>
    <t>final yaw velocity (CCW)</t>
  </si>
  <si>
    <t>KEvoldiss</t>
  </si>
  <si>
    <t>ft-lbf</t>
  </si>
  <si>
    <t>Volume dissipated energy (total crush energy)</t>
  </si>
  <si>
    <t>CF</t>
  </si>
  <si>
    <t>correction factor for non-normal crush</t>
  </si>
  <si>
    <t>E crush</t>
  </si>
  <si>
    <t>%</t>
  </si>
  <si>
    <t>Proportion of energy loss absorbed by vehicle crush</t>
  </si>
  <si>
    <t>BEV</t>
  </si>
  <si>
    <t>Barrier equivalent velocity</t>
  </si>
  <si>
    <t>Calculations</t>
  </si>
  <si>
    <t>vt</t>
  </si>
  <si>
    <t>initial velocity tangential to contact plane</t>
  </si>
  <si>
    <t>vn</t>
  </si>
  <si>
    <t>initial velocity normal to contact plane</t>
  </si>
  <si>
    <t>vx</t>
  </si>
  <si>
    <t>initial velocity along global x-axis</t>
  </si>
  <si>
    <t>vy</t>
  </si>
  <si>
    <t>initial velocity along global y-axis</t>
  </si>
  <si>
    <t>vct</t>
  </si>
  <si>
    <t>tangential velocity of contact point</t>
  </si>
  <si>
    <t>vct21</t>
  </si>
  <si>
    <t>vbarct21</t>
  </si>
  <si>
    <t>vcn</t>
  </si>
  <si>
    <t>normal velocity of contact point</t>
  </si>
  <si>
    <t>vcn21</t>
  </si>
  <si>
    <t>A11</t>
  </si>
  <si>
    <t>1/lb</t>
  </si>
  <si>
    <t>A22</t>
  </si>
  <si>
    <t>A12</t>
  </si>
  <si>
    <t>A</t>
  </si>
  <si>
    <t>1/lb^2</t>
  </si>
  <si>
    <t>no sliding</t>
  </si>
  <si>
    <t>lower if sliding</t>
  </si>
  <si>
    <t>Pt</t>
  </si>
  <si>
    <t>lb-mph</t>
  </si>
  <si>
    <t>tangential momentum change</t>
  </si>
  <si>
    <t>Pn</t>
  </si>
  <si>
    <t>normal momentum change</t>
  </si>
  <si>
    <t>Other outputs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</si>
  <si>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Vt</t>
    </r>
  </si>
  <si>
    <t>change in tangential velocity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</si>
  <si>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Vn</t>
    </r>
  </si>
  <si>
    <t>change in normal velocity</t>
  </si>
  <si>
    <t>Vt</t>
  </si>
  <si>
    <t>final velocity tangential to contact plane</t>
  </si>
  <si>
    <t>Vn</t>
  </si>
  <si>
    <t>final velocity normal to contact plane</t>
  </si>
  <si>
    <t>Vx</t>
  </si>
  <si>
    <t>final velocity along global x-axis</t>
  </si>
  <si>
    <t>Vy</t>
  </si>
  <si>
    <t>final velocity along global y-axis</t>
  </si>
  <si>
    <t>Elinpre</t>
  </si>
  <si>
    <t>pre-impact translational kinetic energy</t>
  </si>
  <si>
    <t>Eangpre</t>
  </si>
  <si>
    <t>pre-impact rotational kinetic energy</t>
  </si>
  <si>
    <t>Elinpost</t>
  </si>
  <si>
    <t>post-impact translational kinetic energy</t>
  </si>
  <si>
    <t>Eangpost</t>
  </si>
  <si>
    <t>post-impact rotational kinetic energy</t>
  </si>
  <si>
    <t>KEtotdiss</t>
  </si>
  <si>
    <t>Total dissipated kinetic energy (crush + sliding)</t>
  </si>
  <si>
    <t>KEsurfdiss</t>
  </si>
  <si>
    <t>Surface dissipated sliding energy</t>
  </si>
  <si>
    <t>KEvolabs</t>
  </si>
  <si>
    <t>Volume absorbed energy (neglecting energy return)</t>
  </si>
  <si>
    <t>KEtotabs</t>
  </si>
  <si>
    <t>Total absorbed energy (neglecting energy return)</t>
  </si>
  <si>
    <t>Draw vehicles - place contact point at origin</t>
  </si>
  <si>
    <t>x (in)</t>
  </si>
  <si>
    <t>y (in)</t>
  </si>
  <si>
    <t>Initial positions</t>
  </si>
  <si>
    <t>front left corner</t>
  </si>
  <si>
    <t>front right corner</t>
  </si>
  <si>
    <t>rear right corner</t>
  </si>
  <si>
    <t>rear left corner</t>
  </si>
  <si>
    <t>heading triangle</t>
  </si>
  <si>
    <t>velocity scale (in/mph)</t>
  </si>
  <si>
    <t>initial velocity</t>
  </si>
  <si>
    <t>contact plane (if n is up, t is left)</t>
  </si>
  <si>
    <t>contact plane</t>
  </si>
  <si>
    <t>Final positions</t>
  </si>
  <si>
    <t>time after impact (s), new heading angles</t>
  </si>
  <si>
    <t>final velocity</t>
  </si>
  <si>
    <t>VresTheta</t>
  </si>
  <si>
    <t>CF11002</t>
  </si>
  <si>
    <t>Test</t>
  </si>
  <si>
    <t>2008 Ford Fusion</t>
  </si>
  <si>
    <t>Barrier</t>
  </si>
  <si>
    <t>Validation</t>
  </si>
  <si>
    <t>Experiment</t>
  </si>
  <si>
    <t>Simulation</t>
  </si>
  <si>
    <t>deg/s (CW+)</t>
  </si>
  <si>
    <t>error</t>
  </si>
  <si>
    <t>r (nonSS)</t>
  </si>
  <si>
    <t>r (SS)</t>
  </si>
  <si>
    <t>ft</t>
  </si>
  <si>
    <t>adjusted</t>
  </si>
  <si>
    <t>squared</t>
  </si>
  <si>
    <t>SSE:</t>
  </si>
  <si>
    <t>error:</t>
  </si>
  <si>
    <t>Carpenter</t>
  </si>
  <si>
    <t>Input</t>
  </si>
  <si>
    <r>
      <t>theta</t>
    </r>
    <r>
      <rPr>
        <b/>
        <sz val="8"/>
        <color theme="1"/>
        <rFont val="Times New Roman"/>
        <family val="1"/>
      </rPr>
      <t xml:space="preserve"> (deg)</t>
    </r>
  </si>
  <si>
    <r>
      <t xml:space="preserve">dx </t>
    </r>
    <r>
      <rPr>
        <b/>
        <sz val="8"/>
        <color theme="1"/>
        <rFont val="Times New Roman"/>
        <family val="1"/>
      </rPr>
      <t>(ft)</t>
    </r>
  </si>
  <si>
    <r>
      <t>dy</t>
    </r>
    <r>
      <rPr>
        <b/>
        <sz val="8"/>
        <color theme="1"/>
        <rFont val="Times New Roman"/>
        <family val="1"/>
      </rPr>
      <t xml:space="preserve"> (ft)</t>
    </r>
  </si>
  <si>
    <r>
      <t>m</t>
    </r>
    <r>
      <rPr>
        <b/>
        <sz val="8"/>
        <color theme="1"/>
        <rFont val="Times New Roman"/>
        <family val="1"/>
      </rPr>
      <t xml:space="preserve"> (lb)</t>
    </r>
  </si>
  <si>
    <r>
      <t>I</t>
    </r>
    <r>
      <rPr>
        <b/>
        <sz val="8"/>
        <color theme="1"/>
        <rFont val="Times New Roman"/>
        <family val="1"/>
      </rPr>
      <t xml:space="preserve"> (slug*ft^2)</t>
    </r>
  </si>
  <si>
    <r>
      <t xml:space="preserve">vx </t>
    </r>
    <r>
      <rPr>
        <b/>
        <sz val="8"/>
        <color theme="1"/>
        <rFont val="Times New Roman"/>
        <family val="1"/>
      </rPr>
      <t>(mph)</t>
    </r>
  </si>
  <si>
    <r>
      <t>vy</t>
    </r>
    <r>
      <rPr>
        <b/>
        <sz val="8"/>
        <color theme="1"/>
        <rFont val="Times New Roman"/>
        <family val="1"/>
      </rPr>
      <t xml:space="preserve"> (mph)</t>
    </r>
  </si>
  <si>
    <r>
      <t>omg</t>
    </r>
    <r>
      <rPr>
        <b/>
        <sz val="8"/>
        <color theme="1"/>
        <rFont val="Times New Roman"/>
        <family val="1"/>
      </rPr>
      <t xml:space="preserve"> (dps)</t>
    </r>
  </si>
  <si>
    <t>vehicle 1</t>
  </si>
  <si>
    <t>vehicle 2</t>
  </si>
  <si>
    <r>
      <t>theta-t</t>
    </r>
    <r>
      <rPr>
        <b/>
        <sz val="8"/>
        <color theme="1"/>
        <rFont val="Times New Roman"/>
        <family val="1"/>
      </rPr>
      <t xml:space="preserve"> (deg)</t>
    </r>
  </si>
  <si>
    <t>COF</t>
  </si>
  <si>
    <t>COR</t>
  </si>
  <si>
    <t>conversion factors</t>
  </si>
  <si>
    <t>cos1</t>
  </si>
  <si>
    <t>sin1</t>
  </si>
  <si>
    <t>cos2</t>
  </si>
  <si>
    <t>sin2</t>
  </si>
  <si>
    <r>
      <t>dt1</t>
    </r>
    <r>
      <rPr>
        <sz val="8"/>
        <color theme="1"/>
        <rFont val="Times New Roman"/>
        <family val="1"/>
      </rPr>
      <t xml:space="preserve"> (ft)</t>
    </r>
  </si>
  <si>
    <r>
      <t>dn1</t>
    </r>
    <r>
      <rPr>
        <sz val="8"/>
        <color theme="1"/>
        <rFont val="Times New Roman"/>
        <family val="1"/>
      </rPr>
      <t xml:space="preserve"> (ft)</t>
    </r>
  </si>
  <si>
    <r>
      <t xml:space="preserve">dt2 </t>
    </r>
    <r>
      <rPr>
        <sz val="8"/>
        <color theme="1"/>
        <rFont val="Times New Roman"/>
        <family val="1"/>
      </rPr>
      <t>(ft)</t>
    </r>
  </si>
  <si>
    <r>
      <t>dn2</t>
    </r>
    <r>
      <rPr>
        <sz val="8"/>
        <color theme="1"/>
        <rFont val="Times New Roman"/>
        <family val="1"/>
      </rPr>
      <t xml:space="preserve"> (ft)</t>
    </r>
  </si>
  <si>
    <t>pi/180</t>
  </si>
  <si>
    <t>88/60</t>
  </si>
  <si>
    <t>g</t>
  </si>
  <si>
    <r>
      <t>vt1</t>
    </r>
    <r>
      <rPr>
        <sz val="8"/>
        <color theme="1"/>
        <rFont val="Times New Roman"/>
        <family val="1"/>
      </rPr>
      <t xml:space="preserve"> (fps)</t>
    </r>
  </si>
  <si>
    <r>
      <t xml:space="preserve">vn1 </t>
    </r>
    <r>
      <rPr>
        <sz val="8"/>
        <color theme="1"/>
        <rFont val="Times New Roman"/>
        <family val="1"/>
      </rPr>
      <t>(fps)</t>
    </r>
  </si>
  <si>
    <r>
      <t>omg1</t>
    </r>
    <r>
      <rPr>
        <sz val="8"/>
        <color theme="1"/>
        <rFont val="Times New Roman"/>
        <family val="1"/>
      </rPr>
      <t xml:space="preserve"> (rps)</t>
    </r>
  </si>
  <si>
    <r>
      <t>vt2</t>
    </r>
    <r>
      <rPr>
        <sz val="8"/>
        <color theme="1"/>
        <rFont val="Times New Roman"/>
        <family val="1"/>
      </rPr>
      <t xml:space="preserve"> (fps)</t>
    </r>
  </si>
  <si>
    <r>
      <t>vn2</t>
    </r>
    <r>
      <rPr>
        <sz val="8"/>
        <color theme="1"/>
        <rFont val="Times New Roman"/>
        <family val="1"/>
      </rPr>
      <t xml:space="preserve"> (fps)</t>
    </r>
  </si>
  <si>
    <r>
      <t>omg2</t>
    </r>
    <r>
      <rPr>
        <sz val="8"/>
        <color theme="1"/>
        <rFont val="Times New Roman"/>
        <family val="1"/>
      </rPr>
      <t xml:space="preserve"> (rps)</t>
    </r>
  </si>
  <si>
    <r>
      <t>vct1</t>
    </r>
    <r>
      <rPr>
        <sz val="8"/>
        <color theme="1"/>
        <rFont val="Times New Roman"/>
        <family val="1"/>
      </rPr>
      <t xml:space="preserve"> (fps)</t>
    </r>
  </si>
  <si>
    <r>
      <t>vct2</t>
    </r>
    <r>
      <rPr>
        <sz val="8"/>
        <color theme="1"/>
        <rFont val="Times New Roman"/>
        <family val="1"/>
      </rPr>
      <t xml:space="preserve"> (fps)</t>
    </r>
  </si>
  <si>
    <r>
      <t>vct21</t>
    </r>
    <r>
      <rPr>
        <b/>
        <sz val="8"/>
        <color theme="1"/>
        <rFont val="Times New Roman"/>
        <family val="1"/>
      </rPr>
      <t xml:space="preserve"> (fps)</t>
    </r>
  </si>
  <si>
    <r>
      <t xml:space="preserve">vcn1 </t>
    </r>
    <r>
      <rPr>
        <sz val="8"/>
        <color theme="1"/>
        <rFont val="Times New Roman"/>
        <family val="1"/>
      </rPr>
      <t>(fps)</t>
    </r>
  </si>
  <si>
    <r>
      <t>vcn2</t>
    </r>
    <r>
      <rPr>
        <sz val="8"/>
        <color theme="1"/>
        <rFont val="Times New Roman"/>
        <family val="1"/>
      </rPr>
      <t xml:space="preserve"> (fps)</t>
    </r>
  </si>
  <si>
    <r>
      <t>vcn21</t>
    </r>
    <r>
      <rPr>
        <b/>
        <sz val="8"/>
        <color theme="1"/>
        <rFont val="Times New Roman"/>
        <family val="1"/>
      </rPr>
      <t xml:space="preserve"> (fps)</t>
    </r>
  </si>
  <si>
    <r>
      <t xml:space="preserve">Pt </t>
    </r>
    <r>
      <rPr>
        <sz val="8"/>
        <color theme="1"/>
        <rFont val="Times New Roman"/>
        <family val="1"/>
      </rPr>
      <t>(lb*s)</t>
    </r>
  </si>
  <si>
    <r>
      <t>Pn</t>
    </r>
    <r>
      <rPr>
        <sz val="8"/>
        <color theme="1"/>
        <rFont val="Times New Roman"/>
        <family val="1"/>
      </rPr>
      <t xml:space="preserve"> (lb*s)</t>
    </r>
  </si>
  <si>
    <t>abs(Pt/Pn)</t>
  </si>
  <si>
    <r>
      <t>Pt</t>
    </r>
    <r>
      <rPr>
        <sz val="8"/>
        <color theme="1"/>
        <rFont val="Times New Roman"/>
        <family val="1"/>
      </rPr>
      <t xml:space="preserve"> (lb*s)</t>
    </r>
  </si>
  <si>
    <r>
      <t xml:space="preserve">Pn </t>
    </r>
    <r>
      <rPr>
        <sz val="8"/>
        <color theme="1"/>
        <rFont val="Times New Roman"/>
        <family val="1"/>
      </rPr>
      <t>(lb*s)</t>
    </r>
  </si>
  <si>
    <t>Solution</t>
  </si>
  <si>
    <r>
      <t>Pt</t>
    </r>
    <r>
      <rPr>
        <b/>
        <sz val="8"/>
        <color theme="1"/>
        <rFont val="Times New Roman"/>
        <family val="1"/>
      </rPr>
      <t xml:space="preserve"> (lb*s)</t>
    </r>
  </si>
  <si>
    <r>
      <t>Pn</t>
    </r>
    <r>
      <rPr>
        <b/>
        <sz val="8"/>
        <color theme="1"/>
        <rFont val="Times New Roman"/>
        <family val="1"/>
      </rPr>
      <t xml:space="preserve"> (lb*s)</t>
    </r>
  </si>
  <si>
    <r>
      <t xml:space="preserve">dVt1 </t>
    </r>
    <r>
      <rPr>
        <sz val="8"/>
        <color theme="1"/>
        <rFont val="Times New Roman"/>
        <family val="1"/>
      </rPr>
      <t>(fps)</t>
    </r>
  </si>
  <si>
    <r>
      <t xml:space="preserve">dVn1 </t>
    </r>
    <r>
      <rPr>
        <sz val="8"/>
        <color theme="1"/>
        <rFont val="Times New Roman"/>
        <family val="1"/>
      </rPr>
      <t>(fps)</t>
    </r>
  </si>
  <si>
    <r>
      <t>dOmg1</t>
    </r>
    <r>
      <rPr>
        <sz val="8"/>
        <color theme="1"/>
        <rFont val="Times New Roman"/>
        <family val="1"/>
      </rPr>
      <t xml:space="preserve"> (rps)</t>
    </r>
  </si>
  <si>
    <r>
      <t>dVt2</t>
    </r>
    <r>
      <rPr>
        <sz val="8"/>
        <color theme="1"/>
        <rFont val="Times New Roman"/>
        <family val="1"/>
      </rPr>
      <t xml:space="preserve"> (fps)</t>
    </r>
  </si>
  <si>
    <r>
      <t xml:space="preserve">dVn2 </t>
    </r>
    <r>
      <rPr>
        <sz val="8"/>
        <color theme="1"/>
        <rFont val="Times New Roman"/>
        <family val="1"/>
      </rPr>
      <t>(fps)</t>
    </r>
  </si>
  <si>
    <r>
      <t>dOmg2</t>
    </r>
    <r>
      <rPr>
        <sz val="8"/>
        <color theme="1"/>
        <rFont val="Times New Roman"/>
        <family val="1"/>
      </rPr>
      <t xml:space="preserve"> (rps)</t>
    </r>
  </si>
  <si>
    <r>
      <t>dVx1</t>
    </r>
    <r>
      <rPr>
        <b/>
        <sz val="8"/>
        <color theme="1"/>
        <rFont val="Times New Roman"/>
        <family val="1"/>
      </rPr>
      <t xml:space="preserve"> (mph)</t>
    </r>
  </si>
  <si>
    <r>
      <t xml:space="preserve">dVy1 </t>
    </r>
    <r>
      <rPr>
        <b/>
        <sz val="8"/>
        <color theme="1"/>
        <rFont val="Times New Roman"/>
        <family val="1"/>
      </rPr>
      <t>(mph)</t>
    </r>
  </si>
  <si>
    <r>
      <t xml:space="preserve">dV1 </t>
    </r>
    <r>
      <rPr>
        <b/>
        <sz val="8"/>
        <color theme="1"/>
        <rFont val="Times New Roman"/>
        <family val="1"/>
      </rPr>
      <t>(mph)</t>
    </r>
  </si>
  <si>
    <r>
      <t xml:space="preserve">dOmg1 </t>
    </r>
    <r>
      <rPr>
        <b/>
        <sz val="8"/>
        <color theme="1"/>
        <rFont val="Times New Roman"/>
        <family val="1"/>
      </rPr>
      <t>(dps)</t>
    </r>
  </si>
  <si>
    <r>
      <t>dVx2</t>
    </r>
    <r>
      <rPr>
        <b/>
        <sz val="8"/>
        <color theme="1"/>
        <rFont val="Times New Roman"/>
        <family val="1"/>
      </rPr>
      <t xml:space="preserve"> (mph)</t>
    </r>
  </si>
  <si>
    <r>
      <t xml:space="preserve">dVy2 </t>
    </r>
    <r>
      <rPr>
        <b/>
        <sz val="8"/>
        <color theme="1"/>
        <rFont val="Times New Roman"/>
        <family val="1"/>
      </rPr>
      <t>(mph)</t>
    </r>
  </si>
  <si>
    <r>
      <t>dV2</t>
    </r>
    <r>
      <rPr>
        <b/>
        <sz val="8"/>
        <color theme="1"/>
        <rFont val="Times New Roman"/>
        <family val="1"/>
      </rPr>
      <t xml:space="preserve"> (mph)</t>
    </r>
  </si>
  <si>
    <r>
      <t>dOmg2</t>
    </r>
    <r>
      <rPr>
        <b/>
        <sz val="8"/>
        <color theme="1"/>
        <rFont val="Times New Roman"/>
        <family val="1"/>
      </rPr>
      <t xml:space="preserve"> (dps)</t>
    </r>
  </si>
  <si>
    <r>
      <t xml:space="preserve">Vx1 </t>
    </r>
    <r>
      <rPr>
        <b/>
        <sz val="8"/>
        <color theme="1"/>
        <rFont val="Times New Roman"/>
        <family val="1"/>
      </rPr>
      <t>(mph)</t>
    </r>
  </si>
  <si>
    <r>
      <t>Vy1</t>
    </r>
    <r>
      <rPr>
        <b/>
        <sz val="8"/>
        <color theme="1"/>
        <rFont val="Times New Roman"/>
        <family val="1"/>
      </rPr>
      <t xml:space="preserve"> (mph)</t>
    </r>
  </si>
  <si>
    <r>
      <t>V1</t>
    </r>
    <r>
      <rPr>
        <b/>
        <sz val="8"/>
        <color theme="1"/>
        <rFont val="Times New Roman"/>
        <family val="1"/>
      </rPr>
      <t xml:space="preserve"> (mph)</t>
    </r>
  </si>
  <si>
    <r>
      <t>Omg1</t>
    </r>
    <r>
      <rPr>
        <b/>
        <sz val="8"/>
        <color theme="1"/>
        <rFont val="Times New Roman"/>
        <family val="1"/>
      </rPr>
      <t xml:space="preserve"> (dps)</t>
    </r>
  </si>
  <si>
    <r>
      <t>Vx2</t>
    </r>
    <r>
      <rPr>
        <b/>
        <sz val="8"/>
        <color theme="1"/>
        <rFont val="Times New Roman"/>
        <family val="1"/>
      </rPr>
      <t xml:space="preserve"> (mph)</t>
    </r>
  </si>
  <si>
    <r>
      <t xml:space="preserve">Vy2 </t>
    </r>
    <r>
      <rPr>
        <b/>
        <sz val="8"/>
        <color theme="1"/>
        <rFont val="Times New Roman"/>
        <family val="1"/>
      </rPr>
      <t>(mph)</t>
    </r>
  </si>
  <si>
    <r>
      <t xml:space="preserve">V2 </t>
    </r>
    <r>
      <rPr>
        <b/>
        <sz val="8"/>
        <color theme="1"/>
        <rFont val="Times New Roman"/>
        <family val="1"/>
      </rPr>
      <t>(mph)</t>
    </r>
  </si>
  <si>
    <r>
      <t xml:space="preserve">Omg2 </t>
    </r>
    <r>
      <rPr>
        <b/>
        <sz val="8"/>
        <color theme="1"/>
        <rFont val="Times New Roman"/>
        <family val="1"/>
      </rPr>
      <t>(dps)</t>
    </r>
  </si>
  <si>
    <r>
      <t>Vmt1</t>
    </r>
    <r>
      <rPr>
        <sz val="8"/>
        <color theme="1"/>
        <rFont val="Times New Roman"/>
        <family val="1"/>
      </rPr>
      <t xml:space="preserve"> (fps)</t>
    </r>
  </si>
  <si>
    <r>
      <t>Omgm1</t>
    </r>
    <r>
      <rPr>
        <sz val="8"/>
        <color theme="1"/>
        <rFont val="Times New Roman"/>
        <family val="1"/>
      </rPr>
      <t xml:space="preserve"> (rps)</t>
    </r>
  </si>
  <si>
    <r>
      <t>Vmt2</t>
    </r>
    <r>
      <rPr>
        <sz val="8"/>
        <color theme="1"/>
        <rFont val="Times New Roman"/>
        <family val="1"/>
      </rPr>
      <t xml:space="preserve"> (fps)</t>
    </r>
  </si>
  <si>
    <r>
      <t>Omgm2</t>
    </r>
    <r>
      <rPr>
        <sz val="8"/>
        <color theme="1"/>
        <rFont val="Times New Roman"/>
        <family val="1"/>
      </rPr>
      <t xml:space="preserve"> (rps)</t>
    </r>
  </si>
  <si>
    <r>
      <t>Vmct21</t>
    </r>
    <r>
      <rPr>
        <b/>
        <sz val="8"/>
        <color theme="1"/>
        <rFont val="Times New Roman"/>
        <family val="1"/>
      </rPr>
      <t xml:space="preserve"> (fps)</t>
    </r>
  </si>
  <si>
    <r>
      <t xml:space="preserve">Vt1 </t>
    </r>
    <r>
      <rPr>
        <sz val="8"/>
        <color theme="1"/>
        <rFont val="Times New Roman"/>
        <family val="1"/>
      </rPr>
      <t>(fps)</t>
    </r>
  </si>
  <si>
    <r>
      <t xml:space="preserve">Vt2 </t>
    </r>
    <r>
      <rPr>
        <sz val="8"/>
        <color theme="1"/>
        <rFont val="Times New Roman"/>
        <family val="1"/>
      </rPr>
      <t>(fps)</t>
    </r>
  </si>
  <si>
    <r>
      <t>Vct21</t>
    </r>
    <r>
      <rPr>
        <b/>
        <sz val="8"/>
        <color theme="1"/>
        <rFont val="Times New Roman"/>
        <family val="1"/>
      </rPr>
      <t xml:space="preserve"> (fps)</t>
    </r>
  </si>
  <si>
    <r>
      <t>Vn1</t>
    </r>
    <r>
      <rPr>
        <sz val="8"/>
        <color theme="1"/>
        <rFont val="Times New Roman"/>
        <family val="1"/>
      </rPr>
      <t xml:space="preserve"> (fps)</t>
    </r>
  </si>
  <si>
    <r>
      <t>Vn2</t>
    </r>
    <r>
      <rPr>
        <sz val="8"/>
        <color theme="1"/>
        <rFont val="Times New Roman"/>
        <family val="1"/>
      </rPr>
      <t xml:space="preserve"> (fps)</t>
    </r>
  </si>
  <si>
    <r>
      <t>Vcn21</t>
    </r>
    <r>
      <rPr>
        <b/>
        <sz val="8"/>
        <color theme="1"/>
        <rFont val="Times New Roman"/>
        <family val="1"/>
      </rPr>
      <t xml:space="preserve"> (fps)</t>
    </r>
  </si>
  <si>
    <t>KE-surface</t>
  </si>
  <si>
    <t>KE-volume</t>
  </si>
  <si>
    <t>KE-total</t>
  </si>
  <si>
    <t>T-Effects</t>
  </si>
  <si>
    <t>N-Effects</t>
  </si>
  <si>
    <t>TN-total</t>
  </si>
  <si>
    <t>dissipated</t>
  </si>
  <si>
    <t>absorbed</t>
  </si>
  <si>
    <t>ft-lb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</si>
</sst>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0000"/>
    <numFmt numFmtId="167" formatCode="0.0000"/>
    <numFmt numFmtId="168" formatCode="0.000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sz val="11"/>
      <color theme="1"/>
      <name val="Symbol"/>
      <family val="1"/>
      <charset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  <font>
      <i/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6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5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1" fillId="0" borderId="0" xfId="0" applyFont="1"/>
    <xf numFmtId="0" fontId="8" fillId="0" borderId="0" xfId="0" applyFont="1"/>
    <xf numFmtId="0" fontId="1" fillId="0" borderId="1" xfId="0" applyFont="1" applyBorder="1"/>
    <xf numFmtId="0" fontId="7" fillId="0" borderId="2" xfId="0" applyFont="1" applyBorder="1"/>
    <xf numFmtId="0" fontId="2" fillId="0" borderId="3" xfId="0" applyFont="1" applyBorder="1"/>
    <xf numFmtId="0" fontId="9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10" fillId="0" borderId="0" xfId="0" applyFont="1"/>
    <xf numFmtId="1" fontId="2" fillId="0" borderId="0" xfId="0" applyNumberFormat="1" applyFont="1"/>
    <xf numFmtId="0" fontId="11" fillId="0" borderId="0" xfId="0" applyFont="1"/>
    <xf numFmtId="1" fontId="2" fillId="2" borderId="0" xfId="0" applyNumberFormat="1" applyFont="1" applyFill="1"/>
    <xf numFmtId="1" fontId="1" fillId="0" borderId="0" xfId="0" applyNumberFormat="1" applyFont="1"/>
    <xf numFmtId="9" fontId="1" fillId="0" borderId="0" xfId="2" applyFont="1"/>
    <xf numFmtId="164" fontId="2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" fontId="0" fillId="0" borderId="0" xfId="0" applyNumberFormat="1"/>
    <xf numFmtId="0" fontId="6" fillId="0" borderId="0" xfId="0" applyFont="1"/>
    <xf numFmtId="0" fontId="7" fillId="0" borderId="0" xfId="0" applyFont="1"/>
    <xf numFmtId="164" fontId="2" fillId="2" borderId="0" xfId="0" applyNumberFormat="1" applyFont="1" applyFill="1"/>
    <xf numFmtId="1" fontId="2" fillId="0" borderId="0" xfId="0" applyNumberFormat="1" applyFont="1" applyFill="1"/>
    <xf numFmtId="164" fontId="2" fillId="0" borderId="0" xfId="0" applyNumberFormat="1" applyFont="1" applyFill="1"/>
    <xf numFmtId="1" fontId="7" fillId="0" borderId="0" xfId="0" applyNumberFormat="1" applyFont="1"/>
    <xf numFmtId="0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2" fontId="12" fillId="0" borderId="0" xfId="0" applyNumberFormat="1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/>
    <xf numFmtId="2" fontId="13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167" fontId="12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228685779434915E-2"/>
          <c:y val="1.636904761904762E-2"/>
          <c:w val="0.94005528749878631"/>
          <c:h val="0.94463535808024002"/>
        </c:manualLayout>
      </c:layout>
      <c:scatterChart>
        <c:scatterStyle val="lineMarker"/>
        <c:varyColors val="0"/>
        <c:ser>
          <c:idx val="8"/>
          <c:order val="0"/>
          <c:tx>
            <c:strRef>
              <c:f>'IMPC (match Joe)'!$A$81</c:f>
              <c:strCache>
                <c:ptCount val="1"/>
                <c:pt idx="0">
                  <c:v>Vehicle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'IMPC (match Joe)'!$B$84:$B$88</c:f>
              <c:numCache>
                <c:formatCode>General</c:formatCode>
                <c:ptCount val="5"/>
                <c:pt idx="0">
                  <c:v>60.085341933838023</c:v>
                </c:pt>
                <c:pt idx="1">
                  <c:v>-11.914658066161977</c:v>
                </c:pt>
                <c:pt idx="2">
                  <c:v>-11.914658066161977</c:v>
                </c:pt>
                <c:pt idx="3">
                  <c:v>60.085341933838023</c:v>
                </c:pt>
                <c:pt idx="4">
                  <c:v>60.085341933838023</c:v>
                </c:pt>
              </c:numCache>
            </c:numRef>
          </c:xVal>
          <c:yVal>
            <c:numRef>
              <c:f>'IMPC (match Joe)'!$A$84:$A$88</c:f>
              <c:numCache>
                <c:formatCode>General</c:formatCode>
                <c:ptCount val="5"/>
                <c:pt idx="0">
                  <c:v>44.698892949314832</c:v>
                </c:pt>
                <c:pt idx="1">
                  <c:v>44.698892949314832</c:v>
                </c:pt>
                <c:pt idx="2">
                  <c:v>-145.30110705068518</c:v>
                </c:pt>
                <c:pt idx="3">
                  <c:v>-145.30110705068518</c:v>
                </c:pt>
                <c:pt idx="4">
                  <c:v>44.698892949314832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F-427D-A926-EA86DDBDC345}"/>
            </c:ext>
          </c:extLst>
        </c:ser>
        <c:ser>
          <c:idx val="18"/>
          <c:order val="1"/>
          <c:tx>
            <c:strRef>
              <c:f>'IMPC (match Joe)'!$C$81</c:f>
              <c:strCache>
                <c:ptCount val="1"/>
                <c:pt idx="0">
                  <c:v>Vehicle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'IMPC (match Joe)'!$D$84:$D$88</c:f>
              <c:numCache>
                <c:formatCode>General</c:formatCode>
                <c:ptCount val="5"/>
                <c:pt idx="0">
                  <c:v>-100</c:v>
                </c:pt>
                <c:pt idx="1">
                  <c:v>0</c:v>
                </c:pt>
                <c:pt idx="2">
                  <c:v>-1.22514845490862E-14</c:v>
                </c:pt>
                <c:pt idx="3">
                  <c:v>-100.00000000000001</c:v>
                </c:pt>
                <c:pt idx="4">
                  <c:v>-100</c:v>
                </c:pt>
              </c:numCache>
            </c:numRef>
          </c:xVal>
          <c:yVal>
            <c:numRef>
              <c:f>'IMPC (match Joe)'!$C$84:$C$88</c:f>
              <c:numCache>
                <c:formatCode>General</c:formatCode>
                <c:ptCount val="5"/>
                <c:pt idx="0">
                  <c:v>-1.3231169632144102E-14</c:v>
                </c:pt>
                <c:pt idx="1">
                  <c:v>-9.7968508305790181E-16</c:v>
                </c:pt>
                <c:pt idx="2">
                  <c:v>100</c:v>
                </c:pt>
                <c:pt idx="3">
                  <c:v>99.999999999999986</c:v>
                </c:pt>
                <c:pt idx="4">
                  <c:v>-1.3231169632144102E-14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3F-427D-A926-EA86DDBDC345}"/>
            </c:ext>
          </c:extLst>
        </c:ser>
        <c:ser>
          <c:idx val="19"/>
          <c:order val="2"/>
          <c:tx>
            <c:v>v1 cg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'IMPC (match Joe)'!$B$83</c:f>
              <c:numCache>
                <c:formatCode>General</c:formatCode>
                <c:ptCount val="1"/>
                <c:pt idx="0">
                  <c:v>24.08534193383802</c:v>
                </c:pt>
              </c:numCache>
            </c:numRef>
          </c:xVal>
          <c:yVal>
            <c:numRef>
              <c:f>'IMPC (match Joe)'!$A$83</c:f>
              <c:numCache>
                <c:formatCode>General</c:formatCode>
                <c:ptCount val="1"/>
                <c:pt idx="0">
                  <c:v>-43.451107050685174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3F-427D-A926-EA86DDBDC345}"/>
            </c:ext>
          </c:extLst>
        </c:ser>
        <c:ser>
          <c:idx val="20"/>
          <c:order val="3"/>
          <c:tx>
            <c:v>v2 cg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'IMPC (match Joe)'!$D$83</c:f>
              <c:numCache>
                <c:formatCode>General</c:formatCode>
                <c:ptCount val="1"/>
                <c:pt idx="0">
                  <c:v>-50.000000000000007</c:v>
                </c:pt>
              </c:numCache>
            </c:numRef>
          </c:xVal>
          <c:yVal>
            <c:numRef>
              <c:f>'IMPC (match Joe)'!$C$83</c:f>
              <c:numCache>
                <c:formatCode>General</c:formatCode>
                <c:ptCount val="1"/>
                <c:pt idx="0">
                  <c:v>49.999999999999993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3F-427D-A926-EA86DDBDC345}"/>
            </c:ext>
          </c:extLst>
        </c:ser>
        <c:ser>
          <c:idx val="21"/>
          <c:order val="4"/>
          <c:tx>
            <c:v>v1 heading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'IMPC (match Joe)'!$B$89:$B$92</c:f>
              <c:numCache>
                <c:formatCode>General</c:formatCode>
                <c:ptCount val="4"/>
                <c:pt idx="0">
                  <c:v>24.08534193383802</c:v>
                </c:pt>
                <c:pt idx="1">
                  <c:v>18.08534193383802</c:v>
                </c:pt>
                <c:pt idx="2">
                  <c:v>30.08534193383802</c:v>
                </c:pt>
                <c:pt idx="3">
                  <c:v>24.08534193383802</c:v>
                </c:pt>
              </c:numCache>
            </c:numRef>
          </c:xVal>
          <c:yVal>
            <c:numRef>
              <c:f>'IMPC (match Joe)'!$A$89:$A$92</c:f>
              <c:numCache>
                <c:formatCode>General</c:formatCode>
                <c:ptCount val="4"/>
                <c:pt idx="0">
                  <c:v>32.698892949314832</c:v>
                </c:pt>
                <c:pt idx="1">
                  <c:v>20.698892949314832</c:v>
                </c:pt>
                <c:pt idx="2">
                  <c:v>20.698892949314832</c:v>
                </c:pt>
                <c:pt idx="3">
                  <c:v>32.698892949314832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3F-427D-A926-EA86DDBDC345}"/>
            </c:ext>
          </c:extLst>
        </c:ser>
        <c:ser>
          <c:idx val="22"/>
          <c:order val="5"/>
          <c:tx>
            <c:v>v2 heading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'IMPC (match Joe)'!$D$89:$D$92</c:f>
              <c:numCache>
                <c:formatCode>General</c:formatCode>
                <c:ptCount val="4"/>
                <c:pt idx="0">
                  <c:v>-50</c:v>
                </c:pt>
                <c:pt idx="1">
                  <c:v>-44</c:v>
                </c:pt>
                <c:pt idx="2">
                  <c:v>-56</c:v>
                </c:pt>
                <c:pt idx="3">
                  <c:v>-50</c:v>
                </c:pt>
              </c:numCache>
            </c:numRef>
          </c:xVal>
          <c:yVal>
            <c:numRef>
              <c:f>'IMPC (match Joe)'!$C$89:$C$92</c:f>
              <c:numCache>
                <c:formatCode>General</c:formatCode>
                <c:ptCount val="4"/>
                <c:pt idx="0">
                  <c:v>11.999999999999993</c:v>
                </c:pt>
                <c:pt idx="1">
                  <c:v>23.999999999999993</c:v>
                </c:pt>
                <c:pt idx="2">
                  <c:v>23.999999999999993</c:v>
                </c:pt>
                <c:pt idx="3">
                  <c:v>11.999999999999993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3F-427D-A926-EA86DDBDC345}"/>
            </c:ext>
          </c:extLst>
        </c:ser>
        <c:ser>
          <c:idx val="23"/>
          <c:order val="6"/>
          <c:tx>
            <c:v>v1 initial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'IMPC (match Joe)'!$B$94:$B$98</c:f>
              <c:numCache>
                <c:formatCode>General</c:formatCode>
                <c:ptCount val="5"/>
                <c:pt idx="0">
                  <c:v>24.08534193383802</c:v>
                </c:pt>
                <c:pt idx="1">
                  <c:v>24.08534193383802</c:v>
                </c:pt>
                <c:pt idx="2">
                  <c:v>36.071705570201658</c:v>
                </c:pt>
                <c:pt idx="3">
                  <c:v>24.08534193383802</c:v>
                </c:pt>
                <c:pt idx="4">
                  <c:v>12.098978297474384</c:v>
                </c:pt>
              </c:numCache>
            </c:numRef>
          </c:xVal>
          <c:yVal>
            <c:numRef>
              <c:f>'IMPC (match Joe)'!$A$94:$A$98</c:f>
              <c:numCache>
                <c:formatCode>General</c:formatCode>
                <c:ptCount val="5"/>
                <c:pt idx="0">
                  <c:v>-163.31474341432153</c:v>
                </c:pt>
                <c:pt idx="1">
                  <c:v>-43.451107050685174</c:v>
                </c:pt>
                <c:pt idx="2">
                  <c:v>-67.42383432341245</c:v>
                </c:pt>
                <c:pt idx="3">
                  <c:v>-43.451107050685174</c:v>
                </c:pt>
                <c:pt idx="4">
                  <c:v>-67.42383432341245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3F-427D-A926-EA86DDBDC345}"/>
            </c:ext>
          </c:extLst>
        </c:ser>
        <c:ser>
          <c:idx val="24"/>
          <c:order val="7"/>
          <c:tx>
            <c:v>v2 initial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'IMPC (match Joe)'!$D$94:$D$98</c:f>
              <c:numCache>
                <c:formatCode>General</c:formatCode>
                <c:ptCount val="5"/>
                <c:pt idx="0">
                  <c:v>-50.000000000000007</c:v>
                </c:pt>
                <c:pt idx="1">
                  <c:v>-50.000000000000007</c:v>
                </c:pt>
                <c:pt idx="2">
                  <c:v>-50.000000000000007</c:v>
                </c:pt>
                <c:pt idx="3">
                  <c:v>-50.000000000000007</c:v>
                </c:pt>
                <c:pt idx="4">
                  <c:v>-50.000000000000007</c:v>
                </c:pt>
              </c:numCache>
            </c:numRef>
          </c:xVal>
          <c:yVal>
            <c:numRef>
              <c:f>'IMPC (match Joe)'!$C$94:$C$98</c:f>
              <c:numCache>
                <c:formatCode>General</c:formatCode>
                <c:ptCount val="5"/>
                <c:pt idx="0">
                  <c:v>49.999999999999993</c:v>
                </c:pt>
                <c:pt idx="1">
                  <c:v>49.999999999999993</c:v>
                </c:pt>
                <c:pt idx="2">
                  <c:v>49.999999999999993</c:v>
                </c:pt>
                <c:pt idx="3">
                  <c:v>49.999999999999993</c:v>
                </c:pt>
                <c:pt idx="4">
                  <c:v>49.999999999999993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3F-427D-A926-EA86DDBDC345}"/>
            </c:ext>
          </c:extLst>
        </c:ser>
        <c:ser>
          <c:idx val="25"/>
          <c:order val="8"/>
          <c:tx>
            <c:v>contact plane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'IMPC (match Joe)'!$B$99:$B$101</c:f>
              <c:numCache>
                <c:formatCode>General</c:formatCode>
                <c:ptCount val="3"/>
                <c:pt idx="0">
                  <c:v>-20.128093630690174</c:v>
                </c:pt>
                <c:pt idx="1">
                  <c:v>0</c:v>
                </c:pt>
                <c:pt idx="2">
                  <c:v>-6.5356684201803272</c:v>
                </c:pt>
              </c:numCache>
            </c:numRef>
          </c:xVal>
          <c:yVal>
            <c:numRef>
              <c:f>'IMPC (match Joe)'!$A$99:$A$101</c:f>
              <c:numCache>
                <c:formatCode>General</c:formatCode>
                <c:ptCount val="3"/>
                <c:pt idx="0">
                  <c:v>13.071336840360654</c:v>
                </c:pt>
                <c:pt idx="1">
                  <c:v>0</c:v>
                </c:pt>
                <c:pt idx="2">
                  <c:v>-10.064046815345087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3F-427D-A926-EA86DDBDC345}"/>
            </c:ext>
          </c:extLst>
        </c:ser>
        <c:ser>
          <c:idx val="26"/>
          <c:order val="9"/>
          <c:tx>
            <c:v>v1 post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'IMPC (match Joe)'!$B$105:$B$109</c:f>
              <c:numCache>
                <c:formatCode>General</c:formatCode>
                <c:ptCount val="5"/>
                <c:pt idx="0">
                  <c:v>60.810305596427391</c:v>
                </c:pt>
                <c:pt idx="1">
                  <c:v>-10.084040878506023</c:v>
                </c:pt>
                <c:pt idx="2">
                  <c:v>23.085400332170444</c:v>
                </c:pt>
                <c:pt idx="3">
                  <c:v>93.979746807103851</c:v>
                </c:pt>
                <c:pt idx="4">
                  <c:v>60.810305596427391</c:v>
                </c:pt>
              </c:numCache>
            </c:numRef>
          </c:xVal>
          <c:yVal>
            <c:numRef>
              <c:f>'IMPC (match Joe)'!$A$105:$A$109</c:f>
              <c:numCache>
                <c:formatCode>General</c:formatCode>
                <c:ptCount val="5"/>
                <c:pt idx="0">
                  <c:v>67.800891884243001</c:v>
                </c:pt>
                <c:pt idx="1">
                  <c:v>55.231419425460338</c:v>
                </c:pt>
                <c:pt idx="2">
                  <c:v>-131.85088377228064</c:v>
                </c:pt>
                <c:pt idx="3">
                  <c:v>-119.28141131349798</c:v>
                </c:pt>
                <c:pt idx="4">
                  <c:v>67.800891884243001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3F-427D-A926-EA86DDBDC345}"/>
            </c:ext>
          </c:extLst>
        </c:ser>
        <c:ser>
          <c:idx val="27"/>
          <c:order val="10"/>
          <c:tx>
            <c:v>v2 post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'IMPC (match Joe)'!$D$105:$D$109</c:f>
              <c:numCache>
                <c:formatCode>General</c:formatCode>
                <c:ptCount val="5"/>
                <c:pt idx="0">
                  <c:v>-99.993273266848689</c:v>
                </c:pt>
                <c:pt idx="1">
                  <c:v>6.7235164257084534E-3</c:v>
                </c:pt>
                <c:pt idx="2">
                  <c:v>-1.8640732236449856E-2</c:v>
                </c:pt>
                <c:pt idx="3">
                  <c:v>-100.01863751551085</c:v>
                </c:pt>
                <c:pt idx="4">
                  <c:v>-99.993273266848689</c:v>
                </c:pt>
              </c:numCache>
            </c:numRef>
          </c:xVal>
          <c:yVal>
            <c:numRef>
              <c:f>'IMPC (match Joe)'!$C$105:$C$109</c:f>
              <c:numCache>
                <c:formatCode>General</c:formatCode>
                <c:ptCount val="5"/>
                <c:pt idx="0">
                  <c:v>5.9586080413319958E-3</c:v>
                </c:pt>
                <c:pt idx="1">
                  <c:v>3.1322856703490304E-2</c:v>
                </c:pt>
                <c:pt idx="2">
                  <c:v>100.03131963997789</c:v>
                </c:pt>
                <c:pt idx="3">
                  <c:v>100.00595539131574</c:v>
                </c:pt>
                <c:pt idx="4">
                  <c:v>5.9586080413319958E-3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3F-427D-A926-EA86DDBDC345}"/>
            </c:ext>
          </c:extLst>
        </c:ser>
        <c:ser>
          <c:idx val="28"/>
          <c:order val="11"/>
          <c:tx>
            <c:v>v1 post cg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'IMPC (match Joe)'!$B$104</c:f>
              <c:numCache>
                <c:formatCode>General</c:formatCode>
                <c:ptCount val="1"/>
                <c:pt idx="0">
                  <c:v>40.752007320650847</c:v>
                </c:pt>
              </c:numCache>
            </c:numRef>
          </c:xVal>
          <c:yVal>
            <c:numRef>
              <c:f>'IMPC (match Joe)'!$A$104</c:f>
              <c:numCache>
                <c:formatCode>General</c:formatCode>
                <c:ptCount val="1"/>
                <c:pt idx="0">
                  <c:v>-25.280186591889738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3F-427D-A926-EA86DDBDC345}"/>
            </c:ext>
          </c:extLst>
        </c:ser>
        <c:ser>
          <c:idx val="29"/>
          <c:order val="12"/>
          <c:tx>
            <c:v>v2 post cg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'IMPC (match Joe)'!$D$104</c:f>
              <c:numCache>
                <c:formatCode>General</c:formatCode>
                <c:ptCount val="1"/>
                <c:pt idx="0">
                  <c:v>-50.005956999542562</c:v>
                </c:pt>
              </c:numCache>
            </c:numRef>
          </c:xVal>
          <c:yVal>
            <c:numRef>
              <c:f>'IMPC (match Joe)'!$C$104</c:f>
              <c:numCache>
                <c:formatCode>General</c:formatCode>
                <c:ptCount val="1"/>
                <c:pt idx="0">
                  <c:v>50.01863912400961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33F-427D-A926-EA86DDBDC345}"/>
            </c:ext>
          </c:extLst>
        </c:ser>
        <c:ser>
          <c:idx val="30"/>
          <c:order val="13"/>
          <c:tx>
            <c:v>v1 post heading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'IMPC (match Joe)'!$B$110:$B$113</c:f>
              <c:numCache>
                <c:formatCode>General</c:formatCode>
                <c:ptCount val="4"/>
                <c:pt idx="0">
                  <c:v>27.458044435424462</c:v>
                </c:pt>
                <c:pt idx="1">
                  <c:v>23.645094305643788</c:v>
                </c:pt>
                <c:pt idx="2">
                  <c:v>35.460818718132693</c:v>
                </c:pt>
                <c:pt idx="3">
                  <c:v>27.458044435424462</c:v>
                </c:pt>
              </c:numCache>
            </c:numRef>
          </c:xVal>
          <c:yVal>
            <c:numRef>
              <c:f>'IMPC (match Joe)'!$A$110:$A$113</c:f>
              <c:numCache>
                <c:formatCode>General</c:formatCode>
                <c:ptCount val="4"/>
                <c:pt idx="0">
                  <c:v>49.700431242362761</c:v>
                </c:pt>
                <c:pt idx="1">
                  <c:v>36.837250791641971</c:v>
                </c:pt>
                <c:pt idx="2">
                  <c:v>38.932162868105749</c:v>
                </c:pt>
                <c:pt idx="3">
                  <c:v>49.700431242362761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33F-427D-A926-EA86DDBDC345}"/>
            </c:ext>
          </c:extLst>
        </c:ser>
        <c:ser>
          <c:idx val="31"/>
          <c:order val="14"/>
          <c:tx>
            <c:v>v2 post heading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'IMPC (match Joe)'!$D$110:$D$113</c:f>
              <c:numCache>
                <c:formatCode>General</c:formatCode>
                <c:ptCount val="4"/>
                <c:pt idx="0">
                  <c:v>-49.996318585050943</c:v>
                </c:pt>
                <c:pt idx="1">
                  <c:v>-43.99936248789394</c:v>
                </c:pt>
                <c:pt idx="2">
                  <c:v>-55.999362101886867</c:v>
                </c:pt>
                <c:pt idx="3">
                  <c:v>-49.996318585050943</c:v>
                </c:pt>
              </c:numCache>
            </c:numRef>
          </c:xVal>
          <c:yVal>
            <c:numRef>
              <c:f>'IMPC (match Joe)'!$C$110:$C$113</c:f>
              <c:numCache>
                <c:formatCode>General</c:formatCode>
                <c:ptCount val="4"/>
                <c:pt idx="0">
                  <c:v>12.018640346365338</c:v>
                </c:pt>
                <c:pt idx="1">
                  <c:v>24.020161815277994</c:v>
                </c:pt>
                <c:pt idx="2">
                  <c:v>24.017118105438534</c:v>
                </c:pt>
                <c:pt idx="3">
                  <c:v>12.018640346365338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33F-427D-A926-EA86DDBDC345}"/>
            </c:ext>
          </c:extLst>
        </c:ser>
        <c:ser>
          <c:idx val="32"/>
          <c:order val="15"/>
          <c:tx>
            <c:v>v1 post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'IMPC (match Joe)'!$B$114:$B$118</c:f>
              <c:numCache>
                <c:formatCode>General</c:formatCode>
                <c:ptCount val="5"/>
                <c:pt idx="0">
                  <c:v>40.752007320650847</c:v>
                </c:pt>
                <c:pt idx="1">
                  <c:v>69.161096048172709</c:v>
                </c:pt>
                <c:pt idx="2">
                  <c:v>66.576594289963012</c:v>
                </c:pt>
                <c:pt idx="3">
                  <c:v>69.161096048172709</c:v>
                </c:pt>
                <c:pt idx="4">
                  <c:v>60.381962315373656</c:v>
                </c:pt>
              </c:numCache>
            </c:numRef>
          </c:xVal>
          <c:yVal>
            <c:numRef>
              <c:f>'IMPC (match Joe)'!$A$114:$A$118</c:f>
              <c:numCache>
                <c:formatCode>General</c:formatCode>
                <c:ptCount val="5"/>
                <c:pt idx="0">
                  <c:v>-25.280186591889738</c:v>
                </c:pt>
                <c:pt idx="1">
                  <c:v>5.6929732810570286</c:v>
                </c:pt>
                <c:pt idx="2">
                  <c:v>-3.3425675662845098</c:v>
                </c:pt>
                <c:pt idx="3">
                  <c:v>5.6929732810570286</c:v>
                </c:pt>
                <c:pt idx="4">
                  <c:v>2.3392501792198637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33F-427D-A926-EA86DDBDC345}"/>
            </c:ext>
          </c:extLst>
        </c:ser>
        <c:ser>
          <c:idx val="33"/>
          <c:order val="16"/>
          <c:tx>
            <c:v>v2 post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'IMPC (match Joe)'!$D$114:$D$118</c:f>
              <c:numCache>
                <c:formatCode>General</c:formatCode>
                <c:ptCount val="5"/>
                <c:pt idx="0">
                  <c:v>-50.005956999542562</c:v>
                </c:pt>
                <c:pt idx="1">
                  <c:v>-50.016110976035556</c:v>
                </c:pt>
                <c:pt idx="2">
                  <c:v>-50.010903057326225</c:v>
                </c:pt>
                <c:pt idx="3">
                  <c:v>-50.016110976035556</c:v>
                </c:pt>
                <c:pt idx="4">
                  <c:v>-50.017257304147684</c:v>
                </c:pt>
              </c:numCache>
            </c:numRef>
          </c:xVal>
          <c:yVal>
            <c:numRef>
              <c:f>'IMPC (match Joe)'!$C$114:$C$118</c:f>
              <c:numCache>
                <c:formatCode>General</c:formatCode>
                <c:ptCount val="5"/>
                <c:pt idx="0">
                  <c:v>50.01863912400961</c:v>
                </c:pt>
                <c:pt idx="1">
                  <c:v>50.050410358116913</c:v>
                </c:pt>
                <c:pt idx="2">
                  <c:v>50.045071508944751</c:v>
                </c:pt>
                <c:pt idx="3">
                  <c:v>50.050410358116913</c:v>
                </c:pt>
                <c:pt idx="4">
                  <c:v>50.043040713646157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33F-427D-A926-EA86DDBDC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188976"/>
        <c:axId val="339189368"/>
      </c:scatterChart>
      <c:valAx>
        <c:axId val="339188976"/>
        <c:scaling>
          <c:orientation val="maxMin"/>
          <c:max val="300"/>
          <c:min val="-3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(in)</a:t>
                </a:r>
              </a:p>
            </c:rich>
          </c:tx>
          <c:layout>
            <c:manualLayout>
              <c:xMode val="edge"/>
              <c:yMode val="edge"/>
              <c:x val="0.49665752247342415"/>
              <c:y val="0.96797671033478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89368"/>
        <c:crosses val="autoZero"/>
        <c:crossBetween val="midCat"/>
      </c:valAx>
      <c:valAx>
        <c:axId val="339189368"/>
        <c:scaling>
          <c:orientation val="maxMin"/>
          <c:max val="300"/>
          <c:min val="-3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(in)</a:t>
                </a:r>
              </a:p>
            </c:rich>
          </c:tx>
          <c:layout>
            <c:manualLayout>
              <c:xMode val="edge"/>
              <c:yMode val="edge"/>
              <c:x val="1.1716841160125139E-2"/>
              <c:y val="0.46729904855643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8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2950334432269837"/>
          <c:y val="3.5806500749906267E-2"/>
          <c:w val="0.20540309367660636"/>
          <c:h val="0.120351284214473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188911</xdr:colOff>
      <xdr:row>11</xdr:row>
      <xdr:rowOff>25400</xdr:rowOff>
    </xdr:from>
    <xdr:to>
      <xdr:col>21</xdr:col>
      <xdr:colOff>190500</xdr:colOff>
      <xdr:row>56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83C96-92C2-4636-9A61-B92545574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152400</xdr:colOff>
      <xdr:row>0</xdr:row>
      <xdr:rowOff>76200</xdr:rowOff>
    </xdr:from>
    <xdr:to>
      <xdr:col>33</xdr:col>
      <xdr:colOff>37276</xdr:colOff>
      <xdr:row>35</xdr:row>
      <xdr:rowOff>113462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99CAE7-7F38-44E0-9644-59BC2FA3A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83050" y="76200"/>
          <a:ext cx="6590476" cy="6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D52DD-69B6-474F-9836-468E93816534}">
  <dimension ref="A1:M42"/>
  <sheetViews>
    <sheetView zoomScaleNormal="100" workbookViewId="0">
      <selection activeCell="F3" sqref="F3"/>
    </sheetView>
  </sheetViews>
  <sheetFormatPr defaultColWidth="10" defaultRowHeight="13"/>
  <cols>
    <col min="1" max="13" width="10.26953125" style="30" customWidth="1"/>
    <col min="14" max="16384" width="10" style="32"/>
  </cols>
  <sheetData>
    <row r="1" spans="1:13">
      <c r="A1" s="30" t="s">
        <v>179</v>
      </c>
      <c r="B1" s="31">
        <v>43379</v>
      </c>
    </row>
    <row r="2" spans="1:13">
      <c r="A2" s="33" t="s">
        <v>180</v>
      </c>
      <c r="B2" s="33" t="s">
        <v>181</v>
      </c>
      <c r="C2" s="33" t="s">
        <v>182</v>
      </c>
      <c r="D2" s="33" t="s">
        <v>183</v>
      </c>
      <c r="E2" s="33" t="s">
        <v>184</v>
      </c>
      <c r="F2" s="33" t="s">
        <v>185</v>
      </c>
      <c r="G2" s="33" t="s">
        <v>186</v>
      </c>
      <c r="H2" s="33" t="s">
        <v>187</v>
      </c>
      <c r="I2" s="33" t="s">
        <v>188</v>
      </c>
      <c r="K2" s="34"/>
      <c r="L2" s="34"/>
      <c r="M2" s="34"/>
    </row>
    <row r="3" spans="1:13">
      <c r="A3" s="33" t="s">
        <v>189</v>
      </c>
      <c r="B3" s="33">
        <v>0</v>
      </c>
      <c r="C3" s="33">
        <f>43.4511/12</f>
        <v>3.6209249999999997</v>
      </c>
      <c r="D3" s="33">
        <f>-24.085/12</f>
        <v>-2.0070833333333336</v>
      </c>
      <c r="E3" s="35">
        <v>3574.2</v>
      </c>
      <c r="F3" s="35">
        <v>2336.3000000000002</v>
      </c>
      <c r="G3" s="33">
        <v>39.954500000000003</v>
      </c>
      <c r="H3" s="33">
        <v>0</v>
      </c>
      <c r="I3" s="33">
        <v>0</v>
      </c>
      <c r="K3" s="30">
        <f>75228/6269</f>
        <v>12</v>
      </c>
    </row>
    <row r="4" spans="1:13">
      <c r="A4" s="33" t="s">
        <v>190</v>
      </c>
      <c r="B4" s="33">
        <v>180</v>
      </c>
      <c r="C4" s="33">
        <f>50/12</f>
        <v>4.166666666666667</v>
      </c>
      <c r="D4" s="33">
        <f>-50/12</f>
        <v>-4.166666666666667</v>
      </c>
      <c r="E4" s="35">
        <v>10000000</v>
      </c>
      <c r="F4" s="42">
        <f>E4*50^2/(12*12)</f>
        <v>173611111.1111111</v>
      </c>
      <c r="G4" s="33">
        <v>0</v>
      </c>
      <c r="H4" s="33">
        <v>0</v>
      </c>
      <c r="I4" s="33">
        <v>0</v>
      </c>
    </row>
    <row r="6" spans="1:13">
      <c r="A6" s="33" t="s">
        <v>180</v>
      </c>
      <c r="B6" s="33" t="s">
        <v>191</v>
      </c>
      <c r="C6" s="33" t="s">
        <v>192</v>
      </c>
      <c r="D6" s="33" t="s">
        <v>193</v>
      </c>
    </row>
    <row r="7" spans="1:13">
      <c r="A7" s="33"/>
      <c r="B7" s="33">
        <v>74.599999999999994</v>
      </c>
      <c r="C7" s="33">
        <v>0.82</v>
      </c>
      <c r="D7" s="33">
        <v>0</v>
      </c>
    </row>
    <row r="9" spans="1:13">
      <c r="A9" s="30" t="s">
        <v>88</v>
      </c>
      <c r="J9" s="36"/>
      <c r="K9" s="36" t="s">
        <v>194</v>
      </c>
      <c r="L9" s="36"/>
    </row>
    <row r="10" spans="1:13">
      <c r="A10" s="30" t="s">
        <v>195</v>
      </c>
      <c r="B10" s="30" t="s">
        <v>196</v>
      </c>
      <c r="C10" s="30" t="s">
        <v>197</v>
      </c>
      <c r="D10" s="30" t="s">
        <v>198</v>
      </c>
      <c r="E10" s="30" t="s">
        <v>199</v>
      </c>
      <c r="F10" s="30" t="s">
        <v>200</v>
      </c>
      <c r="G10" s="30" t="s">
        <v>201</v>
      </c>
      <c r="H10" s="30" t="s">
        <v>202</v>
      </c>
      <c r="J10" s="36" t="s">
        <v>203</v>
      </c>
      <c r="K10" s="36" t="s">
        <v>204</v>
      </c>
      <c r="L10" s="36" t="s">
        <v>205</v>
      </c>
    </row>
    <row r="11" spans="1:13">
      <c r="A11" s="34">
        <f>COS((B3-B7)*J11)</f>
        <v>0.26555611748680902</v>
      </c>
      <c r="B11" s="34">
        <f>SIN((B3-B7)*J11)</f>
        <v>-0.96409540423411011</v>
      </c>
      <c r="C11" s="34">
        <f>COS((B4-B7)*J11)</f>
        <v>-0.26555611748680891</v>
      </c>
      <c r="D11" s="34">
        <f>SIN((B4-B7)*J11)</f>
        <v>0.96409540423411011</v>
      </c>
      <c r="E11" s="34">
        <f>C3*A11-D3*B11</f>
        <v>-0.97346103287062158</v>
      </c>
      <c r="F11" s="34">
        <f>C3*B11+D3*A11</f>
        <v>-4.0239104090488782</v>
      </c>
      <c r="G11" s="34">
        <f>C4*C11-D4*D11</f>
        <v>2.9105803614470886</v>
      </c>
      <c r="H11" s="34">
        <f>C4*D11+D4*C11</f>
        <v>5.1235480071704966</v>
      </c>
      <c r="J11" s="37">
        <f>ACOS(-1)/180</f>
        <v>1.7453292519943295E-2</v>
      </c>
      <c r="K11" s="37">
        <f>88/60</f>
        <v>1.4666666666666666</v>
      </c>
      <c r="L11" s="37">
        <v>32.200000000000003</v>
      </c>
    </row>
    <row r="13" spans="1:13">
      <c r="A13" s="30" t="s">
        <v>206</v>
      </c>
      <c r="B13" s="30" t="s">
        <v>207</v>
      </c>
      <c r="C13" s="30" t="s">
        <v>208</v>
      </c>
      <c r="D13" s="30" t="s">
        <v>209</v>
      </c>
      <c r="E13" s="30" t="s">
        <v>210</v>
      </c>
      <c r="F13" s="30" t="s">
        <v>211</v>
      </c>
      <c r="G13" s="30" t="s">
        <v>212</v>
      </c>
      <c r="H13" s="30" t="s">
        <v>213</v>
      </c>
      <c r="I13" s="33" t="s">
        <v>214</v>
      </c>
      <c r="J13" s="30" t="s">
        <v>215</v>
      </c>
      <c r="K13" s="30" t="s">
        <v>216</v>
      </c>
      <c r="L13" s="33" t="s">
        <v>217</v>
      </c>
    </row>
    <row r="14" spans="1:13">
      <c r="A14" s="34">
        <f>(G3*A11-H3*B11)*K11</f>
        <v>15.561570780985843</v>
      </c>
      <c r="B14" s="34">
        <f>(G3*B11+H3*A11)*K11</f>
        <v>-56.495926415091901</v>
      </c>
      <c r="C14" s="34">
        <f>I3*J11</f>
        <v>0</v>
      </c>
      <c r="D14" s="34">
        <f>(G4*C11-H4*D11)*K11</f>
        <v>0</v>
      </c>
      <c r="E14" s="34">
        <f>(G4*D11+H4*C11)*K11</f>
        <v>0</v>
      </c>
      <c r="F14" s="34">
        <f>I4*J11</f>
        <v>0</v>
      </c>
      <c r="G14" s="34">
        <f>A14-F11*C14</f>
        <v>15.561570780985843</v>
      </c>
      <c r="H14" s="34">
        <f>D14-H11*F14</f>
        <v>0</v>
      </c>
      <c r="I14" s="38">
        <f>H14-G14</f>
        <v>-15.561570780985843</v>
      </c>
      <c r="J14" s="34">
        <f>B14+E11*C14</f>
        <v>-56.495926415091901</v>
      </c>
      <c r="K14" s="34">
        <f>E14+G11*F14</f>
        <v>0</v>
      </c>
      <c r="L14" s="38">
        <f>K14-J14</f>
        <v>56.495926415091901</v>
      </c>
    </row>
    <row r="16" spans="1:13">
      <c r="B16" s="48">
        <f>L11/E3+L11/E4</f>
        <v>9.0122290090090106E-3</v>
      </c>
      <c r="D16" s="30" t="s">
        <v>104</v>
      </c>
      <c r="E16" s="30" t="s">
        <v>107</v>
      </c>
      <c r="F16" s="30" t="s">
        <v>106</v>
      </c>
      <c r="G16" s="30" t="s">
        <v>108</v>
      </c>
      <c r="H16" s="30" t="s">
        <v>218</v>
      </c>
      <c r="I16" s="30" t="s">
        <v>219</v>
      </c>
      <c r="J16" s="30" t="s">
        <v>220</v>
      </c>
      <c r="K16" s="30" t="s">
        <v>221</v>
      </c>
      <c r="L16" s="30" t="s">
        <v>222</v>
      </c>
    </row>
    <row r="17" spans="1:13">
      <c r="B17" s="48">
        <f>F11*F11/F3</f>
        <v>6.9305547147420748E-3</v>
      </c>
      <c r="D17" s="39">
        <f>L11/E3+L11/E4+F11*F11/F3+H11*H11/F4</f>
        <v>1.5942934928037573E-2</v>
      </c>
      <c r="E17" s="39">
        <f>E11*F11/F3+G11*H11/F4</f>
        <v>1.6767198826230731E-3</v>
      </c>
      <c r="F17" s="39">
        <f>L11/E3+L11/E4+E11*E11/F3+G11*G11/F4</f>
        <v>9.4178876932289393E-3</v>
      </c>
      <c r="G17" s="39">
        <f>D17*F17-E17*E17</f>
        <v>1.4733738108793133E-4</v>
      </c>
      <c r="H17" s="30">
        <f>(1+D7)*(F17*I14+E17*L14)/G17</f>
        <v>-351.77279829095846</v>
      </c>
      <c r="I17" s="30">
        <f>(1+D7)*(E17*I14+D17*L14)/G17</f>
        <v>5936.1614611549903</v>
      </c>
      <c r="J17" s="34">
        <f>ABS(H17/I17)</f>
        <v>5.9259304281544009E-2</v>
      </c>
      <c r="K17" s="30">
        <f>C7*L17</f>
        <v>5759.8893316523308</v>
      </c>
      <c r="L17" s="30">
        <f>(1+D7)*L14/(F17-C7*E17)</f>
        <v>7024.2552825028433</v>
      </c>
    </row>
    <row r="18" spans="1:13">
      <c r="B18" s="48">
        <f>H11*H11/F4</f>
        <v>1.5120428648705722E-7</v>
      </c>
      <c r="H18" s="39"/>
      <c r="I18" s="39"/>
      <c r="J18" s="39"/>
      <c r="K18" s="30">
        <f>-C7*L18</f>
        <v>-4292.3678987912972</v>
      </c>
      <c r="L18" s="30">
        <f>(1+D7)*L14/(F17+C7*E17)</f>
        <v>5234.5949985259722</v>
      </c>
    </row>
    <row r="19" spans="1:13">
      <c r="B19" s="48">
        <f>SUM(B16:B18)</f>
        <v>1.5942934928037573E-2</v>
      </c>
      <c r="K19" s="30">
        <f>IF(H17*K17&gt;0,K17,K18)</f>
        <v>-4292.3678987912972</v>
      </c>
      <c r="L19" s="30">
        <f>IF(H17*K17&gt;0,L17,L18)</f>
        <v>5234.5949985259722</v>
      </c>
    </row>
    <row r="20" spans="1:13">
      <c r="A20" s="33" t="s">
        <v>223</v>
      </c>
      <c r="B20" s="33" t="s">
        <v>224</v>
      </c>
      <c r="C20" s="33" t="s">
        <v>225</v>
      </c>
      <c r="D20" s="30" t="s">
        <v>226</v>
      </c>
      <c r="E20" s="30" t="s">
        <v>227</v>
      </c>
      <c r="F20" s="30" t="s">
        <v>228</v>
      </c>
      <c r="G20" s="30" t="s">
        <v>229</v>
      </c>
      <c r="H20" s="30" t="s">
        <v>230</v>
      </c>
      <c r="I20" s="30" t="s">
        <v>231</v>
      </c>
    </row>
    <row r="21" spans="1:13">
      <c r="A21" s="33" t="str">
        <f>IF(J17&lt;C7,"Non-Sliding","Sliding")</f>
        <v>Non-Sliding</v>
      </c>
      <c r="B21" s="40">
        <f>IF(J17&lt;C7,H17,K19)</f>
        <v>-351.77279829095846</v>
      </c>
      <c r="C21" s="40">
        <f>IF(J17&lt;C7,I17,L19)</f>
        <v>5936.1614611549903</v>
      </c>
      <c r="D21" s="34">
        <f>B21*L11/E3</f>
        <v>-3.1691243089275543</v>
      </c>
      <c r="E21" s="34">
        <f>C21*L11/E3</f>
        <v>53.478932082477399</v>
      </c>
      <c r="F21" s="34">
        <f>(-F11*B21+E11*C21)/F3</f>
        <v>-3.0792809536129577</v>
      </c>
      <c r="G21" s="34">
        <f>-B21*L11/E4</f>
        <v>1.1327084104968863E-3</v>
      </c>
      <c r="H21" s="34">
        <f>-C21*L11/E4</f>
        <v>-1.9114439904919071E-2</v>
      </c>
      <c r="I21" s="34">
        <f>(H11*B21-G11*C21)/F4</f>
        <v>-1.0990079879545266E-4</v>
      </c>
    </row>
    <row r="22" spans="1:13">
      <c r="C22" s="41" t="str">
        <f>IF(C21*F11&lt;0,"COMPRESSION","TENSION")</f>
        <v>COMPRESSION</v>
      </c>
      <c r="M22" s="32"/>
    </row>
    <row r="24" spans="1:13">
      <c r="B24" s="42" t="s">
        <v>232</v>
      </c>
      <c r="C24" s="42" t="s">
        <v>233</v>
      </c>
      <c r="D24" s="42" t="s">
        <v>234</v>
      </c>
      <c r="E24" s="42" t="s">
        <v>235</v>
      </c>
      <c r="F24" s="42" t="s">
        <v>236</v>
      </c>
      <c r="G24" s="42" t="s">
        <v>237</v>
      </c>
      <c r="H24" s="42" t="s">
        <v>238</v>
      </c>
      <c r="I24" s="42" t="s">
        <v>239</v>
      </c>
    </row>
    <row r="25" spans="1:13">
      <c r="B25" s="33">
        <f>(D21*A11+E21*B11)/K11</f>
        <v>-35.727527039574845</v>
      </c>
      <c r="C25" s="33">
        <f>(-D21*B11+E21*A11)/K11</f>
        <v>7.5997632200998595</v>
      </c>
      <c r="D25" s="33">
        <f>SQRT(B25*B25+C25*C25)</f>
        <v>36.52687489185373</v>
      </c>
      <c r="E25" s="33">
        <f>F21/J11</f>
        <v>-176.4298025770419</v>
      </c>
      <c r="F25" s="33">
        <f>(G21*C11+H21*D11)/K11</f>
        <v>-1.2769732714484838E-2</v>
      </c>
      <c r="G25" s="33">
        <f>(-G21*D11+H21*C11)/K11</f>
        <v>2.7163073701280899E-3</v>
      </c>
      <c r="H25" s="33">
        <f>SQRT(F25*F25+G25*G25)</f>
        <v>1.3055435623846355E-2</v>
      </c>
      <c r="I25" s="33">
        <f>I21/J11</f>
        <v>-6.2968519360958788E-3</v>
      </c>
    </row>
    <row r="27" spans="1:13">
      <c r="B27" s="33" t="s">
        <v>240</v>
      </c>
      <c r="C27" s="33" t="s">
        <v>241</v>
      </c>
      <c r="D27" s="33" t="s">
        <v>242</v>
      </c>
      <c r="E27" s="33" t="s">
        <v>243</v>
      </c>
      <c r="F27" s="33" t="s">
        <v>244</v>
      </c>
      <c r="G27" s="33" t="s">
        <v>245</v>
      </c>
      <c r="H27" s="33" t="s">
        <v>246</v>
      </c>
      <c r="I27" s="33" t="s">
        <v>247</v>
      </c>
    </row>
    <row r="28" spans="1:13">
      <c r="B28" s="33">
        <f>G3+B25</f>
        <v>4.226972960425158</v>
      </c>
      <c r="C28" s="33">
        <f>H3+C25</f>
        <v>7.5997632200998595</v>
      </c>
      <c r="D28" s="33">
        <f>SQRT(B28*B28+C28*C28)</f>
        <v>8.6961889014526363</v>
      </c>
      <c r="E28" s="33">
        <f>I3+E25</f>
        <v>-176.4298025770419</v>
      </c>
      <c r="F28" s="33">
        <f>G4+F25</f>
        <v>-1.2769732714484838E-2</v>
      </c>
      <c r="G28" s="33">
        <f>H4+G25</f>
        <v>2.7163073701280899E-3</v>
      </c>
      <c r="H28" s="33">
        <f>SQRT(F28*F28+G28*G28)</f>
        <v>1.3055435623846355E-2</v>
      </c>
      <c r="I28" s="33">
        <f>I4+I25</f>
        <v>-6.2968519360958788E-3</v>
      </c>
    </row>
    <row r="30" spans="1:13">
      <c r="A30" s="30" t="s">
        <v>248</v>
      </c>
      <c r="B30" s="30" t="s">
        <v>249</v>
      </c>
      <c r="C30" s="30" t="s">
        <v>250</v>
      </c>
      <c r="D30" s="30" t="s">
        <v>251</v>
      </c>
      <c r="E30" s="33" t="s">
        <v>252</v>
      </c>
      <c r="F30" s="30" t="s">
        <v>253</v>
      </c>
      <c r="G30" s="30" t="s">
        <v>254</v>
      </c>
      <c r="H30" s="33" t="s">
        <v>255</v>
      </c>
      <c r="I30" s="30" t="s">
        <v>256</v>
      </c>
      <c r="J30" s="30" t="s">
        <v>257</v>
      </c>
      <c r="K30" s="33" t="s">
        <v>258</v>
      </c>
    </row>
    <row r="31" spans="1:13">
      <c r="A31" s="34">
        <f>A14+D21/(1+D7)</f>
        <v>12.392446472058289</v>
      </c>
      <c r="B31" s="34">
        <f>C14+F21/(1+D7)</f>
        <v>-3.0792809536129577</v>
      </c>
      <c r="C31" s="34">
        <f>D14+G21/(1+D7)</f>
        <v>1.1327084104968863E-3</v>
      </c>
      <c r="D31" s="34">
        <f>F14+I21/(1+D7)</f>
        <v>-1.0990079879545266E-4</v>
      </c>
      <c r="E31" s="38">
        <f>C31-A31-H11*D31+F11*B31</f>
        <v>0</v>
      </c>
      <c r="F31" s="34">
        <f>A14+D21</f>
        <v>12.392446472058289</v>
      </c>
      <c r="G31" s="34">
        <f>D14+G21</f>
        <v>1.1327084104968863E-3</v>
      </c>
      <c r="H31" s="38">
        <f>G31-H11*I28*J11-F31+F11*E28*J11</f>
        <v>0</v>
      </c>
      <c r="I31" s="34">
        <f>B14+E21</f>
        <v>-3.0169943326145017</v>
      </c>
      <c r="J31" s="34">
        <f>E14+H21</f>
        <v>-1.9114439904919071E-2</v>
      </c>
      <c r="K31" s="38">
        <f>J31+G11*I28*J11-I31-E11*E28*J11</f>
        <v>0</v>
      </c>
    </row>
    <row r="32" spans="1:13">
      <c r="E32" s="41" t="str">
        <f>IF(E31*I14&lt;0,"REVERSE","FORWARD")</f>
        <v>FORWARD</v>
      </c>
    </row>
    <row r="34" spans="1:12">
      <c r="A34" s="33" t="s">
        <v>259</v>
      </c>
      <c r="B34" s="33" t="s">
        <v>260</v>
      </c>
      <c r="C34" s="33" t="s">
        <v>261</v>
      </c>
      <c r="D34" s="33"/>
      <c r="E34" s="33" t="s">
        <v>260</v>
      </c>
      <c r="F34" s="33" t="s">
        <v>261</v>
      </c>
      <c r="H34" s="30" t="s">
        <v>262</v>
      </c>
      <c r="I34" s="30" t="s">
        <v>263</v>
      </c>
      <c r="J34" s="30" t="s">
        <v>264</v>
      </c>
    </row>
    <row r="35" spans="1:12">
      <c r="A35" s="33" t="s">
        <v>265</v>
      </c>
      <c r="B35" s="33" t="s">
        <v>265</v>
      </c>
      <c r="C35" s="33" t="s">
        <v>265</v>
      </c>
      <c r="D35" s="33"/>
      <c r="E35" s="33" t="s">
        <v>266</v>
      </c>
      <c r="F35" s="33" t="s">
        <v>266</v>
      </c>
      <c r="H35" s="30" t="s">
        <v>265</v>
      </c>
      <c r="I35" s="30" t="s">
        <v>265</v>
      </c>
      <c r="J35" s="30" t="s">
        <v>265</v>
      </c>
    </row>
    <row r="36" spans="1:12">
      <c r="A36" s="35">
        <f>B21*E31</f>
        <v>0</v>
      </c>
      <c r="B36" s="35">
        <f>0.5*(1-D7)*(B21*(I14-E31)+C21*L14)</f>
        <v>170421.53919847347</v>
      </c>
      <c r="C36" s="35">
        <f>A36+B36</f>
        <v>170421.53919847347</v>
      </c>
      <c r="D36" s="35"/>
      <c r="E36" s="35">
        <f>0.5*(B21*(I14-E31)+C21*L14)/(1+D7)</f>
        <v>170421.53919847347</v>
      </c>
      <c r="F36" s="35">
        <f>0.5*(B21*(I14+E31)+C21*L14)/(1+D7)</f>
        <v>170421.53919847347</v>
      </c>
      <c r="G36" s="43"/>
      <c r="H36" s="43">
        <f>0.5*B21*(I14+H31)</f>
        <v>2737.0686497151028</v>
      </c>
      <c r="I36" s="43">
        <f>0.5*C21*(L14+K31)</f>
        <v>167684.47054875837</v>
      </c>
      <c r="J36" s="43">
        <f>H36+I36</f>
        <v>170421.53919847347</v>
      </c>
      <c r="L36" s="43"/>
    </row>
    <row r="37" spans="1:12">
      <c r="A37" s="44" t="s">
        <v>267</v>
      </c>
      <c r="B37" s="44" t="s">
        <v>267</v>
      </c>
      <c r="C37" s="44" t="s">
        <v>267</v>
      </c>
      <c r="D37" s="33"/>
      <c r="E37" s="44" t="s">
        <v>267</v>
      </c>
      <c r="F37" s="44" t="s">
        <v>267</v>
      </c>
      <c r="H37" s="45" t="s">
        <v>267</v>
      </c>
      <c r="I37" s="45" t="s">
        <v>267</v>
      </c>
      <c r="J37" s="45" t="s">
        <v>267</v>
      </c>
    </row>
    <row r="39" spans="1:12">
      <c r="E39" s="44"/>
      <c r="F39" s="46"/>
      <c r="G39" s="46"/>
      <c r="H39" s="46"/>
      <c r="I39" s="46"/>
      <c r="J39" s="46"/>
      <c r="K39" s="46"/>
    </row>
    <row r="40" spans="1:12">
      <c r="A40" s="34"/>
      <c r="B40" s="34"/>
      <c r="C40" s="34"/>
      <c r="D40" s="34"/>
      <c r="E40" s="47"/>
    </row>
    <row r="42" spans="1:12">
      <c r="F42" s="46"/>
      <c r="G42" s="46"/>
      <c r="H42" s="46"/>
      <c r="I42" s="46"/>
      <c r="J42" s="46"/>
    </row>
  </sheetData>
  <pageMargins left="0.25" right="0.25" top="0.75" bottom="0.75" header="0.3" footer="0.3"/>
  <pageSetup orientation="landscape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DAC93-CA09-4FB2-B2A0-49274A70004A}">
  <dimension ref="A1:T118"/>
  <sheetViews>
    <sheetView tabSelected="1" zoomScale="75" zoomScaleNormal="75" workbookViewId="0">
      <selection activeCell="B24" sqref="B24"/>
    </sheetView>
  </sheetViews>
  <sheetFormatPr defaultRowHeight="14.5"/>
  <cols>
    <col min="1" max="1" width="10.453125" customWidth="1"/>
    <col min="2" max="3" width="9.1796875" style="2" customWidth="1"/>
    <col min="5" max="5" width="56.1796875" customWidth="1"/>
    <col min="8" max="8" width="11.7265625" customWidth="1"/>
    <col min="9" max="9" width="17.08984375" customWidth="1"/>
    <col min="10" max="10" width="13.36328125" customWidth="1"/>
  </cols>
  <sheetData>
    <row r="1" spans="1:20">
      <c r="A1" t="s">
        <v>2</v>
      </c>
      <c r="G1" t="s">
        <v>167</v>
      </c>
    </row>
    <row r="2" spans="1:20">
      <c r="A2" s="3" t="s">
        <v>3</v>
      </c>
    </row>
    <row r="3" spans="1:20">
      <c r="L3" t="s">
        <v>175</v>
      </c>
      <c r="M3" t="s">
        <v>176</v>
      </c>
    </row>
    <row r="4" spans="1:20">
      <c r="I4" t="s">
        <v>168</v>
      </c>
      <c r="J4" t="s">
        <v>169</v>
      </c>
      <c r="K4" t="s">
        <v>171</v>
      </c>
      <c r="L4" t="s">
        <v>171</v>
      </c>
      <c r="M4" t="s">
        <v>171</v>
      </c>
    </row>
    <row r="5" spans="1:20">
      <c r="B5" s="49" t="s">
        <v>1</v>
      </c>
      <c r="C5" s="49"/>
      <c r="E5" s="4" t="s">
        <v>4</v>
      </c>
      <c r="G5" s="10" t="s">
        <v>63</v>
      </c>
      <c r="H5" t="s">
        <v>55</v>
      </c>
      <c r="I5" s="28">
        <f>-(58.6 - 20.11)*15/22</f>
        <v>-26.243181818181821</v>
      </c>
      <c r="J5" s="25">
        <f>B34</f>
        <v>-29.630158830229867</v>
      </c>
      <c r="K5" s="19">
        <f>(I5-J5)</f>
        <v>3.386977012048046</v>
      </c>
      <c r="L5" s="27">
        <f>K5</f>
        <v>3.386977012048046</v>
      </c>
      <c r="M5" s="26">
        <f>L5^2</f>
        <v>11.471613280141909</v>
      </c>
      <c r="O5">
        <f>RADIANS(360)</f>
        <v>6.2831853071795862</v>
      </c>
      <c r="Q5" t="s">
        <v>172</v>
      </c>
      <c r="R5">
        <f>53.3/RADIANS(186.8)</f>
        <v>16.348313961709248</v>
      </c>
      <c r="S5" t="s">
        <v>174</v>
      </c>
      <c r="T5">
        <f>R5*PI()/180</f>
        <v>0.28533190578158457</v>
      </c>
    </row>
    <row r="6" spans="1:20">
      <c r="B6" t="s">
        <v>5</v>
      </c>
      <c r="C6" t="s">
        <v>6</v>
      </c>
      <c r="E6" s="5" t="s">
        <v>7</v>
      </c>
      <c r="G6" s="10" t="s">
        <v>65</v>
      </c>
      <c r="H6" t="s">
        <v>55</v>
      </c>
      <c r="I6" s="28">
        <f>10.69*15/22</f>
        <v>7.2886363636363631</v>
      </c>
      <c r="J6" s="25">
        <f>B35</f>
        <v>9.4696962425072879</v>
      </c>
      <c r="K6" s="19">
        <f t="shared" ref="K6:K7" si="0">(I6-J6)</f>
        <v>-2.1810598788709248</v>
      </c>
      <c r="L6" s="27">
        <f>K6</f>
        <v>-2.1810598788709248</v>
      </c>
      <c r="M6" s="26">
        <f t="shared" ref="M6:M7" si="1">L6^2</f>
        <v>4.7570221952204532</v>
      </c>
      <c r="Q6" t="s">
        <v>173</v>
      </c>
      <c r="R6">
        <f>43.3/RADIANS(121.3)</f>
        <v>20.452656660481981</v>
      </c>
      <c r="S6" t="s">
        <v>174</v>
      </c>
    </row>
    <row r="7" spans="1:20">
      <c r="B7" s="21"/>
      <c r="C7" s="21"/>
      <c r="E7" s="6" t="s">
        <v>8</v>
      </c>
      <c r="G7" s="12" t="s">
        <v>67</v>
      </c>
      <c r="H7" t="s">
        <v>170</v>
      </c>
      <c r="I7" s="28">
        <v>-102.75</v>
      </c>
      <c r="J7" s="25">
        <f>B36</f>
        <v>-100.53985250429203</v>
      </c>
      <c r="K7" s="19">
        <f t="shared" si="0"/>
        <v>-2.2101474957079716</v>
      </c>
      <c r="L7" s="27">
        <f>K7*T5</f>
        <v>-0.63062559700875209</v>
      </c>
      <c r="M7" s="26">
        <f t="shared" si="1"/>
        <v>0.397688643602645</v>
      </c>
    </row>
    <row r="8" spans="1:20">
      <c r="A8" t="s">
        <v>164</v>
      </c>
      <c r="B8" s="2" t="s">
        <v>163</v>
      </c>
      <c r="C8" s="21"/>
      <c r="G8" t="s">
        <v>69</v>
      </c>
      <c r="H8" t="s">
        <v>35</v>
      </c>
      <c r="I8" s="23">
        <f>DEGREES(ATAN(I6/I5))</f>
        <v>-15.521807710564985</v>
      </c>
      <c r="J8" s="23">
        <f>DEGREES(ATAN(J6/J5))</f>
        <v>-17.723699872162509</v>
      </c>
    </row>
    <row r="9" spans="1:20">
      <c r="A9" t="s">
        <v>9</v>
      </c>
      <c r="B9" s="2" t="s">
        <v>165</v>
      </c>
      <c r="C9" s="2" t="s">
        <v>166</v>
      </c>
      <c r="G9" t="s">
        <v>71</v>
      </c>
      <c r="H9" t="s">
        <v>55</v>
      </c>
      <c r="I9" s="24">
        <f>SQRT(I5^2 + I6^2)</f>
        <v>27.236534507596065</v>
      </c>
      <c r="J9" s="24">
        <f>SQRT(J5^2 + J6^2)</f>
        <v>31.106614396780721</v>
      </c>
      <c r="L9" t="s">
        <v>177</v>
      </c>
      <c r="M9">
        <f>SUM(M5:M7)</f>
        <v>16.626324118965009</v>
      </c>
    </row>
    <row r="10" spans="1:20">
      <c r="A10" t="s">
        <v>10</v>
      </c>
      <c r="B10" s="2">
        <f>111*32.2</f>
        <v>3574.2000000000003</v>
      </c>
      <c r="C10" s="2">
        <v>10000000</v>
      </c>
      <c r="D10" t="s">
        <v>11</v>
      </c>
      <c r="E10" t="s">
        <v>12</v>
      </c>
      <c r="L10" t="s">
        <v>178</v>
      </c>
      <c r="M10" s="29">
        <f>SQRT(M9)</f>
        <v>4.0775389782275546</v>
      </c>
    </row>
    <row r="11" spans="1:20">
      <c r="A11" t="s">
        <v>13</v>
      </c>
      <c r="B11" s="2">
        <f>2336.3*12</f>
        <v>28035.600000000002</v>
      </c>
      <c r="C11" s="7">
        <f>C10*C12^2/(12*32.2)</f>
        <v>64699792.960662521</v>
      </c>
      <c r="D11" t="s">
        <v>14</v>
      </c>
      <c r="E11" t="s">
        <v>15</v>
      </c>
    </row>
    <row r="12" spans="1:20">
      <c r="A12" t="s">
        <v>16</v>
      </c>
      <c r="B12" s="7">
        <f>SQRT(B11/B10*32.2)*12</f>
        <v>190.71053486398728</v>
      </c>
      <c r="C12" s="7">
        <f>C13*C16</f>
        <v>50</v>
      </c>
      <c r="D12" t="s">
        <v>17</v>
      </c>
      <c r="E12" t="s">
        <v>18</v>
      </c>
    </row>
    <row r="13" spans="1:20">
      <c r="A13" t="s">
        <v>19</v>
      </c>
      <c r="B13" s="1">
        <f>B12/B16</f>
        <v>1.7823414473269839</v>
      </c>
      <c r="C13" s="2">
        <v>0.5</v>
      </c>
      <c r="D13" s="2">
        <f>SQRT(0.9)/2</f>
        <v>0.47434164902525688</v>
      </c>
      <c r="E13" t="s">
        <v>20</v>
      </c>
    </row>
    <row r="14" spans="1:20">
      <c r="A14" t="s">
        <v>21</v>
      </c>
      <c r="B14" s="2">
        <v>190</v>
      </c>
      <c r="C14" s="2">
        <v>100</v>
      </c>
      <c r="D14" t="s">
        <v>17</v>
      </c>
      <c r="E14" t="s">
        <v>22</v>
      </c>
    </row>
    <row r="15" spans="1:20">
      <c r="A15" t="s">
        <v>23</v>
      </c>
      <c r="B15" s="2">
        <v>72</v>
      </c>
      <c r="C15" s="2">
        <v>100</v>
      </c>
      <c r="D15" t="s">
        <v>17</v>
      </c>
      <c r="E15" t="s">
        <v>24</v>
      </c>
    </row>
    <row r="16" spans="1:20">
      <c r="A16" t="s">
        <v>25</v>
      </c>
      <c r="B16" s="2">
        <v>107</v>
      </c>
      <c r="C16" s="2">
        <v>100</v>
      </c>
      <c r="D16" t="s">
        <v>17</v>
      </c>
      <c r="E16" t="s">
        <v>26</v>
      </c>
    </row>
    <row r="17" spans="1:5">
      <c r="A17" t="s">
        <v>27</v>
      </c>
      <c r="B17" s="2">
        <v>40</v>
      </c>
      <c r="C17" s="2">
        <v>0</v>
      </c>
      <c r="D17" t="s">
        <v>17</v>
      </c>
      <c r="E17" t="s">
        <v>28</v>
      </c>
    </row>
    <row r="18" spans="1:5">
      <c r="A18" t="s">
        <v>29</v>
      </c>
      <c r="B18" s="15">
        <v>0.55000000000000004</v>
      </c>
      <c r="C18" s="15">
        <v>0.5</v>
      </c>
      <c r="E18" t="s">
        <v>30</v>
      </c>
    </row>
    <row r="19" spans="1:5">
      <c r="A19" t="s">
        <v>31</v>
      </c>
      <c r="B19" s="7">
        <f>B17+B16*(1-B18)</f>
        <v>88.15</v>
      </c>
      <c r="C19" s="7">
        <f>C17+C16*(1-C18)</f>
        <v>50</v>
      </c>
      <c r="D19" t="s">
        <v>17</v>
      </c>
      <c r="E19" t="s">
        <v>32</v>
      </c>
    </row>
    <row r="20" spans="1:5">
      <c r="B20" s="49" t="s">
        <v>33</v>
      </c>
      <c r="C20" s="49"/>
    </row>
    <row r="21" spans="1:5">
      <c r="A21" t="s">
        <v>34</v>
      </c>
      <c r="B21" s="28">
        <v>-147</v>
      </c>
      <c r="D21" t="s">
        <v>35</v>
      </c>
      <c r="E21" t="s">
        <v>36</v>
      </c>
    </row>
    <row r="22" spans="1:5">
      <c r="A22" t="s">
        <v>37</v>
      </c>
      <c r="B22" s="2">
        <v>0</v>
      </c>
      <c r="C22"/>
      <c r="E22" t="s">
        <v>38</v>
      </c>
    </row>
    <row r="23" spans="1:5">
      <c r="A23" t="s">
        <v>39</v>
      </c>
      <c r="B23" s="28">
        <v>-0.81779999999999997</v>
      </c>
      <c r="C23" t="s">
        <v>40</v>
      </c>
      <c r="E23" t="s">
        <v>41</v>
      </c>
    </row>
    <row r="24" spans="1:5">
      <c r="A24" t="s">
        <v>42</v>
      </c>
      <c r="B24" s="1">
        <f>B61/B62</f>
        <v>-0.99937087987227835</v>
      </c>
      <c r="C24" s="8" t="str">
        <f>IF(ABS(B24)&gt;ABS(B23),"YES","NO")</f>
        <v>YES</v>
      </c>
      <c r="E24" t="s">
        <v>43</v>
      </c>
    </row>
    <row r="25" spans="1:5">
      <c r="A25" t="s">
        <v>44</v>
      </c>
      <c r="B25" s="2">
        <v>0</v>
      </c>
      <c r="C25" s="2">
        <v>180</v>
      </c>
      <c r="D25" t="s">
        <v>35</v>
      </c>
      <c r="E25" t="s">
        <v>45</v>
      </c>
    </row>
    <row r="26" spans="1:5">
      <c r="A26" t="s">
        <v>46</v>
      </c>
      <c r="B26" s="28">
        <f>4.14*12*COS(RADIANS(29))</f>
        <v>43.451107050685174</v>
      </c>
      <c r="C26" s="2">
        <v>50</v>
      </c>
      <c r="D26" t="s">
        <v>17</v>
      </c>
      <c r="E26" t="s">
        <v>47</v>
      </c>
    </row>
    <row r="27" spans="1:5">
      <c r="A27" t="s">
        <v>48</v>
      </c>
      <c r="B27" s="28">
        <f>-4.14*12*SIN(RADIANS(29))</f>
        <v>-24.08534193383802</v>
      </c>
      <c r="C27" s="2">
        <v>-50</v>
      </c>
      <c r="D27" t="s">
        <v>17</v>
      </c>
      <c r="E27" t="s">
        <v>49</v>
      </c>
    </row>
    <row r="28" spans="1:5">
      <c r="A28" t="s">
        <v>50</v>
      </c>
      <c r="B28" s="1">
        <f>COS(RADIANS(B25 - B21))*B26 - SIN(RADIANS(B25 - B21))*B27</f>
        <v>-23.323347239203034</v>
      </c>
      <c r="C28" s="1">
        <f>COS(RADIANS(C25 - B21))*C26 - SIN(RADIANS(C25 - B21))*C27</f>
        <v>14.701576646519854</v>
      </c>
      <c r="D28" t="s">
        <v>17</v>
      </c>
      <c r="E28" t="s">
        <v>51</v>
      </c>
    </row>
    <row r="29" spans="1:5">
      <c r="A29" t="s">
        <v>52</v>
      </c>
      <c r="B29" s="1">
        <f>SIN(RADIANS(B25 - B21))*B26 + COS(RADIANS(B25 - B21))*B27</f>
        <v>43.864836413231487</v>
      </c>
      <c r="C29" s="1">
        <f>SIN(RADIANS(C25 - B21))*C26 + COS(RADIANS(C25 - B21))*C27</f>
        <v>-69.165480148022553</v>
      </c>
      <c r="D29" t="s">
        <v>17</v>
      </c>
      <c r="E29" t="s">
        <v>53</v>
      </c>
    </row>
    <row r="30" spans="1:5">
      <c r="A30" t="s">
        <v>54</v>
      </c>
      <c r="B30" s="28">
        <f>58.6*15/22</f>
        <v>39.954545454545453</v>
      </c>
      <c r="C30" s="2">
        <v>0</v>
      </c>
      <c r="D30" t="s">
        <v>55</v>
      </c>
      <c r="E30" t="s">
        <v>56</v>
      </c>
    </row>
    <row r="31" spans="1:5">
      <c r="A31" t="s">
        <v>57</v>
      </c>
      <c r="B31" s="2">
        <v>0</v>
      </c>
      <c r="C31" s="2">
        <v>0</v>
      </c>
      <c r="D31" t="s">
        <v>55</v>
      </c>
      <c r="E31" t="s">
        <v>58</v>
      </c>
    </row>
    <row r="32" spans="1:5">
      <c r="A32" t="s">
        <v>59</v>
      </c>
      <c r="B32" s="2">
        <v>0</v>
      </c>
      <c r="C32" s="2">
        <v>0</v>
      </c>
      <c r="D32" t="s">
        <v>60</v>
      </c>
      <c r="E32" t="s">
        <v>61</v>
      </c>
    </row>
    <row r="33" spans="1:5">
      <c r="B33" s="49" t="s">
        <v>62</v>
      </c>
      <c r="C33" s="49"/>
    </row>
    <row r="34" spans="1:5">
      <c r="A34" s="10" t="s">
        <v>63</v>
      </c>
      <c r="B34" s="11">
        <f>COS(RADIANS(B25 - B21))*B64 + SIN(RADIANS(B25 - B21))*B65</f>
        <v>-29.630158830229867</v>
      </c>
      <c r="C34" s="11">
        <f>COS(RADIANS(C25 - B21))*C64 + SIN(RADIANS(C25 - B21))*C65</f>
        <v>-1.0590411369100758E-2</v>
      </c>
      <c r="D34" t="s">
        <v>55</v>
      </c>
      <c r="E34" t="s">
        <v>64</v>
      </c>
    </row>
    <row r="35" spans="1:5">
      <c r="A35" s="10" t="s">
        <v>65</v>
      </c>
      <c r="B35" s="11">
        <f>-SIN(RADIANS(B25 - B21))*B64 + COS(RADIANS(B25 - B21))*B65</f>
        <v>9.4696962425072879</v>
      </c>
      <c r="C35" s="11">
        <f>-SIN(RADIANS(C25 - B21))*C64 + COS(RADIANS(C25 - B21))*C65</f>
        <v>3.3846588309969592E-3</v>
      </c>
      <c r="D35" t="s">
        <v>55</v>
      </c>
      <c r="E35" t="s">
        <v>66</v>
      </c>
    </row>
    <row r="36" spans="1:5">
      <c r="A36" s="12" t="s">
        <v>67</v>
      </c>
      <c r="B36" s="11">
        <f>DEGREES((-B29*C61 + B28*C62)/B11/32.2*22/15)</f>
        <v>-100.53985250429203</v>
      </c>
      <c r="C36" s="11">
        <f>DEGREES((C29*C61 - C28*C62)/C11/32.2*22/15)</f>
        <v>-0.14532644144445805</v>
      </c>
      <c r="D36" t="s">
        <v>60</v>
      </c>
      <c r="E36" t="s">
        <v>68</v>
      </c>
    </row>
    <row r="37" spans="1:5">
      <c r="A37" t="s">
        <v>69</v>
      </c>
      <c r="B37" s="13">
        <f>DEGREES(ATAN(B35/B34))</f>
        <v>-17.723699872162509</v>
      </c>
      <c r="C37" s="13">
        <f>DEGREES(ATAN(C35/C34))</f>
        <v>-17.723699872162531</v>
      </c>
      <c r="D37" t="s">
        <v>35</v>
      </c>
      <c r="E37" t="s">
        <v>70</v>
      </c>
    </row>
    <row r="38" spans="1:5">
      <c r="A38" t="s">
        <v>71</v>
      </c>
      <c r="B38" s="22">
        <f>SQRT(B34^2 + B35^2)</f>
        <v>31.106614396780721</v>
      </c>
      <c r="C38" s="22">
        <f>SQRT(C34^2 + C35^2)</f>
        <v>1.1118126117697366E-2</v>
      </c>
      <c r="D38" t="s">
        <v>55</v>
      </c>
      <c r="E38" t="s">
        <v>72</v>
      </c>
    </row>
    <row r="39" spans="1:5">
      <c r="A39" t="s">
        <v>73</v>
      </c>
      <c r="B39" s="11">
        <f>SQRT(B68^2 + B69^2)</f>
        <v>14.009571945413011</v>
      </c>
      <c r="C39" s="11">
        <f>SQRT(C68^2 + C69^2)</f>
        <v>1.1118126117697368E-2</v>
      </c>
      <c r="D39" t="s">
        <v>55</v>
      </c>
      <c r="E39" t="s">
        <v>74</v>
      </c>
    </row>
    <row r="40" spans="1:5">
      <c r="A40" t="s">
        <v>162</v>
      </c>
      <c r="B40" s="11">
        <f>IF(B68&lt;0,IF(B69&gt;0,DEGREES(ATAN(B69/B68))+180,DEGREES(ATAN(B69/B68))-180),DEGREES(ATAN(B69/B68)))</f>
        <v>42.527556485657662</v>
      </c>
      <c r="C40" s="11">
        <f>IF(C68&lt;0,IF(C69&gt;0,DEGREES(ATAN(C69/C68))+180,DEGREES(ATAN(C69/C68))-180),DEGREES(ATAN(C69/C68)))</f>
        <v>-17.723699872162509</v>
      </c>
      <c r="D40" t="s">
        <v>35</v>
      </c>
      <c r="E40" t="s">
        <v>75</v>
      </c>
    </row>
    <row r="41" spans="1:5">
      <c r="A41" t="s">
        <v>76</v>
      </c>
      <c r="B41" s="11">
        <f>B32+B36</f>
        <v>-100.53985250429203</v>
      </c>
      <c r="C41" s="11">
        <f>C32+C36</f>
        <v>-0.14532644144445805</v>
      </c>
      <c r="D41" t="s">
        <v>60</v>
      </c>
      <c r="E41" t="s">
        <v>77</v>
      </c>
    </row>
    <row r="42" spans="1:5">
      <c r="A42" t="s">
        <v>78</v>
      </c>
      <c r="B42" s="11">
        <f>(1 - B22^2)*(C61/(1 + B22)*(B52 - B53) + C62/(1 + B22)*B55)/2*(22/15)^2/32.2</f>
        <v>119176.64581402073</v>
      </c>
      <c r="C42" s="14"/>
      <c r="D42" t="s">
        <v>79</v>
      </c>
      <c r="E42" t="s">
        <v>80</v>
      </c>
    </row>
    <row r="43" spans="1:5">
      <c r="A43" t="s">
        <v>81</v>
      </c>
      <c r="B43" s="1">
        <f>1 + (C61/B62)^2</f>
        <v>1.5811202561910569</v>
      </c>
      <c r="C43" s="11"/>
      <c r="E43" t="s">
        <v>82</v>
      </c>
    </row>
    <row r="44" spans="1:5">
      <c r="A44" t="s">
        <v>83</v>
      </c>
      <c r="B44" s="15">
        <v>0.5</v>
      </c>
      <c r="C44" s="15">
        <v>0.5</v>
      </c>
      <c r="D44" t="s">
        <v>84</v>
      </c>
      <c r="E44" t="s">
        <v>85</v>
      </c>
    </row>
    <row r="45" spans="1:5">
      <c r="A45" t="s">
        <v>86</v>
      </c>
      <c r="B45" s="16">
        <f>SQRT(2*B44*B42/B10*32.2)*15/22</f>
        <v>22.341003054248318</v>
      </c>
      <c r="C45" s="16">
        <f>SQRT(2*C44*B42/C10*32.2)*15/22</f>
        <v>0.42236905617256498</v>
      </c>
      <c r="D45" t="s">
        <v>55</v>
      </c>
      <c r="E45" t="s">
        <v>87</v>
      </c>
    </row>
    <row r="46" spans="1:5">
      <c r="B46" s="49" t="s">
        <v>88</v>
      </c>
      <c r="C46" s="49"/>
    </row>
    <row r="47" spans="1:5">
      <c r="A47" t="s">
        <v>89</v>
      </c>
      <c r="B47" s="1">
        <f>COS(RADIANS(B25 - B21))*B30 - SIN(RADIANS(B25 - B21))*B31</f>
        <v>-33.508701328364893</v>
      </c>
      <c r="C47" s="1">
        <f>COS(RADIANS(C25 - B21))*C30 - SIN(RADIANS(C25 - B21))*C31</f>
        <v>0</v>
      </c>
      <c r="D47" t="s">
        <v>55</v>
      </c>
      <c r="E47" t="s">
        <v>90</v>
      </c>
    </row>
    <row r="48" spans="1:5">
      <c r="A48" t="s">
        <v>91</v>
      </c>
      <c r="B48" s="1">
        <f>SIN(RADIANS(B25 - B21))*B30 + COS(RADIANS(B25 - B21))*B31</f>
        <v>21.76080508082768</v>
      </c>
      <c r="C48" s="1">
        <f>SIN(RADIANS(C25 - B21))*C30 + COS(RADIANS(C25 - B21))*C31</f>
        <v>0</v>
      </c>
      <c r="D48" t="s">
        <v>55</v>
      </c>
      <c r="E48" t="s">
        <v>92</v>
      </c>
    </row>
    <row r="49" spans="1:8">
      <c r="A49" t="s">
        <v>93</v>
      </c>
      <c r="B49" s="1">
        <f>COS(RADIANS(B25 - B21))*B30 + SIN(RADIANS(B25 - B21))*B31</f>
        <v>-33.508701328364893</v>
      </c>
      <c r="C49" s="1">
        <f>COS(RADIANS(C25 - B21))*C30 + SIN(RADIANS(C25 - B21))*C31</f>
        <v>0</v>
      </c>
      <c r="D49" t="s">
        <v>55</v>
      </c>
      <c r="E49" t="s">
        <v>94</v>
      </c>
    </row>
    <row r="50" spans="1:8">
      <c r="A50" t="s">
        <v>95</v>
      </c>
      <c r="B50" s="1">
        <f>-SIN(RADIANS(B25 - B21))*B30 + COS(RADIANS(B25 - B21))*B31</f>
        <v>-21.76080508082768</v>
      </c>
      <c r="C50" s="1">
        <f>-SIN(RADIANS(C25 - B21))*C30 + COS(RADIANS(C25 - B21))*C31</f>
        <v>0</v>
      </c>
      <c r="D50" t="s">
        <v>55</v>
      </c>
      <c r="E50" t="s">
        <v>96</v>
      </c>
    </row>
    <row r="51" spans="1:8">
      <c r="A51" t="s">
        <v>97</v>
      </c>
      <c r="B51" s="1">
        <f>B47 - B29*RADIANS(B32)/12*15/22</f>
        <v>-33.508701328364893</v>
      </c>
      <c r="C51" s="1">
        <f>C47 - C29*RADIANS(C32)/12*15/22</f>
        <v>0</v>
      </c>
      <c r="D51" t="s">
        <v>55</v>
      </c>
      <c r="E51" t="s">
        <v>98</v>
      </c>
    </row>
    <row r="52" spans="1:8">
      <c r="A52" t="s">
        <v>99</v>
      </c>
      <c r="B52" s="1">
        <f>C51-B51</f>
        <v>33.508701328364893</v>
      </c>
      <c r="C52" s="1"/>
      <c r="D52" t="s">
        <v>55</v>
      </c>
    </row>
    <row r="53" spans="1:8">
      <c r="A53" t="s">
        <v>100</v>
      </c>
      <c r="B53" s="1">
        <f>C47 + C64/(1 + B22) - B47 - B64/(1 + B22) - (C29*RADIANS(C32 + C36/(1 + B22)) - B29*RADIANS(B32 + B36/(1 + B22)))/12*15/22</f>
        <v>9.4259165936259137</v>
      </c>
      <c r="C53" s="1"/>
      <c r="D53" t="s">
        <v>55</v>
      </c>
    </row>
    <row r="54" spans="1:8">
      <c r="A54" t="s">
        <v>101</v>
      </c>
      <c r="B54" s="1">
        <f>B48 + B28*RADIANS(B32)/12*15/22</f>
        <v>21.76080508082768</v>
      </c>
      <c r="C54" s="1">
        <f>C48 + C28*RADIANS(C32)/12*15/22</f>
        <v>0</v>
      </c>
      <c r="D54" t="s">
        <v>55</v>
      </c>
      <c r="E54" t="s">
        <v>102</v>
      </c>
    </row>
    <row r="55" spans="1:8">
      <c r="A55" t="s">
        <v>103</v>
      </c>
      <c r="B55" s="1">
        <f>C54-B54</f>
        <v>-21.76080508082768</v>
      </c>
      <c r="C55" s="1"/>
      <c r="D55" t="s">
        <v>55</v>
      </c>
    </row>
    <row r="56" spans="1:8">
      <c r="A56" t="s">
        <v>104</v>
      </c>
      <c r="B56" s="1">
        <f>1/B10 + 1/C10 + B29^2/B11/12/32.2 + C29^2/C11/12/32.2</f>
        <v>4.5769186668846251E-4</v>
      </c>
      <c r="C56" s="1"/>
      <c r="D56" t="s">
        <v>105</v>
      </c>
      <c r="E56">
        <f>B56*32.2</f>
        <v>1.4737678107368495E-2</v>
      </c>
      <c r="G56" s="2"/>
      <c r="H56" s="2"/>
    </row>
    <row r="57" spans="1:8">
      <c r="A57" t="s">
        <v>106</v>
      </c>
      <c r="B57" s="1">
        <f>1/B10 + 1/C10 + B28^2/B11/32.2/12 + C28^2/C11/32.2/12</f>
        <v>3.301066861474502E-4</v>
      </c>
      <c r="C57" s="1"/>
      <c r="D57" t="s">
        <v>105</v>
      </c>
      <c r="E57">
        <f t="shared" ref="E57:E58" si="2">B57*32.2</f>
        <v>1.0629435293947897E-2</v>
      </c>
      <c r="G57" s="7"/>
      <c r="H57" s="7"/>
    </row>
    <row r="58" spans="1:8">
      <c r="A58" t="s">
        <v>107</v>
      </c>
      <c r="B58" s="1">
        <f>(B28*B29/B11 + C28*C29/C11)/32.2/12</f>
        <v>-9.4481639395839178E-5</v>
      </c>
      <c r="C58" s="1"/>
      <c r="D58" t="s">
        <v>105</v>
      </c>
      <c r="E58">
        <f t="shared" si="2"/>
        <v>-3.042308788546022E-3</v>
      </c>
      <c r="G58" s="7"/>
      <c r="H58" s="7"/>
    </row>
    <row r="59" spans="1:8">
      <c r="A59" t="s">
        <v>108</v>
      </c>
      <c r="B59" s="1">
        <f>B56*B57 - B58^2</f>
        <v>1.4216036520624352E-7</v>
      </c>
      <c r="C59" s="1"/>
      <c r="D59" t="s">
        <v>109</v>
      </c>
      <c r="E59">
        <f>B59*32.2*32.2</f>
        <v>1.4739755306044156E-4</v>
      </c>
      <c r="G59" s="2"/>
      <c r="H59" s="2"/>
    </row>
    <row r="60" spans="1:8">
      <c r="B60" s="17" t="s">
        <v>110</v>
      </c>
      <c r="C60" s="18" t="s">
        <v>111</v>
      </c>
      <c r="G60" s="2"/>
      <c r="H60" s="2"/>
    </row>
    <row r="61" spans="1:8">
      <c r="A61" t="s">
        <v>112</v>
      </c>
      <c r="B61" s="11">
        <f>(1+B22)*(B57*B52 + B58*B55)/B59</f>
        <v>92272.152453959803</v>
      </c>
      <c r="C61" s="11">
        <f>IF(ABS(B23)&gt;ABS(B24),B61,C62*B23)</f>
        <v>70384.489981301362</v>
      </c>
      <c r="D61" t="s">
        <v>113</v>
      </c>
      <c r="E61" t="s">
        <v>114</v>
      </c>
      <c r="G61" s="2"/>
      <c r="H61" s="2"/>
    </row>
    <row r="62" spans="1:8">
      <c r="A62" t="s">
        <v>115</v>
      </c>
      <c r="B62" s="11">
        <f>(1+B22)*(B58*B52 + B56*B55)/B59</f>
        <v>-92330.239265879325</v>
      </c>
      <c r="C62" s="11">
        <f>IF(ABS(B23)&gt;ABS(B24),B62,(1 + B22)*B55/(B57 - B23*B58))</f>
        <v>-86065.651725729229</v>
      </c>
      <c r="D62" t="s">
        <v>113</v>
      </c>
      <c r="E62" t="s">
        <v>116</v>
      </c>
      <c r="G62" s="2"/>
      <c r="H62" s="2"/>
    </row>
    <row r="63" spans="1:8">
      <c r="B63" s="49" t="s">
        <v>117</v>
      </c>
      <c r="C63" s="49"/>
      <c r="G63" s="2"/>
      <c r="H63" s="2"/>
    </row>
    <row r="64" spans="1:8">
      <c r="A64" s="10" t="s">
        <v>118</v>
      </c>
      <c r="B64" s="1">
        <f>C61/B10</f>
        <v>19.6923759110574</v>
      </c>
      <c r="C64" s="1">
        <f>-C61/C10</f>
        <v>-7.0384489981301359E-3</v>
      </c>
      <c r="D64" t="s">
        <v>55</v>
      </c>
      <c r="E64" t="s">
        <v>119</v>
      </c>
      <c r="G64" s="2"/>
      <c r="H64" s="2"/>
    </row>
    <row r="65" spans="1:8">
      <c r="A65" s="10" t="s">
        <v>120</v>
      </c>
      <c r="B65" s="1">
        <f>C62/B10</f>
        <v>-24.079696638612617</v>
      </c>
      <c r="C65" s="1">
        <f>-C62/C10</f>
        <v>8.606565172572923E-3</v>
      </c>
      <c r="D65" t="s">
        <v>55</v>
      </c>
      <c r="E65" t="s">
        <v>121</v>
      </c>
      <c r="G65" s="7"/>
      <c r="H65" s="7"/>
    </row>
    <row r="66" spans="1:8">
      <c r="A66" t="s">
        <v>122</v>
      </c>
      <c r="B66" s="1">
        <f>B47 + B64</f>
        <v>-13.816325417307493</v>
      </c>
      <c r="C66" s="1">
        <f>C47+C64</f>
        <v>-7.0384489981301359E-3</v>
      </c>
      <c r="D66" t="s">
        <v>55</v>
      </c>
      <c r="E66" t="s">
        <v>123</v>
      </c>
    </row>
    <row r="67" spans="1:8">
      <c r="A67" t="s">
        <v>124</v>
      </c>
      <c r="B67" s="1">
        <f>B48 + B65</f>
        <v>-2.3188915577849372</v>
      </c>
      <c r="C67" s="1">
        <f>C48+C65</f>
        <v>8.606565172572923E-3</v>
      </c>
      <c r="D67" t="s">
        <v>55</v>
      </c>
      <c r="E67" t="s">
        <v>125</v>
      </c>
    </row>
    <row r="68" spans="1:8">
      <c r="A68" t="s">
        <v>126</v>
      </c>
      <c r="B68" s="1">
        <f>COS(RADIANS(B21))*B66 - SIN(RADIANS(B21))*B67</f>
        <v>10.324386624315588</v>
      </c>
      <c r="C68" s="1">
        <f>COS(RADIANS(B21))*C66 - SIN(RADIANS(B21))*C67</f>
        <v>1.0590411369100761E-2</v>
      </c>
      <c r="D68" t="s">
        <v>55</v>
      </c>
      <c r="E68" t="s">
        <v>127</v>
      </c>
    </row>
    <row r="69" spans="1:8">
      <c r="A69" t="s">
        <v>128</v>
      </c>
      <c r="B69" s="1">
        <f>SIN(RADIANS(B21))*B66 + COS(RADIANS(B21))*B67</f>
        <v>9.4696962425072897</v>
      </c>
      <c r="C69" s="1">
        <f>SIN(RADIANS(B21))*C66 + COS(RADIANS(B21))*C67</f>
        <v>-3.3846588309969562E-3</v>
      </c>
      <c r="D69" t="s">
        <v>55</v>
      </c>
      <c r="E69" t="s">
        <v>129</v>
      </c>
    </row>
    <row r="70" spans="1:8">
      <c r="A70" t="s">
        <v>130</v>
      </c>
      <c r="B70" s="11">
        <f>B10*(B30^2 + B31^2)/2*(22/15)^2/32.2</f>
        <v>190584.77999999997</v>
      </c>
      <c r="C70" s="11">
        <f>C10*(C30^2 + C31^2)/2*(22/15)^2/32.2</f>
        <v>0</v>
      </c>
      <c r="D70" t="s">
        <v>79</v>
      </c>
      <c r="E70" t="s">
        <v>131</v>
      </c>
    </row>
    <row r="71" spans="1:8">
      <c r="A71" t="s">
        <v>132</v>
      </c>
      <c r="B71" s="11">
        <f>0.5*B11/12*RADIANS(B32)^2</f>
        <v>0</v>
      </c>
      <c r="C71" s="11">
        <f>0.5*C11/12*RADIANS(C32)^2</f>
        <v>0</v>
      </c>
      <c r="D71" t="s">
        <v>79</v>
      </c>
      <c r="E71" t="s">
        <v>133</v>
      </c>
    </row>
    <row r="72" spans="1:8">
      <c r="A72" t="s">
        <v>134</v>
      </c>
      <c r="B72" s="11">
        <f>B10*B39^2/2*(22/15)^2/32.2</f>
        <v>23431.794959506919</v>
      </c>
      <c r="C72" s="11">
        <f>C10*C39^2/2*(22/15)^2/32.2</f>
        <v>41.289551780957744</v>
      </c>
      <c r="D72" t="s">
        <v>79</v>
      </c>
      <c r="E72" t="s">
        <v>135</v>
      </c>
    </row>
    <row r="73" spans="1:8">
      <c r="A73" t="s">
        <v>136</v>
      </c>
      <c r="B73" s="11">
        <f>0.5*B11/12*RADIANS(B41)^2</f>
        <v>3596.9121928316113</v>
      </c>
      <c r="C73" s="11">
        <f>0.5*C11/12*RADIANS(C41)^2</f>
        <v>17.343456801896782</v>
      </c>
      <c r="D73" t="s">
        <v>79</v>
      </c>
      <c r="E73" t="s">
        <v>137</v>
      </c>
    </row>
    <row r="74" spans="1:8">
      <c r="A74" t="s">
        <v>138</v>
      </c>
      <c r="B74" s="11">
        <f>B70+C70+B71+C71-B72-C72-B73-C73</f>
        <v>163497.43983907858</v>
      </c>
      <c r="D74" t="s">
        <v>79</v>
      </c>
      <c r="E74" t="s">
        <v>139</v>
      </c>
    </row>
    <row r="75" spans="1:8">
      <c r="A75" t="s">
        <v>140</v>
      </c>
      <c r="B75" s="11">
        <f>ABS(C61*B53)*(22/15)^2/32.2</f>
        <v>44320.794025057869</v>
      </c>
      <c r="C75" s="11"/>
      <c r="D75" t="s">
        <v>79</v>
      </c>
      <c r="E75" t="s">
        <v>141</v>
      </c>
    </row>
    <row r="76" spans="1:8">
      <c r="A76" t="s">
        <v>142</v>
      </c>
      <c r="B76" s="11">
        <f>(C61/(1 + B22)*(B52 - B53) + C62/(1 + B22)*B55)/2*(22/15)^2/32.2</f>
        <v>119176.64581402073</v>
      </c>
      <c r="C76" s="14"/>
      <c r="D76" t="s">
        <v>79</v>
      </c>
      <c r="E76" s="19" t="s">
        <v>143</v>
      </c>
    </row>
    <row r="77" spans="1:8">
      <c r="A77" t="s">
        <v>144</v>
      </c>
      <c r="B77" s="11">
        <f>0.5*(C61*(B52 + B53) + C62*B55)/(1 + B22) *(22/15)^2/32.2</f>
        <v>163497.43983907858</v>
      </c>
      <c r="D77" t="s">
        <v>79</v>
      </c>
      <c r="E77" t="s">
        <v>145</v>
      </c>
    </row>
    <row r="79" spans="1:8">
      <c r="A79" t="s">
        <v>146</v>
      </c>
    </row>
    <row r="80" spans="1:8">
      <c r="A80" s="9"/>
      <c r="B80" s="9"/>
      <c r="C80" s="9"/>
      <c r="D80" s="9"/>
    </row>
    <row r="81" spans="1:5">
      <c r="A81" s="9" t="s">
        <v>5</v>
      </c>
      <c r="B81" s="9"/>
      <c r="C81" s="9" t="s">
        <v>6</v>
      </c>
      <c r="D81" s="9"/>
    </row>
    <row r="82" spans="1:5">
      <c r="A82" s="9" t="s">
        <v>147</v>
      </c>
      <c r="B82" s="9" t="s">
        <v>148</v>
      </c>
      <c r="C82" s="9" t="s">
        <v>147</v>
      </c>
      <c r="D82" s="9" t="s">
        <v>148</v>
      </c>
      <c r="E82" s="3" t="s">
        <v>149</v>
      </c>
    </row>
    <row r="83" spans="1:5">
      <c r="A83" s="9">
        <f>-COS(RADIANS(B25))*B26 + SIN(RADIANS(B25))*B27</f>
        <v>-43.451107050685174</v>
      </c>
      <c r="B83" s="9">
        <f>-SIN(RADIANS(B25))*B26 - COS(RADIANS(B25))*B27</f>
        <v>24.08534193383802</v>
      </c>
      <c r="C83" s="9">
        <f>-COS(RADIANS(C25))*C26 + SIN(RADIANS(C25))*C27</f>
        <v>49.999999999999993</v>
      </c>
      <c r="D83" s="9">
        <f>-SIN(RADIANS(C25))*C26 - COS(RADIANS(C25))*C27</f>
        <v>-50.000000000000007</v>
      </c>
      <c r="E83" t="s">
        <v>0</v>
      </c>
    </row>
    <row r="84" spans="1:5">
      <c r="A84" s="9">
        <f>A83 + B19*COS(RADIANS(B25)) - B15/2*SIN(RADIANS(B25))</f>
        <v>44.698892949314832</v>
      </c>
      <c r="B84" s="9">
        <f>B83+B19*SIN(RADIANS(B25))+B15/2*COS(RADIANS(B25))</f>
        <v>60.085341933838023</v>
      </c>
      <c r="C84" s="9">
        <f>C83+C19*COS(RADIANS(C25))-C15/2*SIN(RADIANS(C25))</f>
        <v>-1.3231169632144102E-14</v>
      </c>
      <c r="D84" s="9">
        <f>D83+C19*SIN(RADIANS(C25))+C15/2*COS(RADIANS(C25))</f>
        <v>-100</v>
      </c>
      <c r="E84" t="s">
        <v>150</v>
      </c>
    </row>
    <row r="85" spans="1:5">
      <c r="A85" s="9">
        <f>A84+B15*SIN(RADIANS(B25))</f>
        <v>44.698892949314832</v>
      </c>
      <c r="B85" s="9">
        <f>B84-B15*COS(RADIANS(B25))</f>
        <v>-11.914658066161977</v>
      </c>
      <c r="C85" s="9">
        <f>C84+C15*SIN(RADIANS(C25))</f>
        <v>-9.7968508305790181E-16</v>
      </c>
      <c r="D85" s="9">
        <f>D84-C15*COS(RADIANS(C25))</f>
        <v>0</v>
      </c>
      <c r="E85" t="s">
        <v>151</v>
      </c>
    </row>
    <row r="86" spans="1:5">
      <c r="A86" s="9">
        <f>A85-B14*COS(RADIANS(B25))</f>
        <v>-145.30110705068518</v>
      </c>
      <c r="B86" s="9">
        <f>B85-B14*SIN(RADIANS(B25))</f>
        <v>-11.914658066161977</v>
      </c>
      <c r="C86" s="9">
        <f>C85-C14*COS(RADIANS(C25))</f>
        <v>100</v>
      </c>
      <c r="D86" s="9">
        <f>D85-C14*SIN(RADIANS(C25))</f>
        <v>-1.22514845490862E-14</v>
      </c>
      <c r="E86" t="s">
        <v>152</v>
      </c>
    </row>
    <row r="87" spans="1:5">
      <c r="A87" s="9">
        <f>A86-B15*SIN(RADIANS(B25))</f>
        <v>-145.30110705068518</v>
      </c>
      <c r="B87" s="9">
        <f>B86+B15*COS(RADIANS(B25))</f>
        <v>60.085341933838023</v>
      </c>
      <c r="C87" s="9">
        <f>C86-C15*SIN(RADIANS(C25))</f>
        <v>99.999999999999986</v>
      </c>
      <c r="D87" s="9">
        <f>D86+C15*COS(RADIANS(C25))</f>
        <v>-100.00000000000001</v>
      </c>
      <c r="E87" t="s">
        <v>153</v>
      </c>
    </row>
    <row r="88" spans="1:5">
      <c r="A88" s="9">
        <f>A84</f>
        <v>44.698892949314832</v>
      </c>
      <c r="B88" s="9">
        <f>B84</f>
        <v>60.085341933838023</v>
      </c>
      <c r="C88" s="9">
        <f>C84</f>
        <v>-1.3231169632144102E-14</v>
      </c>
      <c r="D88" s="9">
        <f>D84</f>
        <v>-100</v>
      </c>
      <c r="E88" t="s">
        <v>150</v>
      </c>
    </row>
    <row r="89" spans="1:5">
      <c r="A89" s="9">
        <f>A83+(B19-12)*COS(RADIANS(B25))</f>
        <v>32.698892949314832</v>
      </c>
      <c r="B89" s="9">
        <f>B83+(B19-12)*SIN(RADIANS(B25))</f>
        <v>24.08534193383802</v>
      </c>
      <c r="C89" s="9">
        <f>C83+(C19-12)*COS(RADIANS(C25))</f>
        <v>11.999999999999993</v>
      </c>
      <c r="D89" s="9">
        <f>D83+(C19-12)*SIN(RADIANS(C25))</f>
        <v>-50</v>
      </c>
      <c r="E89" t="s">
        <v>154</v>
      </c>
    </row>
    <row r="90" spans="1:5">
      <c r="A90" s="9">
        <f>A89-12*COS(RADIANS(B25))+6*SIN(RADIANS(B25))</f>
        <v>20.698892949314832</v>
      </c>
      <c r="B90" s="9">
        <f>B89-12*SIN(RADIANS(B25))-6*COS(RADIANS(B25))</f>
        <v>18.08534193383802</v>
      </c>
      <c r="C90" s="9">
        <f>C89-12*COS(RADIANS(C25))+6*SIN(RADIANS(C25))</f>
        <v>23.999999999999993</v>
      </c>
      <c r="D90" s="9">
        <f>D89-12*SIN(RADIANS(C25))-6*COS(RADIANS(C25))</f>
        <v>-44</v>
      </c>
      <c r="E90" t="s">
        <v>154</v>
      </c>
    </row>
    <row r="91" spans="1:5">
      <c r="A91" s="9">
        <f>A90-12*SIN(RADIANS(B25))</f>
        <v>20.698892949314832</v>
      </c>
      <c r="B91" s="9">
        <f>B90+12*COS(RADIANS(B25))</f>
        <v>30.08534193383802</v>
      </c>
      <c r="C91" s="9">
        <f>C90-12*SIN(RADIANS(C25))</f>
        <v>23.999999999999993</v>
      </c>
      <c r="D91" s="9">
        <f>D90+12*COS(RADIANS(C25))</f>
        <v>-56</v>
      </c>
      <c r="E91" t="s">
        <v>154</v>
      </c>
    </row>
    <row r="92" spans="1:5">
      <c r="A92" s="9">
        <f>A89</f>
        <v>32.698892949314832</v>
      </c>
      <c r="B92" s="9">
        <f>B89</f>
        <v>24.08534193383802</v>
      </c>
      <c r="C92" s="9">
        <f>C89</f>
        <v>11.999999999999993</v>
      </c>
      <c r="D92" s="9">
        <f>D89</f>
        <v>-50</v>
      </c>
      <c r="E92" t="s">
        <v>154</v>
      </c>
    </row>
    <row r="93" spans="1:5">
      <c r="A93" s="2">
        <v>3</v>
      </c>
      <c r="B93" s="9"/>
      <c r="C93" s="9"/>
      <c r="D93" s="9"/>
      <c r="E93" t="s">
        <v>155</v>
      </c>
    </row>
    <row r="94" spans="1:5">
      <c r="A94" s="9">
        <f>A83-B30*A93*COS(RADIANS(B25))</f>
        <v>-163.31474341432153</v>
      </c>
      <c r="B94" s="9">
        <f>B83-B30*A93*SIN(RADIANS(B25))</f>
        <v>24.08534193383802</v>
      </c>
      <c r="C94" s="9">
        <f>C83-C30*A93*COS(RADIANS(C25))</f>
        <v>49.999999999999993</v>
      </c>
      <c r="D94" s="9">
        <f>D83-C30*A93*SIN(RADIANS(C25))</f>
        <v>-50.000000000000007</v>
      </c>
      <c r="E94" t="s">
        <v>156</v>
      </c>
    </row>
    <row r="95" spans="1:5">
      <c r="A95" s="9">
        <f>A83</f>
        <v>-43.451107050685174</v>
      </c>
      <c r="B95" s="9">
        <f t="shared" ref="B95" si="3">B83</f>
        <v>24.08534193383802</v>
      </c>
      <c r="C95" s="9">
        <f>C83</f>
        <v>49.999999999999993</v>
      </c>
      <c r="D95" s="9">
        <f t="shared" ref="D95" si="4">D83</f>
        <v>-50.000000000000007</v>
      </c>
      <c r="E95" t="s">
        <v>156</v>
      </c>
    </row>
    <row r="96" spans="1:5">
      <c r="A96" s="9">
        <f>A83-B30*A93/5*COS(RADIANS(B25))-B30*A93/10*SIN(RADIANS(B25))</f>
        <v>-67.42383432341245</v>
      </c>
      <c r="B96" s="9">
        <f>B83-B30*A93/5*SIN(RADIANS(B25))+B30*A93/10*COS(RADIANS(B25))</f>
        <v>36.071705570201658</v>
      </c>
      <c r="C96" s="9">
        <f>C83-C30*A93/5*COS(RADIANS(C25))-C30*A93/10*SIN(RADIANS(C25))</f>
        <v>49.999999999999993</v>
      </c>
      <c r="D96" s="9">
        <f>D83-C30*A93/5*SIN(RADIANS(C25))+C30*A93/10*COS(RADIANS(C25))</f>
        <v>-50.000000000000007</v>
      </c>
      <c r="E96" t="s">
        <v>156</v>
      </c>
    </row>
    <row r="97" spans="1:5">
      <c r="A97" s="9">
        <f>A83</f>
        <v>-43.451107050685174</v>
      </c>
      <c r="B97" s="9">
        <f t="shared" ref="B97" si="5">B83</f>
        <v>24.08534193383802</v>
      </c>
      <c r="C97" s="9">
        <f>C83</f>
        <v>49.999999999999993</v>
      </c>
      <c r="D97" s="9">
        <f t="shared" ref="D97" si="6">D83</f>
        <v>-50.000000000000007</v>
      </c>
      <c r="E97" t="s">
        <v>156</v>
      </c>
    </row>
    <row r="98" spans="1:5">
      <c r="A98" s="9">
        <f>A83-B30*A93/5*COS(RADIANS(B25))+B30*A93/10*SIN(RADIANS(B25))</f>
        <v>-67.42383432341245</v>
      </c>
      <c r="B98" s="9">
        <f>B83-B30*A93/5*SIN(RADIANS(B25))-B30*A93/10*COS(RADIANS(B25))</f>
        <v>12.098978297474384</v>
      </c>
      <c r="C98" s="9">
        <f>C83-C30*A93/5*COS(RADIANS(C25))+C30*A93/10*SIN(RADIANS(C25))</f>
        <v>49.999999999999993</v>
      </c>
      <c r="D98" s="9">
        <f>D83-C30*A93/5*SIN(RADIANS(C25))-C30*A93/10*COS(RADIANS(C25))</f>
        <v>-50.000000000000007</v>
      </c>
      <c r="E98" t="s">
        <v>156</v>
      </c>
    </row>
    <row r="99" spans="1:5">
      <c r="A99" s="9">
        <f>-24*SIN(RADIANS(B21))</f>
        <v>13.071336840360654</v>
      </c>
      <c r="B99" s="9">
        <f>24*COS(RADIANS(B21))</f>
        <v>-20.128093630690174</v>
      </c>
      <c r="C99" s="9"/>
      <c r="D99" s="9"/>
      <c r="E99" t="s">
        <v>157</v>
      </c>
    </row>
    <row r="100" spans="1:5">
      <c r="A100" s="9">
        <v>0</v>
      </c>
      <c r="B100" s="9">
        <v>0</v>
      </c>
      <c r="C100" s="9"/>
      <c r="D100" s="9"/>
      <c r="E100" t="s">
        <v>158</v>
      </c>
    </row>
    <row r="101" spans="1:5">
      <c r="A101" s="9">
        <f>12*COS(RADIANS(B21))</f>
        <v>-10.064046815345087</v>
      </c>
      <c r="B101" s="9">
        <f>12*SIN(RADIANS(B21))</f>
        <v>-6.5356684201803272</v>
      </c>
      <c r="C101" s="9"/>
      <c r="D101" s="9"/>
      <c r="E101" t="s">
        <v>158</v>
      </c>
    </row>
    <row r="102" spans="1:5">
      <c r="A102" s="9"/>
      <c r="B102" s="9"/>
      <c r="C102" s="9"/>
      <c r="D102" s="9"/>
      <c r="E102" s="20" t="s">
        <v>159</v>
      </c>
    </row>
    <row r="103" spans="1:5">
      <c r="A103" s="2">
        <v>0.1</v>
      </c>
      <c r="B103" s="1">
        <f>B25+B41*A103</f>
        <v>-10.053985250429204</v>
      </c>
      <c r="C103" s="1">
        <f>C25+C41*A103</f>
        <v>179.98546735585555</v>
      </c>
      <c r="D103" s="9"/>
      <c r="E103" t="s">
        <v>160</v>
      </c>
    </row>
    <row r="104" spans="1:5">
      <c r="A104" s="9">
        <f>A83+B68*88/5*A103</f>
        <v>-25.280186591889738</v>
      </c>
      <c r="B104" s="9">
        <f>B83+B69*88/5*A103</f>
        <v>40.752007320650847</v>
      </c>
      <c r="C104" s="9">
        <f>C83+C68*88/5*A103</f>
        <v>50.01863912400961</v>
      </c>
      <c r="D104" s="9">
        <f>D83+C69*88/5*A103</f>
        <v>-50.005956999542562</v>
      </c>
      <c r="E104" t="s">
        <v>0</v>
      </c>
    </row>
    <row r="105" spans="1:5">
      <c r="A105" s="9">
        <f>A104+B19*COS(RADIANS(B103))-B15/2*SIN(RADIANS(B103))</f>
        <v>67.800891884243001</v>
      </c>
      <c r="B105" s="9">
        <f>B104+B19*SIN(RADIANS(B103))+B15/2*COS(RADIANS(B103))</f>
        <v>60.810305596427391</v>
      </c>
      <c r="C105" s="9">
        <f>C104+C19*COS(RADIANS(C103))-C15/2*SIN(RADIANS(C103))</f>
        <v>5.9586080413319958E-3</v>
      </c>
      <c r="D105" s="9">
        <f>D104+C19*SIN(RADIANS(C103))+C15/2*COS(RADIANS(C103))</f>
        <v>-99.993273266848689</v>
      </c>
      <c r="E105" t="s">
        <v>150</v>
      </c>
    </row>
    <row r="106" spans="1:5">
      <c r="A106" s="9">
        <f>A105+B15*SIN(RADIANS(B103))</f>
        <v>55.231419425460338</v>
      </c>
      <c r="B106" s="9">
        <f>B105-B15*COS(RADIANS(B103))</f>
        <v>-10.084040878506023</v>
      </c>
      <c r="C106" s="9">
        <f>C105+C15*SIN(RADIANS(C103))</f>
        <v>3.1322856703490304E-2</v>
      </c>
      <c r="D106" s="9">
        <f>D105-C15*COS(RADIANS(C103))</f>
        <v>6.7235164257084534E-3</v>
      </c>
      <c r="E106" t="s">
        <v>151</v>
      </c>
    </row>
    <row r="107" spans="1:5">
      <c r="A107" s="9">
        <f>A106-B14*COS(RADIANS(B103))</f>
        <v>-131.85088377228064</v>
      </c>
      <c r="B107" s="9">
        <f>B106-B14*SIN(RADIANS(B103))</f>
        <v>23.085400332170444</v>
      </c>
      <c r="C107" s="9">
        <f>C106-C14*COS(RADIANS(C103))</f>
        <v>100.03131963997789</v>
      </c>
      <c r="D107" s="9">
        <f>D106-C14*SIN(RADIANS(C103))</f>
        <v>-1.8640732236449856E-2</v>
      </c>
      <c r="E107" t="s">
        <v>152</v>
      </c>
    </row>
    <row r="108" spans="1:5">
      <c r="A108" s="9">
        <f>A107-B15*SIN(RADIANS(B103))</f>
        <v>-119.28141131349798</v>
      </c>
      <c r="B108" s="9">
        <f>B107+B15*COS(RADIANS(B103))</f>
        <v>93.979746807103851</v>
      </c>
      <c r="C108" s="9">
        <f>C107-C15*SIN(RADIANS(C103))</f>
        <v>100.00595539131574</v>
      </c>
      <c r="D108" s="9">
        <f>D107+C15*COS(RADIANS(C103))</f>
        <v>-100.01863751551085</v>
      </c>
      <c r="E108" t="s">
        <v>153</v>
      </c>
    </row>
    <row r="109" spans="1:5">
      <c r="A109" s="9">
        <f>A105</f>
        <v>67.800891884243001</v>
      </c>
      <c r="B109" s="9">
        <f>B105</f>
        <v>60.810305596427391</v>
      </c>
      <c r="C109" s="9">
        <f>C105</f>
        <v>5.9586080413319958E-3</v>
      </c>
      <c r="D109" s="9">
        <f>D105</f>
        <v>-99.993273266848689</v>
      </c>
      <c r="E109" t="s">
        <v>150</v>
      </c>
    </row>
    <row r="110" spans="1:5">
      <c r="A110" s="9">
        <f>A104+(B19-12)*COS(RADIANS(B103))</f>
        <v>49.700431242362761</v>
      </c>
      <c r="B110" s="9">
        <f>B104+(B19-12)*SIN(RADIANS(B103))</f>
        <v>27.458044435424462</v>
      </c>
      <c r="C110" s="9">
        <f>C104+(C19-12)*COS(RADIANS(C103))</f>
        <v>12.018640346365338</v>
      </c>
      <c r="D110" s="9">
        <f>D104+(C19-12)*SIN(RADIANS(C103))</f>
        <v>-49.996318585050943</v>
      </c>
      <c r="E110" t="s">
        <v>154</v>
      </c>
    </row>
    <row r="111" spans="1:5">
      <c r="A111" s="9">
        <f>A110-12*COS(RADIANS(B103))+6*SIN(RADIANS(B103))</f>
        <v>36.837250791641971</v>
      </c>
      <c r="B111" s="9">
        <f>B110-12*SIN(RADIANS(B103))-6*COS(RADIANS(B103))</f>
        <v>23.645094305643788</v>
      </c>
      <c r="C111" s="9">
        <f>C110-12*COS(RADIANS(C103))+6*SIN(RADIANS(C103))</f>
        <v>24.020161815277994</v>
      </c>
      <c r="D111" s="9">
        <f>D110-12*SIN(RADIANS(C103))-6*COS(RADIANS(C103))</f>
        <v>-43.99936248789394</v>
      </c>
      <c r="E111" t="s">
        <v>154</v>
      </c>
    </row>
    <row r="112" spans="1:5">
      <c r="A112" s="9">
        <f>A111-12*SIN(RADIANS(B103))</f>
        <v>38.932162868105749</v>
      </c>
      <c r="B112" s="9">
        <f>B111+12*COS(RADIANS(B103))</f>
        <v>35.460818718132693</v>
      </c>
      <c r="C112" s="9">
        <f>C111-12*SIN(RADIANS(C103))</f>
        <v>24.017118105438534</v>
      </c>
      <c r="D112" s="9">
        <f>D111+12*COS(RADIANS(C103))</f>
        <v>-55.999362101886867</v>
      </c>
      <c r="E112" t="s">
        <v>154</v>
      </c>
    </row>
    <row r="113" spans="1:5">
      <c r="A113" s="9">
        <f>A110</f>
        <v>49.700431242362761</v>
      </c>
      <c r="B113" s="9">
        <f>B110</f>
        <v>27.458044435424462</v>
      </c>
      <c r="C113" s="9">
        <f>C110</f>
        <v>12.018640346365338</v>
      </c>
      <c r="D113" s="9">
        <f>D110</f>
        <v>-49.996318585050943</v>
      </c>
      <c r="E113" t="s">
        <v>154</v>
      </c>
    </row>
    <row r="114" spans="1:5">
      <c r="A114" s="9">
        <f>A104</f>
        <v>-25.280186591889738</v>
      </c>
      <c r="B114" s="9">
        <f>B104</f>
        <v>40.752007320650847</v>
      </c>
      <c r="C114" s="9">
        <f>C104</f>
        <v>50.01863912400961</v>
      </c>
      <c r="D114" s="9">
        <f>D104</f>
        <v>-50.005956999542562</v>
      </c>
      <c r="E114" t="s">
        <v>161</v>
      </c>
    </row>
    <row r="115" spans="1:5">
      <c r="A115" s="9">
        <f>A104+A93*B68</f>
        <v>5.6929732810570286</v>
      </c>
      <c r="B115" s="9">
        <f>B104+A93*B69</f>
        <v>69.161096048172709</v>
      </c>
      <c r="C115" s="9">
        <f>C104+A93*C68</f>
        <v>50.050410358116913</v>
      </c>
      <c r="D115" s="9">
        <f>D104+A93*C69</f>
        <v>-50.016110976035556</v>
      </c>
      <c r="E115" t="s">
        <v>161</v>
      </c>
    </row>
    <row r="116" spans="1:5">
      <c r="A116" s="9">
        <f>A115-B39*A93/5*COS(RADIANS(B40))-B39*A93/10*SIN(RADIANS(B40))</f>
        <v>-3.3425675662845098</v>
      </c>
      <c r="B116" s="9">
        <f>B115-B39*A93/5*SIN(RADIANS(B40))+B39*A93/10*COS(RADIANS(B40))</f>
        <v>66.576594289963012</v>
      </c>
      <c r="C116" s="9">
        <f>C115-C39*A93/5*COS(RADIANS(C40))-C39*A93/10*SIN(RADIANS(C40))</f>
        <v>50.045071508944751</v>
      </c>
      <c r="D116" s="9">
        <f>D115-C39*A93/5*SIN(RADIANS(C40))+C39*A93/10*COS(RADIANS(C40))</f>
        <v>-50.010903057326225</v>
      </c>
      <c r="E116" t="s">
        <v>161</v>
      </c>
    </row>
    <row r="117" spans="1:5">
      <c r="A117" s="9">
        <f>A115</f>
        <v>5.6929732810570286</v>
      </c>
      <c r="B117" s="9">
        <f t="shared" ref="B117:D117" si="7">B115</f>
        <v>69.161096048172709</v>
      </c>
      <c r="C117" s="9">
        <f t="shared" si="7"/>
        <v>50.050410358116913</v>
      </c>
      <c r="D117" s="9">
        <f t="shared" si="7"/>
        <v>-50.016110976035556</v>
      </c>
      <c r="E117" t="s">
        <v>161</v>
      </c>
    </row>
    <row r="118" spans="1:5">
      <c r="A118" s="9">
        <f>A115-B39*A93/5*COS(RADIANS(B40))+B39*A93/10*SIN(RADIANS(B40))</f>
        <v>2.3392501792198637</v>
      </c>
      <c r="B118" s="9">
        <f>B115-B39*A93/5*SIN(RADIANS(B40))-B39*A93/10*COS(RADIANS(B40))</f>
        <v>60.381962315373656</v>
      </c>
      <c r="C118" s="9">
        <f>C115-C39*A93/5*COS(RADIANS(C40))+C39*A93/10*SIN(RADIANS(C40))</f>
        <v>50.043040713646157</v>
      </c>
      <c r="D118" s="9">
        <f>D115-C39*A93/5*SIN(RADIANS(C40))-C39*A93/10*COS(RADIANS(C40))</f>
        <v>-50.017257304147684</v>
      </c>
      <c r="E118" t="s">
        <v>161</v>
      </c>
    </row>
  </sheetData>
  <mergeCells count="5">
    <mergeCell ref="B5:C5"/>
    <mergeCell ref="B20:C20"/>
    <mergeCell ref="B33:C33"/>
    <mergeCell ref="B46:C46"/>
    <mergeCell ref="B63:C6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Carpenter</vt:lpstr>
      <vt:lpstr>IMPC (match Joe)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jfunk</dc:creator>
  <cp:lastModifiedBy>Joe Cormier</cp:lastModifiedBy>
  <dcterms:created xsi:type="dcterms:W3CDTF">2015-03-14T21:57:14Z</dcterms:created>
  <dcterms:modified xsi:type="dcterms:W3CDTF">2020-10-21T05:19:08Z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cd3632aa-d467-4be6-a3be-d76fe045e01e</vt:lpwstr>
  </property>
</Properties>
</file>