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on channels gene expression" state="visible" r:id="rId3"/>
    <sheet sheetId="2" name="Ion channels with properties" state="visible" r:id="rId4"/>
    <sheet sheetId="3" name="Distinct channel types" state="visible" r:id="rId5"/>
  </sheets>
  <definedNames/>
  <calcPr/>
</workbook>
</file>

<file path=xl/sharedStrings.xml><?xml version="1.0" encoding="utf-8"?>
<sst xmlns="http://schemas.openxmlformats.org/spreadsheetml/2006/main" count="826" uniqueCount="419">
  <si>
    <t>Protein short name</t>
  </si>
  <si>
    <t>Gene WB ID</t>
  </si>
  <si>
    <t>Gene Public Name</t>
  </si>
  <si>
    <t>Description</t>
  </si>
  <si>
    <t>PMID for description evidence</t>
  </si>
  <si>
    <t>Protein Name</t>
  </si>
  <si>
    <t>Gene class</t>
  </si>
  <si>
    <t>Expression pattern in neurons in adults</t>
  </si>
  <si>
    <t>PMID for expression evidence</t>
  </si>
  <si>
    <t>Expressed in neurons</t>
  </si>
  <si>
    <t>Expression Info (merged)</t>
  </si>
  <si>
    <t>Expressed in AS01 (Ventral cord)?</t>
  </si>
  <si>
    <t>Expressed in AS02 (Ventral cord)?</t>
  </si>
  <si>
    <t>Expressed in DA01 (Ventral cord)?</t>
  </si>
  <si>
    <t>Expressed in DA02 (Ventral cord)?</t>
  </si>
  <si>
    <t>Expressed in DB01 (Ventral cord)?</t>
  </si>
  <si>
    <t>Expressed in DD01 (Ventral cord)?</t>
  </si>
  <si>
    <t>Expressed in SMDDL (Ring)?</t>
  </si>
  <si>
    <t>Expressed in SMDDR (Ring)?</t>
  </si>
  <si>
    <t>Expressed in Body Wall Muscle Cell?</t>
  </si>
  <si>
    <t>EGL-19</t>
  </si>
  <si>
    <t>egl-19 encodes the pore-forming alpha1 subunit of a voltage-gated calcium channel orthologous to the alpha subunit of mammalian L-type calcium ion channels; EGL-19 carries L-type currents in pharyngeal and body wall muscle, and its activity is essential and required for muscle contraction during late embryonic morphogenesis, locomotion, egg laying, mating and feeding; recordings of voltage-dependent calcium currents indicate that EGL-19 is the sole C. elegans alpha1 voltage-gated calcium channel subunit to carry currents in body wall muscle and that these currents are regulated by the CCB-1 beta subunit and the UNC-36 alpha2/delta subunit; egl-19 is expressed in muscle cells and some neurons.</t>
  </si>
  <si>
    <t>9321386, 9321386, 21878625</t>
  </si>
  <si>
    <t>9321386, 15338614, 17850180, 21177967, 17486083, 22560298</t>
  </si>
  <si>
    <t>"in the nervous system, including the pharyngeal neuron M4 and several neurons in the head, the ventral nerve cord and the preanal ganglion"</t>
  </si>
  <si>
    <t>[Expr1458] In transgenic animals carrying the fusion gene, an egl-19::GFP fluorescent signal was first detected in body wall muscles in 11/2-fold embryos, before the onset of embryonic muscle contraction. By the time of hatching, GFP fluorescence was found in pharyngeal muscles pm3, pm4, pm5 and pm7, in body wall muscles and in the anal depressor muscle. Expression was also found in the nervous system, including the pharyngeal neuron M4 and several neurons in the head, the ventral nerve cord and the preanal ganglion. | [Expr5533] Adult Expression: pharynx; intestine; Nervous System; ventral nerve cord; head neurons; unidentified cells in tail; &lt;br /&gt; Larval Expression: pharynx; intestine; hypodermis; Nervous System; ventral nerve cord; head neurons; unidentified cells in tail | [Expr5534] Adult Expression: pharynx; intestine; hypodermis; amphid socket cells; unidentified cells in head; unidentified cells in tail ;&lt;br /&gt;Embryo Expression: intestine;&lt;br /&gt;Larval Expression: pharynx; intestine; hypodermis; amphid socket cells; unidentified cells in head; unidentified cells in tail ; | [Expr5535] Adult Expression: pharynx; arcade cells; intestine; rectal epithelium; hypodermis; seam cells;&lt;br /&gt;Larval Expression: pharynx; arcade cells; intestine; rectal epithelium; hypodermis; seam cells; | [Expr1030759] | [Chronogram185] | [Chronogram1325] | [Expr1013253] </t>
  </si>
  <si>
    <t>Maybe</t>
  </si>
  <si>
    <t>YES</t>
  </si>
  <si>
    <t>clh-2 encodes a chloride channel protein that is required for embryonic viability; may have two transcripts transcribed from alternative promoters, and the two transcripts might be expressed in different cell types.</t>
  </si>
  <si>
    <t>10567397, 11231151</t>
  </si>
  <si>
    <t>"neurons in the head and tail ganglia, nerve ring, dorsal and ventral nerve cord, tail neurons"</t>
  </si>
  <si>
    <t>[Expr1122] Ventral and dorsal nerve cords, neurons in the head and tail ganglia, nerve ring, and the pharyngeal-intestinal valve. | [Expr1123] Body wall muscle, posterior intestinal cells, and neurons in the head and tail ganglia | [Expr1188] Fluorescence was found in some parts of the neuromuscular system. The nervous system was labeled to a large extent. Labeling was strong in the nerve ring (nr), and included the dorsal and ventral nerve cord (dnc and vnc), and tail neurons (tn). The vulval muscles (vm) and the pharyngeal intestinal valve cells (piv) were also stained. The same structures were labeled, albeit weaker, when a CeCLC-2-GFP fusion protein was expressed from a slightly longer upstream region.</t>
  </si>
  <si>
    <t>slo-1 encodes a voltage- and calcium-activated potassium (BK) channel; SLO-1 activity is required for muscle inactivation: mutants have wild-type levels of motor activity, but have less smooth movement and tend to stop and reverse direction; SLO-1 is expressed in neurons and in body wall and vulval muscle; SLO-1 localization in proximity to the EGL-19 L-type calcium channel in muscle membrane is mediated by the dystrophin-associated protein complex (DAPC) and the ISLO-1 adapter protein with which SLO-1 physically interacts and also colocalizes with in muscle membrane.</t>
  </si>
  <si>
    <t>11738032, 14675531, 16527307, 20019812</t>
  </si>
  <si>
    <t>22131396, 16651552, 22560298, 11738032, 16527307, 20700105, 11738032</t>
  </si>
  <si>
    <t>"M4 neuron, pharyngeal neuron", "nerve ring", "ventral nerve cord, nerve ring, dorsal nerve cord"</t>
  </si>
  <si>
    <t>[Expr1779] Staining of wild-type animals revealed immunoreactivity in synaptic regions of the nervous system including in both the nerve ring and nerve cords, as well as in the body-wall and vulval muscle. | [Expr1780] Fluorescence images from live wild-type adult hermaphrodite animals expressing the SLO-1a::GFP fusion as an extrachromosomal array. Lateral view showing bright fluorescence in the nerve ring and punctate fluorescence near the surface of body-wall muscle. | [Expr3950] Expression was seen in M4. Expression was also detected in most other pharyngeal neurons. | [Expr4293] | [Expr9103] Two independent transgenic strains were created that expressed GFP under the control of the ctn-1 promoter (Pctn-1) and slo-1 promoter (Pslo-1), respectively. The expression pattern of ctn-1 largely overlapped with that of slo-1. Specifically, both ctn-1 and slo-1 were expressed in many neurons and several types of muscles, including body-wall muscle, vulval muscle and stomatointestinal muscle. However, slo-1 appeared to be expressed in more neurons in the head than ctn-1, whereas ctn-1 was expressed in pharyngeal muscle cells and some other unidentified cells that did not express slo-1.</t>
  </si>
  <si>
    <t>slo-2 encodes a high conductance, sodium-activated potassium channel; when expressed in Xenopus oocytes, SLO-2 exhibits a synergistic dependence on both chloride and calcium ions for activation; expression of a dominant negative SLO-2 mutant can interfere with activity of SLO-1, a second high conductance potassium channel, suggesting that the two channels can form functional heteromultimers; a SLO-2::GFP fusion protein is expressed in body wall, vulval, and pharyngeal/intestinal valve muscles, nerve ring processes, and some motor neurons in the ventral nerve cord; SLO-2 expression largely overlaps with that of SLO-1.</t>
  </si>
  <si>
    <t>10903569, 14612577</t>
  </si>
  <si>
    <t>None listed</t>
  </si>
  <si>
    <t>22560298, 10903569, 17850180, 15338614, 10564810, 17606643, 21177967, 17486083</t>
  </si>
  <si>
    <t>"neuron, ASER, ASEL", "ventral cord neuron,  nervous system, nerve ring, dorsal nerve cord, head neuron, tail neuron", "motor neuron, nerve ring</t>
  </si>
  <si>
    <t>[Chronogram812] | [Expr524] Expressed in the neurons in the head, ventral nerve cord, nerve ring, and tail at L1 through adult. | [Expr1097] Transformed progeny expressed the slo-2:GFP fusion protein in many tissues including body-wall and vulva muscle (and possibly in pharyngeal muscle), processes of the nerve ring, and in some motor neurons. | [Expr5677] Larval Expression: body wall muscle; Nervous System; nerve ring; ventral nerve cord; head neurons; tail neurons; | [Expr5677] Adult Expression: Reproductive System; uterine muscle; vulval muscle; body wall muscle; Nervous System; nerve ring; ventral nerve cord; dorsal nerve cord; head neurons; tail neurons; | [Expr7938] Expressed in ASE neurons and more than 10 other neurons.</t>
  </si>
  <si>
    <t>unc-36 encodes an alpha2/delta subunit of a voltage-gated calcium channel; unc-36 is required for normal locomotion and proper intracellular trafficking, presynaptic localization and functional maturation of the UNC-2 alpha1 subunit of a C. elegans CaV2 channel in sensory and motor neurons; unc-36 also functions in a calcium-dependent pathway that establishes left-right asymmetry in the nervous system during development; recordings of voltage-dependent calcium currents indicate that UNC-36 regulates voltage dependence, kinetics, and conductance of the EGL-19 alpha1 subunit of the body wall muscle voltage-dependent calcium channel; unc-36 is expressed in muscle cells and motor neurons; an UNC-36::GFP localizes to the endoplasmic reticulum and the plasma membrane.</t>
  </si>
  <si>
    <t>16838374, 16868120, 17986337, 19718034, 21878625</t>
  </si>
  <si>
    <t>21177967, 16049479, 17850180, 15338614, 16838374, 22560298</t>
  </si>
  <si>
    <t>BDUR, BDUL, AVM, AVAR, AVAL, ASKR, ASKL, ASER, ASEL, ALNR, ALNL, ALMR, ALML, PVQR, PVQL, PVM, PVCR, PVCL, PLMR, PLML, PHBL, DVC, DVA, SIBDL, SDQR, SDQL, RMDVL</t>
  </si>
  <si>
    <t>[Expr3581] | [Expr5550] Larval Expression: pharynx; stomato-intestinal muscle; anal depressor muscle; body wall muscle; Nervous System; nerve ring; head neurons; | [Expr5550] Adult Expression: pharynx; stomato-intestinal muscle; anal depressor muscle; body wall muscle; Nervous System; nerve ring; head neurons; | [Expr7866] This UNC-36::GFP reporter was expressed in most neurons and virtually all muscle tissue (consistently in body wall and vulval muscle, and sometimes in the pharyngeal muscle). Expression of the UNC-36 reporter was observed in mechanosensory neurons, as well as a number of additional unidentified neurons in the head and tail. GFP expression was observed in ALM, AVM, BDU, and SDQR. Also identified in the tail neurons PVQ, PVC, DVC, and DVA. PLM, ALN, and PHB were probable, but not certain. In the head GFP was expressed in ASE, AVA, SIBDL, RMDVL, ASK, and a number of unidentified neurons. Expression was also observed in PVM and SDQL.</t>
  </si>
  <si>
    <t>None</t>
  </si>
  <si>
    <t>10717675, </t>
  </si>
  <si>
    <t>none listed</t>
  </si>
  <si>
    <t>17612406, 21177967, 15177025, 22560298</t>
  </si>
  <si>
    <t>"AIYR, AIYL", "DD neuron, DB neuron, DA neuron, VD neuron, AS neuron, VB neuron, VA neuron, head neuron, tail neuron"</t>
  </si>
  <si>
    <t>[Expr4845] Pan-neuronal:  enriched in embryo (2.1) and larva (1.8). | [Expr4845] A-class motor neuron: expressed in larva; enriched in embryo (2,5). | [Expr4845] Neuronal expression include: DA, DB, DD, VA, VB, VD, AS head and tail neurons. Also expressed in other cells: Body muscle, head muscle, pharyngeal muscle.</t>
  </si>
  <si>
    <t>shl-1 encodes a SHAL/Kv4 ortholog, which encodes voltage-gated potassium channels expressed in muscle; mutations in shl-1 result in loss of all fast transient outward current from muscle cells and, in males, reduced mating efficiency owing to difficulty in locating the hermaphrodite vulva; when expressed in Xenopus oocytes or cultured myocytes, SHL-1 exhibits currents; an SHL-1::GFP reporter fusion is expressed in posterior intestine, body wall muscle, vulval muscle, male-specific diagonal muscles, and a number of motor neurons, interneurons, and sensory neurons.</t>
  </si>
  <si>
    <t>14612577, 16899454</t>
  </si>
  <si>
    <t>16899454, 14612577, 17486083, 17486083, 22560298, 15338614, 17850180, 17850180, 15338614</t>
  </si>
  <si>
    <t>"interneuron, motor neuron, pharyngeal neuron, sensory neuron, phasmid neuron", "head neuron, neuron"</t>
  </si>
  <si>
    <t>[Chronogram23] | [Chronogram1032] | [Expr2098] Mosaic expression is seen in and around the pharynx of larvae and adults. Some of the expressing cells may be neuronal. | [Expr2801] Expressed in muscle. | [Expr7114] Larval Expression: intestine; | [Expr7114] Adult Expression: intestine; | [Expr7115] Larval Expression: intestine; Nervous System; head neurons; unidentified cells in tail ; | [Expr7115] Adult Expression: intestine; Nervous System; head neurons; | [Expr8268] Expression of SHL-1 was observed in posterior intestine, body wall muscle, vulval muscle, male-specific diagonal muscles, and a variety of motor neurons, interneurons, and sensory neurons.</t>
  </si>
  <si>
    <t>sup-9 encodes one of 44 C. elegans TWK (two-P domain K+) potassium channel subunits that contain two pore-forming domains and four transmembrane domains; sup-9 was originally defined by gain-of-function mutations that result in defects in pharyngeal, body-wall, egg-laying, and enteric muscle activation; loss of sup-9 function via reversion or RNA-mediated interference (RNAi) does not result in any abnormalities suggesting that SUP-9 may function redundantly with other TWK channels; SUP-9 is expressed in neurons and muscle.</t>
  </si>
  <si>
    <t>8582640, 11301195</t>
  </si>
  <si>
    <t>14534247, 14534247, 14534247, 14534247, 22560298, 11301195</t>
  </si>
  <si>
    <t>"SIAVR, SIAVL, SIADR, SIADL, head neuron"</t>
  </si>
  <si>
    <t>[Expr1378] Neurons and muscle. | [Expr2772] The body-wall muscle staining became apparent at the 3.5-fold stage of embryogenesis, was most apparent in late embryos and L1 stage larvae, and persisted to adulthood. The vulval muscles, predominantly the four Vm1 cells, and the intestinal muscles also displayed GFP fluorescence. Weaker fluorescence was observed in the anal depressor and anal sphincter muscles. GFP expression was also observed in 1215 head neurons in each animal, including in the SIADL, SIADR, SIAVL, and SIAVR neurons. | [Expr2775] | [Expr2776] | [Expr2777]</t>
  </si>
  <si>
    <t>shk-1 encodes multiple isoforms of a SHAKER/Kv1 ortholog, which encodes voltage-gated potassium channels expressed in muscle; SHK-1 exhibits delayed rectifier currents and, in the absence of SHL-1, exhibits a significant compensatory increase in current; an SHK-1::GFP reporter fusion is expressed in a number of interneurons and sensory neurons, as well as in body wall muscle.</t>
  </si>
  <si>
    <t>"a variety of interneurons and sensory neurons"</t>
  </si>
  <si>
    <t>[Expr2800] Expressed in muscle. | [Expr8269] The SHK-1::GFP fusion protein was expressed in a variety of interneurons and sensory neurons, as well as body wall muscle.</t>
  </si>
  <si>
    <t>Ligand-Gated ion Channel</t>
  </si>
  <si>
    <t>n/a</t>
  </si>
  <si>
    <t>15338614, 17850180, 17486083, 22560298, 21611156, 15338614, 17850180</t>
  </si>
  <si>
    <t>[Chronogram1405] | [Expr6782] Larval Expression: body wall muscle; | [Expr6782] Adult Expression: stomato-intestinal muscle; anal depressor muscle; Reproductive System; vulval muscle; body wall muscle; unidentified cells in head; | [Expr6783] Larval Expression: stomato-intestinal muscle; body wall muscle; unidentified cells in head; | [Expr6783] Adult Expression: Reproductive System; vulval muscle; body wall muscle; unidentified cells in head;</t>
  </si>
  <si>
    <t>TWiK family of potassium channels</t>
  </si>
  <si>
    <t>"neurons and muscle"</t>
  </si>
  <si>
    <t>[Expr1370] Neurons and muscle.</t>
  </si>
  <si>
    <t>cca-1 encodes a calcium channel alpha subunit that is homologous to vertebrate T-type calcium channel alpha 1 subunits; CCA-1 is required for regulation of pharyngeal pumping, specifically for the efficient initiation of action potentials in the pharynx in response to excitatory inputs; a CCA-1::GFP fusion protein is expressed strongly in pharyngeal muscle as well as in many neurons, including particular subsets of neurons in the head, pharynx, ventral nerve cord, and anal ganglia.</t>
  </si>
  <si>
    <t>15914661, 15914662</t>
  </si>
  <si>
    <t>15338614, 17850180, 17046742, 17486083, 22560298, 15914662, 15914662</t>
  </si>
  <si>
    <t>"pharyngeal neuron, ventral nerve cord, tail neuron", "ventral cord neuron, nervous system, nerve ring, head neuron, tail neuron"</t>
  </si>
  <si>
    <t>[Chronogram1811] | [Expr4302] Detected primarily in neurons. | [Expr4349] Transgenic animals carrying this construct show GFP fluorescence in a variety of cells, with robust expression in the pharyngeal muscle. GFP expression was also observed in many neurons, including specific subsets in the head, pharynx, ventral nerve cord and anal ganglia. | [Expr4350] Localized differently within cells and GFP fluorescence was seen in body wall muscle, distal tip cells, enteric muscle and cells of the posterior intestine. Within the pharynx, cca-1 expression is observed in most if not all pharyngeal muscle cells but is most prominent in those of the procorpus and in pm8, the most posterior cell in the terminal bulb. | [Expr5587] Larval Expression: Nervous System; nerve ring; ventral nerve cord; head neurons; tail neurons; | [Expr5587] Adult Expression: Nervous System; nerve ring; ventral nerve cord; head neurons; tail neurons;</t>
  </si>
  <si>
    <t>deg-1 encodes a putative ion channel for which altered function induces necrotic cell death of neurons required for mechanosensory behavior; expressed in the ASH, IL1, AVD, AVG, and PVC neurons in addition to some muscle cells.</t>
  </si>
  <si>
    <t>7539392, 2342572, 7627559, 8994058, 10066248, </t>
  </si>
  <si>
    <t>8994058, 22560298</t>
  </si>
  <si>
    <t>AVG, AVDR, AVDL, PVCR, PVCL, IL1 neuron</t>
  </si>
  <si>
    <t>[Expr223] Expressed in many neurons, the positions of which matched those of dying cells in u38 and u506 animals. These cells included the presumptive ASH cells, IL1 cells, AVD cells, the AVG cell, and the PVC cells, although the latter stained weakly. Muscles also expressed the deg-1lacZ fusion. The head muscle quadrants and a muscle near the anus, presumably the anal depressor muscle, stained at all stages, whereas body wall muscles stained most strongly in newly hatched larvae.</t>
  </si>
  <si>
    <t>trp-1 encodes a transient receptor potential (TRP) channel that, along with TRP-2 and SPE-41, constitutes the three C. elegans members of the TRPC subfamily; trp-1, along with trp-2, control nicotine-dependent behavior; a TRP-1::GFP reporter fusion is expressed in motor neurons, interneurons, vulval and intestinal muscles, and the BAG sensory neuron.</t>
  </si>
  <si>
    <t>17081982, 9334401</t>
  </si>
  <si>
    <t>15780142, 11493519, 22560298, 17612406, 9334401, </t>
  </si>
  <si>
    <t>"DB neuron, DA neuron, VB neuron, VA neuron", "SMDDR, SMDDL", "BAGR, BAGL, interneuron, motor neuron"</t>
  </si>
  <si>
    <t>[Expr66] The lacZ fusion for ZC21.2 produces cytoplasmic expression in 2 neural cells in the head of young larvae, and also in the vulval muscles of young adults. It is easily seen in the images that expression is excluded from the nuclei. | [Expr2586] The upstream and downstream regions of this gene drove GFP expression in a set of cells that did not overlap with those expressing osm-9::GFP fusions, including motor neurons, interneurons, vulval and intestinal muscles, and a single putative sensory neuron, BAG. | [Expr4866] Pan-neuronal: enriched in embryo (1.9) and larva (2.2). | [Expr4866] A-class motor neuron: enriched in embryo (2.1) and larva (1.9). | [Expr4866] Neuronal expression include: DA, DB, VA, VB. | [Expr8201] Expressed in DA, DB, VA, VB. | [Marker55] Expressed in SMDD neuron.</t>
  </si>
  <si>
    <t>lgc-55 encodes a tyramine-gated chloride channel; LGC-55 activity is required for backward locomotion and suppression of lateral head oscillations in response to anterior touch; LGC-55 is expressed and neurons and muscles that receive synaptic input from tyraminergic neurons, and localizes to the neuronal cell body and regions suggestive of postsynaptic specializations.</t>
  </si>
  <si>
    <t>19477154, 22119902, 19574391, 19477154, 22560298</t>
  </si>
  <si>
    <t>"AVM, ALMR, ALML, GLRVR, GLRVL, GLRR, GLRL, GLRDR, GLRDL", "AVBR, AVBL, ALNR, ALNL, IL1VR, IL1VL, IL1DR, IL1DL, HSNR, HSNL, SMDVR, SMDVL, SMDDR, SMDDL, SDQR, SDQL, RMDR, RMDL", "ventral cord neuron, cholinergic neuron"</t>
  </si>
  <si>
    <t>[Expr8613] lgc-55::mCherry and lgc-55::GFP transgenic animals showed reporter expression in a subset of neck muscles and a restricted set of neurons.These neurons aare AVB, RMD, SMDD, SMDV, IL1D, IL1V, SDQ, HSN, and ALN neurons. In addition, weak lgc-55 reporter expression was also detected in the UV1 cells and tail muscle cells. | [Expr8614] | [Expr8997] Expression of this reporter transgene was observed in head muscles and in the glia-like GLR cells, which are connected to the head muscles by gap junctions, and weaker expression was seen in many unidentified head neurons. Strong expression was seen in the ALM and AVM mechanosensory neurons.</t>
  </si>
  <si>
    <t>glr-1 encodes an AMPA-type ionotropic glutamate receptor; GLR-1 activity is required for mediating the behavioral response to light nose touch and the frequency with which animals change locomotory direction in response to sensory cues such as food; GLR-1 is also required for memory formation; GLR-1 and GLR-2, a second AMPA-type ionotropic glutamate receptor, can interact to form functional heteromeric channels; GLR-1 is expressed in motorneurons and interneurons, including four of the five pairs of command interneurons that are required for locomotory control; in the ventral nerve cord and nerve ring, GLR-1 localizes to perinuclear structures in cell bodies and to punctate structures that appear to be glutamatergic postsynaptic specializations; proper GLR-1 localization in the anterior ventral nerve cord of older larvae and adults requires activity of the class I PDZ protein LIN-10; GLR-1 is ubiquitinated in vivo and its abundance at postsynaptic elements, which may influence postsynaptic strength, is regulated by ubiquitination; indeed, GLR-1 trafficking in interneurons has been shown to be regulated by the UEV-1 ubiquitin-conjugating enzyme variant and the UBC-13 ubiquitin-conjugating enzyme; GLR-1 dynamics are also regulated by the alpha-adducin, ADD-1, which may link actin cytoskeleton reorganization with synapse structure and composition.</t>
  </si>
  <si>
    <t>7477293, 9753322, 11222641, 12123612, 14762140, 21179194, 21273419, 22307086</t>
  </si>
  <si>
    <t>11222641, 7477294, 19477154, 19477154, 21177967, 17486083, 14568548, 12467596, 15820693, 22855524, 18817737, 10571229, 15317844, 7477293, 16818875</t>
  </si>
  <si>
    <t>"SMDVR, SMDVL, SMDDR, SMDDL, RMDR, RMDL", "neuronal cell body, neuron projection", "ventral nerve cord", "interneuron", "AVG, AVER, AVEL, AVDR, AVDL, AVBR, AVBL, AVAR, AVAL, RIML, AIBR, AIBL, PVQR, PVQL, PVCR, PVCL, URYVR, URYVL, URYDR, URYDL, SMDVR, SMDVL, SMDDR, SMDDL, RMDR, RMDL, RIMR", "neuron, AVJR, AVJL, AVG, RIGR, RIGL, PVQR, PVQL, PVCR, PVCL, DVC, URYVR, URYVL, URYDR, URYDL, SMDVR, SMDVL, SMDDR, SMDDL, RMER, RMEL, RMDVR, RMDVL, RMDR, RMDL, RMDDR, RMDDL, RIS", "AVG, AVER, AVEL, AVDR, AVDL, AVBR, AVBL, AVAR, AVAL, RIML, AIBR, AIBL, PVQR, PVQL, PVCR, PVCL, URYVR, URYVL, URYDR, URYDL, SMDVR, SMDVL, SMDDR, SMDDL, RMDVR, RMDVL, RMDR, RMDL, RMDDR, RMDDL, RIMR"</t>
  </si>
  <si>
    <t>[Chronogram1350] | [Expr247] Expression was limited to a subset of inter- and motor neurons, including the interneurons AVA, AVB, AVD, AVE and PVC. Polyclonal antibody also recognized neuronal processes. Expression also seen in AIB, RMD, RIM, SMD. AVG, PVQ, URY stained faintly. | [Expr249] AVG AVJ DVC PVC PVQ RIG RIS RMD RMEL/R SMD URY [Nature 378:82] | [Expr816] AVA, AVB, AVD, AVE, PVC, AIB, RMD, RIM, SMD, AVG, PVQ, URY. | [Expr1198] Expression of the GLR-1::GFP fusion protein was limited to a subset of neurons, including the command interneurons. Transgenic strains that expressed glr-1::GLR-1(A/T)::GFP exhibited green fluorescent protein (GFP) fluorescence in the same neurons. | [Expr3422] | [Expr3934] | [Expr4407] | [Expr8363] | [Marker60] RIS cell fate marker. | [Marker94] Marker for RMD, SMDD, SMDV neurons. | [Marker95] Marker for RMD, SMDD, SMDV neurons.</t>
  </si>
  <si>
    <t>unc-8 encodes an amiloride-sensitive DEG/ENaC cation-selective channel subunit orthologous to human ENaCB (OMIM:600760, associated with Liddle syndrome, an autosomal dominant form of hypertension); UNC-8 is predicted to function as part of a mechanically gated channel that responds to stretch, and is required for modulating the sinusoidal body wave that is characteristic of C. elegans locomotion; unc-8 interacts genetically with unc-1 and unc-24, which encode stomatin-like proteins, and with mec-6, which encodes a paraoxonase; UNC-8 is expressed in motor neurons, sensory neurons, and interneurons in the nerve ring; UNC-8 may form a channel with the degenerin DEL-1, with which it is coexpressed in ventral cord motor neurons.</t>
  </si>
  <si>
    <t>9010209, 12524464, </t>
  </si>
  <si>
    <t>9010209, 15102610, 17606643, 22560298</t>
  </si>
  <si>
    <t>"AVDR, AVDL, AVBR, AVBL, AVAR, AVAL, ASHR, ASHL, PVM, PVCR, PVCL, PDB, PDA, FLPR, FLPL, DD neuron, DB neuron, DA neuron, VD neuron, VB neuron, VA neuron"</t>
  </si>
  <si>
    <t>[Expr1615] pR13A14lacZ activity is apparent in the embryo and is first detected during the 3-fold stage, about 300 min prior to hatching. This staining is likely to occur in the embryonically derived DA, DB, and/or DD motor neurons. Beta-galactosidase activity is observed in additional neurons later in development and peaks during the L2 stage when intense staining of sensory neurons, interneurons in the nerve ring, and motor neurons in the ventral nerve cord are apparent. Strong staining persists into adulthood. Among the neurons that express pR13A14lacZ are the ASH and FLP sensory neurons, the PVM touch neuron, the PVC, AVB, AVA, and AVD command interneurons, and the PDA, PDB, DA, DB, DD, VA, VB, and VD classes of motor neurons. Additional neurons situated either within or in the vicinity of the nerve ring express the R13A1_4 reporter gene. In summary, R13A1_4 expression is neuron specific and restricted to about 45 cells. | [Expr3408] | [Expr7928] Expressed in more than 10 neurons but not ASE.</t>
  </si>
  <si>
    <t>avr-14 encodes an alpha-type subunit of a glutamate-gated chloride channel homologous to human GLRA2, which when mutated leads to hyperekplexia (OMIM:149400); AVR-14 affects sensitivity to the antiparisitic drug, ivermectin, in parallel with avr-15 and glc-1 and in a genetic pathway with unc-9; it functions in the extrapharyngeal nervous system, and is expressed in a subset of neurons in the ring ganglia, ventral cord, and some mechanosensory neurons.</t>
  </si>
  <si>
    <t>10716995, 10767309, </t>
  </si>
  <si>
    <t>"neurons in the ring ganglia of the head, some motor neurons in the ventral cord and mechanosensory neurons"</t>
  </si>
  <si>
    <t>[Expr975] The avr-14::GFP fusion was expressed exclusively in a subset of  40 extrapharyngeal neurons. Most of the neurons were in the ring ganglia of the head, but some motor neurons in the ventral cord and mechanosensory neurons also expressed GFP.</t>
  </si>
  <si>
    <t>egl-2 encodes a voltage-gated potassium channel that is the C. elegans homolog of ether-a-go-go (EAG); egl-2 activity is required for egg laying, muscle activation, defecation, mechanosensation, and chemosensation; egl-2 is expressed in the intestinal muscle, AFD, ALN, AQR, ASE, AWC, BAG, IL2, PLN, PQR, and URX neurons as well as a subset of sensory neurons in the male tail; EGL-2 activity can be regulated by the UNC-43 calcium/calmodulin-dependent protein kinase II (CaMKII) with which it interacts physically.</t>
  </si>
  <si>
    <t>11813735, 10559392, 11287957, 21145946</t>
  </si>
  <si>
    <t>17486083, 22560298, 15338614, 17850180, 10559392, 10559392</t>
  </si>
  <si>
    <t>touch receptor neuron, nervous system, nerve ring, head neuron, tail neuron, ALMR, ALML</t>
  </si>
  <si>
    <t>[Chronogram210] | [Expr1211] Expressed in the intestinal muscles. In addition to the muscle expression, the short fusion was expressed in the AFD, ALN, AQR, ASE, AWC, BAG, IL2, PLN, PQR, and URX neurons in hermaphrodites and males, and in a subset of ray sensory neurons in males. | [Expr1212] Expressed in neurons in the nose. This fusion was also expressed in the ALM mechanosensory neurons. Occasional expression of this fusion in the vulval muscles. | [Expr5774] Larval Expression: Nervous System; nerve ring; head neurons; mechanosensory neurons; tail neurons; | [Expr5774] Adult Expression: Nervous System; nerve ring; head neurons; mechanosensory neurons; tail neurons;</t>
  </si>
  <si>
    <t>exp-2 encodes a member of the six-transmembrane voltage-activated (Kv-type) family of potassium channels; exp-2 is required for normal pharyngeal muscle action potentials and hence, for normal feeding behavior; in addition, exp-2 is required for chemotaxis; when expressed in Xenopus oocytes, EXP-2 displays inward rectifying currents, however when assessed in endogenous pharyngeal tissue, EXP-2 displays hyperpolarization-activated outward currents; an EXP-2 translational reporter fusion is expressed strongly in pharyngeal muscles, amphid, phasmid, and head neurons, posterior enteric muscles, and occasionally faintly in the egg-laying muscles.</t>
  </si>
  <si>
    <t>10617464, 15914661</t>
  </si>
  <si>
    <t>"several neurons of the nerve ring ganglia"</t>
  </si>
  <si>
    <t>[Chronogram1231] | [Expr1027] In transgenic worms, the GFP fusion protein was expressed strongly in pharyngeal muscle, in the intestinal muscles, and occasionally faintly in the egg-laying muscles. The reporter was also expressed in several neurons of the nerve ring ganglia.</t>
  </si>
  <si>
    <t>glc-3 encodes an L-glutamate-gated chloride channel subunit; GLC-3 is sensitive to fipronil and BIDN, but picrotoxinin-insensitive; GLC-3 is expressed in the AIY interneuron.</t>
  </si>
  <si>
    <t>11250875, 15177025</t>
  </si>
  <si>
    <t>15177025, 17850180, 15338614, 22560298</t>
  </si>
  <si>
    <t>"Nervous system, nerve ring, head neurons", "AIYR, AIYL"</t>
  </si>
  <si>
    <t>[Expr7157] Larval Expression: Nervous System; nerve ring; head neurons; | [Expr7157] Adult Expression: Nervous System; nerve ring; head neurons;</t>
  </si>
  <si>
    <t>glc-4 encodes a predicted glutamate-gated chloride channel that affects ivermectin sensitivity and reversal behavior and genetically interacts with avr-14; expressed in neurons.</t>
  </si>
  <si>
    <t>21177967, 17486083, 15338614, 17850180, 22560298</t>
  </si>
  <si>
    <t>"nervous system, nerve ring, head neuron, tail neuron"</t>
  </si>
  <si>
    <t>[Chronogram126] | [Expr5365] Larval Expression: intestine; anal depressor muscle; head mesodermal cell; Nervous System; nerve ring; head neurons; tail neurons; | [Expr5365] Adult Expression: intestine; anal depressor muscle; head mesodermal cell; Nervous System; nerve ring; head neurons; tail neurons;</t>
  </si>
  <si>
    <t>ax-4 encodes a a cyclic nucleotide-gated channel subunit orthologous to the human gene ROD PHOTORECEPTOR CGMP-GATED CHANNEL (CNGA1; OMIM:123825); tax-4 is required for chemosensation and thermosensation; a TAX-4::GFP fusion protein is expressed in sensory neurons where it localizes to the cilia.</t>
  </si>
  <si>
    <t>"sensory neurons including the AFD thermosensory neurons, the AWC olfactory neurons, and the ASE, ASG, ASK, ASI, and ASJ gustatory neurons. Also observed expression in BAG and URX"</t>
  </si>
  <si>
    <t>[Chronogram1595] | [Expr311] The GFP expression was detected in cell bodies of sensory neurons including the AFD thermosensory neurons, the AWC olfactory neurons, and the ASE, ASG, ASK, ASI, and ASJ gustatory neurons. Also observed expression in BAG and URX. | [Expr7177] Larval Expression: Nervous System; nerve ring; head neurons; tail neurons; | [Expr7177] Adult Expression: Nervous System; nerve ring; head neurons; tail neurons;</t>
  </si>
  <si>
    <t>Acetylcholine-gated Chloride Channel</t>
  </si>
  <si>
    <t>"DA, DB, VA, VB, VC, touch neurons, head and tail neurons"</t>
  </si>
  <si>
    <t>[Expr4869] Pan-neuronal: enriched in embryo (2.3) and larva (4.0). | [Expr4869] A-class motor neuron: enriched in embryo (3.6) and larva (3.1). | [Expr4869] Neuronal expression include: DA, DB, VA, VB, VC, touch neurons, head and tail neurons.</t>
  </si>
  <si>
    <t>avr-15 encodes, via alternative splicing, two glutamate-gated chloride channel subunit homologs; these proteins mediate fast inhibitory glutamatergic neuromuscular transmission, as well as ivermectin sensitivity, and are required for normal pharyngeal function.</t>
  </si>
  <si>
    <t>9312045, 10716995</t>
  </si>
  <si>
    <t>9312045, 22560298, 11823633</t>
  </si>
  <si>
    <t>"VA12, DA9, RMGR, RMGL, RMEV, RMED, ventral nerve cord, dorsal nerve cord"</t>
  </si>
  <si>
    <t>[Expr1454] The transformed animals exhibited fluorescence in all of the muscles of the metacorpus (pm4) and the isthmus (pm5), precisely those muscles onto which M3 synapses. The GFP staining of pharyngeal muscle began shortly before hatching and persisted throughout adulthood. Strong staining was also seen in a few neurons of the head, including RMED, RMEV and the bilaterally symmetric RMGs. Weak staining was seen in unidentified ventrally located neurons contributing to the dorsal and ventral sublateral nerve cords. Two ventral cord neurons near the anus stain consistently, namely DA9 and a more anteriorly located neuron that is likely to be VA12. | [Expr1799] Expressed in pharynx.</t>
  </si>
  <si>
    <t>Maybe-Weak</t>
  </si>
  <si>
    <t>kvs-1 encodes a voltage-gated, A-type potassium channel; kvs-1 is required for the normal function of several neurons and thus for normal forward locomotion, chemotaxis to select molecules, osmotic avoidance, and nose-touch; when expressed in tissue culture cells, KVS-1 exhibits potassium-selective channel activity that is altered by coexpression with C. elegans MPS-1, -2, -3, and -4, KCNE-like ancillary subunits, or a related human protein, hMiRP1; in addition, KVS-1 forms a functional complex with MPS-1 in the ASER neuron and activity of MPS-2, MPS-3, and KVS-1 coexpressed in culture suggests that these three proteins can form a functional ternary complex that genetic analyses indicate likely plays a role in regulating responsiveness to sodium; kvs-1 reporter fusions are expressed in sperm, the anal depressor muscle, the PDA motoneuron, ventral cord neurons, and several chemosensory neurons.</t>
  </si>
  <si>
    <t>12533541, 15799965</t>
  </si>
  <si>
    <t>12533541, 22560298</t>
  </si>
  <si>
    <t>"AWCR, AWCL, ASKR, ASKL, ASHR, ASHL, ASGR, ASGL, ASER, ASEL, ADLR, ADLL, ADFR, ADFL", "ventral cord neuron"</t>
  </si>
  <si>
    <t>[Expr2316] Expressed with strong intensity in ADF, ADL, ASE, ASH, ASK, AWC. Expressed with detectable GFP fluorescence in ASG. | [Expr2454] kvs-1 expression was detected in more than 10 cells in the head, including the amphid neurons ADL, ASK, ASH, ADF, ASE, AWC, and ASG, in ventral cord neurons, in the motoneuron PDA in the anal depressor muscle and in sperm.</t>
  </si>
  <si>
    <t>mod-1 encodes a serotonin-gated chloride channel; contrary to published literature, MOD-1 activity is NOT required for the enhanced slowing response exhibited by food-deprived animals upon encountering a bacterial food source; subsequent studies have shown that mod-1 mutants (n3034, ok103, nr2043) do not exhibit reduced enhanced slowing and that the behavioral defect of the original isolate and mod-1 chloride channel mutation (n3034) are genetically separable; when expressed in voltage-clamped Xenopus oocytes, MOD-1 is able to form a serotonin-gated ion channel, and when expressed in human tissue culture cells, MOD-1 exhibits behavior consistent with chloride selectivity; a rescuing MOD-1::GFP construct is expressed in the cell bodies and axons (the latter presumably due to overexpression) of neurons in the head, tail, and ventral nerve cord.</t>
  </si>
  <si>
    <t>"ventral cord neuron, head neuron, tail neuron"</t>
  </si>
  <si>
    <t>[Expr1026] mod-1::GFP reporter expression was observed in the cell bodies and axons (the latter presumably as a consequence of reporter overexpression) of several neurons in the head, ventral cord and tail of the animal. No reporter expression was observed in any muscle cells.</t>
  </si>
  <si>
    <t>The ced-11 gene encodes a predicted transmembrane ion channel related to the long transient receptor potential channel (LTRPC) subfamily of TRP channels found in Drosophila and mammals; CED-11 functions as a downstream effector in the programmed cell death pathway and may play a role in affecting the morphological changes seen in the nucleus, cytoplasm, and plasma membrane of apoptotic cells.</t>
  </si>
  <si>
    <t>[Expr2040] Expression begins in early embryos and continues into young larval stages. In older embryos and young larvae extensive nuclear expression is seen in hypodermal cells. In young embryos mosaic nuclear-localised and diffuse expression is seen in a variable number of cells (from a few to most cells in the embryo).</t>
  </si>
  <si>
    <t>clh-1 encodes two CLC-type chloride channels via alternative splicing, homologous to human CLC1 (OMIM:118425) and CLC2 (OMIM:600570); CLH-1a and CLH-1b are required for maintenance of normal body shape; null mutations of clh-1 cause abnormal alae and a wider body than normal, with the body phenotype being reversible by culture medium of high osmolarity.</t>
  </si>
  <si>
    <t>"neurons in the head ganglia"</t>
  </si>
  <si>
    <t>[Expr978] lacZ staining was clearly observed only in hypodermal cells, called seam cells. These cells extend along the lateral sides of the worm bodies and form two seam syncytia in adults. On the other hand, the transgenic worms carrying pTO17-13 strongly expressed the protein in hypodermal cells localized in their vulvae and heads, together with the enhanced expression in seam cells. | [Expr1121] Seam cells and hypodermal cells of the head, epithelial D-cell of the vulva, spermatheca, neurons in the head ganglia, and posterior intestinal cells.</t>
  </si>
  <si>
    <t>The clh-3 gene encodes a chloride channel homologous to the mammalian channel ClC-2.</t>
  </si>
  <si>
    <t>"HSNR, HSNL, VC neuron"</t>
  </si>
  <si>
    <t>[Chronogram425] | [Expr1124] Excretory cell, vulva, hermaphrodite-specific neurons, enteric muscles, first four epithelial cells of intestine, and the uterus. | [Expr1189] There was GFP fluorescence in the large, H-shaped, excretory cell (ec). The first four epithelial cells of the intestine (ic), the muscles of the defecation system (em), and the hermaphrodite-specific neurons (HSN), which innervate vulval muscles, were labeled as well. | [Expr2718]</t>
  </si>
  <si>
    <t>A homolog of a mammalian CIC-type chloride channel that is uniquely expressed in adult worms.</t>
  </si>
  <si>
    <t>[Expr1125] Excretory cell | [Expr1190] A promoter element from CeCLC-4 directed GFP expression only to a single cell, the large, H-shaped, excretory cell. Expression patterns were identical in all four larval stages and adults except the vulval muscles and the HSN neurons.</t>
  </si>
  <si>
    <t>Cyclic Nucleotide Gated channel</t>
  </si>
  <si>
    <t>"a group of head sensory neurons"</t>
  </si>
  <si>
    <t>[Expr8625] Expression was restricted to a group of head sensory neurons and was detected throughout development.</t>
  </si>
  <si>
    <t>cng-3 is predicted to encode a cyclic nucleotide gated (CNG) channel that is required for wild-type thermotolerance; cng-3 is expressed in five sensory neurons, including the thermosensory neuron AFD.</t>
  </si>
  <si>
    <t>"head sensory neurons (thermosensory neuron, AFD, chemosensory neurons AWB, AWC, ASI, ASE) AFD"</t>
  </si>
  <si>
    <t>[Expr3305] The expression of cng-3::GFP was detected from the 2-fold embryonic stage to adult, but was restricted to the head sensory neurons. The five pairs of head neurons bearing GFP signals were the thermosensory neuron, AFD, and the chemosensory neurons, AWB, AWC, ASI, and ASE. The AFD neurons expressed GFP most brightly and the GFP fluorescence was also detected in the ciliated sensory endings of the AFD neurons.</t>
  </si>
  <si>
    <t>del-1 encodes an ion channel protein of the DEG/ENaC (degenerin/epithelial Na+ channel) family; like other members of the degenerin family, DEL-1 is predicted to function as a sensory mechanotransduction channel, however detailed analysis of the DEL-1 mutant phenotype has not yet been reported; DEL-1 is expressed postembryonically in the VA and VB motor neurons and in the FLP sensory neurons; the DEL-1 expression pattern overlaps that of UNC-8, an additional C. elegans degenerin involved in movement control, with which DEL-1 may coassemble to form mechanically activated cation channels.</t>
  </si>
  <si>
    <t>9010209, 10557206</t>
  </si>
  <si>
    <t>10557206, 17486083, 22560298, 15338614, 17850180</t>
  </si>
  <si>
    <t>"ventral cord neuron, nervous system" "VB2, VB1, SABVR, SABVL, VA neuron"</t>
  </si>
  <si>
    <t>[Chronogram1567] | [Expr2330] del-1 is expressed in the VB motor neurons beginning in the L2 larval stage. By the end of L2, del-1::GFP is also visible in a few VA motor neurons at the anterior end of the nerve cord. Expression of del-1::GFP in the VAs progresses in a wave from anterior to posterior, with all VAs expressing del-1::GFP by the adult stage. Thus, del-1::GFP is not expressed in the VAs during the L2 period in which unc-4 functions in these cells to establish synaptic inputs but is expressed in the VAs after they have been wired into the ventral cord circuit. del-1::GFP is also expressed in five neurons (VB1, VB2, SABVR, SABVL, VA1) in the retrovesicular ganglion at the anterior end of the ventral nerve cord. During the mid-L2 larval stage, del-1::GFP expression in the ventral nerve cord is largely restricted to the VB class of motor neurons. | [Expr5645] Larval Expression: Nervous System; ventral nerve cord; unidentified cells; | [Expr5645] Adult Expression: Nervous System; ventral nerve cord;</t>
  </si>
  <si>
    <t>egl-36 encodes a Shaw-type voltage-gated potassium channel that regulates egg laying and defecation; expression of egl-36::gfp reporters is observed in several different cell types including muscle cells such as the uterine and vulval egg-laying muscles, sensory, motor and interneurons, and the distal tip cells of the gonad; when expressed in a heterologous system, EGL-36 exhibits channel activity.</t>
  </si>
  <si>
    <t>9247272, 9247271</t>
  </si>
  <si>
    <t>9247271, 9247272, 22560298, </t>
  </si>
  <si>
    <t>"interneuron, motor neuron, sensory neuron", "AVL, ALNR, ALNL, ADER, ADEL, PDER, PDEL, m3R, m3L, I6 neuron, DVB"</t>
  </si>
  <si>
    <t>[Expr1466] Transgenic worms expressing this fusion had GFP fluorescence in uterine and vulval muscles, in the enteric motor neurons AVL and DVB, and in several additional neuron classes. No expression was evident in any known egg-laying motor neurons or any of the enteric muscles. Expression in the egg-laying muscles was first seen in young adults and increased with age. Vulval muscle expression was more evident than uterine muscle expression, perhaps due to the anatomy of the thin uterine muscles. Expression in the enteric motor neuron AVL was first seen in L1 larvae, while expression in the motor neuron DVB was first seen in L2 larvae, consistent with its postembryonic origin during the L1 stage. Other cells that express the GFP transgene include the bilateral neurons ADE, PDE, and ALN; the pharyngeal neurons M3L, M3R, and I6; and the two distal tip cells of the gonad. Expression in all of the neurons was evident in L1 or L2 stage larvae and subsequently changed little, but expression in the distal tip cells was not observed until the adult stage. | [Expr1468] The egl-36::gfp reporter is expressed in three types of muscles (the egg-laying, the anal depressor and sphincter, and the four most anterior head muscles), several classes of neurons (including sensory, motor, and interneurons), the spermatheca, and the distal tip cells of the somatic gonad.</t>
  </si>
  <si>
    <t>flr-1 encodes an ion channel that belongs to the DEG/ENaC sodium channel superfamily; flr-1 activity is essential for normal defecation rhythm, growth rates, expulsion, and dauer larvae formation; a rescuing FLR-1::GFP reporter is expressed in the intestine from embryonic to adult stages where it localizes to the membranes facing the inner lumen as well as to part of the lateral membrane between intestinal cells.</t>
  </si>
  <si>
    <t>8138152, 9751741</t>
  </si>
  <si>
    <t>22560298, 9751741, 21518154</t>
  </si>
  <si>
    <t>[Expr529] Expressed in the intestine from comma-stage embryo through adult.</t>
  </si>
  <si>
    <t>ggr-1 encodes a predicted member of the GABA/ glycine receptor family of ligand-gated chloride channels that affects thermotaxis; expressed in AIB, PVR, PVQ, AVH, and SMDV neurons and in some motor neurons in the ventral cord, and in the egg-laying muscles.</t>
  </si>
  <si>
    <t>"AIB, PVR, PVQ, AVH, SMDV and some ventral cord motor neurons"</t>
  </si>
  <si>
    <t>[Expr242] (C09G5) AIB PVR PVQ AVH SMDV and some ventral cord motor neurons</t>
  </si>
  <si>
    <t>glc-2 encodes the beta subunit of a glutamate-gated chloride channel; in vivo, GLC-2 is capable of forming homomeric glutamate-activated channels, as well as heteromeric channels with GLC-1 that can be activated by glutamate and avermectins, antihelmintics that inhibit pharyngeal pumping; as loss of glc-2 activity via large-scale RNAi screens does not result in any obvious abnormalities, the precise role of GLC-2 in development and/or behavior is not yet known; however, GLC-2 expression is generally restricted to the pm4 pharyngeal muscles of larvae and adults, suggesting a role for GLC-2 in regulation of glutamatergic inhibition of pharyngeal pumping.</t>
  </si>
  <si>
    <t>9192499, 7935817, 13678634</t>
  </si>
  <si>
    <t>21177967, 9192499, 22560298</t>
  </si>
  <si>
    <t>[Expr1471] Adults from all six transformed lines showed consistent staining of nuclei within the pharynx, and no staining was observed in other organs. From their position and the shape of the corresponding cells, six of these stained nuclei were identified as those of the m4 pharyngeal muscle cells in the metacorpus. In adults, no nuclei outside the metacorpus consistently stained for X-gal, although very faint staining of nuclei in the terminal bulb was sometimes seen. | [Expr1471] All the larval stages showed staining of pharyngeal nuclei, as seen in the adults, and stained nuclei were also observed in many eggs undergoing morphogenesis. In addition to the metacorpus staining, larvae (L1L3) also exhibited staining of nuclei towards the terminal bulb of the pharynx. Exact identification of these nuclei in the terminal bulb proved difficult owing to the diffuse nature of the staining observed at the earlier stages of development. This staining was most pronounced in eggs undergoing the later stages of morphogenesis and generally decreased throughout development until it was completely absent or barely visible in adults.</t>
  </si>
  <si>
    <t>glr-2 encodes an AMPA (non-NMDA)-type ionotropic glutamate receptor subunit; GLR-2 activity is required for mediating the behavioral response to light nose touch and for regulating the frequency with which animals change locomotory direction in response to sensory cues such as food; GLR-2 and GLR-1, a second AMPA-type ionotropic glutamate receptor, can interact to form functional heteromeric channels; GLR-2 is expressed in many neurons, including four of the five pairs of command interneurons that are required for locomotory control.</t>
  </si>
  <si>
    <t>11222641, 12467596, </t>
  </si>
  <si>
    <t>11222641, 15371514, 22560298, 12467596, 12467596, 22991463</t>
  </si>
  <si>
    <t>"neuronal cell body, neuron projection", "AVG, AVER, AVEL, AVDR, AVDL, AVAR, AVAL, RIGR, RIGL, RIAR, RIAL, AIBR, AIBL, AIAR, AIAL, PVCR, PVCL, M1 neuron, RMDVR, RMDVL, RMDDR, RMDDL, RIR", "AVG, AVER, AVEL, AVDR, AVDL, AVAR, AVAL, RIGR, RIGL, RIAR, RIAL, AIBR, AIBL, AIAR, AIAL, PVCR, PVCL, M1 neuron, DVA, RMDVR, RMDVL, RMDDR, RMDDL, RIR"</t>
  </si>
  <si>
    <t>[Expr817] AVA, AVD, AVE, PVC, RMDV, RMDD, AIA, AIB, AVG, RIG, RIA, M1 pharynx, RIR(?) | [Expr3046] Transgenic expression of either GFP::GLR-2(Q) or GFP::GLR-2(R) in both the wild-type laboratory strain N2 and in a glr-2 deletion strain resulted in GFP signal in 25 neurons, as reported previously (see Expr817), with one additional cell pair (the DVA neurons) consistently seen in the tail.</t>
  </si>
  <si>
    <t>The gon-2 gene encodes a predicted transmembrane cation channel homologous to the long transient receptor potential channel (LTRPC) subfamily of TRP channels including Drosophila DLTRP and mammalian melastatin and LTRPC7; GON-2 regulates the onset and continuation of post-embryonic mitotic cell divisions in the somatic gonad precursor cells perhaps by mediating an increase in intracellular calcium in response to activating signals.</t>
  </si>
  <si>
    <t>10717675, 11290424, </t>
  </si>
  <si>
    <t>17850180, 15338614, 22560298, 11290424, 16054081, 21177967, </t>
  </si>
  <si>
    <t>[Expr3712] Strongly expressed in the intestine. | [Expr6568] Larval Expression: pharynx; rectal epithelium; excretory cell; | [Expr6568] Adult Expression: pharynx; rectal epithelium; excretory cell;</t>
  </si>
  <si>
    <t>gtl-1 encodes a TRPM subfamily member of the TRP channel family that affects the periodicity of the defecation cycle in combination with gon-2; expression includes the intestine.</t>
  </si>
  <si>
    <t>15338614, 17850180, 16054081, 18495023, 17486083, 18495023, 22560298</t>
  </si>
  <si>
    <t>"head neuron"</t>
  </si>
  <si>
    <t>[Chronogram1622] | [Expr3713] Strongly expressed in the intestine. | [Expr5160] Larval Expression: intestine; rectal gland cells; Nervous System; head neurons; | [Expr5160] Adult Expression: intestine; rectal gland cells; | [Expr8230] gtl-1 is expressed in the intestine. | [Expr8232] gtl-1 is expressed in the intestine.</t>
  </si>
  <si>
    <t>kqt-1 encodes one of three C. elegans KCNQ-like potassium channel subunits that, with respect to humans, is most similar to the KCNQ2-5 subfamily of channel proteins; although loss of KQT-1 activity via large-scale RNAi screens results in no obvious abnormalities, KQT-1 likely functions to regulate cellular excitability as expression of KQT-1 in Xenopus oocytes can produce K+ channel currents that functionally resemble vertebrate M-currents; activity of these KQT-1 channels can be suppressed by coexpression with the human M1 muscarinic receptor and treatment with diacylglycerol analogs; a KQT-1::GFP translational fusion is expressed in pharyngeal muscle cells, in the anterior and posterior mechanosensory neurons ALM and PLM, and in some head neurons.</t>
  </si>
  <si>
    <t>10767309, 15797864</t>
  </si>
  <si>
    <t>15797864, 22560298</t>
  </si>
  <si>
    <t>"mechanosensory neurons and other head neurons, PLM, ALM, additional unidentified head neurons", "ALMR, ALML, PLMR, PLML,  ventral nerve cord, head neuron, lateral nerve cord"</t>
  </si>
  <si>
    <t>[Expr3234] Translational fusions of kqt-1 gene with GFP revealed prominent expression in a variety of C. elegans tissues including pharyngeal muscles, mechanosensory neurons, and other head neurons. The mechanosensitive touch neurons PLM and ALM were clearly labeled by both kqt-1::GFP. Additional unidentified head neurons were labeled by kqt-1::GFP, although expression was not reliably observed in neurons of the ventral or dorsal cord.</t>
  </si>
  <si>
    <t>kqt-2 encodes one of three C. elegans KCNQ-like potassium channel subunits for which mutations in humans are associated with heredity diseases that affect epithelial cells, cardiac muscle and neurons; a KQT-2::GFP fusion protein is expressed exclusively in the intestine.</t>
  </si>
  <si>
    <t>[Expr3235] Translational fusions of kqt-2 gene with GFP revealed prominent expression in a variety of C. elegans tissues including intestinal cells.</t>
  </si>
  <si>
    <t>kqt-3 encodes one of three C. elegans KCNQ-like potassium channel subunits and, with respect to humans, is most similar to the KCNQ1 channel protein which when mutated leads to inherited long QT syndrome (OMIM:607542); although loss of KQT-3 activity via large-scale RNAi screens results in no obvious abnormalities, KQT-3 likely functions to regulate cellular excitability as expression of KQT-3 in Xenopus oocytes can produce K+ channel currents that functionally resemble vertebrate M-currents; activity of these KQT-3 channels can be suppressed by coexpression with the human M1 muscarinic receptor and treatment with diacylglycerol analogs, although KQT-3 is less sensitive to each of these treatments than KQT-1; a KQT-3::GFP fusion protein is expressed in the anterior- and posterior-most intestinal cells, the anterior and posterior mechanosensory neurons ALM and PLM, amphid and phasmid neurons, and in some additional head neurons.</t>
  </si>
  <si>
    <t>"mechanosensory neurons, chemosensory neurons, and other head neurons. The mechanosensitive touch neurons PLM and ALM. a large subset of DiI-positive chemosensory amphid and phasmid neurons. amphid neurons ADL, ASI, AWB, and ASH located in the head, and the phasmid neurons PHA and PHB in the tail. An additional DiI-negative neuron in the head, tentatively identified as the chemosensory neuron AWC. Additional unidentified head neurons, although expression was not reliably observed in neurons of the ventral or dorsal cord."</t>
  </si>
  <si>
    <t>[Expr3236] Translational fusions of kqt-3 gene with GFP revealed prominent expression in a variety of C. elegans tissues including intestinal cells, mechanosensory neurons, chemosensory neurons, and other head neurons. The mechanosensitive touch neurons PLM and ALM were clearly labeled by kqt-3::GFP. In addition, a large subset of DiI-positive chemosensory amphid and phasmid neurons consistently labeled with kqt-3::GFP. These identified kqt-3::GFP positive neurons included the amphid neurons ADL, ASI, AWB, and ASH located in the head, and the phasmid neurons PHA and PHB in the tail. An additional DiI-negative neuron in the head labeled consistently with kqt-3::GFP, which were tentatively identified as the chemosensory neuron AWC. Additional unidentified head neurons were labeled by kqt-3::GFP, although expression was not reliably observed in neurons of the ventral or dorsal cord.</t>
  </si>
  <si>
    <t>The mec-10 gene encodes an amiloride-sensitive Na+ channel protein (degenerin) required to sense gentle mechanical stimuli (e.g. touch) along the body wall; it is paralogous to mec-4, which has similar function in vivo.</t>
  </si>
  <si>
    <t>"AVM, ALMR, ALML, PVM, PVDR, PVDL, FLPR, FLPL"</t>
  </si>
  <si>
    <t>[Expr1523] Expressed in the six touch-receptor neurons, as well as FLP and PVD neurons. | [Expr9058] | [Expr9059]</t>
  </si>
  <si>
    <t>mgl-1 encodes a Group II metabotropic glutamate receptor (OMIM:604099, loss-of-function mutations in mice are associated with defects in long-term depression); by homology, MGL-1 is predicted to function as a pre-synaptic G protein-coupled receptor that, in response to glutamate binding, inhibits adenylyl cyclase activity; loss of mgl-1 activity via large-scale RNAi screens indicates that, in C. elegans, MGL-1 is required for normal post-embryonic growth rates; an mgl-1::GFP reporter is expressed in interneurons, motor neurons, and pharyngeal neurons.</t>
  </si>
  <si>
    <t>12529635, </t>
  </si>
  <si>
    <t>18680713, 22560298, 15177025</t>
  </si>
  <si>
    <t>"AIYR, AIYL", "AIAR, AIAL, NSMR, NSML, RMDVR, RMDVL, RMDDR, RMDDL"</t>
  </si>
  <si>
    <t>[Expr8246] Pmgl-1::mCherry was expressed in AIA amphid interneurons, RMDV and RMDD ring interneurons/motoneurons, and pharyngeal NSM serotonergic neurons.</t>
  </si>
  <si>
    <t>nmr-1 encodes an NMDA-type ionotropic glutamate receptor subunit that affects the duration of forward movement which is important during foraging behavior, and also affects osmotic avoidance; the slow kinetics typical of NMDA-dependent currents are likely important for its effect on forward movement.</t>
  </si>
  <si>
    <t>11545720, 12467596</t>
  </si>
  <si>
    <t>17486083, 17486083, 22560298, 11222641, 11545720, 16267094</t>
  </si>
  <si>
    <t>"AVG, AVER, AVEL, AVDR, AVDL, AVAR, AVAL, RIML, PVCR, PVCL, RIMR"</t>
  </si>
  <si>
    <t>[Chronogram877] | [Chronogram1356] | [Expr824] AVA, AVD, AVE, RIM, AVG, PVC | [Expr2402] Expression was limited to a small subset of neurons, including most of the interneurons of the locomotory control circuit (AVA, AVD, AVE, and PVC). | [Expr3782] To investigate the nmr-1 expression pattern, a GFP::NMR-1 translational reporter strain was examined. In dissected gonads, GFP expression is detectable in oocytes and sheath cells of transgenic animals, but not in controls. An identical pattern is observed in VAB-1::GFP-expressing gonads.</t>
  </si>
  <si>
    <t>ocr-2 encodes a TRPV (transient receptor potential channel, vanilloid subfamily) ion channel; OCR-2 activity is required for several types of sensory transduction including olfaction, osmosensation, mechanosensation, and chemosensation; an OCR-2 fusion protein is expressed in sensory cilia and requires the OSM-9 TRPV channel protein for proper localization; likewise, OSM-9 requires OCR-2 for its cilial localization.</t>
  </si>
  <si>
    <t>12160748, 17057248, 15673683, 22560298, </t>
  </si>
  <si>
    <t>"AWAR, AWAL, ASHR, ASHL, ADLR, ADLL, ADFR, ADFL, PHBL, PHAR, PHAL, PHBR" </t>
  </si>
  <si>
    <t>[Expr1983] ocr-2::GFP was expressed in four pairs of amphid sensory neurons, AWA, ADL, ASH, and ADF, and the two pairs of phasmid neurons, PHA and PHB. | [Expr3165] The immunoreactivity of OCR-2::FLAG and OCR-2(G36E)::FLAG is detected in the cilia and plasma membrane of the chemosensory neurons ADF, AWA, ASH, and ADL. | [Expr4976] OCR-2 reporter expression was fouond in sensory neurons. These sensory neurons have no known role in egg laying. In addition, OCR-2 reporter was expressed in cells of the egg-laying system. These were the four uterus-associated uv1 cells attached to the ventral surface of the uterus, as well as the syncytial uv1-associated cell utse. In adults, OCR-2 reporter expression was much stronger in uv1 than in utse; in larval animals, it was the reverse.</t>
  </si>
  <si>
    <t>osm-9 encodes a TRPV channel homologous to capsaicin receptors; osm-9 is involved in sensory responses to a subset of chemical stimuli and to ASH neuron-mediated osmotic and mechanical stimuli; OSM-9 is also involved in adaptation to volatile odorants and salts; OSM-9 is expressed in a variety of sensory neurons and shows neuron-specific localization to either the cell body or the cilium.</t>
  </si>
  <si>
    <t>7718242, 9334401, 11867526</t>
  </si>
  <si>
    <t>"ADL, OLQ, and the AWA olfactory neurons. IL2 neurons in the anterior ganglion, AWC, ASE, ADF, ASG, ASH, ASI, ASJ, ASK, and ADL neurons in the amphid sensory structure, the FLP and PVD neurons in the body, and the PHA and PHB neurons in the phasmid sensory structure."</t>
  </si>
  <si>
    <t>[Expr285] Expressed in the two ADL chemosensory neurons and the four OLQ mechanosensory neurons. | [Expr286] Expressed in ADL, OLQ, and the AWA olfactory neurons. | [Expr287] Expressed at AWA, ADL, and OLQ. Same expression expression observed with osm-9::GFP2. | [Expr288] Expressed in numerous additional sensory neurons other than AWA, OLQ, ADL, including the OLQ and IL2 neurons in the anterior ganglion, the AWA, AWC, ASE, ADF, ASG, ASH, ASI, ASJ, ASK, and ADL neurons in the amphid sensory structure, the FLP and PVD neurons in the body, and the PHA and PHB neurons in the phasmid sensory structure. osm-9::GFP5 was also expressed in the non-neuronal rectal gland cells and in a few cells in the ventral uterine region. | [Expr7823] | [Marker83] Marker for OLQ cilia.</t>
  </si>
  <si>
    <t>21177967, 19387491, 22560298</t>
  </si>
  <si>
    <t>"head neuron, tail neuron"</t>
  </si>
  <si>
    <t>[Expr8599] In transgenic worms expressing GFP driven by the kht-1 promoter in a kht-1 KO background (Pkht::gfp), intense GFP fluorescence was visible in the PLM touch neurons. Pkht-1::gfp also yielded signals in intestine and in several neurons in the head and tail, which are currently unidentified. | [Expr8600]</t>
  </si>
  <si>
    <t>tax-2 encodes a cyclic nucleotide-gated channel beta subunit orthologous to the human gene ROD PHOTORECEPTOR CNG-CHANNEL BETA SUBUNIT (CNGB1; OMIM:600724), which when mutated leads to disease; TAX-2 activity is required for chemosensation, thermosensation, regulation of dauer larval development, normal axon guidance for some sensory neurons, and regulation of axonal outgrowth and morphology in late larval stages; a tax-2::GFP promoter fusion is expressed in nine pairs of amphid sensory neurons and a TAX-2::GFP fusion protein localizes to developing axons and sensory cilia.</t>
  </si>
  <si>
    <t>8893026, 9486798</t>
  </si>
  <si>
    <t>"AWC, AFD, ASE, ASG, ASJ, AQR, PQR, BAG, ASK, ASI, AWB"</t>
  </si>
  <si>
    <t>[Chronogram1342] | [Chronogram1515] | [Expr1860] GFP is expressed in AWC, AFD, ASE, ASG, ASJ, AQR, PQR, BAG, ASK, ASI, and AWB neurons. All tax-2::gfp fusion genes were expressed continuously from about mid-embryogenesis until the adult stage. | [Expr1861] GFP expressed in the neurons AWC, AFD, ASE, ASI, AQR, PQR, BAG, and occasionally ASK. All tax-2::gfp fusion genes were expressed continuously from about mid-embryogenesis until the adult stage. | [Expr1862] GFP is expressed in the neurons AWB, AWC, ASG, ASI, ASK, and ASJ. All tax-2::gfp fusion genes were expressed continuously from about mid-embryogenesis until the adult stage. | [Expr1863] | [Expr5971] Larval Expression: intestine; hypodermis; Nervous System; head neurons; amphids; | [Expr5971] Adult Expression: Nervous System; head neurons; amphids; | [Expr8094]</t>
  </si>
  <si>
    <t>trp-2 encodes a transient receptor potential (TRP) channel that, along with trp-1 and spe-41, constitutes one of three C. elegans TRPC family members; trp-2, along with trp-1, controls nicotine-dependent behavior.</t>
  </si>
  <si>
    <t>12914694, 17081982</t>
  </si>
  <si>
    <t>19875417, 17486083, 22560298, 15338614, 17850180</t>
  </si>
  <si>
    <t>"neuron, ASER, nervous system", "amphid neuron, nervous system, head neuron, phasmid neuron, tail neuron"</t>
  </si>
  <si>
    <t>[Chronogram479] | [Expr6468] Larval Expression: Nervous System; head neurons; amphids; tail neurons; phasmids; | [Expr6468] Adult Expression: Nervous System; head neurons; amphids; tail neurons; phasmids;</t>
  </si>
  <si>
    <t>tag-180 encodes an alpha2/delta subunit of a voltage-gated calcium channel; a tag-180::gfp promoter fusion is expressed in the gut and in a small number of head and tail neurons.</t>
  </si>
  <si>
    <t>16838374, 21878625, </t>
  </si>
  <si>
    <t>21177967, 22560298, 16838374</t>
  </si>
  <si>
    <t>[Expr7867] Expression was seen in the gut as well as in a small number of head and tail neurons. GFP expression was not detected in touch neurons.</t>
  </si>
  <si>
    <t>KCNN (potassium K ChaNNel, calcium activated)-Like</t>
  </si>
  <si>
    <t>"neurons of the head and tail ganglia "</t>
  </si>
  <si>
    <t>[Expr2023] Expression is seen in neurons of the head and tail ganglia predominantly in young larvae, but also evident in older larvae and adults. The number of neurons showing expression varies (probably due to mosaicism), but is typically 2 or 3 in the tail (but occasionally more, especially in young larvae) and 10-12 in the head.</t>
  </si>
  <si>
    <t>17606643, 22560298</t>
  </si>
  <si>
    <t>"neuron, ASER, ASEL", </t>
  </si>
  <si>
    <t>[Expr7929] Expressed in ASE neurons and less than 10 other neurons.</t>
  </si>
  <si>
    <t>22560298, 18701922</t>
  </si>
  <si>
    <t>[Expr8358] Expressed in the amphid sheath cells which were labelled with sheath cell-specific marker VAP-1::RFP.</t>
  </si>
  <si>
    <t>[Chronogram571]</t>
  </si>
  <si>
    <t>18680713, 22560298, 21177967</t>
  </si>
  <si>
    <t>"BAGR, BAGL, AWCR, AWCL, ASER, ASEL, RICR, RICL, RIBR, RIBL, ADFR, ADFL, NSMR, NSML"</t>
  </si>
  <si>
    <t>[Expr8247] Pmgl-3::gfp was expressed in NSM, ADF, ASE, and AWC amphid sensory neurons, and the RIB and RIC interneurons. Occasional expression in BAG-ciliated neurons was also noted.</t>
  </si>
  <si>
    <t>Name</t>
  </si>
  <si>
    <t>Associated gene</t>
  </si>
  <si>
    <t>Type</t>
  </si>
  <si>
    <t>Subtype</t>
  </si>
  <si>
    <t>Exists in cells</t>
  </si>
  <si>
    <t>References</t>
  </si>
  <si>
    <t>Neurolex closest link</t>
  </si>
  <si>
    <t>Maximal conductance (S / F)</t>
  </si>
  <si>
    <t>V_0.5 (mV)</t>
  </si>
  <si>
    <t>k (mV)</t>
  </si>
  <si>
    <t>Tau (ms)</t>
  </si>
  <si>
    <t>egl-19</t>
  </si>
  <si>
    <t>Ca2+, voltage gated</t>
  </si>
  <si>
    <t>HVA L-type</t>
  </si>
  <si>
    <t>muscle cells</t>
  </si>
  <si>
    <t>http://www.mendeley.com/groups/835901/open-worm/papers/added/0/tag/egl-19/</t>
  </si>
  <si>
    <t>http://neurolex.org/wiki/Category:Cav1.1</t>
  </si>
  <si>
    <t>CCA-1</t>
  </si>
  <si>
    <t>cca-1</t>
  </si>
  <si>
    <t>LVA T-type</t>
  </si>
  <si>
    <t>neurons, pharynx</t>
  </si>
  <si>
    <t>http://www.mendeley.com/groups/835901/open-worm/papers/added/0/tag/cca-1/</t>
  </si>
  <si>
    <t>http://neurolex.org/wiki/Category:Cav3.1</t>
  </si>
  <si>
    <t>NCA-1</t>
  </si>
  <si>
    <t>nca-1</t>
  </si>
  <si>
    <t>alpha-1 U-type</t>
  </si>
  <si>
    <t>neurons (axon localized)</t>
  </si>
  <si>
    <t>http://www.mendeley.com/catalog/putative-cation-channel-nca-1-novel-protein-unc-80-transmit-neuronal-activity-c-elegans/</t>
  </si>
  <si>
    <t>nca-2</t>
  </si>
  <si>
    <t>neurons</t>
  </si>
  <si>
    <t>unc-36</t>
  </si>
  <si>
    <t>alpha-2 delta subunit</t>
  </si>
  <si>
    <t>muscle cells, neurons</t>
  </si>
  <si>
    <t>http://www.mendeley.com/groups/835901/open-worm/papers/added/0/tag/unc-36/</t>
  </si>
  <si>
    <t>tag-180</t>
  </si>
  <si>
    <t>ccb-1</t>
  </si>
  <si>
    <t>beta subunit</t>
  </si>
  <si>
    <t>pharynx, muscle cells</t>
  </si>
  <si>
    <t>ccb-2</t>
  </si>
  <si>
    <t>sup-9</t>
  </si>
  <si>
    <t>K+</t>
  </si>
  <si>
    <t>TWIK / 4TM</t>
  </si>
  <si>
    <t>unc-2</t>
  </si>
  <si>
    <t>HVA non-L-type</t>
  </si>
  <si>
    <t>http://www.mendeley.com/groups/835901/open-worm/papers/added/0/tag/unc-2/</t>
  </si>
  <si>
    <t>unc-58</t>
  </si>
  <si>
    <t>motoneurons, interneurons</t>
  </si>
  <si>
    <t>UNC-68</t>
  </si>
  <si>
    <t>unc-68</t>
  </si>
  <si>
    <t>Ryanodine receptor </t>
  </si>
  <si>
    <t>http://www.mendeley.com/groups/835901/open-worm/papers/added/0/tag/unc-68/</t>
  </si>
  <si>
    <t>http://neurolex.org/wiki/Category:Ryanodine_Receptor</t>
  </si>
  <si>
    <t>unc-103</t>
  </si>
  <si>
    <t>K+, voltage gated</t>
  </si>
  <si>
    <t>Kv10-12</t>
  </si>
  <si>
    <t>unc-110</t>
  </si>
  <si>
    <t>twk-1</t>
  </si>
  <si>
    <t>hypoderm</t>
  </si>
  <si>
    <t>twk-2</t>
  </si>
  <si>
    <t>twk-3</t>
  </si>
  <si>
    <t>twk-4</t>
  </si>
  <si>
    <t>twk-5</t>
  </si>
  <si>
    <t>twk-6</t>
  </si>
  <si>
    <t>twk-7</t>
  </si>
  <si>
    <t>twk-8</t>
  </si>
  <si>
    <t>twk-9</t>
  </si>
  <si>
    <t>twk-10</t>
  </si>
  <si>
    <t>twk-11</t>
  </si>
  <si>
    <t>twk-12</t>
  </si>
  <si>
    <t>twk-13</t>
  </si>
  <si>
    <t>twk-14</t>
  </si>
  <si>
    <t>twk-16</t>
  </si>
  <si>
    <t>twk-17</t>
  </si>
  <si>
    <t>twk-20</t>
  </si>
  <si>
    <t>twk-21</t>
  </si>
  <si>
    <t>twk-22</t>
  </si>
  <si>
    <t>pharyngeal cells</t>
  </si>
  <si>
    <t>twk-23</t>
  </si>
  <si>
    <t>twk-24</t>
  </si>
  <si>
    <t>twk-25</t>
  </si>
  <si>
    <t>twk-26</t>
  </si>
  <si>
    <t>twk-28</t>
  </si>
  <si>
    <t>twk-29</t>
  </si>
  <si>
    <t>twk-30</t>
  </si>
  <si>
    <t>twk-31</t>
  </si>
  <si>
    <t>twk-32</t>
  </si>
  <si>
    <t>twk-33</t>
  </si>
  <si>
    <t>twk-34</t>
  </si>
  <si>
    <t>twk-35</t>
  </si>
  <si>
    <t>twk-36</t>
  </si>
  <si>
    <t>excretory cell</t>
  </si>
  <si>
    <t>twk-37</t>
  </si>
  <si>
    <t>twk-39</t>
  </si>
  <si>
    <t>twk-40</t>
  </si>
  <si>
    <t>twk-42</t>
  </si>
  <si>
    <t>twk-43</t>
  </si>
  <si>
    <t>twk-44</t>
  </si>
  <si>
    <t>twk-45</t>
  </si>
  <si>
    <t>twk-46</t>
  </si>
  <si>
    <t>twk-47</t>
  </si>
  <si>
    <t>twk-48</t>
  </si>
  <si>
    <t>twk-49</t>
  </si>
  <si>
    <t>slo-1</t>
  </si>
  <si>
    <t>K+, Ca2+ gated</t>
  </si>
  <si>
    <t>Slo</t>
  </si>
  <si>
    <t>http://www.mendeley.com/groups/835901/open-worm/papers/added/0/tag/slo-1/</t>
  </si>
  <si>
    <t> SLO-2</t>
  </si>
  <si>
    <t>slo-2</t>
  </si>
  <si>
    <t>http://www.mendeley.com/groups/835901/open-worm/papers/added/0/tag/slo-2/</t>
  </si>
  <si>
    <t>http://neurolex.org/wiki/Category:SLO-2</t>
  </si>
  <si>
    <t>kcnl-1</t>
  </si>
  <si>
    <t>SK</t>
  </si>
  <si>
    <t>kcnl-2</t>
  </si>
  <si>
    <t>kcnl-3</t>
  </si>
  <si>
    <t>kcnl-4</t>
  </si>
  <si>
    <t>irk-1</t>
  </si>
  <si>
    <t>K+, inward rectifier</t>
  </si>
  <si>
    <t>Kir</t>
  </si>
  <si>
    <t>irk-2</t>
  </si>
  <si>
    <t>head neurons</t>
  </si>
  <si>
    <t>irk-3</t>
  </si>
  <si>
    <t>SHK-1</t>
  </si>
  <si>
    <t>shk-1</t>
  </si>
  <si>
    <t>Kv1</t>
  </si>
  <si>
    <t>interneurons, sensory neurons, muscle cells</t>
  </si>
  <si>
    <t>http://www.mendeley.com/groups/835901/open-worm/papers/added/0/tag/shk-1/</t>
  </si>
  <si>
    <t>http://neurolex.org/wiki/Category:Voltage-gated_potassium_channel_-_type_2</t>
  </si>
  <si>
    <t>EXP-2</t>
  </si>
  <si>
    <t>exp-2</t>
  </si>
  <si>
    <t>Kv2</t>
  </si>
  <si>
    <t>pharyngeal muscle cells</t>
  </si>
  <si>
    <t>http://www.mendeley.com/catalog/cca-1-egl-19-exp-2-currents-shape-action-potentials-caenorhabditis-elegans-pharynx/</t>
  </si>
  <si>
    <t>http://neurolex.org/wiki/Category:Voltage-gated_potassium_channel</t>
  </si>
  <si>
    <t>kvs-1</t>
  </si>
  <si>
    <t>motoneurons, sensory neurons</t>
  </si>
  <si>
    <t>kvs-2</t>
  </si>
  <si>
    <t>kvs-3</t>
  </si>
  <si>
    <t>kvs-4</t>
  </si>
  <si>
    <t>kvs-5</t>
  </si>
  <si>
    <t>shw-1</t>
  </si>
  <si>
    <t>Kv3</t>
  </si>
  <si>
    <t>egl-36</t>
  </si>
  <si>
    <t>shw-3</t>
  </si>
  <si>
    <t>shl-1</t>
  </si>
  <si>
    <t>Kv4</t>
  </si>
  <si>
    <t>egl-2</t>
  </si>
  <si>
    <t>muscle cellls, sensory neurons</t>
  </si>
  <si>
    <t>egl-23</t>
  </si>
  <si>
    <t>kqt-1</t>
  </si>
  <si>
    <t>KQT</t>
  </si>
  <si>
    <t>kqt-2</t>
  </si>
  <si>
    <t>intestine</t>
  </si>
  <si>
    <t>kqt-3</t>
  </si>
  <si>
    <t>sensory neurons</t>
  </si>
  <si>
    <t>ocr-1</t>
  </si>
  <si>
    <t>cation, TRP</t>
  </si>
  <si>
    <t>TRPV</t>
  </si>
  <si>
    <t>ocr-2</t>
  </si>
  <si>
    <t>ocr-3</t>
  </si>
  <si>
    <t>gland cells</t>
  </si>
  <si>
    <t>ocr-4</t>
  </si>
  <si>
    <t>osm-9</t>
  </si>
  <si>
    <t>lov-1</t>
  </si>
  <si>
    <t>TRPP</t>
  </si>
  <si>
    <t>pkd-2</t>
  </si>
</sst>
</file>

<file path=xl/styles.xml><?xml version="1.0" encoding="utf-8"?>
<styleSheet xmlns="http://schemas.openxmlformats.org/spreadsheetml/2006/main" xmlns:x14ac="http://schemas.microsoft.com/office/spreadsheetml/2009/9/ac" xmlns:mc="http://schemas.openxmlformats.org/markup-compatibility/2006">
  <fonts count="14">
    <font>
      <b val="0"/>
      <i val="0"/>
      <strike val="0"/>
      <u val="none"/>
      <sz val="10.0"/>
      <color rgb="FF000000"/>
      <name val="Arial"/>
    </font>
    <font>
      <b/>
      <i val="0"/>
      <strike val="0"/>
      <u val="none"/>
      <sz val="10.0"/>
      <color rgb="FF000000"/>
      <name val="Arial"/>
    </font>
    <font>
      <b/>
      <i val="0"/>
      <strike val="0"/>
      <u/>
      <sz val="10.0"/>
      <color rgb="FFCFE2F3"/>
      <name val="Arial"/>
    </font>
    <font>
      <b/>
      <i val="0"/>
      <strike val="0"/>
      <u/>
      <sz val="10.0"/>
      <color rgb="FF0000FF"/>
      <name val="Arial"/>
    </font>
    <font>
      <b/>
      <i val="0"/>
      <strike val="0"/>
      <u val="none"/>
      <sz val="10.0"/>
      <color rgb="FF000000"/>
      <name val="Arial"/>
    </font>
    <font>
      <b/>
      <i val="0"/>
      <strike val="0"/>
      <u val="none"/>
      <sz val="10.0"/>
      <color rgb="FFFFFFFF"/>
      <name val="Arial"/>
    </font>
    <font>
      <b val="0"/>
      <i val="0"/>
      <strike val="0"/>
      <u val="none"/>
      <sz val="10.0"/>
      <color rgb="FF000000"/>
      <name val="Arial"/>
    </font>
    <font>
      <b/>
      <i val="0"/>
      <strike val="0"/>
      <u val="none"/>
      <sz val="10.0"/>
      <color rgb="FFFFFFFF"/>
      <name val="Arial"/>
    </font>
    <font>
      <b/>
      <i val="0"/>
      <strike val="0"/>
      <u val="none"/>
      <sz val="10.0"/>
      <color rgb="FF000000"/>
      <name val="Arial"/>
    </font>
    <font>
      <b/>
      <i val="0"/>
      <strike val="0"/>
      <u/>
      <sz val="10.0"/>
      <color rgb="FF0000FF"/>
      <name val="Arial"/>
    </font>
    <font>
      <b/>
      <i val="0"/>
      <strike val="0"/>
      <u val="none"/>
      <sz val="10.0"/>
      <color rgb="FF000000"/>
      <name val="Arial"/>
    </font>
    <font>
      <b/>
      <i val="0"/>
      <strike val="0"/>
      <u val="none"/>
      <sz val="10.0"/>
      <color rgb="FF000000"/>
      <name val="Arial"/>
    </font>
    <font>
      <b/>
      <i val="0"/>
      <strike val="0"/>
      <u val="none"/>
      <sz val="10.0"/>
      <color rgb="FFCFE2F3"/>
      <name val="Arial"/>
    </font>
    <font>
      <b val="0"/>
      <i val="0"/>
      <strike val="0"/>
      <u/>
      <sz val="10.0"/>
      <color rgb="FF0000FF"/>
      <name val="Arial"/>
    </font>
  </fonts>
  <fills count="4">
    <fill>
      <patternFill patternType="none"/>
    </fill>
    <fill>
      <patternFill patternType="gray125">
        <bgColor rgb="FFFFFFFF"/>
      </patternFill>
    </fill>
    <fill>
      <patternFill patternType="solid">
        <fgColor rgb="FFFFFFFF"/>
        <bgColor indexed="64"/>
      </patternFill>
    </fill>
    <fill>
      <patternFill patternType="solid">
        <fgColor rgb="FF000000"/>
        <bgColor indexed="64"/>
      </patternFill>
    </fill>
  </fills>
  <borders count="1">
    <border>
      <left/>
      <right/>
      <top/>
      <bottom/>
      <diagonal/>
    </border>
  </borders>
  <cellStyleXfs count="1">
    <xf fillId="0" numFmtId="0" borderId="0" fontId="0"/>
  </cellStyleXfs>
  <cellXfs count="15">
    <xf applyAlignment="1" fillId="0" xfId="0" numFmtId="0" borderId="0" fontId="0">
      <alignment vertical="bottom" horizontal="general" wrapText="1"/>
    </xf>
    <xf applyAlignment="1" fillId="2" xfId="0" numFmtId="0" borderId="0" applyFont="1" fontId="1" applyFill="1">
      <alignment vertical="bottom" horizontal="general" wrapText="1"/>
    </xf>
    <xf fillId="2" xfId="0" numFmtId="0" borderId="0" applyFont="1" fontId="2" applyFill="1"/>
    <xf fillId="2" xfId="0" numFmtId="0" borderId="0" applyFont="1" fontId="3" applyFill="1"/>
    <xf applyAlignment="1" fillId="2" xfId="0" numFmtId="0" borderId="0" applyFont="1" fontId="4" applyFill="1">
      <alignment vertical="bottom" horizontal="general" wrapText="1"/>
    </xf>
    <xf applyAlignment="1" fillId="3" xfId="0" numFmtId="0" borderId="0" applyFont="1" fontId="5" applyFill="1">
      <alignment vertical="bottom" horizontal="center" wrapText="1"/>
    </xf>
    <xf applyAlignment="1" fillId="0" xfId="0" numFmtId="0" borderId="0" applyFont="1" fontId="6">
      <alignment vertical="bottom" horizontal="general" wrapText="1"/>
    </xf>
    <xf applyAlignment="1" fillId="3" xfId="0" numFmtId="0" borderId="0" applyFont="1" fontId="7" applyFill="1">
      <alignment vertical="bottom" horizontal="center"/>
    </xf>
    <xf applyAlignment="1" fillId="0" xfId="0" numFmtId="0" borderId="0" applyFont="1" fontId="8">
      <alignment vertical="bottom" horizontal="general" wrapText="1"/>
    </xf>
    <xf fillId="0" xfId="0" numFmtId="0" borderId="0" applyFont="1" fontId="9"/>
    <xf fillId="0" xfId="0" numFmtId="0" borderId="0" fontId="0"/>
    <xf fillId="0" xfId="0" numFmtId="0" borderId="0" applyFont="1" fontId="10"/>
    <xf applyAlignment="1" fillId="0" xfId="0" numFmtId="0" borderId="0" applyFont="1" fontId="11">
      <alignment vertical="bottom" horizontal="general" wrapText="1"/>
    </xf>
    <xf applyAlignment="1" fillId="2" xfId="0" numFmtId="0" borderId="0" applyFont="1" fontId="12" applyFill="1">
      <alignment vertical="bottom" horizontal="general" wrapText="1"/>
    </xf>
    <xf fillId="0" xfId="0" numFmtId="0" borderId="0" applyFont="1" fontId="13"/>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10.86"/>
    <col min="2" customWidth="1" max="2" width="19.14"/>
    <col min="3" customWidth="1" max="3" width="8.57"/>
    <col min="4" customWidth="1" max="4" width="54.0"/>
    <col min="5" customWidth="1" max="5" width="15.43"/>
    <col min="6" customWidth="1" max="6" width="17.0"/>
    <col min="8" customWidth="1" max="8" width="11.0"/>
    <col min="9" customWidth="1" max="9" width="10.71"/>
    <col min="10" customWidth="1" max="10" width="27.43"/>
    <col min="11" customWidth="1" max="11" width="74.71"/>
    <col min="12" customWidth="1" max="12" width="8.43"/>
    <col min="13" customWidth="1" max="13" width="9.57"/>
    <col min="14" customWidth="1" max="14" width="9.14"/>
    <col min="15" customWidth="1" max="15" width="11.14"/>
    <col min="16" customWidth="1" max="16" width="11.29"/>
    <col min="17" customWidth="1" max="17" width="11.86"/>
    <col min="18" customWidth="1" max="18" width="9.14"/>
    <col min="19" customWidth="1" max="19" width="9.29"/>
    <col min="20" customWidth="1" max="20" width="12.0"/>
  </cols>
  <sheetData>
    <row r="1">
      <c t="s" s="5" r="A1">
        <v>0</v>
      </c>
      <c t="s" s="7" r="B1">
        <v>1</v>
      </c>
      <c t="s" s="5" r="C1">
        <v>2</v>
      </c>
      <c t="s" s="5" r="D1">
        <v>3</v>
      </c>
      <c t="s" s="5" r="E1">
        <v>4</v>
      </c>
      <c t="s" s="5" r="F1">
        <v>5</v>
      </c>
      <c t="s" s="5" r="G1">
        <v>6</v>
      </c>
      <c t="s" s="5" r="H1">
        <v>7</v>
      </c>
      <c t="s" s="5" r="I1">
        <v>8</v>
      </c>
      <c t="s" s="5" r="J1">
        <v>9</v>
      </c>
      <c t="s" s="5" r="K1">
        <v>10</v>
      </c>
      <c t="s" r="L1">
        <v>11</v>
      </c>
      <c t="s" r="M1">
        <v>12</v>
      </c>
      <c t="s" r="N1">
        <v>13</v>
      </c>
      <c t="s" r="O1">
        <v>14</v>
      </c>
      <c t="s" r="P1">
        <v>15</v>
      </c>
      <c t="s" r="Q1">
        <v>16</v>
      </c>
      <c t="s" r="R1">
        <v>17</v>
      </c>
      <c t="s" r="S1">
        <v>18</v>
      </c>
      <c t="s" r="T1">
        <v>19</v>
      </c>
    </row>
    <row r="2">
      <c t="s" s="8" r="A2">
        <v>20</v>
      </c>
      <c t="str" s="11" r="B2">
        <f>HYPERLINK("http://www.wormbase.org/db/gene/gene?name=WBGene00001187;class=Gene","WBGene00001187")</f>
        <v>WBGene00001187</v>
      </c>
      <c t="str" s="8" r="C2">
        <f>HYPERLINK("http://www.wormbase.org/species/c_elegans/gene/WBGene00001187#0-9e-3", "egl-19")</f>
        <v>egl-19</v>
      </c>
      <c t="s" s="8" r="D2">
        <v>21</v>
      </c>
      <c t="s" s="8" r="E2">
        <v>22</v>
      </c>
      <c t="str" s="8" r="F2">
        <f>HYPERLINK("http://www.wormbase.org/species/c_elegans/protein/WP:CE28820#06--10","EGL-19, isoform a; EGL-19, isoform b; EGL-19, isoform c")</f>
        <v>EGL-19, isoform a; EGL-19, isoform b; EGL-19, isoform c</v>
      </c>
      <c t="str" s="8" r="G2">
        <f>hyperlink("http://www.wormbase.org/resources/gene_class/egl#01--10","EGg Laying defective")</f>
        <v>EGg Laying defective</v>
      </c>
      <c t="str" s="8" r="H2">
        <f>hyperlink("http://www.wormbase.org/species/all/expr_pattern/Expr1458?query=Expr1458#021--10","Expr1458, Expr5533, Expr5534, Expr5535, Expr1030759, Chronogram185, Chronogram1325, Expr1013253")</f>
        <v>Expr1458, Expr5533, Expr5534, Expr5535, Expr1030759, Chronogram185, Chronogram1325, Expr1013253</v>
      </c>
      <c t="s" s="8" r="I2">
        <v>23</v>
      </c>
      <c t="s" s="8" r="J2">
        <v>24</v>
      </c>
      <c t="s" s="8" r="K2">
        <v>25</v>
      </c>
      <c t="s" s="8" r="L2">
        <v>26</v>
      </c>
      <c t="s" s="8" r="M2">
        <v>26</v>
      </c>
      <c t="s" s="8" r="N2">
        <v>26</v>
      </c>
      <c t="s" s="8" r="O2">
        <v>26</v>
      </c>
      <c t="s" s="8" r="P2">
        <v>26</v>
      </c>
      <c t="s" s="8" r="Q2">
        <v>26</v>
      </c>
      <c t="s" s="8" r="R2">
        <v>26</v>
      </c>
      <c t="s" s="8" r="S2">
        <v>26</v>
      </c>
      <c t="s" s="8" r="T2">
        <v>27</v>
      </c>
    </row>
    <row r="3">
      <c t="str" s="8" r="A3">
        <f>UPPER(C3)</f>
        <v>CLH-2</v>
      </c>
      <c t="str" s="9" r="B3">
        <f>HYPERLINK("http://www.wormbase.org/db/gene/gene?name=WBGene00000529;class=Gene","WBGene00000529")</f>
        <v>WBGene00000529</v>
      </c>
      <c t="str" s="9" r="C3">
        <f>HYPERLINK("http://www.wormbase.org/db/gene/gene?name=clh-2;class=Gene","clh-2")</f>
        <v>clh-2</v>
      </c>
      <c t="s" s="8" r="D3">
        <v>28</v>
      </c>
      <c t="s" s="8" r="E3">
        <v>29</v>
      </c>
      <c t="str" s="8" r="F3">
        <f>HYPERLINK("http://www.wormbase.org/species/c_elegans/protein/WP:CE20461#06--10","CLH-2, isoform a; CLH-2, isoform b; CLH-2, isoform c")</f>
        <v>CLH-2, isoform a; CLH-2, isoform b; CLH-2, isoform c</v>
      </c>
      <c t="str" s="8" r="G3">
        <f>hyperlink("http://www.wormbase.org/resources/gene_class/clh#01--10","CLC-type chloride cHannel")</f>
        <v>CLC-type chloride cHannel</v>
      </c>
      <c t="str" s="8" r="H3">
        <f>hyperlink("http://www.wormbase.org/species/all/expr_pattern/Expr1188?query=Expr1188#021--10","Expr1188")</f>
        <v>Expr1188</v>
      </c>
      <c s="8" r="I3">
        <v>10567397</v>
      </c>
      <c t="s" s="8" r="J3">
        <v>30</v>
      </c>
      <c t="s" s="12" r="K3">
        <v>31</v>
      </c>
      <c t="s" s="8" r="L3">
        <v>26</v>
      </c>
      <c t="s" s="8" r="M3">
        <v>26</v>
      </c>
      <c t="s" s="8" r="N3">
        <v>26</v>
      </c>
      <c t="s" s="8" r="O3">
        <v>26</v>
      </c>
      <c t="s" s="8" r="P3">
        <v>26</v>
      </c>
      <c t="s" s="8" r="Q3">
        <v>26</v>
      </c>
      <c t="s" s="8" r="R3">
        <v>26</v>
      </c>
      <c t="s" s="8" r="S3">
        <v>26</v>
      </c>
      <c t="s" s="8" r="T3">
        <v>27</v>
      </c>
    </row>
    <row r="4">
      <c t="str" s="4" r="A4">
        <f>UPPER(C4)</f>
        <v>SLO-1</v>
      </c>
      <c t="str" s="3" r="B4">
        <f>HYPERLINK("http://www.wormbase.org/db/gene/gene?name=WBGene00004830;class=Gene","WBGene00004830")</f>
        <v>WBGene00004830</v>
      </c>
      <c t="str" s="3" r="C4">
        <f>HYPERLINK("http://www.wormbase.org/db/gene/gene?name=slo-1;class=Gene","slo-1")</f>
        <v>slo-1</v>
      </c>
      <c t="s" s="4" r="D4">
        <v>32</v>
      </c>
      <c t="s" s="4" r="E4">
        <v>33</v>
      </c>
      <c t="str" s="4" r="F4">
        <f>HYPERLINK("http://www.wormbase.org/species/c_elegans/protein/WP:CE30364#06--10","SLO-1, isoform a; SLO-1, isoform b; SLO-1, isoform c; SLO-1, isoform d; SLO-1, isoform e; SLO-1, isoform f; SLO-1, isoform g; SLO-1, isoform h; SLO-1, isoform i; SLO-1, isoform j; SLO-1, isoform k; SLO-1, isoform l; SLO-1, isoform m")</f>
        <v>SLO-1, isoform a; SLO-1, isoform b; SLO-1, isoform c; SLO-1, isoform d; SLO-1, isoform e; SLO-1, isoform f; SLO-1, isoform g; SLO-1, isoform h; SLO-1, isoform i; SLO-1, isoform j; SLO-1, isoform k; SLO-1, isoform l; SLO-1, isoform m</v>
      </c>
      <c t="str" s="4" r="G4">
        <f>HYPERLINK("http://www.wormbase.org/resources/gene_class/slo#01--10","SLOwpoke potassium channel family")</f>
        <v>SLOwpoke potassium channel family</v>
      </c>
      <c t="str" s="4" r="H4">
        <f>HYPERLINK("http://www.wormbase.org/species/all/expr_pattern/Expr9897#021--10","Expr9897")</f>
        <v>Expr9897</v>
      </c>
      <c t="s" s="4" r="I4">
        <v>34</v>
      </c>
      <c t="s" s="4" r="J4">
        <v>35</v>
      </c>
      <c t="s" s="1" r="K4">
        <v>36</v>
      </c>
      <c t="s" s="4" r="L4">
        <v>26</v>
      </c>
      <c t="s" s="4" r="M4">
        <v>26</v>
      </c>
      <c t="s" s="4" r="N4">
        <v>26</v>
      </c>
      <c t="s" s="4" r="O4">
        <v>26</v>
      </c>
      <c t="s" s="4" r="P4">
        <v>26</v>
      </c>
      <c t="s" s="4" r="Q4">
        <v>26</v>
      </c>
      <c t="s" s="8" r="R4">
        <v>26</v>
      </c>
      <c t="s" s="8" r="S4">
        <v>26</v>
      </c>
      <c t="s" s="4" r="T4">
        <v>27</v>
      </c>
    </row>
    <row r="5">
      <c t="str" s="8" r="A5">
        <f>UPPER(C5)</f>
        <v>SLO-2</v>
      </c>
      <c t="str" s="9" r="B5">
        <f>HYPERLINK("http://www.wormbase.org/db/gene/gene?name=WBGene00004831;class=Gene","WBGene00004831")</f>
        <v>WBGene00004831</v>
      </c>
      <c t="str" s="9" r="C5">
        <f>HYPERLINK("http://www.wormbase.org/db/gene/gene?name=slo-2;class=Gene","slo-2")</f>
        <v>slo-2</v>
      </c>
      <c t="s" s="8" r="D5">
        <v>37</v>
      </c>
      <c t="s" s="8" r="E5">
        <v>38</v>
      </c>
      <c t="s" s="8" r="F5">
        <v>39</v>
      </c>
      <c t="str" s="8" r="G5">
        <f>HYPERLINK("http://www.wormbase.org/resources/gene_class/slo#01--10","SLOwpoke potassium channel family")</f>
        <v>SLOwpoke potassium channel family</v>
      </c>
      <c t="str" s="8" r="H5">
        <f>HYPERLINK("http://www.wormbase.org/species/all/expr_pattern/Expr5677#021--10","Expr5677")</f>
        <v>Expr5677</v>
      </c>
      <c t="s" s="8" r="I5">
        <v>40</v>
      </c>
      <c t="s" s="8" r="J5">
        <v>41</v>
      </c>
      <c t="s" s="12" r="K5">
        <v>42</v>
      </c>
      <c t="s" s="4" r="L5">
        <v>26</v>
      </c>
      <c t="s" s="4" r="M5">
        <v>26</v>
      </c>
      <c t="s" s="4" r="N5">
        <v>26</v>
      </c>
      <c t="s" s="4" r="O5">
        <v>26</v>
      </c>
      <c t="s" s="4" r="P5">
        <v>26</v>
      </c>
      <c t="s" s="4" r="Q5">
        <v>26</v>
      </c>
      <c t="s" s="8" r="R5">
        <v>26</v>
      </c>
      <c t="s" s="8" r="S5">
        <v>26</v>
      </c>
      <c t="s" s="4" r="T5">
        <v>27</v>
      </c>
    </row>
    <row r="6">
      <c t="str" s="4" r="A6">
        <f>UPPER(C6)</f>
        <v>UNC-36</v>
      </c>
      <c t="str" s="3" r="B6">
        <f>HYPERLINK("http://www.wormbase.org/db/gene/gene?name=WBGene00006772;class=Gene","WBGene00006772")</f>
        <v>WBGene00006772</v>
      </c>
      <c t="str" s="3" r="C6">
        <f>HYPERLINK("http://www.wormbase.org/db/gene/gene?name=unc-36;class=Gene","unc-36")</f>
        <v>unc-36</v>
      </c>
      <c t="s" s="4" r="D6">
        <v>43</v>
      </c>
      <c t="s" s="4" r="E6">
        <v>44</v>
      </c>
      <c s="4" r="F6"/>
      <c t="str" s="4" r="G6">
        <f>HYPERLINK("http://www.wormbase.org/resources/gene_class/unc#01--10","UNCoordinated")</f>
        <v>UNCoordinated</v>
      </c>
      <c t="str" s="4" r="H6">
        <f>HYPERLINK("http://www.wormbase.org/species/all/expr_pattern/Expr7866#021--10","Expr7866")</f>
        <v>Expr7866</v>
      </c>
      <c t="s" s="4" r="I6">
        <v>45</v>
      </c>
      <c t="s" s="4" r="J6">
        <v>46</v>
      </c>
      <c t="s" s="1" r="K6">
        <v>47</v>
      </c>
      <c t="s" s="4" r="L6">
        <v>26</v>
      </c>
      <c t="s" s="4" r="M6">
        <v>26</v>
      </c>
      <c t="s" s="4" r="N6">
        <v>26</v>
      </c>
      <c t="s" s="4" r="O6">
        <v>26</v>
      </c>
      <c t="s" s="4" r="P6">
        <v>26</v>
      </c>
      <c t="s" s="4" r="Q6">
        <v>26</v>
      </c>
      <c t="s" s="4" r="R6">
        <v>26</v>
      </c>
      <c t="s" s="4" r="S6">
        <v>26</v>
      </c>
      <c t="s" s="4" r="T6">
        <v>27</v>
      </c>
    </row>
    <row r="7">
      <c t="str" s="4" r="A7">
        <f>UPPER(C7)</f>
        <v>LGC-46</v>
      </c>
      <c t="str" s="3" r="B7">
        <f>HYPERLINK("http://www.wormbase.org/db/gene/gene?name=WBGene00022106;class=Gene","WBGene00022106")</f>
        <v>WBGene00022106</v>
      </c>
      <c t="str" s="3" r="C7">
        <f>HYPERLINK("http://www.wormbase.org/db/gene/gene?name=lgc-46;class=Gene","lgc-46")</f>
        <v>lgc-46</v>
      </c>
      <c t="s" s="4" r="D7">
        <v>48</v>
      </c>
      <c t="s" s="4" r="E7">
        <v>49</v>
      </c>
      <c t="s" s="4" r="F7">
        <v>50</v>
      </c>
      <c t="str" s="4" r="G7">
        <f>HYPERLINK("http://www.wormbase.org/resources/gene_class/lgc#01--10","Ligand-Gated ion Channel")</f>
        <v>Ligand-Gated ion Channel</v>
      </c>
      <c t="str" s="4" r="H7">
        <f>HYPERLINK("http://www.wormbase.org/species/all/expr_pattern/Expr4845#021--10","Expr4845")</f>
        <v>Expr4845</v>
      </c>
      <c t="s" s="4" r="I7">
        <v>51</v>
      </c>
      <c t="s" s="4" r="J7">
        <v>52</v>
      </c>
      <c t="s" s="1" r="K7">
        <v>53</v>
      </c>
      <c t="s" s="4" r="L7">
        <v>27</v>
      </c>
      <c t="s" s="4" r="M7">
        <v>27</v>
      </c>
      <c t="s" s="4" r="N7">
        <v>27</v>
      </c>
      <c t="s" s="4" r="O7">
        <v>27</v>
      </c>
      <c t="s" s="4" r="P7">
        <v>27</v>
      </c>
      <c t="s" s="4" r="Q7">
        <v>27</v>
      </c>
      <c t="s" s="4" r="T7">
        <v>27</v>
      </c>
    </row>
    <row r="8">
      <c t="str" s="4" r="A8">
        <f>UPPER(C8)</f>
        <v>SHL-1</v>
      </c>
      <c t="str" s="3" r="B8">
        <f>HYPERLINK("http://www.wormbase.org/db/gene/gene?name=WBGene00022240;class=Gene","WBGene00022240")</f>
        <v>WBGene00022240</v>
      </c>
      <c t="str" s="3" r="C8">
        <f>HYPERLINK("http://www.wormbase.org/db/gene/gene?name=shl-1;class=Gene","shl-1")</f>
        <v>shl-1</v>
      </c>
      <c t="s" s="4" r="D8">
        <v>54</v>
      </c>
      <c t="s" s="4" r="E8">
        <v>55</v>
      </c>
      <c t="str" s="4" r="F8">
        <f>HYPERLINK("http://www.wormbase.org/species/c_elegans/protein/WP:CE46429#06--10","SHL-1")</f>
        <v>SHL-1</v>
      </c>
      <c t="str" r="G8">
        <f>HYPERLINK("http://www.wormbase.org/resources/gene_class/shl#01--10","SHaL family of potassium channels")</f>
        <v>SHaL family of potassium channels</v>
      </c>
      <c t="str" s="4" r="H8">
        <f>HYPERLINK("http://www.wormbase.org/species/all/expr_pattern/Expr8268#021--10","Expr8268, Expr2801, Chronogram23, Chronogram23, Expr1017833, Expr7114, Expr2098, Expr7115")</f>
        <v>Expr8268, Expr2801, Chronogram23, Chronogram23, Expr1017833, Expr7114, Expr2098, Expr7115</v>
      </c>
      <c t="s" s="4" r="I8">
        <v>56</v>
      </c>
      <c t="s" s="4" r="J8">
        <v>57</v>
      </c>
      <c t="s" s="1" r="K8">
        <v>58</v>
      </c>
      <c t="s" s="4" r="L8">
        <v>26</v>
      </c>
      <c t="s" s="4" r="M8">
        <v>26</v>
      </c>
      <c t="s" s="4" r="N8">
        <v>26</v>
      </c>
      <c t="s" s="4" r="O8">
        <v>26</v>
      </c>
      <c t="s" s="4" r="P8">
        <v>26</v>
      </c>
      <c t="s" s="4" r="Q8">
        <v>26</v>
      </c>
      <c t="s" s="4" r="T8">
        <v>27</v>
      </c>
    </row>
    <row r="9">
      <c t="str" s="4" r="A9">
        <f>UPPER(C9)</f>
        <v>SUP-9</v>
      </c>
      <c t="str" s="3" r="B9">
        <f>HYPERLINK("http://www.wormbase.org/db/gene/gene?name=WBGene00006318;class=Gene","WBGene00006318")</f>
        <v>WBGene00006318</v>
      </c>
      <c t="str" s="3" r="C9">
        <f>HYPERLINK("http://www.wormbase.org/db/gene/gene?name=sup-9;class=Gene","sup-9")</f>
        <v>sup-9</v>
      </c>
      <c t="s" s="4" r="D9">
        <v>59</v>
      </c>
      <c t="s" s="4" r="E9">
        <v>60</v>
      </c>
      <c t="str" s="4" r="F9">
        <f>HYPERLINK("http://www.wormbase.org/species/c_elegans/protein/WP:CE28297#06--10","SUP-9")</f>
        <v>SUP-9</v>
      </c>
      <c t="str" s="4" r="G9">
        <f>HYPERLINK("http://www.wormbase.org/resources/gene_class/sup#01--10","SUPpressor")</f>
        <v>SUPpressor</v>
      </c>
      <c t="str" s="4" r="H9">
        <f>HYPERLINK("http://www.wormbase.org/species/all/expr_pattern/Expr2772#021--10","Expr2772")</f>
        <v>Expr2772</v>
      </c>
      <c t="s" s="4" r="I9">
        <v>61</v>
      </c>
      <c t="s" s="4" r="J9">
        <v>62</v>
      </c>
      <c t="s" s="1" r="K9">
        <v>63</v>
      </c>
      <c s="4" r="L9"/>
      <c s="4" r="M9"/>
      <c s="4" r="N9"/>
      <c t="s" s="4" r="T9">
        <v>27</v>
      </c>
    </row>
    <row r="10">
      <c t="str" s="4" r="A10">
        <f>UPPER(C10)</f>
        <v>SHK-1</v>
      </c>
      <c t="str" s="3" r="B10">
        <f>HYPERLINK("http://www.wormbase.org/db/gene/gene?name=WBGene00014261;class=Gene","WBGene00014261")</f>
        <v>WBGene00014261</v>
      </c>
      <c t="str" s="3" r="C10">
        <f>HYPERLINK("http://www.wormbase.org/db/gene/gene?name=shk-1;class=Gene","shk-1")</f>
        <v>shk-1</v>
      </c>
      <c t="s" s="4" r="D10">
        <v>64</v>
      </c>
      <c t="s" s="4" r="E10">
        <v>55</v>
      </c>
      <c t="str" s="4" r="F10">
        <f>HYPERLINK("http://www.wormbase.org/species/c_elegans/protein/WP:CE32769#06--10","SHK-1, isoform a; SHK-1, isoform b; SHK-1, isoform c; SHK-1, isoform d; SHK-1, isoform e; SHK-1, isoform f; SHK-1, isoform g")</f>
        <v>SHK-1, isoform a; SHK-1, isoform b; SHK-1, isoform c; SHK-1, isoform d; SHK-1, isoform e; SHK-1, isoform f; SHK-1, isoform g</v>
      </c>
      <c t="str" s="4" r="G10">
        <f>HYPERLINK("http://www.wormbase.org/resources/gene_class/shk#01--10","SHaKer family of potassium channels")</f>
        <v>SHaKer family of potassium channels</v>
      </c>
      <c t="str" s="4" r="H10">
        <f>hyperlink("http://www.wormbase.org/species/all/expr_pattern/Expr8269?query=Expr8269#021--10", "Expr8269")</f>
        <v>Expr8269</v>
      </c>
      <c s="4" r="I10">
        <v>16899454</v>
      </c>
      <c t="s" s="4" r="J10">
        <v>65</v>
      </c>
      <c t="s" s="1" r="K10">
        <v>66</v>
      </c>
      <c s="4" r="L10"/>
      <c s="4" r="M10"/>
      <c s="4" r="N10"/>
      <c t="s" s="4" r="T10">
        <v>27</v>
      </c>
    </row>
    <row r="11">
      <c t="str" s="8" r="A11">
        <f>UPPER(C11)</f>
        <v>LGC-34</v>
      </c>
      <c t="str" s="9" r="B11">
        <f>HYPERLINK("http://www.wormbase.org/db/gene/gene?name=WBGene00020836;class=Gene","WBGene00020836")</f>
        <v>WBGene00020836</v>
      </c>
      <c t="str" s="9" r="C11">
        <f>HYPERLINK("http://www.wormbase.org/db/gene/gene?name=lgc-34;class=Gene","lgc-34")</f>
        <v>lgc-34</v>
      </c>
      <c t="s" s="8" r="D11">
        <v>67</v>
      </c>
      <c t="s" s="8" r="E11">
        <v>68</v>
      </c>
      <c t="str" s="8" r="F11">
        <f>HYPERLINK("http://www.wormbase.org/species/c_elegans/protein/WP:CE14211#06--10","LGC-34")</f>
        <v>LGC-34</v>
      </c>
      <c t="str" s="8" r="G11">
        <f>HYPERLINK("http://www.wormbase.org/resources/gene_class/lgc#01--10","Ligand-Gated ion Channel")</f>
        <v>Ligand-Gated ion Channel</v>
      </c>
      <c t="str" s="8" r="H11">
        <f>HYPERLINK("http://www.wormbase.org/species/all/expr_pattern/Expr6783#021--10","Expr6783")</f>
        <v>Expr6783</v>
      </c>
      <c t="s" s="8" r="I11">
        <v>69</v>
      </c>
      <c s="8" r="J11"/>
      <c t="s" s="12" r="K11">
        <v>70</v>
      </c>
      <c s="8" r="L11"/>
      <c s="8" r="M11"/>
      <c s="8" r="N11"/>
      <c t="s" s="8" r="T11">
        <v>27</v>
      </c>
    </row>
    <row r="12">
      <c t="str" r="A12">
        <f>UPPER(C12)</f>
        <v>TWK-20</v>
      </c>
      <c t="str" s="14" r="B12">
        <f>HYPERLINK("http://www.wormbase.org/db/gene/gene?name=WBGene00006673;class=Gene","WBGene00006673")</f>
        <v>WBGene00006673</v>
      </c>
      <c t="str" s="14" r="C12">
        <f>HYPERLINK("http://www.wormbase.org/db/gene/gene?name=twk-20;class=Gene","twk-20")</f>
        <v>twk-20</v>
      </c>
      <c t="s" r="D12">
        <v>71</v>
      </c>
      <c t="s" r="E12">
        <v>68</v>
      </c>
      <c t="str" r="F12">
        <f>hyperlink("http://www.wormbase.org/species/c_elegans/protein/WP:CE24839#06--10","TWK-20")</f>
        <v>TWK-20</v>
      </c>
      <c t="str" r="G12">
        <f>hyperlink("http://www.wormbase.org/resources/gene_class/twk#01--10", "TWiK family of potassium channels")</f>
        <v>TWiK family of potassium channels</v>
      </c>
      <c t="str" r="H12">
        <f>hyperlink("http://www.wormbase.org/species/all/expr_pattern/Expr1370?query=Expr1370#021--10","Expr1370")</f>
        <v>Expr1370</v>
      </c>
      <c r="I12">
        <v>11301195</v>
      </c>
      <c t="s" r="J12">
        <v>72</v>
      </c>
      <c t="s" s="6" r="K12">
        <v>73</v>
      </c>
      <c t="s" s="8" r="L12">
        <v>26</v>
      </c>
      <c t="s" s="8" r="M12">
        <v>26</v>
      </c>
      <c t="s" s="8" r="N12">
        <v>26</v>
      </c>
      <c t="s" s="8" r="O12">
        <v>26</v>
      </c>
      <c t="s" s="8" r="P12">
        <v>26</v>
      </c>
      <c t="s" s="8" r="Q12">
        <v>26</v>
      </c>
      <c t="s" s="8" r="R12">
        <v>26</v>
      </c>
      <c t="s" s="8" r="S12">
        <v>26</v>
      </c>
      <c t="s" s="8" r="T12">
        <v>26</v>
      </c>
    </row>
    <row r="13">
      <c t="str" s="8" r="A13">
        <f>UPPER(C13)</f>
        <v>CCA-1</v>
      </c>
      <c t="str" s="9" r="B13">
        <f>HYPERLINK("http://www.wormbase.org/db/gene/gene?name=WBGene00000367;class=Gene","WBGene00000367")</f>
        <v>WBGene00000367</v>
      </c>
      <c t="str" s="9" r="C13">
        <f>HYPERLINK("http://www.wormbase.org/db/gene/gene?name=cca-1;class=Gene","cca-1")</f>
        <v>cca-1</v>
      </c>
      <c t="s" s="8" r="D13">
        <v>74</v>
      </c>
      <c t="s" s="8" r="E13">
        <v>75</v>
      </c>
      <c t="str" s="8" r="F13">
        <f>HYPERLINK("http://www.wormbase.org/species/c_elegans/protein/WP:CE30919#06--10","CCA-1, isoform a; CCA-1, isoform c; CCA-1, isoform d; CCA-1, isoform e; CCA-1, isoform f")</f>
        <v>CCA-1, isoform a; CCA-1, isoform c; CCA-1, isoform d; CCA-1, isoform e; CCA-1, isoform f</v>
      </c>
      <c t="str" s="8" r="G13">
        <f>HYPERLINK("http://www.wormbase.org/resources/gene_class/cca#01--10","Calcium Channel, Alpha subunit")</f>
        <v>Calcium Channel, Alpha subunit</v>
      </c>
      <c t="str" s="8" r="H13">
        <f>HYPERLINK("http://www.wormbase.org/species/all/expr_pattern/Expr5587#021--10","Expr5587, Expr4302, Chronogram1811, Expr1011199, Expr4349, Expr4350")</f>
        <v>Expr5587, Expr4302, Chronogram1811, Expr1011199, Expr4349, Expr4350</v>
      </c>
      <c t="s" s="8" r="I13">
        <v>76</v>
      </c>
      <c t="s" s="8" r="J13">
        <v>77</v>
      </c>
      <c t="s" s="12" r="K13">
        <v>78</v>
      </c>
      <c t="s" s="8" r="L13">
        <v>26</v>
      </c>
      <c t="s" s="8" r="M13">
        <v>26</v>
      </c>
      <c t="s" s="8" r="N13">
        <v>26</v>
      </c>
      <c t="s" s="8" r="O13">
        <v>26</v>
      </c>
      <c t="s" s="8" r="P13">
        <v>26</v>
      </c>
      <c t="s" s="8" r="Q13">
        <v>26</v>
      </c>
      <c t="s" s="8" r="T13">
        <v>26</v>
      </c>
    </row>
    <row r="14">
      <c t="str" s="4" r="A14">
        <f>UPPER(C14)</f>
        <v>DEG-1</v>
      </c>
      <c t="str" s="3" r="B14">
        <f>HYPERLINK("http://www.wormbase.org/db/gene/gene?name=WBGene00000950;class=Gene","WBGene00000950")</f>
        <v>WBGene00000950</v>
      </c>
      <c t="str" s="3" r="C14">
        <f>HYPERLINK("http://www.wormbase.org/db/gene/gene?name=deg-1;class=Gene","deg-1")</f>
        <v>deg-1</v>
      </c>
      <c t="s" s="4" r="D14">
        <v>79</v>
      </c>
      <c t="s" s="4" r="E14">
        <v>80</v>
      </c>
      <c t="str" s="4" r="F14">
        <f>HYPERLINK("http://www.wormbase.org/species/c_elegans/protein/WP:CE24854#06--10","DEG-1")</f>
        <v>DEG-1</v>
      </c>
      <c t="str" s="4" r="G14">
        <f>HYPERLINK("http://www.wormbase.org/resources/gene_class/deg#01--10","DEGeneration of certain neurons")</f>
        <v>DEGeneration of certain neurons</v>
      </c>
      <c t="str" s="4" r="H14">
        <f>HYPERLINK("http://www.wormbase.org/species/all/expr_pattern/Expr223#021--10","Expr223")</f>
        <v>Expr223</v>
      </c>
      <c t="s" s="4" r="I14">
        <v>81</v>
      </c>
      <c t="s" s="4" r="J14">
        <v>82</v>
      </c>
      <c t="s" s="1" r="K14">
        <v>83</v>
      </c>
      <c s="4" r="L14"/>
      <c s="4" r="M14"/>
      <c s="4" r="N14"/>
      <c t="s" s="4" r="T14">
        <v>26</v>
      </c>
    </row>
    <row r="15">
      <c t="str" s="4" r="A15">
        <f>UPPER(C15)</f>
        <v>TRP-1</v>
      </c>
      <c t="str" s="3" r="B15">
        <f>HYPERLINK("http://www.wormbase.org/db/gene/gene?name=WBGene00006614;class=Gene","WBGene00006614")</f>
        <v>WBGene00006614</v>
      </c>
      <c t="str" s="3" r="C15">
        <f>HYPERLINK("http://www.wormbase.org/db/gene/gene?name=trp-1;class=Gene","trp-1")</f>
        <v>trp-1</v>
      </c>
      <c t="s" s="4" r="D15">
        <v>84</v>
      </c>
      <c t="s" s="4" r="E15">
        <v>85</v>
      </c>
      <c t="str" s="4" r="F15">
        <f>HYPERLINK("http://www.wormbase.org/species/c_elegans/protein/WP:CE33009#06--10","TRP-1, isoform a; TRP-1, isoform b")</f>
        <v>TRP-1, isoform a; TRP-1, isoform b</v>
      </c>
      <c t="str" s="4" r="G15">
        <f>HYPERLINK("http://www.wormbase.org/resources/gene_class/trp#01--10","TRP (transient receptor potential) channel family")</f>
        <v>TRP (transient receptor potential) channel family</v>
      </c>
      <c t="str" s="4" r="H15">
        <f>HYPERLINK("http://www.wormbase.org/species/all/expr_pattern/Expr8201#021--10","Expr8201")</f>
        <v>Expr8201</v>
      </c>
      <c t="s" s="4" r="I15">
        <v>86</v>
      </c>
      <c t="s" s="4" r="J15">
        <v>87</v>
      </c>
      <c t="s" s="1" r="K15">
        <v>88</v>
      </c>
      <c s="4" r="L15"/>
      <c s="4" r="M15"/>
      <c t="s" s="4" r="N15">
        <v>27</v>
      </c>
      <c t="s" s="4" r="O15">
        <v>27</v>
      </c>
      <c t="s" s="4" r="P15">
        <v>27</v>
      </c>
      <c t="s" s="4" r="Q15">
        <v>27</v>
      </c>
      <c t="s" s="4" r="R15">
        <v>27</v>
      </c>
      <c t="s" s="4" r="S15">
        <v>27</v>
      </c>
      <c s="4" r="T15"/>
    </row>
    <row r="16">
      <c t="str" s="4" r="A16">
        <f>UPPER(C16)</f>
        <v>LGC-55</v>
      </c>
      <c t="str" s="3" r="B16">
        <f>HYPERLINK("http://www.wormbase.org/db/gene/gene?name=WBGene00013746;class=Gene","WBGene00013746")</f>
        <v>WBGene00013746</v>
      </c>
      <c t="str" s="3" r="C16">
        <f>HYPERLINK("http://www.wormbase.org/db/gene/gene?name=lgc-55;class=Gene","lgc-55")</f>
        <v>lgc-55</v>
      </c>
      <c t="s" s="4" r="D16">
        <v>89</v>
      </c>
      <c s="4" r="E16">
        <v>19477154</v>
      </c>
      <c t="s" s="4" r="F16">
        <v>39</v>
      </c>
      <c t="str" s="4" r="G16">
        <f>HYPERLINK("http://www.wormbase.org/resources/gene_class/lgc#01--10","Ligand-Gated ion Channel")</f>
        <v>Ligand-Gated ion Channel</v>
      </c>
      <c t="str" s="4" r="H16">
        <f>HYPERLINK("http://www.wormbase.org/species/all/expr_pattern/Expr8613#021--10","Expr8613")</f>
        <v>Expr8613</v>
      </c>
      <c t="s" s="4" r="I16">
        <v>90</v>
      </c>
      <c t="s" s="4" r="J16">
        <v>91</v>
      </c>
      <c t="s" s="1" r="K16">
        <v>92</v>
      </c>
      <c t="s" s="4" r="L16">
        <v>26</v>
      </c>
      <c t="s" s="4" r="M16">
        <v>26</v>
      </c>
      <c t="s" s="4" r="N16">
        <v>26</v>
      </c>
      <c t="s" s="4" r="O16">
        <v>26</v>
      </c>
      <c t="s" s="4" r="P16">
        <v>26</v>
      </c>
      <c t="s" s="4" r="Q16">
        <v>26</v>
      </c>
      <c t="s" s="4" r="R16">
        <v>27</v>
      </c>
      <c t="s" s="4" r="S16">
        <v>27</v>
      </c>
      <c s="4" r="T16"/>
    </row>
    <row r="17">
      <c t="str" s="4" r="A17">
        <f>UPPER(C17)</f>
        <v>GLR-1</v>
      </c>
      <c t="str" s="3" r="B17">
        <f>HYPERLINK("http://www.wormbase.org/db/gene/gene?name=WBGene00001612;class=Gene","WBGene00001612")</f>
        <v>WBGene00001612</v>
      </c>
      <c t="str" s="3" r="C17">
        <f>HYPERLINK("http://www.wormbase.org/db/gene/gene?name=glr-1;class=Gene","glr-1")</f>
        <v>glr-1</v>
      </c>
      <c t="s" s="4" r="D17">
        <v>93</v>
      </c>
      <c t="s" s="4" r="E17">
        <v>94</v>
      </c>
      <c t="s" s="4" r="F17">
        <v>50</v>
      </c>
      <c t="str" s="4" r="G17">
        <f>HYPERLINK("http://www.wormbase.org/resources/gene_class/glr#01--10","GLutamate Receptor family (AMPA)")</f>
        <v>GLutamate Receptor family (AMPA)</v>
      </c>
      <c t="str" s="4" r="H17">
        <f>HYPERLINK("http://www.wormbase.org/species/all/expr_pattern/Expr816#021--10","Expr816")</f>
        <v>Expr816</v>
      </c>
      <c t="s" s="4" r="I17">
        <v>95</v>
      </c>
      <c t="s" s="4" r="J17">
        <v>96</v>
      </c>
      <c t="s" s="1" r="K17">
        <v>97</v>
      </c>
      <c s="4" r="L17"/>
      <c s="4" r="M17"/>
      <c s="4" r="N17"/>
      <c t="s" s="8" r="R17">
        <v>27</v>
      </c>
      <c t="s" s="8" r="S17">
        <v>27</v>
      </c>
      <c s="4" r="T17"/>
    </row>
    <row r="18">
      <c t="str" s="4" r="A18">
        <f>UPPER(C18)</f>
        <v>UNC-8</v>
      </c>
      <c t="str" s="3" r="B18">
        <f>HYPERLINK("http://www.wormbase.org/db/gene/gene?name=WBGene00006748;class=Gene","WBGene00006748")</f>
        <v>WBGene00006748</v>
      </c>
      <c t="str" s="3" r="C18">
        <f>HYPERLINK("http://www.wormbase.org/db/gene/gene?name=unc-8;class=Gene","unc-8")</f>
        <v>unc-8</v>
      </c>
      <c t="s" s="4" r="D18">
        <v>98</v>
      </c>
      <c t="s" s="4" r="E18">
        <v>99</v>
      </c>
      <c t="str" s="4" r="F18">
        <f>HYPERLINK("http://www.wormbase.org/species/c_elegans/protein/WP:CE26381#06--10","UNC-8, isoform a; UNC-8, isoform b; UNC-8, isoform c; UNC-8, isoform d")</f>
        <v>UNC-8, isoform a; UNC-8, isoform b; UNC-8, isoform c; UNC-8, isoform d</v>
      </c>
      <c t="str" s="4" r="G18">
        <f>HYPERLINK("http://www.wormbase.org/resources/gene_class/unc#01--10","UNCoordinated")</f>
        <v>UNCoordinated</v>
      </c>
      <c t="str" s="4" r="H18">
        <f>HYPERLINK("http://www.wormbase.org/species/all/expr_pattern/Expr1615#021--10","Expr1615")</f>
        <v>Expr1615</v>
      </c>
      <c t="s" s="4" r="I18">
        <v>100</v>
      </c>
      <c t="s" s="4" r="J18">
        <v>101</v>
      </c>
      <c t="s" s="1" r="K18">
        <v>102</v>
      </c>
      <c t="s" s="4" r="L18">
        <v>26</v>
      </c>
      <c t="s" s="4" r="M18">
        <v>26</v>
      </c>
      <c t="s" s="4" r="N18">
        <v>27</v>
      </c>
      <c t="s" s="4" r="O18">
        <v>27</v>
      </c>
      <c t="s" s="4" r="P18">
        <v>27</v>
      </c>
      <c t="s" s="4" r="Q18">
        <v>27</v>
      </c>
      <c t="s" s="4" r="R18">
        <v>26</v>
      </c>
      <c t="s" s="4" r="S18">
        <v>26</v>
      </c>
      <c s="4" r="T18"/>
    </row>
    <row r="19">
      <c t="str" s="4" r="A19">
        <f>UPPER(C19)</f>
        <v>AVR-14</v>
      </c>
      <c t="str" s="3" r="B19">
        <f>HYPERLINK("http://www.wormbase.org/db/gene/gene?name=WBGene00000232;class=Gene","WBGene00000232")</f>
        <v>WBGene00000232</v>
      </c>
      <c t="str" s="3" r="C19">
        <f>HYPERLINK("http://www.wormbase.org/db/gene/gene?name=avr-14;class=Gene","avr-14")</f>
        <v>avr-14</v>
      </c>
      <c t="s" s="4" r="D19">
        <v>103</v>
      </c>
      <c t="s" s="4" r="E19">
        <v>104</v>
      </c>
      <c t="s" s="4" r="F19">
        <v>39</v>
      </c>
      <c t="str" s="4" r="G19">
        <f>hyperlink("http://www.wormbase.org/resources/gene_class/avr#01--10","avr - altered AVeRmectin sensitivity")</f>
        <v>avr - altered AVeRmectin sensitivity</v>
      </c>
      <c t="str" s="4" r="H19">
        <f>hyperlink("http://www.wormbase.org/species/all/expr_pattern/Expr975?query=Expr975#021--10", "Expr975")</f>
        <v>Expr975</v>
      </c>
      <c s="4" r="I19">
        <v>10716995</v>
      </c>
      <c t="s" s="4" r="J19">
        <v>105</v>
      </c>
      <c t="s" s="1" r="K19">
        <v>106</v>
      </c>
      <c t="s" s="4" r="L19">
        <v>26</v>
      </c>
      <c t="s" s="4" r="M19">
        <v>26</v>
      </c>
      <c t="s" s="4" r="N19">
        <v>26</v>
      </c>
      <c t="s" s="4" r="O19">
        <v>26</v>
      </c>
      <c t="s" s="4" r="P19">
        <v>26</v>
      </c>
      <c t="s" s="4" r="Q19">
        <v>26</v>
      </c>
      <c t="s" s="4" r="R19">
        <v>26</v>
      </c>
      <c t="s" s="4" r="S19">
        <v>26</v>
      </c>
      <c s="4" r="T19"/>
    </row>
    <row r="20">
      <c t="str" s="4" r="A20">
        <f>UPPER(C20)</f>
        <v>EGL-2</v>
      </c>
      <c t="str" s="3" r="B20">
        <f>HYPERLINK("http://www.wormbase.org/db/gene/gene?name=WBGene00001171;class=Gene","WBGene00001171")</f>
        <v>WBGene00001171</v>
      </c>
      <c t="str" s="3" r="C20">
        <f>HYPERLINK("http://www.wormbase.org/db/gene/gene?name=egl-2;class=Gene","egl-2")</f>
        <v>egl-2</v>
      </c>
      <c t="s" s="4" r="D20">
        <v>107</v>
      </c>
      <c t="s" s="4" r="E20">
        <v>108</v>
      </c>
      <c t="str" s="4" r="F20">
        <f>HYPERLINK("http://www.wormbase.org/species/c_elegans/protein/WP:CE24905#06--10","EGL-2")</f>
        <v>EGL-2</v>
      </c>
      <c t="str" s="4" r="G20">
        <f>HYPERLINK("http://www.wormbase.org/resources/gene_class/egl#01--10","EGg Laying defective")</f>
        <v>EGg Laying defective</v>
      </c>
      <c t="str" s="4" r="H20">
        <f>HYPERLINK("http://www.wormbase.org/species/all/expr_pattern/Expr5774#021--10","Expr5774, Chronogram210, Expr1013884, Expr1212, Expr1211")</f>
        <v>Expr5774, Chronogram210, Expr1013884, Expr1212, Expr1211</v>
      </c>
      <c t="s" s="4" r="I20">
        <v>109</v>
      </c>
      <c t="s" s="4" r="J20">
        <v>110</v>
      </c>
      <c t="s" s="1" r="K20">
        <v>111</v>
      </c>
      <c s="4" r="L20"/>
      <c s="4" r="M20"/>
      <c s="4" r="N20"/>
      <c t="s" s="8" r="R20">
        <v>26</v>
      </c>
      <c t="s" s="8" r="S20">
        <v>26</v>
      </c>
      <c s="4" r="T20"/>
    </row>
    <row r="21">
      <c t="str" s="8" r="A21">
        <f>UPPER(C21)</f>
        <v>EXP-2</v>
      </c>
      <c t="str" s="9" r="B21">
        <f>HYPERLINK("http://www.wormbase.org/db/gene/gene?name=WBGene00001374;class=Gene","WBGene00001374")</f>
        <v>WBGene00001374</v>
      </c>
      <c t="str" s="9" r="C21">
        <f>HYPERLINK("http://www.wormbase.org/db/gene/gene?name=exp-2;class=Gene","exp-2")</f>
        <v>exp-2</v>
      </c>
      <c t="s" s="8" r="D21">
        <v>112</v>
      </c>
      <c t="s" s="8" r="E21">
        <v>113</v>
      </c>
      <c t="str" s="8" r="F21">
        <f>HYPERLINK("http://www.wormbase.org/species/c_elegans/protein/WP:CE09359#06--10","EXP-2, isoform a; EXP-2, isoform b; EXP-2, isoform c; EXP-2, isoform d")</f>
        <v>EXP-2, isoform a; EXP-2, isoform b; EXP-2, isoform c; EXP-2, isoform d</v>
      </c>
      <c t="str" s="8" r="G21">
        <f>HYPERLINK("http://www.wormbase.org/resources/gene_class/exp","EXPulsion defective (defecation)")</f>
        <v>EXPulsion defective (defecation)</v>
      </c>
      <c t="str" s="8" r="H21">
        <f>hyperlink("http://www.wormbase.org/species/all/expr_pattern/Expr1027?query=Expr1027#021--10", "Expr1027")</f>
        <v>Expr1027</v>
      </c>
      <c s="8" r="I21">
        <v>10617464</v>
      </c>
      <c t="s" s="8" r="J21">
        <v>114</v>
      </c>
      <c t="s" s="12" r="K21">
        <v>115</v>
      </c>
      <c s="8" r="L21"/>
      <c s="8" r="M21"/>
      <c s="8" r="N21"/>
      <c t="s" s="8" r="R21">
        <v>26</v>
      </c>
      <c t="s" s="8" r="S21">
        <v>26</v>
      </c>
      <c s="8" r="T21"/>
    </row>
    <row r="22">
      <c t="str" s="4" r="A22">
        <f>UPPER(C22)</f>
        <v>GLC-3</v>
      </c>
      <c t="str" s="3" r="B22">
        <f>HYPERLINK("http://www.wormbase.org/db/gene/gene?name=WBGene00001593;class=Gene","WBGene00001593")</f>
        <v>WBGene00001593</v>
      </c>
      <c t="str" s="3" r="C22">
        <f>HYPERLINK("http://www.wormbase.org/db/gene/gene?name=glc-3;class=Gene","glc-3")</f>
        <v>glc-3</v>
      </c>
      <c t="s" s="4" r="D22">
        <v>116</v>
      </c>
      <c t="s" s="4" r="E22">
        <v>117</v>
      </c>
      <c t="s" s="4" r="F22">
        <v>50</v>
      </c>
      <c t="str" s="4" r="G22">
        <f>HYPERLINK("Glutamate-gated ChLoride channel")</f>
        <v>Glutamate-gated ChLoride channel</v>
      </c>
      <c t="str" s="4" r="H22">
        <f>HYPERLINK("http://www.wormbase.org/species/all/expr_pattern/Expr7157#021--10","Expr7157")</f>
        <v>Expr7157</v>
      </c>
      <c t="s" s="4" r="I22">
        <v>118</v>
      </c>
      <c t="s" s="4" r="J22">
        <v>119</v>
      </c>
      <c t="s" s="1" r="K22">
        <v>120</v>
      </c>
      <c s="4" r="L22"/>
      <c s="4" r="M22"/>
      <c s="4" r="N22"/>
      <c t="s" s="8" r="R22">
        <v>26</v>
      </c>
      <c t="s" s="8" r="S22">
        <v>26</v>
      </c>
      <c s="4" r="T22"/>
    </row>
    <row r="23">
      <c t="str" s="4" r="A23">
        <f>UPPER(C23)</f>
        <v>GLC-4</v>
      </c>
      <c t="str" s="3" r="B23">
        <f>HYPERLINK("http://www.wormbase.org/db/gene/gene?name=WBGene00001594;class=Gene","WBGene00001594")</f>
        <v>WBGene00001594</v>
      </c>
      <c t="str" s="3" r="C23">
        <f>HYPERLINK("http://www.wormbase.org/db/gene/gene?name=glc-4;class=Gene","glc-4")</f>
        <v>glc-4</v>
      </c>
      <c t="s" s="4" r="D23">
        <v>121</v>
      </c>
      <c t="s" s="4" r="E23">
        <v>68</v>
      </c>
      <c t="s" s="4" r="F23">
        <v>50</v>
      </c>
      <c t="str" s="4" r="G23">
        <f>HYPERLINK("Glutamate-gated ChLoride channel")</f>
        <v>Glutamate-gated ChLoride channel</v>
      </c>
      <c t="str" s="4" r="H23">
        <f>HYPERLINK("http://www.wormbase.org/species/all/expr_pattern/Expr5365#021--10","Expr5365")</f>
        <v>Expr5365</v>
      </c>
      <c t="s" s="4" r="I23">
        <v>122</v>
      </c>
      <c t="s" s="4" r="J23">
        <v>123</v>
      </c>
      <c t="s" s="1" r="K23">
        <v>124</v>
      </c>
      <c s="4" r="L23"/>
      <c s="4" r="M23"/>
      <c s="4" r="N23"/>
      <c t="s" s="8" r="R23">
        <v>26</v>
      </c>
      <c t="s" s="8" r="S23">
        <v>26</v>
      </c>
      <c s="4" r="T23"/>
    </row>
    <row r="24">
      <c t="str" s="4" r="A24">
        <f>UPPER(C24)</f>
        <v>TAX-4</v>
      </c>
      <c t="str" s="3" r="B24">
        <f>HYPERLINK("http://www.wormbase.org/db/gene/gene?name=WBGene00006526;class=Gene","WBGene00006526")</f>
        <v>WBGene00006526</v>
      </c>
      <c t="str" s="3" r="C24">
        <f>HYPERLINK("http://www.wormbase.org/db/gene/gene?name=tax-4;class=Gene","tax-4")</f>
        <v>tax-4</v>
      </c>
      <c t="s" s="4" r="D24">
        <v>125</v>
      </c>
      <c s="4" r="E24">
        <v>8893027</v>
      </c>
      <c t="str" s="4" r="F24">
        <f>HYPERLINK("http://www.wormbase.org/species/c_elegans/protein/WP:CE27352#06--10","TAX-4")</f>
        <v>TAX-4</v>
      </c>
      <c t="str" s="4" r="G24">
        <f>hyperlink("http://www.wormbase.org/resources/gene_class/tax#01--10", "tax - abnormal CHEmotaxis")</f>
        <v>tax - abnormal CHEmotaxis</v>
      </c>
      <c t="str" s="4" r="H24">
        <f>hyperlink("http://www.wormbase.org/species/all/expr_pattern/Expr311?query=Expr311#021--10", "Expr311")</f>
        <v>Expr311</v>
      </c>
      <c s="4" r="I24">
        <v>8893027</v>
      </c>
      <c t="s" s="4" r="J24">
        <v>126</v>
      </c>
      <c t="s" s="1" r="K24">
        <v>127</v>
      </c>
      <c s="4" r="L24"/>
      <c s="4" r="M24"/>
      <c s="4" r="N24"/>
      <c t="s" s="8" r="R24">
        <v>26</v>
      </c>
      <c t="s" s="8" r="S24">
        <v>26</v>
      </c>
      <c s="4" r="T24"/>
    </row>
    <row r="25">
      <c t="str" s="4" r="A25">
        <f>UPPER(C25)</f>
        <v>ACC-4</v>
      </c>
      <c t="str" s="3" r="B25">
        <f>HYPERLINK("http://www.wormbase.org/db/gene/gene?name=WBGene00012099;class=Gene","WBGene00012099")</f>
        <v>WBGene00012099</v>
      </c>
      <c t="str" s="3" r="C25">
        <f>HYPERLINK("http://www.wormbase.org/db/gene/gene?name=acc-4;class=Gene","acc-4")</f>
        <v>acc-4</v>
      </c>
      <c t="s" s="4" r="D25">
        <v>128</v>
      </c>
      <c t="s" s="4" r="E25">
        <v>68</v>
      </c>
      <c t="s" s="4" r="F25">
        <v>50</v>
      </c>
      <c t="str" s="4" r="G25">
        <f>HYPERLINK("http://www.wormbase.org/resources/gene_class/acc#01--10","Acetylcholine-gated Chloride Channel")</f>
        <v>Acetylcholine-gated Chloride Channel</v>
      </c>
      <c t="str" s="4" r="H25">
        <f>hyperlink("http://www.wormbase.org/species/all/expr_pattern/Expr4869?query=Expr4869#021--10","Expr4869")</f>
        <v>Expr4869</v>
      </c>
      <c s="4" r="I25">
        <v>17612406</v>
      </c>
      <c t="s" s="4" r="J25">
        <v>129</v>
      </c>
      <c t="s" s="1" r="K25">
        <v>130</v>
      </c>
      <c s="4" r="L25"/>
      <c s="4" r="M25"/>
      <c t="s" s="4" r="N25">
        <v>27</v>
      </c>
      <c t="s" s="4" r="O25">
        <v>27</v>
      </c>
      <c t="s" s="4" r="P25">
        <v>27</v>
      </c>
      <c t="s" s="4" r="Q25">
        <v>27</v>
      </c>
      <c s="4" r="T25"/>
    </row>
    <row r="26">
      <c t="str" s="4" r="A26">
        <f>UPPER(C26)</f>
        <v>AVR-15</v>
      </c>
      <c t="str" s="3" r="B26">
        <f>HYPERLINK("http://www.wormbase.org/db/gene/gene?name=WBGene00000233;class=Gene","WBGene00000233")</f>
        <v>WBGene00000233</v>
      </c>
      <c t="str" s="3" r="C26">
        <f>HYPERLINK("http://www.wormbase.org/db/gene/gene?name=avr-15;class=Gene","avr-15")</f>
        <v>avr-15</v>
      </c>
      <c t="s" s="4" r="D26">
        <v>131</v>
      </c>
      <c t="s" s="4" r="E26">
        <v>132</v>
      </c>
      <c t="str" s="4" r="F26">
        <f>HYPERLINK("http://www.wormbase.org/species/c_elegans/protein/WP:CE25076#06--10","AVR-15, isoform a; AVR-15, isoform b; AVR-15, isoform c")</f>
        <v>AVR-15, isoform a; AVR-15, isoform b; AVR-15, isoform c</v>
      </c>
      <c t="str" s="4" r="G26">
        <f>HYPERLINK("http://www.wormbase.org/resources/gene_class/avr#01--10","altered AVeRmectin sensitivity")</f>
        <v>altered AVeRmectin sensitivity</v>
      </c>
      <c t="str" s="4" r="H26">
        <f>hyperlink("http://www.wormbase.org/species/all/expr_pattern/Expr1454?query=Expr1454#021--10", "Expr1454")</f>
        <v>Expr1454</v>
      </c>
      <c t="s" s="4" r="I26">
        <v>133</v>
      </c>
      <c t="s" s="4" r="J26">
        <v>134</v>
      </c>
      <c t="s" s="1" r="K26">
        <v>135</v>
      </c>
      <c t="s" s="4" r="L26">
        <v>136</v>
      </c>
      <c t="s" s="4" r="M26">
        <v>136</v>
      </c>
      <c t="s" s="4" r="N26">
        <v>136</v>
      </c>
      <c t="s" s="4" r="O26">
        <v>136</v>
      </c>
      <c t="s" s="4" r="P26">
        <v>136</v>
      </c>
      <c t="s" s="4" r="Q26">
        <v>136</v>
      </c>
      <c s="4" r="T26"/>
    </row>
    <row r="27">
      <c t="str" s="4" r="A27">
        <f>UPPER(C27)</f>
        <v>KVS-1</v>
      </c>
      <c t="str" s="3" r="B27">
        <f>HYPERLINK("http://www.wormbase.org/db/gene/gene?name=WBGene00002242;class=Gene","WBGene00002242")</f>
        <v>WBGene00002242</v>
      </c>
      <c t="str" s="3" r="C27">
        <f>HYPERLINK("http://www.wormbase.org/db/gene/gene?name=kvs-1;class=Gene","kvs-1")</f>
        <v>kvs-1</v>
      </c>
      <c t="s" s="4" r="D27">
        <v>137</v>
      </c>
      <c t="s" s="4" r="E27">
        <v>138</v>
      </c>
      <c t="str" s="4" r="F27">
        <f>HYPERLINK("http://www.wormbase.org/species/c_elegans/protein/WP:CE34278#06--10","KVS-1, isoform a; KVS-1, isoform b; KVS-1, isoform c")</f>
        <v>KVS-1, isoform a; KVS-1, isoform b; KVS-1, isoform c</v>
      </c>
      <c t="str" s="4" r="G27">
        <f>HYPERLINK("http://www.wormbase.org/resources/gene_class/kvs#01--10","K (potassium) Voltage-Sensitive channel subunit")</f>
        <v>K (potassium) Voltage-Sensitive channel subunit</v>
      </c>
      <c t="str" s="4" r="H27">
        <f>HYPERLINK("http://www.wormbase.org/species/all/expr_pattern/Expr2316#021--10","Expr2316")</f>
        <v>Expr2316</v>
      </c>
      <c t="s" s="4" r="I27">
        <v>139</v>
      </c>
      <c t="s" s="4" r="J27">
        <v>140</v>
      </c>
      <c t="s" s="1" r="K27">
        <v>141</v>
      </c>
      <c t="s" s="4" r="L27">
        <v>26</v>
      </c>
      <c t="s" s="4" r="M27">
        <v>26</v>
      </c>
      <c t="s" s="4" r="N27">
        <v>26</v>
      </c>
      <c t="s" s="4" r="O27">
        <v>26</v>
      </c>
      <c t="s" s="4" r="P27">
        <v>26</v>
      </c>
      <c t="s" s="4" r="Q27">
        <v>26</v>
      </c>
      <c s="4" r="T27"/>
    </row>
    <row r="28">
      <c t="str" s="4" r="A28">
        <f>UPPER(C28)</f>
        <v>MOD-1</v>
      </c>
      <c t="str" s="3" r="B28">
        <f>HYPERLINK("http://www.wormbase.org/db/gene/gene?name=WBGene00003386;class=Gene","WBGene00003386")</f>
        <v>WBGene00003386</v>
      </c>
      <c t="str" s="3" r="C28">
        <f>HYPERLINK("http://www.wormbase.org/db/gene/gene?name=mod-1;class=Gene","mod-1")</f>
        <v>mod-1</v>
      </c>
      <c t="s" s="4" r="D28">
        <v>142</v>
      </c>
      <c s="4" r="E28">
        <v>11100728</v>
      </c>
      <c t="str" s="4" r="F28">
        <f>HYPERLINK("http://www.wormbase.org/species/all/expr_pattern/Expr2402#021--10","MOD-1, isoform a; MOD-1, isoform b; MOD-1, isoform c")</f>
        <v>MOD-1, isoform a; MOD-1, isoform b; MOD-1, isoform c</v>
      </c>
      <c t="str" s="4" r="G28">
        <f>HYPERLINK("http://www.wormbase.org/resources/gene_class/mod#01--10","Modulation Of locomotion Defective")</f>
        <v>Modulation Of locomotion Defective</v>
      </c>
      <c t="str" s="4" r="H28">
        <f>hyperlink("http://www.wormbase.org/species/all/expr_pattern/Expr1026?query=Expr1026#021--10", "Expr1026")</f>
        <v>Expr1026</v>
      </c>
      <c s="4" r="I28">
        <v>11100728</v>
      </c>
      <c t="s" s="4" r="J28">
        <v>143</v>
      </c>
      <c t="s" s="1" r="K28">
        <v>144</v>
      </c>
      <c t="s" s="4" r="L28">
        <v>26</v>
      </c>
      <c t="s" s="4" r="M28">
        <v>26</v>
      </c>
      <c t="s" s="4" r="N28">
        <v>26</v>
      </c>
      <c t="s" s="4" r="O28">
        <v>26</v>
      </c>
      <c t="s" s="4" r="P28">
        <v>26</v>
      </c>
      <c t="s" s="4" r="Q28">
        <v>26</v>
      </c>
      <c s="4" r="T28"/>
    </row>
    <row r="29">
      <c t="str" s="4" r="A29">
        <f>UPPER(C29)</f>
        <v>CED-11</v>
      </c>
      <c t="str" s="3" r="B29">
        <f>HYPERLINK("http://www.wormbase.org/db/gene/gene?name=WBGene00000425;class=Gene","WBGene00000425")</f>
        <v>WBGene00000425</v>
      </c>
      <c t="str" s="3" r="C29">
        <f>HYPERLINK("http://www.wormbase.org/db/gene/gene?name=ced-11;class=Gene","ced-11")</f>
        <v>ced-11</v>
      </c>
      <c t="s" s="4" r="D29">
        <v>145</v>
      </c>
      <c t="s" s="4" r="E29">
        <v>49</v>
      </c>
      <c t="str" s="4" r="F29">
        <f>HYPERLINK("http://www.wormbase.org/species/c_elegans/protein/WP:CE00409#06--10","CED-11")</f>
        <v>CED-11</v>
      </c>
      <c t="str" s="4" r="G29">
        <f>HYPERLINK("http://www.wormbase.org/resources/gene_class/ced#01--10","CEll Death abnormality")</f>
        <v>CEll Death abnormality</v>
      </c>
      <c t="str" s="4" r="H29">
        <f>HYPERLINK("http://www.wormbase.org/species/all/expr_pattern/Expr2040#021--10","Expr2040")</f>
        <v>Expr2040</v>
      </c>
      <c s="4" r="I29">
        <v>22560298</v>
      </c>
      <c s="4" r="J29"/>
      <c t="s" s="1" r="K29">
        <v>146</v>
      </c>
      <c s="4" r="L29"/>
      <c s="4" r="M29"/>
      <c s="4" r="N29"/>
      <c s="4" r="T29"/>
    </row>
    <row r="30">
      <c t="str" r="A30">
        <f>UPPER(C30)</f>
        <v>CLH-1</v>
      </c>
      <c t="str" s="14" r="B30">
        <f>HYPERLINK("http://www.wormbase.org/db/gene/gene?name=WBGene00000528;class=Gene","WBGene00000528")</f>
        <v>WBGene00000528</v>
      </c>
      <c t="str" s="14" r="C30">
        <f>HYPERLINK("http://www.wormbase.org/db/gene/gene?name=clh-1;class=Gene","clh-1")</f>
        <v>clh-1</v>
      </c>
      <c t="s" r="D30">
        <v>147</v>
      </c>
      <c r="E30">
        <v>10610763</v>
      </c>
      <c t="str" r="F30">
        <f>hyperlink("http://www.wormbase.org/species/c_elegans/protein/WP:CE27450#06--10", "CLH-1, isoform a, CLH-1, isoform b:")</f>
        <v>CLH-1, isoform a, CLH-1, isoform b:</v>
      </c>
      <c t="str" r="G30">
        <f>hyperlink("http://www.wormbase.org/resources/gene_class/clh#01--10","CLC-type chloride cHannel")</f>
        <v>CLC-type chloride cHannel</v>
      </c>
      <c t="str" r="H30">
        <f>hyperlink("http://www.wormbase.org/species/all/expr_pattern/Expr1121?query=Expr1121#021--10", "Expr1121")</f>
        <v>Expr1121</v>
      </c>
      <c r="I30">
        <v>11078724</v>
      </c>
      <c t="s" r="J30">
        <v>148</v>
      </c>
      <c t="s" s="6" r="K30">
        <v>149</v>
      </c>
    </row>
    <row r="31">
      <c t="str" s="8" r="A31">
        <f>UPPER(C31)</f>
        <v>CLH-3</v>
      </c>
      <c t="str" s="9" r="B31">
        <f>HYPERLINK("http://www.wormbase.org/db/gene/gene?name=WBGene00000530;class=Gene","WBGene00000530")</f>
        <v>WBGene00000530</v>
      </c>
      <c t="str" s="9" r="C31">
        <f>HYPERLINK("http://www.wormbase.org/db/gene/gene?name=clh-3;class=Gene","clh-3")</f>
        <v>clh-3</v>
      </c>
      <c t="s" s="8" r="D31">
        <v>150</v>
      </c>
      <c s="8" r="E31">
        <v>11231150</v>
      </c>
      <c t="str" s="8" r="F31">
        <f>HYPERLINK("http://www.wormbase.org/species/c_elegans/protein/WP:CE27906#06--10","CLH-3, isoform a; CLH-3, isoform b")</f>
        <v>CLH-3, isoform a; CLH-3, isoform b</v>
      </c>
      <c t="str" s="8" r="G31">
        <f>hyperlink("http://www.wormbase.org/resources/gene_class/clh#01--10","CLC-type chloride cHannel")</f>
        <v>CLC-type chloride cHannel</v>
      </c>
      <c t="str" s="8" r="H31">
        <f>hyperlink("http://www.wormbase.org/species/all/expr_pattern/Expr1124?query=Expr1124#021--10","Expr1124")</f>
        <v>Expr1124</v>
      </c>
      <c s="8" r="I31">
        <v>11078724</v>
      </c>
      <c t="s" s="8" r="J31">
        <v>151</v>
      </c>
      <c t="s" s="12" r="K31">
        <v>152</v>
      </c>
      <c s="8" r="L31"/>
      <c s="8" r="M31"/>
      <c s="8" r="N31"/>
      <c s="8" r="T31"/>
    </row>
    <row r="32">
      <c t="str" s="8" r="A32">
        <f>UPPER(C32)</f>
        <v>CLH-4</v>
      </c>
      <c t="str" s="9" r="B32">
        <f>HYPERLINK("http://www.wormbase.org/db/gene/gene?name=WBGene00000531;class=Gene","WBGene00000531")</f>
        <v>WBGene00000531</v>
      </c>
      <c t="str" s="9" r="C32">
        <f>HYPERLINK("http://www.wormbase.org/db/gene/gene?name=clh-4;class=Gene","clh-4")</f>
        <v>clh-4</v>
      </c>
      <c t="s" s="8" r="D32">
        <v>153</v>
      </c>
      <c s="8" r="E32">
        <v>11078724</v>
      </c>
      <c t="str" s="8" r="F32">
        <f>HYPERLINK("http://www.wormbase.org/species/c_elegans/protein/WP:CE38544#06--10","CLH-4, isoform a; CLH-4, isoform b")</f>
        <v>CLH-4, isoform a; CLH-4, isoform b</v>
      </c>
      <c t="str" s="8" r="G32">
        <f>hyperlink("http://www.wormbase.org/resources/gene_class/clh#01--10","CLC-type chloride cHannel")</f>
        <v>CLC-type chloride cHannel</v>
      </c>
      <c t="str" s="8" r="H32">
        <f>HYPERLINK("http://www.wormbase.org/species/all/expr_pattern/Expr1190#021--10","Expr1190")</f>
        <v>Expr1190</v>
      </c>
      <c s="8" r="I32"/>
      <c t="s" s="8" r="J32">
        <v>68</v>
      </c>
      <c t="s" s="12" r="K32">
        <v>154</v>
      </c>
      <c s="8" r="L32"/>
      <c s="8" r="M32"/>
      <c s="8" r="N32"/>
      <c s="8" r="T32"/>
    </row>
    <row r="33">
      <c t="str" r="A33">
        <f>UPPER(C33)</f>
        <v>CNG-1</v>
      </c>
      <c t="str" s="14" r="B33">
        <f>HYPERLINK("http://www.wormbase.org/db/gene/gene?name=WBGene00000562;class=Gene","WBGene00000562")</f>
        <v>WBGene00000562</v>
      </c>
      <c t="str" s="14" r="C33">
        <f>HYPERLINK("http://www.wormbase.org/db/gene/gene?name=cng-1;class=Gene","cng-1")</f>
        <v>cng-1</v>
      </c>
      <c t="s" r="D33">
        <v>155</v>
      </c>
      <c t="s" r="E33">
        <v>68</v>
      </c>
      <c t="str" r="F33">
        <f>hyperlink("http://www.wormbase.org/species/c_elegans/protein/WP:CE41791#06--10","CNG-1, isoform b")</f>
        <v>CNG-1, isoform b</v>
      </c>
      <c t="str" r="G33">
        <f>hyperlink("http://www.wormbase.org/resources/gene_class/cng#01--10","cng - Cyclic Nucleotide Gated channel")</f>
        <v>cng - Cyclic Nucleotide Gated channel</v>
      </c>
      <c t="str" r="H33">
        <f>hyperlink("http://www.wormbase.org/species/all/expr_pattern/Expr8625?query=Expr8625#021--10", "Expr8625")</f>
        <v>Expr8625</v>
      </c>
      <c r="I33">
        <v>15750353</v>
      </c>
      <c t="s" r="J33">
        <v>156</v>
      </c>
      <c t="s" s="6" r="K33">
        <v>157</v>
      </c>
    </row>
    <row r="34">
      <c t="str" r="A34">
        <f>UPPER(C34)</f>
        <v>CNG-3</v>
      </c>
      <c t="str" s="14" r="B34">
        <f>HYPERLINK("http://www.wormbase.org/db/gene/gene?name=WBGene00000563;class=Gene","WBGene00000563")</f>
        <v>WBGene00000563</v>
      </c>
      <c t="str" s="14" r="C34">
        <f>HYPERLINK("http://www.wormbase.org/db/gene/gene?name=cng-3;class=Gene","cng-3")</f>
        <v>cng-3</v>
      </c>
      <c t="s" r="D34">
        <v>158</v>
      </c>
      <c r="E34">
        <v>15530424</v>
      </c>
      <c t="str" r="F34">
        <f>hyperlink("http://www.wormbase.org/species/c_elegans/protein/WP:CE37910#06--10", "CNG-3")</f>
        <v>CNG-3</v>
      </c>
      <c t="str" r="G34">
        <f>hyperlink("http://www.wormbase.org/resources/gene_class/cng#01--10","cng - Cyclic Nucleotide Gated channel")</f>
        <v>cng - Cyclic Nucleotide Gated channel</v>
      </c>
      <c t="str" r="H34">
        <f>hyperlink("http://www.wormbase.org/species/all/expr_pattern/Expr3305?query=Expr3305#021--10","Expr3305")</f>
        <v>Expr3305</v>
      </c>
      <c r="I34">
        <v>15530424</v>
      </c>
      <c t="s" r="J34">
        <v>159</v>
      </c>
      <c t="s" s="6" r="K34">
        <v>160</v>
      </c>
    </row>
    <row r="35">
      <c t="str" s="4" r="A35">
        <f>UPPER(C35)</f>
        <v>DEL-1</v>
      </c>
      <c t="str" s="3" r="B35">
        <f>HYPERLINK("http://www.wormbase.org/db/gene/gene?name=WBGene00000952;class=Gene","WBGene00000952")</f>
        <v>WBGene00000952</v>
      </c>
      <c t="str" s="3" r="C35">
        <f>HYPERLINK("http://www.wormbase.org/db/gene/gene?name=del-1;class=Gene","del-1")</f>
        <v>del-1</v>
      </c>
      <c t="s" s="4" r="D35">
        <v>161</v>
      </c>
      <c t="s" s="4" r="E35">
        <v>162</v>
      </c>
      <c t="str" s="4" r="F35">
        <f>HYPERLINK("http://www.wormbase.org/species/c_elegans/protein/WP:CE05547#06--10","DEL-1")</f>
        <v>DEL-1</v>
      </c>
      <c t="str" s="4" r="G35">
        <f>HYPERLINK("http://www.wormbase.org/resources/gene_class/del#01--10","DEgenerin Like")</f>
        <v>DEgenerin Like</v>
      </c>
      <c t="str" s="4" r="H35">
        <f>HYPERLINK("http://www.wormbase.org/species/all/expr_pattern/Expr2330#021--10","Expr2330, Chronogram1567, Expr1023302, Expr5645")</f>
        <v>Expr2330, Chronogram1567, Expr1023302, Expr5645</v>
      </c>
      <c t="s" s="4" r="I35">
        <v>163</v>
      </c>
      <c t="s" s="4" r="J35">
        <v>164</v>
      </c>
      <c t="s" s="1" r="K35">
        <v>165</v>
      </c>
      <c s="4" r="L35"/>
      <c s="4" r="M35"/>
      <c s="4" r="N35"/>
      <c s="4" r="T35"/>
    </row>
    <row r="36">
      <c t="str" s="4" r="A36">
        <f>UPPER(C36)</f>
        <v>EGL-36</v>
      </c>
      <c t="str" s="3" r="B36">
        <f>HYPERLINK("http://www.wormbase.org/db/gene/gene?name=WBGene00001202;class=Gene","WBGene00001202")</f>
        <v>WBGene00001202</v>
      </c>
      <c t="str" s="3" r="C36">
        <f>HYPERLINK("http://www.wormbase.org/db/gene/gene?name=egl-36;class=Gene","egl-36")</f>
        <v>egl-36</v>
      </c>
      <c t="s" s="4" r="D36">
        <v>166</v>
      </c>
      <c t="s" s="4" r="E36">
        <v>167</v>
      </c>
      <c t="str" s="4" r="F36">
        <f>HYPERLINK("http://www.wormbase.org/species/c_elegans/protein/WP:CE18123#06--10","EGL-36")</f>
        <v>EGL-36</v>
      </c>
      <c t="str" s="4" r="G36">
        <f>HYPERLINK("http://www.wormbase.org/resources/gene_class/egl#01--10","EGg Laying defective")</f>
        <v>EGg Laying defective</v>
      </c>
      <c t="str" s="4" r="H36">
        <f>HYPERLINK("http://www.wormbase.org/species/all/expr_pattern/Expr1466#021--10","Expr1466")</f>
        <v>Expr1466</v>
      </c>
      <c t="s" s="4" r="I36">
        <v>168</v>
      </c>
      <c t="s" s="4" r="J36">
        <v>169</v>
      </c>
      <c t="s" s="1" r="K36">
        <v>170</v>
      </c>
      <c s="4" r="L36"/>
      <c s="4" r="M36"/>
      <c s="4" r="N36"/>
      <c s="4" r="T36"/>
    </row>
    <row r="37">
      <c t="str" s="4" r="A37">
        <f>UPPER(C37)</f>
        <v>FLR-1</v>
      </c>
      <c t="str" s="3" r="B37">
        <f>HYPERLINK("http://www.wormbase.org/db/gene/gene?name=WBGene00001465;class=Gene","WBGene00001465")</f>
        <v>WBGene00001465</v>
      </c>
      <c t="str" s="3" r="C37">
        <f>HYPERLINK("http://www.wormbase.org/db/gene/gene?name=flr-1;class=Gene","flr-1")</f>
        <v>flr-1</v>
      </c>
      <c t="s" s="4" r="D37">
        <v>171</v>
      </c>
      <c t="s" s="4" r="E37">
        <v>172</v>
      </c>
      <c t="s" s="4" r="F37">
        <v>50</v>
      </c>
      <c t="str" s="4" r="G37">
        <f>HYPERLINK("http://www.wormbase.org/resources/gene_class/flr#01--10","FLuoRide resistant")</f>
        <v>FLuoRide resistant</v>
      </c>
      <c t="str" s="4" r="H37">
        <f>HYPERLINK("http://www.wormbase.org/species/all/expr_pattern/Expr529#021--10","Expr529")</f>
        <v>Expr529</v>
      </c>
      <c t="s" s="4" r="I37">
        <v>173</v>
      </c>
      <c t="s" s="4" r="J37">
        <v>68</v>
      </c>
      <c t="s" s="1" r="K37">
        <v>174</v>
      </c>
      <c s="4" r="L37"/>
      <c s="4" r="M37"/>
      <c s="4" r="N37"/>
      <c s="4" r="T37"/>
    </row>
    <row r="38">
      <c t="str" s="4" r="A38">
        <f>UPPER(C38)</f>
        <v>GGR-1</v>
      </c>
      <c t="str" s="3" r="B38">
        <f>HYPERLINK("http://www.wormbase.org/db/gene/gene?name=WBGene00001586;class=Gene","WBGene00001586")</f>
        <v>WBGene00001586</v>
      </c>
      <c t="str" s="3" r="C38">
        <f>HYPERLINK("http://www.wormbase.org/db/gene/gene?name=ggr-1;class=Gene","ggr-1")</f>
        <v>ggr-1</v>
      </c>
      <c t="s" s="4" r="D38">
        <v>175</v>
      </c>
      <c s="4" r="E38"/>
      <c t="str" s="4" r="F38">
        <f>HYPERLINK("http://www.wormbase.org/species/c_elegans/protein/WP:CE36915#06--10","GGR-1")</f>
        <v>GGR-1</v>
      </c>
      <c t="str" s="4" r="G38">
        <f>HYPERLINK("http://www.wormbase.org/resources/gene_class/ggr#01--10","GABA/Glycine Receptor family (see gbr)")</f>
        <v>GABA/Glycine Receptor family (see gbr)</v>
      </c>
      <c t="str" s="4" r="H38">
        <f>HYPERLINK("http://www.wormbase.org/species/all/expr_pattern/Expr242#021--10","Expr242")</f>
        <v>Expr242</v>
      </c>
      <c s="4" r="I38">
        <v>22560298</v>
      </c>
      <c t="s" s="4" r="J38">
        <v>176</v>
      </c>
      <c t="s" s="1" r="K38">
        <v>177</v>
      </c>
      <c s="4" r="L38"/>
      <c s="4" r="M38"/>
      <c s="4" r="N38"/>
      <c s="4" r="T38"/>
    </row>
    <row r="39">
      <c t="str" s="14" r="B39">
        <f>HYPERLINK("http://www.wormbase.org/db/gene/gene?name=WBGene00001591;class=Gene","WBGene00001591")</f>
        <v>WBGene00001591</v>
      </c>
      <c t="str" s="14" r="C39">
        <f>HYPERLINK("http://www.wormbase.org/db/gene/gene?name=glc-1;class=Gene","glc-1")</f>
        <v>glc-1</v>
      </c>
    </row>
    <row r="40">
      <c t="s" s="4" r="A40">
        <v>68</v>
      </c>
      <c t="str" s="2" r="B40">
        <f>HYPERLINK("http://www.wormbase.org/db/gene/gene?name=WBGene00001592;class=Gene","WBGene00001592")</f>
        <v>WBGene00001592</v>
      </c>
      <c t="str" s="2" r="C40">
        <f>HYPERLINK("http://www.wormbase.org/db/gene/gene?name=glc-2;class=Gene","glc-2")</f>
        <v>glc-2</v>
      </c>
      <c t="s" s="1" r="D40">
        <v>178</v>
      </c>
      <c t="s" s="1" r="E40">
        <v>179</v>
      </c>
      <c t="s" s="4" r="F40">
        <v>50</v>
      </c>
      <c t="str" s="13" r="G40">
        <f>HYPERLINK("http://www.wormbase.org/resources/gene_class/glc#01--10","Glutamate-gated ChLoride channel")</f>
        <v>Glutamate-gated ChLoride channel</v>
      </c>
      <c t="str" s="4" r="H40">
        <f>HYPERLINK("http://www.wormbase.org/species/all/expr_pattern/Expr1471#021--10","Expr1471")</f>
        <v>Expr1471</v>
      </c>
      <c t="s" s="4" r="I40">
        <v>180</v>
      </c>
      <c t="s" s="4" r="J40">
        <v>68</v>
      </c>
      <c t="s" s="4" r="K40">
        <v>181</v>
      </c>
      <c s="13" r="L40"/>
      <c s="13" r="M40"/>
      <c s="13" r="N40"/>
      <c s="4" r="T40"/>
    </row>
    <row r="41">
      <c t="str" s="4" r="A41">
        <f>UPPER(C41)</f>
        <v>GLR-2</v>
      </c>
      <c t="str" s="3" r="B41">
        <f>HYPERLINK("http://www.wormbase.org/db/gene/gene?name=WBGene00001613;class=Gene","WBGene00001613")</f>
        <v>WBGene00001613</v>
      </c>
      <c t="str" s="3" r="C41">
        <f>HYPERLINK("http://www.wormbase.org/db/gene/gene?name=glr-2;class=Gene","glr-2")</f>
        <v>glr-2</v>
      </c>
      <c t="s" s="4" r="D41">
        <v>182</v>
      </c>
      <c t="s" s="4" r="E41">
        <v>183</v>
      </c>
      <c t="s" s="4" r="F41">
        <v>39</v>
      </c>
      <c t="str" s="4" r="G41">
        <f>HYPERLINK("http://www.wormbase.org/resources/gene_class/glr#01--10","GLutamate Receptor family (AMPA)")</f>
        <v>GLutamate Receptor family (AMPA)</v>
      </c>
      <c t="str" s="4" r="H41">
        <f>HYPERLINK("http://www.wormbase.org/species/all/expr_pattern/Expr817#021--10","Expr817")</f>
        <v>Expr817</v>
      </c>
      <c t="s" s="4" r="I41">
        <v>184</v>
      </c>
      <c t="s" s="4" r="J41">
        <v>185</v>
      </c>
      <c t="s" s="1" r="K41">
        <v>186</v>
      </c>
      <c s="4" r="L41"/>
      <c s="4" r="M41"/>
      <c s="4" r="N41"/>
      <c s="4" r="T41"/>
    </row>
    <row r="42">
      <c t="str" s="4" r="A42">
        <f>UPPER(C42)</f>
        <v>GON-2</v>
      </c>
      <c t="str" s="3" r="B42">
        <f>HYPERLINK("http://www.wormbase.org/db/gene/gene?name=WBGene00001651;class=Gene","WBGene00001651")</f>
        <v>WBGene00001651</v>
      </c>
      <c t="str" s="3" r="C42">
        <f>HYPERLINK("http://www.wormbase.org/db/gene/gene?name=gon-2;class=Gene","gon-2")</f>
        <v>gon-2</v>
      </c>
      <c t="s" s="4" r="D42">
        <v>187</v>
      </c>
      <c t="s" s="4" r="E42">
        <v>188</v>
      </c>
      <c t="s" s="4" r="F42">
        <v>50</v>
      </c>
      <c t="str" s="4" r="G42">
        <f>HYPERLINK("http://www.wormbase.org/resources/gene_class/gon#01--10","abnormal GONad development")</f>
        <v>abnormal GONad development</v>
      </c>
      <c t="str" s="4" r="H42">
        <f>HYPERLINK("http://www.wormbase.org/species/all/expr_pattern/Expr6568#021--10","Expr6568")</f>
        <v>Expr6568</v>
      </c>
      <c t="s" s="4" r="I42">
        <v>189</v>
      </c>
      <c t="s" s="4" r="J42">
        <v>39</v>
      </c>
      <c t="s" s="1" r="K42">
        <v>190</v>
      </c>
      <c s="4" r="L42"/>
      <c s="4" r="M42"/>
      <c s="4" r="N42"/>
      <c s="4" r="T42"/>
    </row>
    <row r="43">
      <c t="str" s="4" r="A43">
        <f>UPPER(C43)</f>
        <v>GTL-1</v>
      </c>
      <c t="str" s="3" r="B43">
        <f>HYPERLINK("http://www.wormbase.org/db/gene/gene?name=WBGene00001795;class=Gene","WBGene00001795")</f>
        <v>WBGene00001795</v>
      </c>
      <c t="str" s="3" r="C43">
        <f>HYPERLINK("http://www.wormbase.org/db/gene/gene?name=gtl-1;class=Gene","gtl-1")</f>
        <v>gtl-1</v>
      </c>
      <c t="s" s="4" r="D43">
        <v>191</v>
      </c>
      <c s="4" r="E43">
        <v>11804572</v>
      </c>
      <c t="str" s="4" r="F43">
        <f>HYPERLINK("http://www.wormbase.org/species/c_elegans/protein/WP:CE33754#06--10","GTL-1")</f>
        <v>GTL-1</v>
      </c>
      <c t="str" s="4" r="G43">
        <f>HYPERLINK("http://www.wormbase.org/resources/gene_class/gtl#01--10","Gon-Two Like (TRP subfamily)")</f>
        <v>Gon-Two Like (TRP subfamily)</v>
      </c>
      <c t="str" s="4" r="H43">
        <f>HYPERLINK("http://www.wormbase.org/species/all/expr_pattern/Expr5160#021--10","Expr5160, Expr3713, Expr8232, Chronogram1622, Expr8230, Expr1017897")</f>
        <v>Expr5160, Expr3713, Expr8232, Chronogram1622, Expr8230, Expr1017897</v>
      </c>
      <c t="s" s="4" r="I43">
        <v>192</v>
      </c>
      <c t="s" s="4" r="J43">
        <v>193</v>
      </c>
      <c t="s" s="1" r="K43">
        <v>194</v>
      </c>
      <c s="4" r="L43"/>
      <c s="4" r="M43"/>
      <c s="4" r="N43"/>
      <c s="4" r="T43"/>
    </row>
    <row r="44">
      <c t="str" s="14" r="B44">
        <f>HYPERLINK("http://www.wormbase.org/db/gene/gene?name=WBGene00002149;class=Gene","WBGene00002149")</f>
        <v>WBGene00002149</v>
      </c>
      <c t="str" s="14" r="C44">
        <f>HYPERLINK("http://www.wormbase.org/db/gene/gene?name=irk-1;class=Gene","irk-1")</f>
        <v>irk-1</v>
      </c>
    </row>
    <row r="45">
      <c t="str" s="14" r="B45">
        <f>HYPERLINK("http://www.wormbase.org/db/gene/gene?name=WBGene00002151;class=Gene","WBGene00002151")</f>
        <v>WBGene00002151</v>
      </c>
      <c t="str" s="14" r="C45">
        <f>HYPERLINK("http://www.wormbase.org/db/gene/gene?name=irk-3;class=Gene","irk-3")</f>
        <v>irk-3</v>
      </c>
    </row>
    <row r="46">
      <c t="str" s="4" r="A46">
        <f>UPPER(C46)</f>
        <v>KQT-1</v>
      </c>
      <c t="str" s="3" r="B46">
        <f>HYPERLINK("http://www.wormbase.org/db/gene/gene?name=WBGene00002233;class=Gene","WBGene00002233")</f>
        <v>WBGene00002233</v>
      </c>
      <c t="str" s="3" r="C46">
        <f>HYPERLINK("http://www.wormbase.org/db/gene/gene?name=kqt-1;class=Gene","kqt-1")</f>
        <v>kqt-1</v>
      </c>
      <c t="s" s="4" r="D46">
        <v>195</v>
      </c>
      <c t="s" s="4" r="E46">
        <v>196</v>
      </c>
      <c t="str" s="4" r="F46">
        <f>HYPERLINK("http://www.wormbase.org/species/c_elegans/protein/WP:CE27086#06--10","KQT-1, isoform a; KQT-1, isoform b")</f>
        <v>KQT-1, isoform a; KQT-1, isoform b</v>
      </c>
      <c t="str" s="4" r="G46">
        <f>hyperlink("http://www.wormbase.org/resources/gene_class/kqt#01--10","kqt - potassium channel, KvQLT family")</f>
        <v>kqt - potassium channel, KvQLT family</v>
      </c>
      <c t="str" s="4" r="H46">
        <f>HYPERLINK("http://www.wormbase.org/species/all/expr_pattern/Expr3234#021--10","Expr3234")</f>
        <v>Expr3234</v>
      </c>
      <c t="s" s="4" r="I46">
        <v>197</v>
      </c>
      <c t="s" s="4" r="J46">
        <v>198</v>
      </c>
      <c t="s" s="1" r="K46">
        <v>199</v>
      </c>
      <c s="4" r="L46"/>
      <c s="4" r="M46"/>
      <c s="4" r="N46"/>
      <c s="4" r="T46"/>
    </row>
    <row r="47">
      <c t="str" s="4" r="A47">
        <f>UPPER(C47)</f>
        <v>KQT-2</v>
      </c>
      <c t="str" s="3" r="B47">
        <f>HYPERLINK("http://www.wormbase.org/db/gene/gene?name=WBGene00002234;class=Gene","WBGene00002234")</f>
        <v>WBGene00002234</v>
      </c>
      <c t="str" s="3" r="C47">
        <f>HYPERLINK("http://www.wormbase.org/db/gene/gene?name=kqt-2;class=Gene","kqt-2")</f>
        <v>kqt-2</v>
      </c>
      <c t="s" s="4" r="D47">
        <v>200</v>
      </c>
      <c s="4" r="E47">
        <v>15797864</v>
      </c>
      <c t="str" s="4" r="F47">
        <f>HYPERLINK("http://www.wormbase.org/species/c_elegans/protein/WP:CE46886#06--10","KQT-2")</f>
        <v>KQT-2</v>
      </c>
      <c t="str" s="4" r="G47">
        <f>hyperlink("http://www.wormbase.org/resources/gene_class/kqt#01--10","kqt - potassium channel, KvQLT family")</f>
        <v>kqt - potassium channel, KvQLT family</v>
      </c>
      <c t="s" s="4" r="H47">
        <v>68</v>
      </c>
      <c s="4" r="I47"/>
      <c t="s" s="4" r="J47">
        <v>68</v>
      </c>
      <c t="s" s="1" r="K47">
        <v>201</v>
      </c>
      <c s="4" r="L47"/>
      <c s="4" r="M47"/>
      <c s="4" r="N47"/>
      <c s="4" r="T47"/>
    </row>
    <row r="48">
      <c t="str" s="4" r="A48">
        <f>UPPER(C48)</f>
        <v>KQT-3</v>
      </c>
      <c t="str" s="3" r="B48">
        <f>HYPERLINK("http://www.wormbase.org/db/gene/gene?name=WBGene00002235;class=Gene","WBGene00002235")</f>
        <v>WBGene00002235</v>
      </c>
      <c t="str" s="3" r="C48">
        <f>HYPERLINK("http://www.wormbase.org/db/gene/gene?name=kqt-3;class=Gene","kqt-3")</f>
        <v>kqt-3</v>
      </c>
      <c t="s" s="4" r="D48">
        <v>202</v>
      </c>
      <c t="s" s="4" r="E48">
        <v>196</v>
      </c>
      <c t="str" s="4" r="F48">
        <f>HYPERLINK("http://www.wormbase.org/species/c_elegans/protein/WP:CE32760#06--10","KQT-3, isoform a; KQT-3, isoform b; KQT-3, isoform c")</f>
        <v>KQT-3, isoform a; KQT-3, isoform b; KQT-3, isoform c</v>
      </c>
      <c t="str" s="4" r="G48">
        <f>hyperlink("http://www.wormbase.org/resources/gene_class/kqt#01--10","kqt - potassium channel, KvQLT family")</f>
        <v>kqt - potassium channel, KvQLT family</v>
      </c>
      <c t="str" s="4" r="H48">
        <f>hyperlink("http://www.wormbase.org/species/all/expr_pattern/Expr3236?query=Expr3236#021--10", "Expr3236")</f>
        <v>Expr3236</v>
      </c>
      <c s="4" r="I48">
        <v>15797864</v>
      </c>
      <c t="s" s="4" r="J48">
        <v>203</v>
      </c>
      <c t="s" s="1" r="K48">
        <v>204</v>
      </c>
      <c s="4" r="L48"/>
      <c s="4" r="M48"/>
      <c s="4" r="N48"/>
      <c s="4" r="T48"/>
    </row>
    <row r="49">
      <c t="str" s="4" r="A49">
        <f>UPPER(C49)</f>
        <v>MEC-10</v>
      </c>
      <c t="str" s="3" r="B49">
        <f>HYPERLINK("http://www.wormbase.org/db/gene/gene?name=WBGene00003174;class=Gene","WBGene00003174")</f>
        <v>WBGene00003174</v>
      </c>
      <c t="str" s="3" r="C49">
        <f>HYPERLINK("http://www.wormbase.org/db/gene/gene?name=mec-10;class=Gene","mec-10")</f>
        <v>mec-10</v>
      </c>
      <c t="s" s="4" r="D49">
        <v>205</v>
      </c>
      <c s="4" r="E49">
        <v>11875573</v>
      </c>
      <c t="str" s="4" r="F49">
        <f>HYPERLINK("http://www.wormbase.org/species/c_elegans/protein/WP:CE09444#06--10","MEC-10")</f>
        <v>MEC-10</v>
      </c>
      <c t="str" s="4" r="G49">
        <f>HYPERLINK("http://www.wormbase.org/resources/gene_class/mec#01--10","MEChanosensory abnormality")</f>
        <v>MEChanosensory abnormality</v>
      </c>
      <c t="str" s="4" r="H49">
        <f>hyperlink("http://www.wormbase.org/species/all/expr_pattern/Expr1523?query=Expr1523#021--10", "Expr1523")</f>
        <v>Expr1523</v>
      </c>
      <c s="4" r="I49">
        <v>7509039</v>
      </c>
      <c t="s" s="4" r="J49">
        <v>206</v>
      </c>
      <c t="s" s="1" r="K49">
        <v>207</v>
      </c>
      <c s="4" r="L49"/>
      <c s="4" r="M49"/>
      <c s="4" r="N49"/>
      <c s="4" r="T49"/>
    </row>
    <row r="50">
      <c t="str" s="4" r="A50">
        <f>UPPER(C50)</f>
        <v>MGL-1</v>
      </c>
      <c t="str" s="3" r="B50">
        <f>HYPERLINK("http://www.wormbase.org/db/gene/gene?name=WBGene00003232;class=Gene","WBGene00003232")</f>
        <v>WBGene00003232</v>
      </c>
      <c t="str" s="3" r="C50">
        <f>HYPERLINK("http://www.wormbase.org/db/gene/gene?name=mgl-1;class=Gene","mgl-1")</f>
        <v>mgl-1</v>
      </c>
      <c t="s" s="4" r="D50">
        <v>208</v>
      </c>
      <c t="s" s="4" r="E50">
        <v>209</v>
      </c>
      <c t="s" s="4" r="F50">
        <v>39</v>
      </c>
      <c t="str" s="4" r="G50">
        <f>HYPERLINK("http://www.wormbase.org/resources/gene_class/mgl#01--10","Metabotropic GLutamate receptor family")</f>
        <v>Metabotropic GLutamate receptor family</v>
      </c>
      <c t="str" s="4" r="H50">
        <f>HYPERLINK("http://www.wormbase.org/species/all/expr_pattern/Expr8246#021--10","Expr8246")</f>
        <v>Expr8246</v>
      </c>
      <c t="s" s="4" r="I50">
        <v>210</v>
      </c>
      <c t="s" s="4" r="J50">
        <v>211</v>
      </c>
      <c t="s" s="1" r="K50">
        <v>212</v>
      </c>
      <c s="4" r="L50"/>
      <c s="4" r="M50"/>
      <c s="4" r="N50"/>
      <c s="4" r="T50"/>
    </row>
    <row r="51">
      <c t="str" s="14" r="B51">
        <f>HYPERLINK("http://www.wormbase.org/db/gene/gene?name=WBGene00003583;class=Gene","WBGene00003583")</f>
        <v>WBGene00003583</v>
      </c>
      <c t="str" s="14" r="C51">
        <f>HYPERLINK("http://www.wormbase.org/db/gene/gene?name=ndx-6;class=Gene","ndx-6")</f>
        <v>ndx-6</v>
      </c>
    </row>
    <row r="52">
      <c t="str" s="4" r="A52">
        <f>UPPER(C52)</f>
        <v>NMR-1</v>
      </c>
      <c t="str" s="3" r="B52">
        <f>HYPERLINK("http://www.wormbase.org/db/gene/gene?name=WBGene00003774;class=Gene","WBGene00003774")</f>
        <v>WBGene00003774</v>
      </c>
      <c t="str" s="3" r="C52">
        <f>HYPERLINK("http://www.wormbase.org/db/gene/gene?name=nmr-1;class=Gene","nmr-1")</f>
        <v>nmr-1</v>
      </c>
      <c t="s" s="4" r="D52">
        <v>213</v>
      </c>
      <c t="s" s="4" r="E52">
        <v>214</v>
      </c>
      <c t="str" s="4" r="F52">
        <f>HYPERLINK("http://www.wormbase.org/species/c_elegans/protein/WP:CE30128#06--10","NMR-1")</f>
        <v>NMR-1</v>
      </c>
      <c t="str" s="4" r="G52">
        <f>HYPERLINK("http://www.wormbase.org/resources/gene_class/nmr#01--10","NMDA class glutamate Receptor")</f>
        <v>NMDA class glutamate Receptor</v>
      </c>
      <c t="str" s="4" r="H52">
        <f>HYPERLINK("http://www.wormbase.org/species/all/expr_pattern/Expr2402#021--10","Expr2402")</f>
        <v>Expr2402</v>
      </c>
      <c t="s" s="4" r="I52">
        <v>215</v>
      </c>
      <c t="s" s="4" r="J52">
        <v>216</v>
      </c>
      <c t="s" s="1" r="K52">
        <v>217</v>
      </c>
      <c s="4" r="L52"/>
      <c s="4" r="M52"/>
      <c s="4" r="N52"/>
      <c s="4" r="T52"/>
    </row>
    <row r="53">
      <c t="str" s="4" r="A53">
        <f>UPPER(C53)</f>
        <v>OCR-2</v>
      </c>
      <c t="str" s="3" r="B53">
        <f>HYPERLINK("http://www.wormbase.org/db/gene/gene?name=WBGene00003839;class=Gene","WBGene00003839")</f>
        <v>WBGene00003839</v>
      </c>
      <c t="str" s="3" r="C53">
        <f>HYPERLINK("http://www.wormbase.org/db/gene/gene?name=ocr-2;class=Gene","ocr-2")</f>
        <v>ocr-2</v>
      </c>
      <c t="s" s="4" r="D53">
        <v>218</v>
      </c>
      <c s="4" r="E53">
        <v>12160748</v>
      </c>
      <c t="str" s="4" r="F53">
        <f>HYPERLINK("http://www.wormbase.org/species/c_elegans/protein/WP:CE17232#06--10","OCR-2")</f>
        <v>OCR-2</v>
      </c>
      <c t="str" s="4" r="G53">
        <f>HYPERLINK("http://www.wormbase.org/resources/gene_class/ocr#01--10","Osm-9 and Capsaicin receptor-Related")</f>
        <v>Osm-9 and Capsaicin receptor-Related</v>
      </c>
      <c t="str" s="4" r="H53">
        <f>HYPERLINK("http://www.wormbase.org/species/all/expr_pattern/Expr1983#021--10","Expr1983")</f>
        <v>Expr1983</v>
      </c>
      <c t="s" s="4" r="I53">
        <v>219</v>
      </c>
      <c t="s" s="4" r="J53">
        <v>220</v>
      </c>
      <c t="s" s="1" r="K53">
        <v>221</v>
      </c>
      <c s="4" r="L53"/>
      <c s="4" r="M53"/>
      <c s="4" r="N53"/>
      <c s="4" r="T53"/>
    </row>
    <row r="54">
      <c t="str" s="4" r="A54">
        <f>UPPER(C54)</f>
        <v>OSM-9</v>
      </c>
      <c t="str" s="3" r="B54">
        <f>HYPERLINK("http://www.wormbase.org/db/gene/gene?name=WBGene00003889;class=Gene","WBGene00003889")</f>
        <v>WBGene00003889</v>
      </c>
      <c t="str" s="3" r="C54">
        <f>HYPERLINK("http://www.wormbase.org/db/gene/gene?name=osm-9;class=Gene","osm-9")</f>
        <v>osm-9</v>
      </c>
      <c t="s" s="4" r="D54">
        <v>222</v>
      </c>
      <c t="s" s="4" r="E54">
        <v>223</v>
      </c>
      <c t="str" s="4" r="F54">
        <f>hyperlink("http://www.wormbase.org/species/c_elegans/protein/WP:CE20445#06--10", "OSM-9")</f>
        <v>OSM-9</v>
      </c>
      <c t="str" s="4" r="G54">
        <f>hyperlink("http://www.wormbase.org/resources/gene_class/osm#01--10","osm - osmotic avoidance abnormal")</f>
        <v>osm - osmotic avoidance abnormal</v>
      </c>
      <c t="str" s="4" r="H54">
        <f>hyperlink("http://www.wormbase.org/species/all/expr_pattern/Expr288?query=Expr288#021--10", "Expr288")</f>
        <v>Expr288</v>
      </c>
      <c s="4" r="I54">
        <v>9334401</v>
      </c>
      <c t="s" s="1" r="J54">
        <v>224</v>
      </c>
      <c t="s" s="1" r="K54">
        <v>225</v>
      </c>
      <c s="4" r="L54"/>
      <c s="4" r="M54"/>
      <c s="4" r="N54"/>
      <c s="4" r="T54"/>
    </row>
    <row r="55">
      <c t="str" s="4" r="A55">
        <f>UPPER(C55)</f>
        <v>SHW-3</v>
      </c>
      <c t="str" s="3" r="B55">
        <f>HYPERLINK("http://www.wormbase.org/db/gene/gene?name=WBGene00004793;class=Gene","WBGene00004793")</f>
        <v>WBGene00004793</v>
      </c>
      <c t="str" s="3" r="C55">
        <f>HYPERLINK("http://www.wormbase.org/db/gene/gene?name=shw-3;class=Gene","shw-3")</f>
        <v>shw-3</v>
      </c>
      <c t="s" s="4" r="D55">
        <v>68</v>
      </c>
      <c t="s" s="4" r="E55">
        <v>68</v>
      </c>
      <c t="s" s="4" r="F55">
        <v>39</v>
      </c>
      <c t="str" s="4" r="G55">
        <f>HYPERLINK("http://www.wormbase.org/resources/gene_class/shw#01--10","SHaW family of potassium channels")</f>
        <v>SHaW family of potassium channels</v>
      </c>
      <c t="str" s="4" r="H55">
        <f>HYPERLINK("http://www.wormbase.org/species/all/expr_pattern/Expr8599#021--10","Expr8599")</f>
        <v>Expr8599</v>
      </c>
      <c t="s" s="4" r="I55">
        <v>226</v>
      </c>
      <c t="s" s="4" r="J55">
        <v>227</v>
      </c>
      <c t="s" s="1" r="K55">
        <v>228</v>
      </c>
      <c s="4" r="L55"/>
      <c s="4" r="M55"/>
      <c s="4" r="N55"/>
      <c s="4" r="T55"/>
    </row>
    <row r="56">
      <c t="str" s="8" r="A56">
        <f>UPPER(C56)</f>
        <v>TAX-2</v>
      </c>
      <c t="str" s="9" r="B56">
        <f>HYPERLINK("http://www.wormbase.org/db/gene/gene?name=WBGene00006525;class=Gene","WBGene00006525")</f>
        <v>WBGene00006525</v>
      </c>
      <c t="str" s="9" r="C56">
        <f>HYPERLINK("http://www.wormbase.org/db/gene/gene?name=tax-2;class=Gene","tax-2")</f>
        <v>tax-2</v>
      </c>
      <c t="s" s="8" r="D56">
        <v>229</v>
      </c>
      <c t="s" s="8" r="E56">
        <v>230</v>
      </c>
      <c t="str" s="8" r="F56">
        <f>HYPERLINK("http://www.wormbase.org/species/c_elegans/protein/WP:CE17780#06--10","TAX-2")</f>
        <v>TAX-2</v>
      </c>
      <c t="str" s="8" r="G56">
        <f>hyperlink("http://www.wormbase.org/resources/gene_class/tax#01--10", "tax - abnormal CHEmotaxis")</f>
        <v>tax - abnormal CHEmotaxis</v>
      </c>
      <c t="str" s="8" r="H56">
        <f>hyperlink("http://www.wormbase.org/species/all/expr_pattern/Expr1861?query=Expr1861#021--10", "Expr1861")</f>
        <v>Expr1861</v>
      </c>
      <c s="8" r="I56">
        <v>8893026</v>
      </c>
      <c t="s" s="8" r="J56">
        <v>231</v>
      </c>
      <c t="s" s="12" r="K56">
        <v>232</v>
      </c>
      <c s="8" r="L56"/>
      <c s="8" r="M56"/>
      <c s="8" r="N56"/>
      <c s="8" r="T56"/>
    </row>
    <row r="57">
      <c t="str" s="4" r="A57">
        <f>UPPER(C57)</f>
        <v>TRP-2</v>
      </c>
      <c t="str" s="3" r="B57">
        <f>HYPERLINK("http://www.wormbase.org/db/gene/gene?name=WBGene00006615;class=Gene","WBGene00006615")</f>
        <v>WBGene00006615</v>
      </c>
      <c t="str" s="3" r="C57">
        <f>HYPERLINK("http://www.wormbase.org/db/gene/gene?name=trp-2;class=Gene","trp-2")</f>
        <v>trp-2</v>
      </c>
      <c t="s" s="4" r="D57">
        <v>233</v>
      </c>
      <c t="s" s="4" r="E57">
        <v>234</v>
      </c>
      <c t="str" s="4" r="F57">
        <f>HYPERLINK("http://www.wormbase.org/species/c_elegans/protein/WP:CE32915#06--10","TRP-2, isoform a, TRP-2, isoform b")</f>
        <v>TRP-2, isoform a, TRP-2, isoform b</v>
      </c>
      <c t="str" s="4" r="G57">
        <f>HYPERLINK("http://www.wormbase.org/resources/gene_class/trp#01--10","TRP (transient receptor potential) channel family")</f>
        <v>TRP (transient receptor potential) channel family</v>
      </c>
      <c t="str" s="4" r="H57">
        <f>HYPERLINK("http://www.wormbase.org/species/all/expr_pattern/Expr6468#021--10","Expr6468")</f>
        <v>Expr6468</v>
      </c>
      <c t="s" s="4" r="I57">
        <v>235</v>
      </c>
      <c t="s" s="4" r="J57">
        <v>236</v>
      </c>
      <c t="s" s="1" r="K57">
        <v>237</v>
      </c>
      <c s="4" r="L57"/>
      <c s="4" r="M57"/>
      <c s="4" r="N57"/>
      <c s="4" r="T57"/>
    </row>
    <row r="58">
      <c t="str" s="14" r="B58">
        <f>HYPERLINK("http://www.wormbase.org/db/gene/gene?name=WBGene00006832;class=Gene","WBGene00006832")</f>
        <v>WBGene00006832</v>
      </c>
      <c t="str" s="14" r="C58">
        <f>HYPERLINK("http://www.wormbase.org/db/gene/gene?name=unc-105;class=Gene","unc-105")</f>
        <v>unc-105</v>
      </c>
    </row>
    <row r="59">
      <c t="str" s="4" r="A59">
        <f>UPPER(C59)</f>
        <v>TAG-180</v>
      </c>
      <c t="str" s="3" r="B59">
        <f>HYPERLINK("http://www.wormbase.org/db/gene/gene?name=WBGene00007041;class=Gene","WBGene00007041")</f>
        <v>WBGene00007041</v>
      </c>
      <c t="str" s="3" r="C59">
        <f>HYPERLINK("http://www.wormbase.org/db/gene/gene?name=tag-180;class=Gene","tag-180")</f>
        <v>tag-180</v>
      </c>
      <c t="s" s="4" r="D59">
        <v>238</v>
      </c>
      <c t="s" s="4" r="E59">
        <v>239</v>
      </c>
      <c t="s" s="4" r="F59">
        <v>50</v>
      </c>
      <c t="str" s="4" r="G59">
        <f>HYPERLINK("http://www.wormbase.org/resources/gene_class/tag#01--10","error for gene class tag")</f>
        <v>error for gene class tag</v>
      </c>
      <c t="str" s="4" r="H59">
        <f>HYPERLINK("http://www.wormbase.org/species/all/expr_pattern/Expr7867#021--10","Expr7867")</f>
        <v>Expr7867</v>
      </c>
      <c t="s" s="4" r="I59">
        <v>240</v>
      </c>
      <c t="s" s="4" r="J59">
        <v>227</v>
      </c>
      <c t="s" s="1" r="K59">
        <v>241</v>
      </c>
      <c s="4" r="L59"/>
      <c s="4" r="M59"/>
      <c s="4" r="N59"/>
      <c s="4" r="T59"/>
    </row>
    <row r="60">
      <c t="str" s="14" r="B60">
        <f>HYPERLINK("http://www.wormbase.org/db/gene/gene?name=WBGene00007176;class=Gene","WBGene00007176")</f>
        <v>WBGene00007176</v>
      </c>
      <c t="str" s="14" r="C60">
        <f>HYPERLINK("http://www.wormbase.org/db/gene/gene?name=kcnl-1;class=Gene","kcnl-1")</f>
        <v>kcnl-1</v>
      </c>
    </row>
    <row r="61">
      <c t="str" s="14" r="B61">
        <f>HYPERLINK("http://www.wormbase.org/db/gene/gene?name=WBGene00007775;class=Gene","WBGene00007775")</f>
        <v>WBGene00007775</v>
      </c>
      <c t="str" s="14" r="C61">
        <f>HYPERLINK("http://www.wormbase.org/db/gene/gene?name=tag-324;class=Gene","tag-324")</f>
        <v>tag-324</v>
      </c>
    </row>
    <row r="62">
      <c t="str" s="14" r="B62">
        <f>HYPERLINK("http://www.wormbase.org/db/gene/gene?name=WBGene00007862;class=Gene","WBGene00007862")</f>
        <v>WBGene00007862</v>
      </c>
      <c t="str" s="14" r="C62">
        <f>HYPERLINK("http://www.wormbase.org/db/gene/gene?name=C32C4.1;class=Gene","C32C4.1")</f>
        <v>C32C4.1</v>
      </c>
    </row>
    <row r="63">
      <c t="str" s="14" r="B63">
        <f>HYPERLINK("http://www.wormbase.org/db/gene/gene?name=WBGene00008022;class=Gene","WBGene00008022")</f>
        <v>WBGene00008022</v>
      </c>
      <c t="str" s="14" r="C63">
        <f>HYPERLINK("http://www.wormbase.org/db/gene/gene?name=lgc-41;class=Gene","lgc-41")</f>
        <v>lgc-41</v>
      </c>
    </row>
    <row r="64">
      <c t="str" s="14" r="B64">
        <f>HYPERLINK("http://www.wormbase.org/db/gene/gene?name=WBGene00008265;class=Gene","WBGene00008265")</f>
        <v>WBGene00008265</v>
      </c>
      <c t="str" s="14" r="C64">
        <f>HYPERLINK("http://www.wormbase.org/db/gene/gene?name=C53A5.5;class=Gene","C53A5.5")</f>
        <v>C53A5.5</v>
      </c>
    </row>
    <row r="65">
      <c t="str" s="14" r="B65">
        <f>HYPERLINK("http://www.wormbase.org/db/gene/gene?name=WBGene00008280;class=Gene","WBGene00008280")</f>
        <v>WBGene00008280</v>
      </c>
      <c t="str" s="14" r="C65">
        <f>HYPERLINK("http://www.wormbase.org/db/gene/gene?name=acc-2;class=Gene","acc-2")</f>
        <v>acc-2</v>
      </c>
    </row>
    <row r="66">
      <c t="str" s="4" r="A66">
        <f>UPPER(C66)</f>
        <v>KCNL-2</v>
      </c>
      <c t="str" s="3" r="B66">
        <f>HYPERLINK("http://www.wormbase.org/db/gene/gene?name=WBGene00008570;class=Gene","WBGene00008570")</f>
        <v>WBGene00008570</v>
      </c>
      <c t="str" s="3" r="C66">
        <f>HYPERLINK("http://www.wormbase.org/db/gene/gene?name=kcnl-2;class=Gene","kcnl-2")</f>
        <v>kcnl-2</v>
      </c>
      <c t="s" s="4" r="D66">
        <v>242</v>
      </c>
      <c s="4" r="E66"/>
      <c t="str" s="4" r="F66">
        <f>HYPERLINK("http://www.wormbase.org/species/c_elegans/protein/WP:CE32354#06--10","KCNL-2, isoform a; KCNL-2, isoform b; KCNL-2, isoform c; KCNL-2, isoform d; KCNL-2, isoform e; KCNL-2, isoform f; KCNL-2, isoform g; KCNL-2, isoform h")</f>
        <v>KCNL-2, isoform a; KCNL-2, isoform b; KCNL-2, isoform c; KCNL-2, isoform d; KCNL-2, isoform e; KCNL-2, isoform f; KCNL-2, isoform g; KCNL-2, isoform h</v>
      </c>
      <c t="str" s="4" r="G66">
        <f>HYPERLINK("http://www.wormbase.org/resources/gene_class/kcnl#01--10","KCNN (potassium K ChaNNel, calcium activated)-Like")</f>
        <v>KCNN (potassium K ChaNNel, calcium activated)-Like</v>
      </c>
      <c t="str" s="4" r="H66">
        <f>HYPERLINK("http://www.wormbase.org/species/all/expr_pattern/Expr2023#021--10","Expr2023")</f>
        <v>Expr2023</v>
      </c>
      <c s="4" r="I66">
        <v>22560298</v>
      </c>
      <c t="s" s="4" r="J66">
        <v>243</v>
      </c>
      <c t="s" s="1" r="K66">
        <v>244</v>
      </c>
      <c s="4" r="L66"/>
      <c s="4" r="M66"/>
      <c s="4" r="N66"/>
      <c s="4" r="T66"/>
    </row>
    <row r="67">
      <c t="str" s="14" r="B67">
        <f>HYPERLINK("http://www.wormbase.org/db/gene/gene?name=WBGene00008819;class=Gene","WBGene00008819")</f>
        <v>WBGene00008819</v>
      </c>
      <c t="str" s="14" r="C67">
        <f>HYPERLINK("http://www.wormbase.org/db/gene/gene?name=F14F11.1;class=Gene","F14F11.1")</f>
        <v>F14F11.1</v>
      </c>
    </row>
    <row r="68">
      <c t="str" s="14" r="B68">
        <f>HYPERLINK("http://www.wormbase.org/db/gene/gene?name=WBGene00009073;class=Gene","WBGene00009073")</f>
        <v>WBGene00009073</v>
      </c>
      <c t="str" s="14" r="C68">
        <f>HYPERLINK("http://www.wormbase.org/db/gene/gene?name=F23B2.3;class=Gene","F23B2.3")</f>
        <v>F23B2.3</v>
      </c>
    </row>
    <row r="69">
      <c t="str" s="14" r="B69">
        <f>HYPERLINK("http://www.wormbase.org/db/gene/gene?name=WBGene00009790;class=Gene","WBGene00009790")</f>
        <v>WBGene00009790</v>
      </c>
      <c t="str" s="14" r="C69">
        <f>HYPERLINK("http://www.wormbase.org/db/gene/gene?name=lgc-44;class=Gene","lgc-44")</f>
        <v>lgc-44</v>
      </c>
    </row>
    <row r="70">
      <c t="str" s="14" r="B70">
        <f>HYPERLINK("http://www.wormbase.org/db/gene/gene?name=WBGene00009799;class=Gene","WBGene00009799")</f>
        <v>WBGene00009799</v>
      </c>
      <c t="str" s="14" r="C70">
        <f>HYPERLINK("http://www.wormbase.org/db/gene/gene?name=lgc-47;class=Gene","lgc-47")</f>
        <v>lgc-47</v>
      </c>
    </row>
    <row r="71">
      <c t="str" s="14" r="B71">
        <f>HYPERLINK("http://www.wormbase.org/db/gene/gene?name=WBGene00010275;class=Gene","WBGene00010275")</f>
        <v>WBGene00010275</v>
      </c>
      <c t="str" s="14" r="C71">
        <f>HYPERLINK("http://www.wormbase.org/db/gene/gene?name=acc-1;class=Gene","acc-1")</f>
        <v>acc-1</v>
      </c>
    </row>
    <row r="72">
      <c t="str" s="14" r="B72">
        <f>HYPERLINK("http://www.wormbase.org/db/gene/gene?name=WBGene00010741;class=Gene","WBGene00010741")</f>
        <v>WBGene00010741</v>
      </c>
      <c t="str" s="14" r="C72">
        <f>HYPERLINK("http://www.wormbase.org/db/gene/gene?name=lgc-49;class=Gene","lgc-49")</f>
        <v>lgc-49</v>
      </c>
    </row>
    <row r="73">
      <c t="str" s="4" r="A73">
        <f>UPPER(C73)</f>
        <v>DEL-4</v>
      </c>
      <c t="str" s="3" r="B73">
        <f>HYPERLINK("http://www.wormbase.org/db/gene/gene?name=WBGene00012116;class=Gene","WBGene00012116")</f>
        <v>WBGene00012116</v>
      </c>
      <c t="str" s="3" r="C73">
        <f>HYPERLINK("http://www.wormbase.org/db/gene/gene?name=del-4;class=Gene","del-4")</f>
        <v>del-4</v>
      </c>
      <c t="s" s="4" r="D73">
        <v>68</v>
      </c>
      <c t="s" s="4" r="E73">
        <v>68</v>
      </c>
      <c t="s" s="4" r="F73">
        <v>50</v>
      </c>
      <c t="str" s="4" r="G73">
        <f>HYPERLINK("http://www.wormbase.org/resources/gene_class/del#01--10","DEgenerin Like")</f>
        <v>DEgenerin Like</v>
      </c>
      <c t="str" s="4" r="H73">
        <f>HYPERLINK("http://www.wormbase.org/species/all/expr_pattern/Expr7929#021--10","Expr7929")</f>
        <v>Expr7929</v>
      </c>
      <c t="s" s="4" r="I73">
        <v>245</v>
      </c>
      <c t="s" s="4" r="J73">
        <v>246</v>
      </c>
      <c t="s" s="1" r="K73">
        <v>247</v>
      </c>
      <c s="4" r="L73"/>
      <c s="4" r="M73"/>
      <c s="4" r="N73"/>
      <c s="4" r="T73"/>
    </row>
    <row r="74">
      <c t="str" s="14" r="B74">
        <f>HYPERLINK("http://www.wormbase.org/db/gene/gene?name=WBGene00012137;class=Gene","WBGene00012137")</f>
        <v>WBGene00012137</v>
      </c>
      <c t="str" s="14" r="C74">
        <f>HYPERLINK("http://www.wormbase.org/db/gene/gene?name=asic-2;class=Gene","asic-2")</f>
        <v>asic-2</v>
      </c>
    </row>
    <row r="75">
      <c t="str" s="14" r="B75">
        <f>HYPERLINK("http://www.wormbase.org/db/gene/gene?name=WBGene00012967;class=Gene","WBGene00012967")</f>
        <v>WBGene00012967</v>
      </c>
      <c t="str" s="14" r="C75">
        <f>HYPERLINK("http://www.wormbase.org/db/gene/gene?name=Y48A6B.6;class=Gene","Y48A6B.6")</f>
        <v>Y48A6B.6</v>
      </c>
    </row>
    <row r="76">
      <c t="str" s="14" r="B76">
        <f>HYPERLINK("http://www.wormbase.org/db/gene/gene?name=WBGene00013517;class=Gene","WBGene00013517")</f>
        <v>WBGene00013517</v>
      </c>
      <c t="str" s="14" r="C76">
        <f>HYPERLINK("http://www.wormbase.org/db/gene/gene?name=lgc-52;class=Gene","lgc-52")</f>
        <v>lgc-52</v>
      </c>
    </row>
    <row r="77">
      <c t="str" s="14" r="B77">
        <f>HYPERLINK("http://www.wormbase.org/db/gene/gene?name=WBGene00015387;class=Gene","WBGene00015387")</f>
        <v>WBGene00015387</v>
      </c>
      <c t="str" s="14" r="C77">
        <f>HYPERLINK("http://www.wormbase.org/db/gene/gene?name=C03F11.1;class=Gene","C03F11.1")</f>
        <v>C03F11.1</v>
      </c>
    </row>
    <row r="78">
      <c t="str" s="14" r="B78">
        <f>HYPERLINK("http://www.wormbase.org/db/gene/gene?name=WBGene00015957;class=Gene","WBGene00015957")</f>
        <v>WBGene00015957</v>
      </c>
      <c t="str" s="14" r="C78">
        <f>HYPERLINK("http://www.wormbase.org/db/gene/gene?name=C18B2.6;class=Gene","C18B2.6")</f>
        <v>C18B2.6</v>
      </c>
    </row>
    <row r="79">
      <c t="str" s="14" r="B79">
        <f>HYPERLINK("http://www.wormbase.org/db/gene/gene?name=WBGene00016026;class=Gene","WBGene00016026")</f>
        <v>WBGene00016026</v>
      </c>
      <c t="str" s="14" r="C79">
        <f>HYPERLINK("http://www.wormbase.org/db/gene/gene?name=C23H5.7;class=Gene","C23H5.7")</f>
        <v>C23H5.7</v>
      </c>
    </row>
    <row r="80">
      <c t="str" s="14" r="B80">
        <f>HYPERLINK("http://www.wormbase.org/db/gene/gene?name=WBGene00016063;class=Gene","WBGene00016063")</f>
        <v>WBGene00016063</v>
      </c>
      <c t="str" s="14" r="C80">
        <f>HYPERLINK("http://www.wormbase.org/db/gene/gene?name=C24G7.1;class=Gene","C24G7.1")</f>
        <v>C24G7.1</v>
      </c>
    </row>
    <row r="81">
      <c t="str" s="4" r="A81">
        <f>UPPER(C81)</f>
        <v>ACD-1</v>
      </c>
      <c t="str" s="3" r="B81">
        <f>HYPERLINK("http://www.wormbase.org/db/gene/gene?name=WBGene00016064;class=Gene","WBGene00016064")</f>
        <v>WBGene00016064</v>
      </c>
      <c t="str" s="3" r="C81">
        <f>HYPERLINK("http://www.wormbase.org/db/gene/gene?name=acd-1;class=Gene","acd-1")</f>
        <v>acd-1</v>
      </c>
      <c t="s" s="4" r="D81">
        <v>68</v>
      </c>
      <c t="s" s="4" r="E81">
        <v>68</v>
      </c>
      <c t="s" s="4" r="F81">
        <v>39</v>
      </c>
      <c t="str" s="4" r="G81">
        <f>HYPERLINK("http://www.wormbase.org/resources/gene_class/acd#01--10","ACid-sensitive Degenerin")</f>
        <v>ACid-sensitive Degenerin</v>
      </c>
      <c t="str" s="4" r="H81">
        <f>HYPERLINK("http://www.wormbase.org/species/all/expr_pattern/Expr8358#021--10","Expr8358")</f>
        <v>Expr8358</v>
      </c>
      <c t="s" s="4" r="I81">
        <v>248</v>
      </c>
      <c t="s" s="4" r="J81">
        <v>68</v>
      </c>
      <c t="s" s="1" r="K81">
        <v>249</v>
      </c>
      <c s="4" r="L81"/>
      <c s="4" r="M81"/>
      <c s="4" r="N81"/>
      <c s="4" r="T81"/>
    </row>
    <row r="82">
      <c t="str" s="14" r="B82">
        <f>HYPERLINK("http://www.wormbase.org/db/gene/gene?name=WBGene00016066;class=Gene","WBGene00016066")</f>
        <v>WBGene00016066</v>
      </c>
      <c t="str" s="14" r="C82">
        <f>HYPERLINK("http://www.wormbase.org/db/gene/gene?name=C24G7.4;class=Gene","C24G7.4")</f>
        <v>C24G7.4</v>
      </c>
      <c t="s" s="6" r="K82">
        <v>250</v>
      </c>
    </row>
    <row r="83">
      <c t="str" s="14" r="B83">
        <f>HYPERLINK("http://www.wormbase.org/db/gene/gene?name=WBGene00017314;class=Gene","WBGene00017314")</f>
        <v>WBGene00017314</v>
      </c>
      <c t="str" s="14" r="C83">
        <f>HYPERLINK("http://www.wormbase.org/db/gene/gene?name=lgc-39;class=Gene","lgc-39")</f>
        <v>lgc-39</v>
      </c>
    </row>
    <row r="84">
      <c t="str" s="14" r="B84">
        <f>HYPERLINK("http://www.wormbase.org/db/gene/gene?name=WBGene00017879;class=Gene","WBGene00017879")</f>
        <v>WBGene00017879</v>
      </c>
      <c t="str" s="14" r="C84">
        <f>HYPERLINK("http://www.wormbase.org/db/gene/gene?name=F28A12.1;class=Gene","F28A12.1")</f>
        <v>F28A12.1</v>
      </c>
    </row>
    <row r="85">
      <c t="str" s="14" r="B85">
        <f>HYPERLINK("http://www.wormbase.org/db/gene/gene?name=WBGene00018073;class=Gene","WBGene00018073")</f>
        <v>WBGene00018073</v>
      </c>
      <c t="str" s="14" r="C85">
        <f>HYPERLINK("http://www.wormbase.org/db/gene/gene?name=F35H10.10;class=Gene","F35H10.10")</f>
        <v>F35H10.10</v>
      </c>
    </row>
    <row r="86">
      <c t="str" s="14" r="B86">
        <f>HYPERLINK("http://www.wormbase.org/db/gene/gene?name=WBGene00018402;class=Gene","WBGene00018402")</f>
        <v>WBGene00018402</v>
      </c>
      <c t="str" s="14" r="C86">
        <f>HYPERLINK("http://www.wormbase.org/db/gene/gene?name=F44A2.2;class=Gene","F44A2.2")</f>
        <v>F44A2.2</v>
      </c>
    </row>
    <row r="87">
      <c t="str" s="14" r="B87">
        <f>HYPERLINK("http://www.wormbase.org/db/gene/gene?name=WBGene00020528;class=Gene","WBGene00020528")</f>
        <v>WBGene00020528</v>
      </c>
      <c t="str" s="14" r="C87">
        <f>HYPERLINK("http://www.wormbase.org/db/gene/gene?name=lgc-54;class=Gene","lgc-54")</f>
        <v>lgc-54</v>
      </c>
    </row>
    <row r="88">
      <c t="str" s="14" r="B88">
        <f>HYPERLINK("http://www.wormbase.org/db/gene/gene?name=WBGene00020569;class=Gene","WBGene00020569")</f>
        <v>WBGene00020569</v>
      </c>
      <c t="str" s="14" r="C88">
        <f>HYPERLINK("http://www.wormbase.org/db/gene/gene?name=lgc-32;class=Gene","lgc-32")</f>
        <v>lgc-32</v>
      </c>
    </row>
    <row r="89">
      <c t="str" s="14" r="B89">
        <f>HYPERLINK("http://www.wormbase.org/db/gene/gene?name=WBGene00020605;class=Gene","WBGene00020605")</f>
        <v>WBGene00020605</v>
      </c>
      <c t="str" s="14" r="C89">
        <f>HYPERLINK("http://www.wormbase.org/db/gene/gene?name=lgc-50;class=Gene","lgc-50")</f>
        <v>lgc-50</v>
      </c>
    </row>
    <row r="90">
      <c t="str" s="14" r="B90">
        <f>HYPERLINK("http://www.wormbase.org/db/gene/gene?name=WBGene00020767;class=Gene","WBGene00020767")</f>
        <v>WBGene00020767</v>
      </c>
      <c t="str" s="14" r="C90">
        <f>HYPERLINK("http://www.wormbase.org/db/gene/gene?name=lgc-40;class=Gene","lgc-40")</f>
        <v>lgc-40</v>
      </c>
    </row>
    <row r="91">
      <c t="str" s="14" r="B91">
        <f>HYPERLINK("http://www.wormbase.org/db/gene/gene?name=WBGene00021125;class=Gene","WBGene00021125")</f>
        <v>WBGene00021125</v>
      </c>
      <c t="str" s="14" r="C91">
        <f>HYPERLINK("http://www.wormbase.org/db/gene/gene?name=ccb-2;class=Gene","ccb-2")</f>
        <v>ccb-2</v>
      </c>
    </row>
    <row r="92">
      <c t="str" s="14" r="B92">
        <f>HYPERLINK("http://www.wormbase.org/db/gene/gene?name=WBGene00021146;class=Gene","WBGene00021146")</f>
        <v>WBGene00021146</v>
      </c>
      <c t="str" s="14" r="C92">
        <f>HYPERLINK("http://www.wormbase.org/db/gene/gene?name=lgc-45;class=Gene","lgc-45")</f>
        <v>lgc-45</v>
      </c>
    </row>
    <row r="93">
      <c t="str" s="4" r="A93">
        <f>UPPER(C93)</f>
        <v>MGL-3</v>
      </c>
      <c t="str" s="3" r="B93">
        <f>HYPERLINK("http://www.wormbase.org/db/gene/gene?name=WBGene00021152;class=Gene","WBGene00021152")</f>
        <v>WBGene00021152</v>
      </c>
      <c t="str" s="3" r="C93">
        <f>HYPERLINK("http://www.wormbase.org/db/gene/gene?name=mgl-3;class=Gene","mgl-3")</f>
        <v>mgl-3</v>
      </c>
      <c t="s" s="4" r="D93">
        <v>68</v>
      </c>
      <c t="s" s="4" r="E93">
        <v>68</v>
      </c>
      <c t="s" s="4" r="F93">
        <v>39</v>
      </c>
      <c t="str" s="4" r="G93">
        <f>HYPERLINK("http://www.wormbase.org/resources/gene_class/mgl#01--10","Metabotropic GLutamate receptor family")</f>
        <v>Metabotropic GLutamate receptor family</v>
      </c>
      <c t="str" s="4" r="H93">
        <f>HYPERLINK("http://www.wormbase.org/species/all/expr_pattern/Expr8247#021--10","Expr8247")</f>
        <v>Expr8247</v>
      </c>
      <c t="s" s="4" r="I93">
        <v>251</v>
      </c>
      <c t="s" s="4" r="J93">
        <v>252</v>
      </c>
      <c t="s" s="1" r="K93">
        <v>253</v>
      </c>
      <c s="4" r="L93"/>
      <c s="4" r="M93"/>
      <c s="4" r="N93"/>
      <c s="4" r="T93"/>
    </row>
    <row r="94">
      <c t="str" s="14" r="B94">
        <f>HYPERLINK("http://www.wormbase.org/db/gene/gene?name=WBGene00021437;class=Gene","WBGene00021437")</f>
        <v>WBGene00021437</v>
      </c>
      <c t="str" s="14" r="C94">
        <f>HYPERLINK("http://www.wormbase.org/db/gene/gene?name=lgc-42;class=Gene","lgc-42")</f>
        <v>lgc-42</v>
      </c>
    </row>
    <row r="95">
      <c t="str" s="14" r="B95">
        <f>HYPERLINK("http://www.wormbase.org/db/gene/gene?name=WBGene00021948;class=Gene","WBGene00021948")</f>
        <v>WBGene00021948</v>
      </c>
      <c t="str" s="14" r="C95">
        <f>HYPERLINK("http://www.wormbase.org/db/gene/gene?name=Y55F3C.3;class=Gene","Y55F3C.3")</f>
        <v>Y55F3C.3</v>
      </c>
    </row>
    <row r="96">
      <c t="str" s="14" r="B96">
        <f>HYPERLINK("http://www.wormbase.org/db/gene/gene?name=WBGene00022295;class=Gene","WBGene00022295")</f>
        <v>WBGene00022295</v>
      </c>
      <c t="str" s="14" r="C96">
        <f>HYPERLINK("http://www.wormbase.org/db/gene/gene?name=Y76B12C.1;class=Gene","Y76B12C.1")</f>
        <v>Y76B12C.1</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6.71"/>
    <col min="2" customWidth="1" max="2" width="6.86"/>
    <col min="3" customWidth="1" max="3" width="18.71"/>
    <col min="4" customWidth="1" max="4" width="10.57"/>
    <col min="5" customWidth="1" max="5" width="20.29"/>
    <col min="6" customWidth="1" max="6" width="26.86"/>
    <col min="7" customWidth="1" max="7" width="32.57"/>
    <col min="8" customWidth="1" max="8" width="13.57"/>
    <col min="9" customWidth="1" max="9" width="13.0"/>
    <col min="10" customWidth="1" max="10" width="8.86"/>
    <col min="11" customWidth="1" max="11" width="11.43"/>
    <col min="12" customWidth="1" max="12" width="13.0"/>
    <col min="13" customWidth="1" max="13" width="8.14"/>
    <col min="14" customWidth="1" max="14" width="10.0"/>
  </cols>
  <sheetData>
    <row r="1">
      <c t="s" r="A1">
        <v>254</v>
      </c>
      <c t="s" r="B1">
        <v>255</v>
      </c>
      <c t="s" r="C1">
        <v>256</v>
      </c>
      <c t="s" r="D1">
        <v>257</v>
      </c>
      <c t="s" r="E1">
        <v>258</v>
      </c>
      <c t="s" r="F1">
        <v>259</v>
      </c>
      <c t="s" r="G1">
        <v>260</v>
      </c>
      <c t="s" r="H1">
        <v>261</v>
      </c>
      <c t="s" r="I1">
        <v>262</v>
      </c>
      <c t="s" r="J1">
        <v>263</v>
      </c>
      <c t="s" r="K1">
        <v>264</v>
      </c>
    </row>
    <row customHeight="1" r="2" ht="2.25">
      <c t="s" r="A2">
        <v>20</v>
      </c>
      <c t="s" r="B2">
        <v>265</v>
      </c>
      <c t="s" r="C2">
        <v>266</v>
      </c>
      <c t="s" r="D2">
        <v>267</v>
      </c>
      <c t="s" r="E2">
        <v>268</v>
      </c>
      <c t="s" r="F2">
        <v>269</v>
      </c>
      <c t="s" r="G2">
        <v>270</v>
      </c>
    </row>
    <row r="3">
      <c t="s" r="A3">
        <v>271</v>
      </c>
      <c t="s" r="B3">
        <v>272</v>
      </c>
      <c t="s" r="C3">
        <v>266</v>
      </c>
      <c t="s" r="D3">
        <v>273</v>
      </c>
      <c t="s" r="E3">
        <v>274</v>
      </c>
      <c t="s" r="F3">
        <v>275</v>
      </c>
      <c t="s" r="G3">
        <v>276</v>
      </c>
    </row>
    <row r="4">
      <c t="s" r="A4">
        <v>277</v>
      </c>
      <c t="s" r="B4">
        <v>278</v>
      </c>
      <c t="s" r="C4">
        <v>266</v>
      </c>
      <c t="s" r="D4">
        <v>279</v>
      </c>
      <c t="s" r="E4">
        <v>280</v>
      </c>
      <c t="s" s="10" r="F4">
        <v>281</v>
      </c>
    </row>
    <row r="5">
      <c t="s" r="B5">
        <v>282</v>
      </c>
      <c t="s" r="C5">
        <v>266</v>
      </c>
      <c t="s" r="D5">
        <v>279</v>
      </c>
      <c t="s" r="E5">
        <v>283</v>
      </c>
    </row>
    <row r="6">
      <c t="s" r="B6">
        <v>284</v>
      </c>
      <c t="s" r="C6">
        <v>266</v>
      </c>
      <c t="s" r="D6">
        <v>285</v>
      </c>
      <c t="s" r="E6">
        <v>286</v>
      </c>
      <c t="s" r="F6">
        <v>287</v>
      </c>
    </row>
    <row r="7">
      <c t="s" r="B7">
        <v>288</v>
      </c>
      <c t="s" r="C7">
        <v>266</v>
      </c>
      <c t="s" r="D7">
        <v>285</v>
      </c>
      <c t="s" r="E7">
        <v>283</v>
      </c>
    </row>
    <row r="8">
      <c t="s" r="B8">
        <v>289</v>
      </c>
      <c t="s" r="C8">
        <v>266</v>
      </c>
      <c t="s" r="D8">
        <v>290</v>
      </c>
      <c t="s" r="E8">
        <v>291</v>
      </c>
    </row>
    <row r="9">
      <c t="s" r="B9">
        <v>292</v>
      </c>
      <c t="s" r="C9">
        <v>266</v>
      </c>
      <c t="s" r="D9">
        <v>290</v>
      </c>
    </row>
    <row r="10">
      <c t="s" r="B10">
        <v>293</v>
      </c>
      <c t="s" r="C10">
        <v>294</v>
      </c>
      <c t="s" r="D10">
        <v>295</v>
      </c>
      <c t="s" r="E10">
        <v>286</v>
      </c>
    </row>
    <row r="11">
      <c t="s" r="B11">
        <v>296</v>
      </c>
      <c t="s" r="C11">
        <v>266</v>
      </c>
      <c t="s" r="D11">
        <v>297</v>
      </c>
      <c t="s" r="E11">
        <v>283</v>
      </c>
      <c t="s" r="F11">
        <v>298</v>
      </c>
    </row>
    <row r="12">
      <c t="s" r="B12">
        <v>299</v>
      </c>
      <c t="s" r="C12">
        <v>294</v>
      </c>
      <c t="s" r="D12">
        <v>295</v>
      </c>
      <c t="s" r="E12">
        <v>300</v>
      </c>
    </row>
    <row r="13">
      <c t="s" r="A13">
        <v>301</v>
      </c>
      <c t="s" r="B13">
        <v>302</v>
      </c>
      <c t="s" r="D13">
        <v>303</v>
      </c>
      <c t="s" r="E13">
        <v>268</v>
      </c>
      <c t="s" r="F13">
        <v>304</v>
      </c>
      <c t="s" r="G13">
        <v>305</v>
      </c>
    </row>
    <row r="14">
      <c t="s" r="B14">
        <v>306</v>
      </c>
      <c t="s" r="C14">
        <v>307</v>
      </c>
      <c t="s" r="D14">
        <v>308</v>
      </c>
      <c t="s" r="E14">
        <v>286</v>
      </c>
    </row>
    <row r="15">
      <c t="s" r="B15">
        <v>309</v>
      </c>
      <c t="s" r="C15">
        <v>294</v>
      </c>
      <c t="s" r="D15">
        <v>295</v>
      </c>
      <c t="s" r="E15">
        <v>268</v>
      </c>
    </row>
    <row r="16">
      <c t="s" r="B16">
        <v>310</v>
      </c>
      <c t="s" r="C16">
        <v>294</v>
      </c>
      <c t="s" r="D16">
        <v>295</v>
      </c>
      <c t="s" r="E16">
        <v>311</v>
      </c>
    </row>
    <row r="17">
      <c t="s" r="B17">
        <v>312</v>
      </c>
      <c t="s" r="C17">
        <v>294</v>
      </c>
      <c t="s" r="D17">
        <v>295</v>
      </c>
      <c t="s" r="E17">
        <v>283</v>
      </c>
    </row>
    <row r="18">
      <c t="s" r="B18">
        <v>313</v>
      </c>
      <c t="s" r="C18">
        <v>294</v>
      </c>
      <c t="s" r="D18">
        <v>295</v>
      </c>
      <c t="s" r="E18">
        <v>283</v>
      </c>
    </row>
    <row r="19">
      <c t="s" r="B19">
        <v>314</v>
      </c>
      <c t="s" r="C19">
        <v>294</v>
      </c>
      <c t="s" r="D19">
        <v>295</v>
      </c>
      <c t="s" r="E19">
        <v>283</v>
      </c>
    </row>
    <row r="20">
      <c t="s" r="B20">
        <v>315</v>
      </c>
      <c t="s" r="C20">
        <v>294</v>
      </c>
      <c t="s" r="D20">
        <v>295</v>
      </c>
    </row>
    <row r="21">
      <c t="s" r="B21">
        <v>316</v>
      </c>
      <c t="s" r="C21">
        <v>294</v>
      </c>
      <c t="s" r="D21">
        <v>295</v>
      </c>
      <c t="s" r="E21">
        <v>283</v>
      </c>
    </row>
    <row r="22">
      <c t="s" r="B22">
        <v>317</v>
      </c>
      <c t="s" r="C22">
        <v>294</v>
      </c>
      <c t="s" r="D22">
        <v>295</v>
      </c>
    </row>
    <row r="23">
      <c t="s" r="B23">
        <v>318</v>
      </c>
      <c t="s" r="C23">
        <v>294</v>
      </c>
      <c t="s" r="D23">
        <v>295</v>
      </c>
      <c t="s" r="E23">
        <v>268</v>
      </c>
    </row>
    <row r="24">
      <c t="s" r="B24">
        <v>319</v>
      </c>
      <c t="s" r="C24">
        <v>294</v>
      </c>
      <c t="s" r="D24">
        <v>295</v>
      </c>
    </row>
    <row r="25">
      <c t="s" r="B25">
        <v>320</v>
      </c>
      <c t="s" r="C25">
        <v>294</v>
      </c>
      <c t="s" r="D25">
        <v>295</v>
      </c>
    </row>
    <row r="26">
      <c t="s" r="B26">
        <v>321</v>
      </c>
      <c t="s" r="C26">
        <v>294</v>
      </c>
      <c t="s" r="D26">
        <v>295</v>
      </c>
    </row>
    <row r="27">
      <c t="s" r="B27">
        <v>322</v>
      </c>
      <c t="s" r="C27">
        <v>294</v>
      </c>
      <c t="s" r="D27">
        <v>295</v>
      </c>
    </row>
    <row r="28">
      <c t="s" r="B28">
        <v>323</v>
      </c>
      <c t="s" r="C28">
        <v>294</v>
      </c>
      <c t="s" r="D28">
        <v>295</v>
      </c>
    </row>
    <row r="29">
      <c t="s" r="B29">
        <v>324</v>
      </c>
      <c t="s" r="C29">
        <v>294</v>
      </c>
      <c t="s" r="D29">
        <v>295</v>
      </c>
    </row>
    <row r="30">
      <c t="s" r="B30">
        <v>325</v>
      </c>
      <c t="s" r="C30">
        <v>294</v>
      </c>
      <c t="s" r="D30">
        <v>295</v>
      </c>
      <c t="s" r="E30">
        <v>283</v>
      </c>
    </row>
    <row r="31">
      <c t="s" r="B31">
        <v>326</v>
      </c>
      <c t="s" r="C31">
        <v>294</v>
      </c>
      <c t="s" r="D31">
        <v>295</v>
      </c>
      <c t="s" r="E31">
        <v>283</v>
      </c>
    </row>
    <row r="32">
      <c t="s" r="B32">
        <v>327</v>
      </c>
      <c t="s" r="C32">
        <v>294</v>
      </c>
      <c t="s" r="D32">
        <v>295</v>
      </c>
      <c t="s" r="E32">
        <v>286</v>
      </c>
    </row>
    <row r="33">
      <c t="s" r="B33">
        <v>328</v>
      </c>
      <c t="s" r="C33">
        <v>294</v>
      </c>
      <c t="s" r="D33">
        <v>295</v>
      </c>
    </row>
    <row r="34">
      <c t="s" r="B34">
        <v>329</v>
      </c>
      <c t="s" r="C34">
        <v>294</v>
      </c>
      <c t="s" r="D34">
        <v>295</v>
      </c>
      <c t="s" r="E34">
        <v>330</v>
      </c>
    </row>
    <row r="35">
      <c t="s" r="B35">
        <v>331</v>
      </c>
      <c t="s" r="C35">
        <v>294</v>
      </c>
      <c t="s" r="D35">
        <v>295</v>
      </c>
      <c t="s" r="E35">
        <v>283</v>
      </c>
    </row>
    <row r="36">
      <c t="s" r="B36">
        <v>332</v>
      </c>
      <c t="s" r="C36">
        <v>294</v>
      </c>
      <c t="s" r="D36">
        <v>295</v>
      </c>
    </row>
    <row r="37">
      <c t="s" r="B37">
        <v>333</v>
      </c>
      <c t="s" r="C37">
        <v>294</v>
      </c>
      <c t="s" r="D37">
        <v>295</v>
      </c>
    </row>
    <row r="38">
      <c t="s" r="B38">
        <v>334</v>
      </c>
      <c t="s" r="C38">
        <v>294</v>
      </c>
      <c t="s" r="D38">
        <v>295</v>
      </c>
    </row>
    <row r="39">
      <c t="s" r="B39">
        <v>335</v>
      </c>
      <c t="s" r="C39">
        <v>294</v>
      </c>
      <c t="s" r="D39">
        <v>295</v>
      </c>
      <c t="s" r="E39">
        <v>268</v>
      </c>
    </row>
    <row r="40">
      <c t="s" r="B40">
        <v>336</v>
      </c>
      <c t="s" r="C40">
        <v>294</v>
      </c>
      <c t="s" r="D40">
        <v>295</v>
      </c>
      <c t="s" r="E40">
        <v>283</v>
      </c>
    </row>
    <row r="41">
      <c t="s" r="B41">
        <v>337</v>
      </c>
      <c t="s" r="C41">
        <v>294</v>
      </c>
      <c t="s" r="D41">
        <v>295</v>
      </c>
      <c t="s" r="E41">
        <v>283</v>
      </c>
    </row>
    <row r="42">
      <c t="s" r="B42">
        <v>338</v>
      </c>
      <c t="s" r="C42">
        <v>294</v>
      </c>
      <c t="s" r="D42">
        <v>295</v>
      </c>
    </row>
    <row r="43">
      <c t="s" r="B43">
        <v>339</v>
      </c>
      <c t="s" r="C43">
        <v>294</v>
      </c>
      <c t="s" r="D43">
        <v>295</v>
      </c>
      <c t="s" r="E43">
        <v>283</v>
      </c>
    </row>
    <row r="44">
      <c t="s" r="B44">
        <v>340</v>
      </c>
      <c t="s" r="C44">
        <v>294</v>
      </c>
      <c t="s" r="D44">
        <v>295</v>
      </c>
    </row>
    <row r="45">
      <c t="s" r="B45">
        <v>341</v>
      </c>
      <c t="s" r="C45">
        <v>294</v>
      </c>
      <c t="s" r="D45">
        <v>295</v>
      </c>
    </row>
    <row r="46">
      <c t="s" r="B46">
        <v>342</v>
      </c>
      <c t="s" r="C46">
        <v>294</v>
      </c>
      <c t="s" r="D46">
        <v>295</v>
      </c>
    </row>
    <row r="47">
      <c t="s" r="B47">
        <v>343</v>
      </c>
      <c t="s" r="C47">
        <v>294</v>
      </c>
      <c t="s" r="D47">
        <v>295</v>
      </c>
      <c t="s" r="E47">
        <v>344</v>
      </c>
    </row>
    <row r="48">
      <c t="s" r="B48">
        <v>345</v>
      </c>
      <c t="s" r="C48">
        <v>294</v>
      </c>
      <c t="s" r="D48">
        <v>295</v>
      </c>
    </row>
    <row r="49">
      <c t="s" r="B49">
        <v>346</v>
      </c>
      <c t="s" r="C49">
        <v>294</v>
      </c>
      <c t="s" r="D49">
        <v>295</v>
      </c>
    </row>
    <row r="50">
      <c t="s" r="B50">
        <v>347</v>
      </c>
      <c t="s" r="C50">
        <v>294</v>
      </c>
      <c t="s" r="D50">
        <v>295</v>
      </c>
    </row>
    <row r="51">
      <c t="s" r="B51">
        <v>348</v>
      </c>
      <c t="s" r="C51">
        <v>294</v>
      </c>
      <c t="s" r="D51">
        <v>295</v>
      </c>
    </row>
    <row r="52">
      <c t="s" r="B52">
        <v>349</v>
      </c>
      <c t="s" r="C52">
        <v>294</v>
      </c>
      <c t="s" r="D52">
        <v>295</v>
      </c>
    </row>
    <row r="53">
      <c t="s" r="B53">
        <v>350</v>
      </c>
      <c t="s" r="C53">
        <v>294</v>
      </c>
      <c t="s" r="D53">
        <v>295</v>
      </c>
    </row>
    <row r="54">
      <c t="s" r="B54">
        <v>351</v>
      </c>
      <c t="s" r="C54">
        <v>294</v>
      </c>
      <c t="s" r="D54">
        <v>295</v>
      </c>
    </row>
    <row r="55">
      <c t="s" r="B55">
        <v>352</v>
      </c>
      <c t="s" r="C55">
        <v>294</v>
      </c>
      <c t="s" r="D55">
        <v>295</v>
      </c>
      <c t="s" r="E55">
        <v>283</v>
      </c>
    </row>
    <row r="56">
      <c t="s" r="B56">
        <v>353</v>
      </c>
      <c t="s" r="C56">
        <v>294</v>
      </c>
      <c t="s" r="D56">
        <v>295</v>
      </c>
    </row>
    <row r="57">
      <c t="s" r="B57">
        <v>354</v>
      </c>
      <c t="s" r="C57">
        <v>294</v>
      </c>
      <c t="s" r="D57">
        <v>295</v>
      </c>
    </row>
    <row r="58">
      <c t="s" r="B58">
        <v>355</v>
      </c>
      <c t="s" r="C58">
        <v>294</v>
      </c>
      <c t="s" r="D58">
        <v>295</v>
      </c>
    </row>
    <row r="59">
      <c t="s" r="B59">
        <v>356</v>
      </c>
      <c t="s" r="C59">
        <v>357</v>
      </c>
      <c t="s" r="D59">
        <v>358</v>
      </c>
      <c t="s" r="E59">
        <v>286</v>
      </c>
      <c t="s" r="F59">
        <v>359</v>
      </c>
    </row>
    <row r="60">
      <c t="s" r="A60">
        <v>360</v>
      </c>
      <c t="s" r="B60">
        <v>361</v>
      </c>
      <c t="s" r="C60">
        <v>357</v>
      </c>
      <c t="s" r="D60">
        <v>358</v>
      </c>
      <c t="s" r="E60">
        <v>286</v>
      </c>
      <c t="s" r="F60">
        <v>362</v>
      </c>
      <c t="s" r="G60">
        <v>363</v>
      </c>
    </row>
    <row r="61">
      <c t="s" r="B61">
        <v>364</v>
      </c>
      <c t="s" r="C61">
        <v>357</v>
      </c>
      <c t="s" r="D61">
        <v>365</v>
      </c>
    </row>
    <row r="62">
      <c t="s" r="B62">
        <v>366</v>
      </c>
      <c t="s" r="C62">
        <v>357</v>
      </c>
      <c t="s" r="D62">
        <v>365</v>
      </c>
      <c t="s" r="E62">
        <v>283</v>
      </c>
    </row>
    <row r="63">
      <c t="s" r="B63">
        <v>367</v>
      </c>
      <c t="s" r="C63">
        <v>357</v>
      </c>
      <c t="s" r="D63">
        <v>365</v>
      </c>
    </row>
    <row r="64">
      <c t="s" r="B64">
        <v>368</v>
      </c>
      <c t="s" r="C64">
        <v>357</v>
      </c>
      <c t="s" r="D64">
        <v>365</v>
      </c>
    </row>
    <row r="65">
      <c t="s" r="B65">
        <v>369</v>
      </c>
      <c t="s" r="C65">
        <v>370</v>
      </c>
      <c t="s" r="D65">
        <v>371</v>
      </c>
      <c t="s" r="E65">
        <v>283</v>
      </c>
    </row>
    <row r="66">
      <c t="s" r="B66">
        <v>372</v>
      </c>
      <c t="s" r="C66">
        <v>370</v>
      </c>
      <c t="s" r="D66">
        <v>371</v>
      </c>
      <c t="s" r="E66">
        <v>373</v>
      </c>
    </row>
    <row r="67">
      <c t="s" r="B67">
        <v>374</v>
      </c>
      <c t="s" r="C67">
        <v>370</v>
      </c>
      <c t="s" r="D67">
        <v>371</v>
      </c>
      <c t="s" r="E67">
        <v>373</v>
      </c>
    </row>
    <row customHeight="1" r="68" ht="1.5">
      <c t="s" r="A68">
        <v>375</v>
      </c>
      <c t="s" r="B68">
        <v>376</v>
      </c>
      <c t="s" r="C68">
        <v>307</v>
      </c>
      <c t="s" r="D68">
        <v>377</v>
      </c>
      <c t="s" r="E68">
        <v>378</v>
      </c>
      <c t="s" r="F68">
        <v>379</v>
      </c>
      <c t="s" r="G68">
        <v>380</v>
      </c>
    </row>
    <row r="69">
      <c t="s" r="A69">
        <v>381</v>
      </c>
      <c t="s" r="B69">
        <v>382</v>
      </c>
      <c t="s" r="C69">
        <v>307</v>
      </c>
      <c t="s" r="D69">
        <v>383</v>
      </c>
      <c t="s" r="E69">
        <v>384</v>
      </c>
      <c t="s" s="10" r="F69">
        <v>385</v>
      </c>
      <c t="s" r="G69">
        <v>386</v>
      </c>
    </row>
    <row r="70">
      <c t="s" r="B70">
        <v>387</v>
      </c>
      <c t="s" r="C70">
        <v>307</v>
      </c>
      <c t="s" r="D70">
        <v>383</v>
      </c>
      <c t="s" r="E70">
        <v>388</v>
      </c>
    </row>
    <row r="71">
      <c t="s" r="B71">
        <v>389</v>
      </c>
      <c t="s" r="C71">
        <v>307</v>
      </c>
      <c t="s" r="D71">
        <v>383</v>
      </c>
    </row>
    <row r="72">
      <c t="s" r="B72">
        <v>390</v>
      </c>
      <c t="s" r="C72">
        <v>307</v>
      </c>
      <c t="s" r="D72">
        <v>383</v>
      </c>
    </row>
    <row r="73">
      <c t="s" r="B73">
        <v>391</v>
      </c>
      <c t="s" r="C73">
        <v>307</v>
      </c>
      <c t="s" r="D73">
        <v>383</v>
      </c>
    </row>
    <row r="74">
      <c t="s" r="B74">
        <v>392</v>
      </c>
      <c t="s" r="C74">
        <v>307</v>
      </c>
      <c t="s" r="D74">
        <v>383</v>
      </c>
    </row>
    <row r="75">
      <c t="s" r="B75">
        <v>393</v>
      </c>
      <c t="s" r="C75">
        <v>307</v>
      </c>
      <c t="s" r="D75">
        <v>394</v>
      </c>
    </row>
    <row r="76">
      <c t="s" r="B76">
        <v>395</v>
      </c>
      <c t="s" r="C76">
        <v>307</v>
      </c>
      <c t="s" r="D76">
        <v>394</v>
      </c>
      <c t="s" r="E76">
        <v>286</v>
      </c>
    </row>
    <row r="77">
      <c t="s" r="B77">
        <v>396</v>
      </c>
      <c t="s" r="C77">
        <v>307</v>
      </c>
      <c t="s" r="D77">
        <v>394</v>
      </c>
      <c t="s" r="E77">
        <v>283</v>
      </c>
    </row>
    <row r="78">
      <c t="s" r="B78">
        <v>397</v>
      </c>
      <c t="s" r="C78">
        <v>307</v>
      </c>
      <c t="s" r="D78">
        <v>398</v>
      </c>
      <c t="s" r="E78">
        <v>283</v>
      </c>
    </row>
    <row r="79">
      <c t="s" r="B79">
        <v>399</v>
      </c>
      <c t="s" r="C79">
        <v>307</v>
      </c>
      <c t="s" r="D79">
        <v>308</v>
      </c>
      <c t="s" r="E79">
        <v>400</v>
      </c>
    </row>
    <row r="80">
      <c t="s" r="B80">
        <v>401</v>
      </c>
      <c t="s" r="C80">
        <v>294</v>
      </c>
      <c t="s" r="D80">
        <v>295</v>
      </c>
    </row>
    <row r="81">
      <c t="s" r="B81">
        <v>402</v>
      </c>
      <c t="s" r="D81">
        <v>403</v>
      </c>
      <c t="s" r="E81">
        <v>283</v>
      </c>
    </row>
    <row r="82">
      <c t="s" r="B82">
        <v>404</v>
      </c>
      <c t="s" r="D82">
        <v>403</v>
      </c>
      <c t="s" r="E82">
        <v>405</v>
      </c>
    </row>
    <row r="83">
      <c t="s" r="B83">
        <v>406</v>
      </c>
      <c t="s" r="D83">
        <v>403</v>
      </c>
      <c t="s" r="E83">
        <v>407</v>
      </c>
    </row>
    <row r="84">
      <c t="s" r="B84">
        <v>408</v>
      </c>
      <c t="s" r="C84">
        <v>409</v>
      </c>
      <c t="s" r="D84">
        <v>410</v>
      </c>
      <c t="s" r="E84">
        <v>407</v>
      </c>
    </row>
    <row r="85">
      <c t="s" r="B85">
        <v>411</v>
      </c>
      <c t="s" r="C85">
        <v>409</v>
      </c>
      <c t="s" r="D85">
        <v>410</v>
      </c>
      <c t="s" r="E85">
        <v>407</v>
      </c>
    </row>
    <row r="86">
      <c t="s" r="B86">
        <v>412</v>
      </c>
      <c t="s" r="C86">
        <v>409</v>
      </c>
      <c t="s" r="D86">
        <v>410</v>
      </c>
      <c t="s" r="E86">
        <v>413</v>
      </c>
    </row>
    <row r="87">
      <c t="s" r="B87">
        <v>414</v>
      </c>
      <c t="s" r="C87">
        <v>409</v>
      </c>
      <c t="s" r="D87">
        <v>410</v>
      </c>
      <c t="s" r="E87">
        <v>407</v>
      </c>
    </row>
    <row r="88">
      <c t="s" r="B88">
        <v>415</v>
      </c>
      <c t="s" r="C88">
        <v>409</v>
      </c>
      <c t="s" r="D88">
        <v>410</v>
      </c>
      <c t="s" r="E88">
        <v>407</v>
      </c>
    </row>
    <row r="89">
      <c t="s" r="B89">
        <v>416</v>
      </c>
      <c t="s" r="C89">
        <v>409</v>
      </c>
      <c t="s" r="D89">
        <v>417</v>
      </c>
      <c t="s" r="E89">
        <v>407</v>
      </c>
    </row>
    <row r="90">
      <c t="s" r="B90">
        <v>418</v>
      </c>
      <c t="s" r="C90">
        <v>409</v>
      </c>
      <c t="s" r="D90">
        <v>417</v>
      </c>
      <c t="s" r="E90">
        <v>407</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6.86"/>
    <col min="2" customWidth="1" max="2" width="36.57"/>
    <col min="3" customWidth="1" max="3" width="18.43"/>
  </cols>
  <sheetData>
    <row r="1">
      <c t="s" s="8" r="A1">
        <v>256</v>
      </c>
      <c t="s" s="8" r="B1">
        <v>257</v>
      </c>
      <c s="8" r="C1"/>
    </row>
    <row r="2">
      <c t="s" r="A2">
        <v>266</v>
      </c>
      <c t="s" r="B2">
        <v>267</v>
      </c>
    </row>
    <row r="3">
      <c t="s" r="A3">
        <v>266</v>
      </c>
      <c t="s" r="B3">
        <v>273</v>
      </c>
    </row>
    <row r="4">
      <c t="s" r="A4">
        <v>266</v>
      </c>
      <c t="s" r="B4">
        <v>279</v>
      </c>
    </row>
    <row r="5">
      <c t="s" r="A5">
        <v>266</v>
      </c>
      <c t="s" r="B5">
        <v>285</v>
      </c>
    </row>
    <row r="6">
      <c t="s" r="A6">
        <v>266</v>
      </c>
      <c t="s" r="B6">
        <v>290</v>
      </c>
    </row>
    <row r="7">
      <c t="s" r="A7">
        <v>294</v>
      </c>
      <c t="s" r="B7">
        <v>295</v>
      </c>
    </row>
    <row r="8">
      <c t="s" r="A8">
        <v>266</v>
      </c>
      <c t="s" r="B8">
        <v>297</v>
      </c>
    </row>
    <row r="9">
      <c t="s" r="B9">
        <v>303</v>
      </c>
    </row>
    <row r="10">
      <c t="s" r="A10">
        <v>307</v>
      </c>
      <c t="s" r="B10">
        <v>308</v>
      </c>
    </row>
    <row r="11">
      <c t="s" r="A11">
        <v>357</v>
      </c>
      <c t="s" r="B11">
        <v>358</v>
      </c>
    </row>
    <row r="12">
      <c t="s" r="A12">
        <v>357</v>
      </c>
      <c t="s" r="B12">
        <v>365</v>
      </c>
    </row>
    <row r="13">
      <c t="s" r="A13">
        <v>370</v>
      </c>
      <c t="s" r="B13">
        <v>371</v>
      </c>
    </row>
    <row r="14">
      <c t="s" r="A14">
        <v>307</v>
      </c>
      <c t="s" r="B14">
        <v>377</v>
      </c>
    </row>
    <row r="15">
      <c t="s" r="A15">
        <v>307</v>
      </c>
      <c t="s" r="B15">
        <v>383</v>
      </c>
    </row>
    <row r="16">
      <c t="s" r="A16">
        <v>307</v>
      </c>
      <c t="s" r="B16">
        <v>394</v>
      </c>
    </row>
    <row r="17">
      <c t="s" r="A17">
        <v>307</v>
      </c>
      <c t="s" r="B17">
        <v>398</v>
      </c>
    </row>
    <row r="18">
      <c t="s" r="A18">
        <v>307</v>
      </c>
      <c t="s" r="B18">
        <v>308</v>
      </c>
    </row>
    <row r="19">
      <c t="s" r="A19">
        <v>294</v>
      </c>
      <c t="s" r="B19">
        <v>295</v>
      </c>
    </row>
    <row r="20">
      <c t="s" r="B20">
        <v>403</v>
      </c>
    </row>
    <row r="21">
      <c t="s" r="A21">
        <v>409</v>
      </c>
      <c t="s" r="B21">
        <v>410</v>
      </c>
    </row>
    <row r="22">
      <c t="s" r="A22">
        <v>409</v>
      </c>
      <c t="s" r="B22">
        <v>417</v>
      </c>
    </row>
    <row r="23">
      <c t="str" r="A23">
        <f>hyperlink("http://www.wormbase.org/species/c_elegans/protein/WP:CE24839#06--10","TWK-20")</f>
        <v>TWK-20</v>
      </c>
      <c t="str" r="B23">
        <f>hyperlink("http://www.wormbase.org/resources/gene_class/twk#01--10", "TWiK family of potassium channels")</f>
        <v>TWiK family of potassium channels</v>
      </c>
    </row>
    <row r="24">
      <c t="str" r="A24">
        <f>hyperlink("http://www.wormbase.org/species/c_elegans/protein/WP:CE27450#06--10", "CLH-1, isoform a, CLH-1, isoform b:")</f>
        <v>CLH-1, isoform a, CLH-1, isoform b:</v>
      </c>
      <c t="str" r="B24">
        <f>hyperlink("http://www.wormbase.org/resources/gene_class/clh#01--10","CLC-type chloride cHannel")</f>
        <v>CLC-type chloride cHannel</v>
      </c>
    </row>
    <row r="25">
      <c t="str" r="A25">
        <f>hyperlink("http://www.wormbase.org/species/c_elegans/protein/WP:CE41791#06--10","CNG-1, isoform b")</f>
        <v>CNG-1, isoform b</v>
      </c>
      <c t="str" r="B25">
        <f>hyperlink("http://www.wormbase.org/resources/gene_class/cng#01--10","cng - Cyclic Nucleotide Gated channel")</f>
        <v>cng - Cyclic Nucleotide Gated channel</v>
      </c>
    </row>
    <row r="26">
      <c t="str" r="A26">
        <f>hyperlink("http://www.wormbase.org/species/c_elegans/protein/WP:CE37910#06--10", "CNG-3")</f>
        <v>CNG-3</v>
      </c>
      <c t="str" r="B26">
        <f>hyperlink("http://www.wormbase.org/resources/gene_class/cng#01--10","cng - Cyclic Nucleotide Gated channel")</f>
        <v>cng - Cyclic Nucleotide Gated channel</v>
      </c>
    </row>
    <row r="27">
      <c t="str" r="B27">
        <f>hyperlink("http://www.wormbase.org/resources/gene_class/tax#01--10", "tax - abnormal CHEmotaxis")</f>
        <v>tax - abnormal CHEmotaxis</v>
      </c>
    </row>
    <row r="28">
      <c t="str" r="A28">
        <f>hyperlink("http://www.wormbase.org/species/c_elegans/protein/WP:CE20445#06--10", "OSM-9")</f>
        <v>OSM-9</v>
      </c>
      <c t="str" r="B28">
        <f>hyperlink("http://www.wormbase.org/resources/gene_class/osm#01--10","osm - osmotic avoidance abnormal")</f>
        <v>osm - osmotic avoidance abnormal</v>
      </c>
    </row>
    <row r="29">
      <c t="str" r="B29">
        <f>hyperlink("http://www.wormbase.org/resources/gene_class/kqt#01--10","kqt - potassium channel, KvQLT family")</f>
        <v>kqt - potassium channel, KvQLT family</v>
      </c>
    </row>
    <row r="30">
      <c t="str" r="B30">
        <f>hyperlink("http://www.wormbase.org/resources/gene_class/avr#01--10","avr - altered AVeRmectin sensitivity")</f>
        <v>avr - altered AVeRmectin sensitivity</v>
      </c>
    </row>
  </sheetData>
</worksheet>
</file>