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joed/CCSB_Loads/SSC_Consensus_Loads/"/>
    </mc:Choice>
  </mc:AlternateContent>
  <xr:revisionPtr revIDLastSave="0" documentId="8_{E3EED052-D796-154F-B21F-41E58B9A5FFD}" xr6:coauthVersionLast="45" xr6:coauthVersionMax="45" xr10:uidLastSave="{00000000-0000-0000-0000-000000000000}"/>
  <bookViews>
    <workbookView xWindow="5380" yWindow="460" windowWidth="25260" windowHeight="15040" tabRatio="799" firstSheet="1" activeTab="4" xr2:uid="{00000000-000D-0000-FFFF-FFFF00000000}"/>
  </bookViews>
  <sheets>
    <sheet name="T1. WY2017 peaks" sheetId="29" r:id="rId1"/>
    <sheet name="T2. Sed Phases 1-3" sheetId="23" r:id="rId2"/>
    <sheet name="T3. Load calc plan" sheetId="26" r:id="rId3"/>
    <sheet name="T4a. THg loads daily calib" sheetId="1" r:id="rId4"/>
    <sheet name="T4b, THg loads inst calib" sheetId="39" r:id="rId5"/>
    <sheet name="T5. THg loads Yolo-Road102" sheetId="24" r:id="rId6"/>
    <sheet name="T6. THg trap eff 2010-19" sheetId="12" r:id="rId7"/>
    <sheet name="T7a. THg SE 2010-19" sheetId="13" r:id="rId8"/>
    <sheet name="T7b, THg %SE" sheetId="31" r:id="rId9"/>
    <sheet name="T8. THg TE SE 2010-19" sheetId="16" r:id="rId10"/>
    <sheet name="T9a. MeHg loads daily calib" sheetId="2" r:id="rId11"/>
    <sheet name="T9b. MeHg Loads inst calib" sheetId="38" r:id="rId12"/>
    <sheet name="T10. MeHg Loads Yolo-Road102" sheetId="25" r:id="rId13"/>
    <sheet name="T11. MeHg trap eff 2010-19" sheetId="4" r:id="rId14"/>
    <sheet name="T12a. MeHg SE 2010-18" sheetId="15" r:id="rId15"/>
    <sheet name="T12b. MeHg %SE" sheetId="32" r:id="rId16"/>
    <sheet name="T13. MeHg TE SE 2010-18" sheetId="17" r:id="rId17"/>
    <sheet name="T16. THg Weir N v S_daily" sheetId="27" r:id="rId18"/>
    <sheet name="T17a. SSC THg SE Weir N v S" sheetId="28" r:id="rId19"/>
    <sheet name="T17b. SSE THg%SE N_v_S" sheetId="36" r:id="rId20"/>
    <sheet name="T17c. MeHg Weir N v S_daily" sheetId="37" r:id="rId21"/>
    <sheet name="T18. Rumsey THg loads" sheetId="33" r:id="rId22"/>
    <sheet name="T19a. Rumsey THg SE" sheetId="34" r:id="rId23"/>
    <sheet name="T19b Rumsey THg %SE" sheetId="35" r:id="rId24"/>
  </sheets>
  <definedNames>
    <definedName name="_xlnm.Print_Area" localSheetId="0">'T1. WY2017 peaks'!$A$1:$M$31</definedName>
    <definedName name="_xlnm.Print_Area" localSheetId="12">'T10. MeHg Loads Yolo-Road102'!$A$1:$Q$40</definedName>
    <definedName name="_xlnm.Print_Area" localSheetId="13">'T11. MeHg trap eff 2010-19'!$A$1:$O$38</definedName>
    <definedName name="_xlnm.Print_Area" localSheetId="15">'T12b. MeHg %SE'!$A$1:$M$96</definedName>
    <definedName name="_xlnm.Print_Area" localSheetId="16">'T13. MeHg TE SE 2010-18'!$A$1:$O$31</definedName>
    <definedName name="_xlnm.Print_Area" localSheetId="17">'T16. THg Weir N v S_daily'!$A$1:$Q$66</definedName>
    <definedName name="_xlnm.Print_Area" localSheetId="18">'T17a. SSC THg SE Weir N v S'!$A$1:$M$25</definedName>
    <definedName name="_xlnm.Print_Area" localSheetId="1">'T2. Sed Phases 1-3'!$A$1:$J$7</definedName>
    <definedName name="_xlnm.Print_Area" localSheetId="2">'T3. Load calc plan'!$A$1:$K$10</definedName>
    <definedName name="_xlnm.Print_Area" localSheetId="3">'T4a. THg loads daily calib'!$A$1:$AE$100</definedName>
    <definedName name="_xlnm.Print_Area" localSheetId="6">'T6. THg trap eff 2010-19'!$A$1:$O$38</definedName>
    <definedName name="_xlnm.Print_Area" localSheetId="7">'T7a. THg SE 2010-19'!$A$1:$M$96</definedName>
    <definedName name="_xlnm.Print_Area" localSheetId="8">'T7b, THg %SE'!$A$1:$M$96</definedName>
    <definedName name="_xlnm.Print_Area" localSheetId="9">'T8. THg TE SE 2010-19'!$A$1:$N$32</definedName>
    <definedName name="_xlnm.Print_Area" localSheetId="10">'T9a. MeHg loads daily calib'!$A$1:$V$100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0" i="39" l="1"/>
  <c r="P44" i="1"/>
  <c r="O44" i="1"/>
  <c r="P42" i="1"/>
  <c r="P41" i="1"/>
  <c r="P40" i="1"/>
  <c r="P39" i="1"/>
  <c r="P38" i="1"/>
  <c r="P37" i="1"/>
  <c r="P36" i="1"/>
  <c r="P35" i="1"/>
  <c r="P34" i="1"/>
  <c r="P33" i="1"/>
  <c r="O43" i="1"/>
  <c r="O40" i="1"/>
  <c r="P29" i="1"/>
  <c r="P28" i="1"/>
  <c r="P27" i="1"/>
  <c r="P26" i="1"/>
  <c r="P25" i="1"/>
  <c r="P24" i="1"/>
  <c r="P23" i="1"/>
  <c r="P22" i="1"/>
  <c r="N29" i="1"/>
  <c r="N28" i="1"/>
  <c r="N27" i="1"/>
  <c r="N26" i="1"/>
  <c r="N25" i="1"/>
  <c r="N24" i="1"/>
  <c r="N23" i="1"/>
  <c r="N22" i="1"/>
  <c r="P43" i="1" l="1"/>
  <c r="P13" i="1"/>
  <c r="N13" i="1"/>
  <c r="O13" i="1"/>
  <c r="M13" i="1"/>
  <c r="P8" i="1"/>
  <c r="P12" i="1"/>
  <c r="P11" i="1"/>
  <c r="P10" i="1"/>
  <c r="P9" i="1"/>
  <c r="N9" i="1"/>
  <c r="N20" i="39" l="1"/>
  <c r="N19" i="39"/>
  <c r="M20" i="39"/>
  <c r="L20" i="39"/>
  <c r="L31" i="39"/>
  <c r="K20" i="39"/>
  <c r="O20" i="1"/>
  <c r="O19" i="1"/>
  <c r="P20" i="1"/>
  <c r="P18" i="1"/>
  <c r="P19" i="1" s="1"/>
  <c r="P17" i="1"/>
  <c r="P16" i="1"/>
  <c r="N18" i="1"/>
  <c r="N17" i="1"/>
  <c r="N16" i="1"/>
  <c r="P42" i="39" l="1"/>
  <c r="P41" i="39"/>
  <c r="O44" i="39"/>
  <c r="P44" i="39" s="1"/>
  <c r="P39" i="39"/>
  <c r="P38" i="39"/>
  <c r="P37" i="39"/>
  <c r="P36" i="39"/>
  <c r="P35" i="39"/>
  <c r="P34" i="39"/>
  <c r="P33" i="39"/>
  <c r="O43" i="39" l="1"/>
  <c r="P40" i="39"/>
  <c r="P43" i="39" s="1"/>
  <c r="P8" i="39"/>
  <c r="P9" i="39"/>
  <c r="P10" i="39"/>
  <c r="P11" i="39"/>
  <c r="P13" i="39" s="1"/>
  <c r="P12" i="39"/>
  <c r="O13" i="39"/>
  <c r="O14" i="39"/>
  <c r="P14" i="39"/>
  <c r="Y45" i="39"/>
  <c r="L44" i="39"/>
  <c r="W45" i="39"/>
  <c r="N16" i="39"/>
  <c r="L16" i="39"/>
  <c r="P16" i="39" l="1"/>
  <c r="P17" i="39"/>
  <c r="P18" i="39"/>
  <c r="O19" i="39"/>
  <c r="O20" i="39"/>
  <c r="P20" i="39" s="1"/>
  <c r="P22" i="39"/>
  <c r="P23" i="39"/>
  <c r="P24" i="39"/>
  <c r="P25" i="39"/>
  <c r="P26" i="39"/>
  <c r="P27" i="39"/>
  <c r="P28" i="39"/>
  <c r="P29" i="39"/>
  <c r="O30" i="39"/>
  <c r="H30" i="39" s="1"/>
  <c r="O31" i="39"/>
  <c r="P31" i="39" s="1"/>
  <c r="P30" i="39" l="1"/>
  <c r="P19" i="39"/>
  <c r="N33" i="1" l="1"/>
  <c r="L22" i="1"/>
  <c r="N12" i="1" l="1"/>
  <c r="N11" i="1"/>
  <c r="N10" i="1"/>
  <c r="B13" i="1"/>
  <c r="E16" i="1" l="1"/>
  <c r="E55" i="39" l="1"/>
  <c r="E54" i="39"/>
  <c r="E53" i="39"/>
  <c r="E52" i="39"/>
  <c r="E51" i="39"/>
  <c r="E50" i="39"/>
  <c r="E49" i="39"/>
  <c r="K79" i="39"/>
  <c r="L69" i="4"/>
  <c r="L66" i="4"/>
  <c r="L65" i="4"/>
  <c r="L64" i="4"/>
  <c r="L63" i="4"/>
  <c r="L62" i="4"/>
  <c r="L61" i="4"/>
  <c r="L60" i="4"/>
  <c r="J69" i="4"/>
  <c r="J68" i="4"/>
  <c r="J66" i="4"/>
  <c r="J65" i="4"/>
  <c r="J64" i="4"/>
  <c r="J63" i="4"/>
  <c r="J62" i="4"/>
  <c r="J61" i="4"/>
  <c r="J60" i="4"/>
  <c r="L25" i="4" l="1"/>
  <c r="J25" i="4"/>
  <c r="F25" i="4"/>
  <c r="D25" i="4"/>
  <c r="C25" i="4"/>
  <c r="F69" i="4"/>
  <c r="D69" i="4"/>
  <c r="F68" i="4"/>
  <c r="D68" i="4"/>
  <c r="F66" i="4"/>
  <c r="D66" i="4"/>
  <c r="F65" i="4"/>
  <c r="D65" i="4"/>
  <c r="F64" i="4"/>
  <c r="D64" i="4"/>
  <c r="F63" i="4"/>
  <c r="D63" i="4"/>
  <c r="F62" i="4"/>
  <c r="D62" i="4"/>
  <c r="F61" i="4"/>
  <c r="D61" i="4"/>
  <c r="F60" i="4"/>
  <c r="D60" i="4"/>
  <c r="C69" i="4"/>
  <c r="C68" i="4"/>
  <c r="C66" i="4"/>
  <c r="C65" i="4"/>
  <c r="C64" i="4"/>
  <c r="C63" i="4"/>
  <c r="C62" i="4"/>
  <c r="C61" i="4"/>
  <c r="C60" i="4"/>
  <c r="F95" i="38"/>
  <c r="D95" i="38"/>
  <c r="C95" i="38"/>
  <c r="L85" i="38"/>
  <c r="K96" i="38"/>
  <c r="M70" i="38"/>
  <c r="L55" i="4"/>
  <c r="H104" i="39"/>
  <c r="H104" i="1"/>
  <c r="H101" i="38"/>
  <c r="H104" i="38" s="1"/>
  <c r="H101" i="2"/>
  <c r="H104" i="2" s="1"/>
  <c r="AD33" i="39"/>
  <c r="AD42" i="39"/>
  <c r="AD41" i="39"/>
  <c r="AD39" i="39"/>
  <c r="AD38" i="39"/>
  <c r="AD37" i="39"/>
  <c r="AD36" i="39"/>
  <c r="AD35" i="39"/>
  <c r="AD34" i="39"/>
  <c r="AD33" i="1"/>
  <c r="H101" i="39"/>
  <c r="L66" i="12"/>
  <c r="L65" i="12"/>
  <c r="L64" i="12"/>
  <c r="L63" i="12"/>
  <c r="L62" i="12"/>
  <c r="L61" i="12"/>
  <c r="L60" i="12"/>
  <c r="J69" i="12"/>
  <c r="J68" i="12"/>
  <c r="J66" i="12"/>
  <c r="J65" i="12"/>
  <c r="J64" i="12"/>
  <c r="J63" i="12"/>
  <c r="J62" i="12"/>
  <c r="J61" i="12"/>
  <c r="J60" i="12"/>
  <c r="F69" i="12"/>
  <c r="D69" i="12"/>
  <c r="F68" i="12"/>
  <c r="D68" i="12"/>
  <c r="F67" i="12"/>
  <c r="D67" i="12"/>
  <c r="F66" i="12"/>
  <c r="D66" i="12"/>
  <c r="F65" i="12"/>
  <c r="D65" i="12"/>
  <c r="F64" i="12"/>
  <c r="D64" i="12"/>
  <c r="F63" i="12"/>
  <c r="D63" i="12"/>
  <c r="F62" i="12"/>
  <c r="D62" i="12"/>
  <c r="F61" i="12"/>
  <c r="D61" i="12"/>
  <c r="F60" i="12"/>
  <c r="D60" i="12"/>
  <c r="C69" i="12"/>
  <c r="C68" i="12"/>
  <c r="C67" i="12"/>
  <c r="C66" i="12"/>
  <c r="C65" i="12"/>
  <c r="C64" i="12"/>
  <c r="C63" i="12"/>
  <c r="C62" i="12"/>
  <c r="C61" i="12"/>
  <c r="C60" i="12"/>
  <c r="D96" i="38" l="1"/>
  <c r="L96" i="38"/>
  <c r="N67" i="38"/>
  <c r="N80" i="38" s="1"/>
  <c r="L67" i="38"/>
  <c r="L80" i="38" s="1"/>
  <c r="M70" i="39"/>
  <c r="N70" i="39" s="1"/>
  <c r="K70" i="39"/>
  <c r="L70" i="39" s="1"/>
  <c r="K69" i="39"/>
  <c r="K57" i="39"/>
  <c r="K83" i="39" s="1"/>
  <c r="M57" i="39"/>
  <c r="C36" i="25"/>
  <c r="N13" i="25"/>
  <c r="Q13" i="25" s="1"/>
  <c r="L13" i="25"/>
  <c r="P13" i="25" s="1"/>
  <c r="I13" i="25"/>
  <c r="E13" i="25"/>
  <c r="N9" i="25"/>
  <c r="Q9" i="25" s="1"/>
  <c r="L9" i="25"/>
  <c r="P9" i="25" s="1"/>
  <c r="I9" i="25"/>
  <c r="E9" i="25"/>
  <c r="M29" i="25"/>
  <c r="K29" i="25"/>
  <c r="H29" i="25"/>
  <c r="F29" i="25"/>
  <c r="E29" i="25"/>
  <c r="D29" i="25"/>
  <c r="C29" i="25"/>
  <c r="B29" i="25"/>
  <c r="N25" i="25"/>
  <c r="Q25" i="25" s="1"/>
  <c r="Q29" i="25" s="1"/>
  <c r="L25" i="25"/>
  <c r="P25" i="25" s="1"/>
  <c r="P29" i="25" s="1"/>
  <c r="I25" i="25"/>
  <c r="E25" i="25"/>
  <c r="N21" i="25"/>
  <c r="Q21" i="25" s="1"/>
  <c r="L21" i="25"/>
  <c r="P21" i="25" s="1"/>
  <c r="I21" i="25"/>
  <c r="E21" i="25"/>
  <c r="M29" i="24"/>
  <c r="K29" i="24"/>
  <c r="H29" i="24"/>
  <c r="F29" i="24"/>
  <c r="D29" i="24"/>
  <c r="C29" i="24"/>
  <c r="B29" i="24"/>
  <c r="I25" i="24"/>
  <c r="I21" i="24"/>
  <c r="I9" i="24"/>
  <c r="N25" i="24"/>
  <c r="Q25" i="24" s="1"/>
  <c r="Q29" i="24" s="1"/>
  <c r="L25" i="24"/>
  <c r="L29" i="24" s="1"/>
  <c r="E25" i="24"/>
  <c r="N21" i="24"/>
  <c r="Q21" i="24" s="1"/>
  <c r="L21" i="24"/>
  <c r="P21" i="24" s="1"/>
  <c r="E21" i="24"/>
  <c r="E29" i="24" s="1"/>
  <c r="I13" i="24"/>
  <c r="N13" i="24"/>
  <c r="Q13" i="24" s="1"/>
  <c r="L13" i="24"/>
  <c r="P13" i="24" s="1"/>
  <c r="N9" i="24"/>
  <c r="Q9" i="24" s="1"/>
  <c r="L9" i="24"/>
  <c r="P9" i="24" s="1"/>
  <c r="P25" i="24" l="1"/>
  <c r="P29" i="24" s="1"/>
  <c r="N29" i="24"/>
  <c r="P67" i="38"/>
  <c r="L29" i="25"/>
  <c r="Q67" i="38"/>
  <c r="N29" i="25"/>
  <c r="P96" i="38"/>
  <c r="M83" i="39"/>
  <c r="N57" i="39"/>
  <c r="L30" i="4"/>
  <c r="J30" i="4"/>
  <c r="F30" i="4"/>
  <c r="D30" i="4"/>
  <c r="C30" i="4"/>
  <c r="J29" i="4"/>
  <c r="F29" i="4"/>
  <c r="D29" i="4"/>
  <c r="C29" i="4"/>
  <c r="L27" i="4"/>
  <c r="J27" i="4"/>
  <c r="F27" i="4"/>
  <c r="D27" i="4"/>
  <c r="C27" i="4"/>
  <c r="L26" i="4"/>
  <c r="J26" i="4"/>
  <c r="F26" i="4"/>
  <c r="D26" i="4"/>
  <c r="C26" i="4"/>
  <c r="L24" i="4"/>
  <c r="J24" i="4"/>
  <c r="F24" i="4"/>
  <c r="D24" i="4"/>
  <c r="C24" i="4"/>
  <c r="L23" i="4"/>
  <c r="J23" i="4"/>
  <c r="F23" i="4"/>
  <c r="D23" i="4"/>
  <c r="C23" i="4"/>
  <c r="L22" i="4"/>
  <c r="J22" i="4"/>
  <c r="F22" i="4"/>
  <c r="D22" i="4"/>
  <c r="C22" i="4"/>
  <c r="D21" i="4" l="1"/>
  <c r="L21" i="4"/>
  <c r="J21" i="4"/>
  <c r="F21" i="4"/>
  <c r="C21" i="4"/>
  <c r="AD94" i="1" l="1"/>
  <c r="Z29" i="38"/>
  <c r="Z22" i="38"/>
  <c r="X22" i="38"/>
  <c r="M20" i="38"/>
  <c r="N20" i="38" s="1"/>
  <c r="K20" i="38" l="1"/>
  <c r="L20" i="38" s="1"/>
  <c r="M57" i="38"/>
  <c r="K57" i="38"/>
  <c r="M56" i="38"/>
  <c r="K56" i="38"/>
  <c r="M69" i="38"/>
  <c r="K69" i="38"/>
  <c r="K95" i="38"/>
  <c r="N94" i="38"/>
  <c r="Q94" i="38" s="1"/>
  <c r="L92" i="38"/>
  <c r="L94" i="38"/>
  <c r="I94" i="38"/>
  <c r="I93" i="38"/>
  <c r="L57" i="38" l="1"/>
  <c r="N57" i="38"/>
  <c r="M83" i="38"/>
  <c r="P94" i="38"/>
  <c r="I95" i="38"/>
  <c r="E94" i="38"/>
  <c r="C72" i="38" l="1"/>
  <c r="D72" i="38"/>
  <c r="F72" i="38"/>
  <c r="F46" i="4" s="1"/>
  <c r="C73" i="38"/>
  <c r="C47" i="4" s="1"/>
  <c r="D73" i="38"/>
  <c r="D47" i="4" s="1"/>
  <c r="F73" i="38"/>
  <c r="F47" i="4" s="1"/>
  <c r="C74" i="38"/>
  <c r="C48" i="4" s="1"/>
  <c r="D74" i="38"/>
  <c r="D48" i="4" s="1"/>
  <c r="F74" i="38"/>
  <c r="F48" i="4" s="1"/>
  <c r="C75" i="38"/>
  <c r="C49" i="4" s="1"/>
  <c r="D75" i="38"/>
  <c r="D49" i="4" s="1"/>
  <c r="F75" i="38"/>
  <c r="F49" i="4" s="1"/>
  <c r="C76" i="38"/>
  <c r="C50" i="4" s="1"/>
  <c r="D76" i="38"/>
  <c r="D50" i="4" s="1"/>
  <c r="F76" i="38"/>
  <c r="F50" i="4" s="1"/>
  <c r="C77" i="38"/>
  <c r="C51" i="4" s="1"/>
  <c r="D77" i="38"/>
  <c r="D51" i="4" s="1"/>
  <c r="F77" i="38"/>
  <c r="F51" i="4" s="1"/>
  <c r="C78" i="38"/>
  <c r="C52" i="4" s="1"/>
  <c r="D78" i="38"/>
  <c r="D52" i="4" s="1"/>
  <c r="F78" i="38"/>
  <c r="F52" i="4" s="1"/>
  <c r="C79" i="38"/>
  <c r="D79" i="38"/>
  <c r="F79" i="38"/>
  <c r="C80" i="38"/>
  <c r="C54" i="4" s="1"/>
  <c r="D80" i="38"/>
  <c r="F80" i="38"/>
  <c r="F54" i="4" s="1"/>
  <c r="C81" i="38"/>
  <c r="C55" i="4" s="1"/>
  <c r="D81" i="38"/>
  <c r="F81" i="38"/>
  <c r="F55" i="4" s="1"/>
  <c r="N61" i="38"/>
  <c r="Q61" i="38" s="1"/>
  <c r="L61" i="38"/>
  <c r="P61" i="38" s="1"/>
  <c r="I68" i="38"/>
  <c r="K81" i="38"/>
  <c r="J55" i="4" s="1"/>
  <c r="K30" i="38"/>
  <c r="F69" i="39"/>
  <c r="M69" i="39"/>
  <c r="F43" i="39"/>
  <c r="F19" i="1"/>
  <c r="D95" i="1"/>
  <c r="F95" i="1"/>
  <c r="C95" i="1"/>
  <c r="H101" i="1"/>
  <c r="I94" i="2"/>
  <c r="M20" i="2"/>
  <c r="N20" i="2" s="1"/>
  <c r="M19" i="2"/>
  <c r="K20" i="2"/>
  <c r="L20" i="2" s="1"/>
  <c r="K44" i="2"/>
  <c r="F69" i="38"/>
  <c r="N68" i="38"/>
  <c r="Q68" i="38" s="1"/>
  <c r="K70" i="38"/>
  <c r="K83" i="38" s="1"/>
  <c r="L59" i="38"/>
  <c r="M40" i="38"/>
  <c r="K40" i="38"/>
  <c r="H40" i="38"/>
  <c r="F40" i="38"/>
  <c r="D40" i="38"/>
  <c r="C40" i="38"/>
  <c r="B40" i="38"/>
  <c r="M40" i="2"/>
  <c r="L28" i="4" s="1"/>
  <c r="K40" i="2"/>
  <c r="H40" i="2"/>
  <c r="F40" i="2"/>
  <c r="F28" i="4" s="1"/>
  <c r="D40" i="2"/>
  <c r="D28" i="4" s="1"/>
  <c r="C40" i="2"/>
  <c r="C28" i="4" s="1"/>
  <c r="B40" i="2"/>
  <c r="L68" i="38"/>
  <c r="P68" i="38" s="1"/>
  <c r="C82" i="38" l="1"/>
  <c r="C46" i="4"/>
  <c r="D67" i="4"/>
  <c r="D53" i="4"/>
  <c r="H71" i="38"/>
  <c r="C67" i="4"/>
  <c r="C53" i="4"/>
  <c r="I81" i="38"/>
  <c r="L67" i="4"/>
  <c r="M44" i="38"/>
  <c r="P59" i="38"/>
  <c r="D55" i="4"/>
  <c r="J67" i="4"/>
  <c r="K44" i="38"/>
  <c r="D54" i="4"/>
  <c r="Q80" i="38"/>
  <c r="P80" i="38"/>
  <c r="L70" i="38"/>
  <c r="D46" i="4"/>
  <c r="D82" i="38"/>
  <c r="F67" i="4"/>
  <c r="F53" i="4"/>
  <c r="D96" i="1"/>
  <c r="L44" i="2"/>
  <c r="M44" i="2"/>
  <c r="K43" i="2"/>
  <c r="J28" i="4"/>
  <c r="E68" i="38"/>
  <c r="E81" i="38" s="1"/>
  <c r="D69" i="38"/>
  <c r="D70" i="38" s="1"/>
  <c r="P70" i="38" l="1"/>
  <c r="J57" i="4"/>
  <c r="J71" i="4"/>
  <c r="L44" i="38"/>
  <c r="N44" i="38"/>
  <c r="L57" i="4"/>
  <c r="I71" i="38"/>
  <c r="N44" i="2"/>
  <c r="C69" i="38"/>
  <c r="K71" i="4" l="1"/>
  <c r="I69" i="38"/>
  <c r="I70" i="38"/>
  <c r="M40" i="39"/>
  <c r="K40" i="39"/>
  <c r="H40" i="39"/>
  <c r="E40" i="39"/>
  <c r="B40" i="39"/>
  <c r="D40" i="1"/>
  <c r="M40" i="1"/>
  <c r="K40" i="1"/>
  <c r="H40" i="1"/>
  <c r="C40" i="1"/>
  <c r="F40" i="1"/>
  <c r="B40" i="1"/>
  <c r="W29" i="2"/>
  <c r="M70" i="2"/>
  <c r="N70" i="2" s="1"/>
  <c r="K70" i="2"/>
  <c r="L70" i="2" s="1"/>
  <c r="N85" i="2"/>
  <c r="L85" i="2"/>
  <c r="K96" i="2"/>
  <c r="L96" i="2" s="1"/>
  <c r="N94" i="2"/>
  <c r="Q94" i="2" s="1"/>
  <c r="L94" i="2"/>
  <c r="P94" i="2" s="1"/>
  <c r="K95" i="2"/>
  <c r="J31" i="4" s="1"/>
  <c r="L67" i="12" l="1"/>
  <c r="K44" i="39"/>
  <c r="K43" i="39"/>
  <c r="AD40" i="39"/>
  <c r="AD43" i="39" s="1"/>
  <c r="J67" i="12"/>
  <c r="J53" i="12"/>
  <c r="K32" i="4"/>
  <c r="J32" i="4"/>
  <c r="E93" i="2"/>
  <c r="E94" i="2"/>
  <c r="E55" i="2"/>
  <c r="D95" i="2"/>
  <c r="P96" i="2" l="1"/>
  <c r="AB45" i="39"/>
  <c r="F95" i="2"/>
  <c r="H97" i="2" s="1"/>
  <c r="C95" i="2"/>
  <c r="I95" i="2" s="1"/>
  <c r="D96" i="2" l="1"/>
  <c r="I68" i="2"/>
  <c r="K81" i="2"/>
  <c r="J16" i="4" s="1"/>
  <c r="M81" i="2"/>
  <c r="L16" i="4" s="1"/>
  <c r="F81" i="2"/>
  <c r="F16" i="4" s="1"/>
  <c r="D81" i="2"/>
  <c r="D16" i="4" s="1"/>
  <c r="C81" i="2"/>
  <c r="C16" i="4" s="1"/>
  <c r="C72" i="2"/>
  <c r="C7" i="4" s="1"/>
  <c r="Q54" i="2"/>
  <c r="P54" i="2"/>
  <c r="Q50" i="2"/>
  <c r="P50" i="2"/>
  <c r="Q48" i="2"/>
  <c r="P48" i="2"/>
  <c r="M69" i="2"/>
  <c r="K69" i="2"/>
  <c r="N68" i="2"/>
  <c r="Q68" i="2" s="1"/>
  <c r="L68" i="2"/>
  <c r="P68" i="2" s="1"/>
  <c r="L59" i="2"/>
  <c r="P59" i="2" s="1"/>
  <c r="I81" i="2" l="1"/>
  <c r="F69" i="2"/>
  <c r="E68" i="2" l="1"/>
  <c r="E81" i="2" s="1"/>
  <c r="E67" i="2"/>
  <c r="E66" i="2"/>
  <c r="E65" i="2"/>
  <c r="E64" i="2"/>
  <c r="E63" i="2"/>
  <c r="E62" i="2"/>
  <c r="E61" i="2"/>
  <c r="E60" i="2"/>
  <c r="E59" i="2"/>
  <c r="E69" i="2" s="1"/>
  <c r="C69" i="2"/>
  <c r="D69" i="2"/>
  <c r="I71" i="2" l="1"/>
  <c r="D70" i="2"/>
  <c r="H71" i="2"/>
  <c r="I70" i="2"/>
  <c r="I69" i="2"/>
  <c r="Q70" i="2"/>
  <c r="P70" i="2"/>
  <c r="M57" i="2"/>
  <c r="N57" i="2" s="1"/>
  <c r="K57" i="2"/>
  <c r="L57" i="2" s="1"/>
  <c r="N55" i="38"/>
  <c r="N81" i="38" s="1"/>
  <c r="Q81" i="38" s="1"/>
  <c r="N53" i="38"/>
  <c r="N52" i="38"/>
  <c r="N51" i="38"/>
  <c r="N49" i="38"/>
  <c r="L55" i="38"/>
  <c r="L81" i="38" s="1"/>
  <c r="P81" i="38" s="1"/>
  <c r="L53" i="38"/>
  <c r="L52" i="38"/>
  <c r="L51" i="38"/>
  <c r="L49" i="38"/>
  <c r="P49" i="38"/>
  <c r="E54" i="2"/>
  <c r="E53" i="2"/>
  <c r="E52" i="2"/>
  <c r="E51" i="2"/>
  <c r="E50" i="2"/>
  <c r="E49" i="2"/>
  <c r="N47" i="2"/>
  <c r="Q47" i="2" s="1"/>
  <c r="N46" i="2"/>
  <c r="L47" i="2"/>
  <c r="P47" i="2" s="1"/>
  <c r="L46" i="2"/>
  <c r="P46" i="2" s="1"/>
  <c r="E48" i="2"/>
  <c r="E47" i="2"/>
  <c r="E46" i="2"/>
  <c r="Q46" i="2" l="1"/>
  <c r="I42" i="2"/>
  <c r="C56" i="2"/>
  <c r="D56" i="2"/>
  <c r="E56" i="2"/>
  <c r="F56" i="2"/>
  <c r="K56" i="2"/>
  <c r="M56" i="2"/>
  <c r="I55" i="2"/>
  <c r="N55" i="2"/>
  <c r="L55" i="2"/>
  <c r="L49" i="2"/>
  <c r="P49" i="2" s="1"/>
  <c r="I41" i="2"/>
  <c r="I40" i="2"/>
  <c r="I39" i="2"/>
  <c r="I38" i="2"/>
  <c r="I37" i="2"/>
  <c r="I36" i="2"/>
  <c r="I35" i="2"/>
  <c r="I34" i="2"/>
  <c r="I33" i="2"/>
  <c r="C43" i="2"/>
  <c r="M43" i="2"/>
  <c r="Q34" i="2"/>
  <c r="P34" i="2"/>
  <c r="Q33" i="2"/>
  <c r="N42" i="2"/>
  <c r="M30" i="4" s="1"/>
  <c r="L42" i="2"/>
  <c r="K30" i="4" s="1"/>
  <c r="N41" i="2"/>
  <c r="Q41" i="2" s="1"/>
  <c r="L41" i="2"/>
  <c r="N40" i="2"/>
  <c r="Q40" i="2" s="1"/>
  <c r="L40" i="2"/>
  <c r="P40" i="2" s="1"/>
  <c r="N39" i="2"/>
  <c r="L39" i="2"/>
  <c r="P39" i="2" s="1"/>
  <c r="N38" i="2"/>
  <c r="L38" i="2"/>
  <c r="N37" i="2"/>
  <c r="L37" i="2"/>
  <c r="N36" i="2"/>
  <c r="L36" i="2"/>
  <c r="P36" i="2" s="1"/>
  <c r="N35" i="2"/>
  <c r="Q35" i="2" s="1"/>
  <c r="L35" i="2"/>
  <c r="P35" i="2" s="1"/>
  <c r="N34" i="2"/>
  <c r="L34" i="2"/>
  <c r="N33" i="2"/>
  <c r="M21" i="4" s="1"/>
  <c r="L33" i="2"/>
  <c r="K21" i="4" s="1"/>
  <c r="I16" i="2"/>
  <c r="K19" i="2"/>
  <c r="N18" i="2"/>
  <c r="Q18" i="2" s="1"/>
  <c r="N17" i="2"/>
  <c r="N16" i="2"/>
  <c r="Q16" i="2" s="1"/>
  <c r="N22" i="2"/>
  <c r="L22" i="2"/>
  <c r="AD42" i="1"/>
  <c r="AD41" i="1"/>
  <c r="AD40" i="1"/>
  <c r="AD39" i="1"/>
  <c r="AD38" i="1"/>
  <c r="AD37" i="1"/>
  <c r="AD36" i="1"/>
  <c r="AD35" i="1"/>
  <c r="AD34" i="1"/>
  <c r="AD22" i="1"/>
  <c r="L30" i="12"/>
  <c r="J30" i="12"/>
  <c r="F30" i="12"/>
  <c r="D30" i="12"/>
  <c r="C30" i="12"/>
  <c r="J29" i="12"/>
  <c r="F29" i="12"/>
  <c r="D29" i="12"/>
  <c r="C29" i="12"/>
  <c r="L28" i="12"/>
  <c r="J28" i="12"/>
  <c r="F28" i="12"/>
  <c r="D28" i="12"/>
  <c r="C28" i="12"/>
  <c r="L27" i="12"/>
  <c r="J27" i="12"/>
  <c r="F27" i="12"/>
  <c r="D27" i="12"/>
  <c r="C27" i="12"/>
  <c r="L26" i="12"/>
  <c r="J26" i="12"/>
  <c r="F26" i="12"/>
  <c r="D26" i="12"/>
  <c r="C26" i="12"/>
  <c r="L25" i="12"/>
  <c r="J25" i="12"/>
  <c r="F25" i="12"/>
  <c r="D25" i="12"/>
  <c r="C25" i="12"/>
  <c r="L24" i="12"/>
  <c r="J24" i="12"/>
  <c r="F24" i="12"/>
  <c r="D24" i="12"/>
  <c r="C24" i="12"/>
  <c r="L23" i="12"/>
  <c r="J23" i="12"/>
  <c r="F23" i="12"/>
  <c r="D23" i="12"/>
  <c r="C23" i="12"/>
  <c r="L22" i="12"/>
  <c r="J22" i="12"/>
  <c r="F22" i="12"/>
  <c r="D22" i="12"/>
  <c r="C22" i="12"/>
  <c r="L21" i="12"/>
  <c r="J21" i="12"/>
  <c r="F21" i="12"/>
  <c r="D21" i="12"/>
  <c r="C21" i="12"/>
  <c r="M77" i="37"/>
  <c r="M76" i="37"/>
  <c r="M75" i="37"/>
  <c r="M74" i="37"/>
  <c r="M73" i="37"/>
  <c r="M72" i="37"/>
  <c r="M71" i="37"/>
  <c r="AD43" i="1" l="1"/>
  <c r="D57" i="2"/>
  <c r="P42" i="2"/>
  <c r="N30" i="4" s="1"/>
  <c r="C31" i="4"/>
  <c r="I44" i="2"/>
  <c r="H58" i="2"/>
  <c r="Q39" i="2"/>
  <c r="Q38" i="2"/>
  <c r="N19" i="2"/>
  <c r="Q36" i="2"/>
  <c r="I56" i="2"/>
  <c r="P33" i="2"/>
  <c r="P43" i="2" s="1"/>
  <c r="P41" i="2"/>
  <c r="I58" i="2"/>
  <c r="I57" i="2"/>
  <c r="Q17" i="2"/>
  <c r="Q19" i="2" s="1"/>
  <c r="Q57" i="2"/>
  <c r="P57" i="2"/>
  <c r="D82" i="2"/>
  <c r="M16" i="4"/>
  <c r="Q42" i="2"/>
  <c r="O30" i="4" s="1"/>
  <c r="C82" i="2"/>
  <c r="P37" i="2"/>
  <c r="Q37" i="2"/>
  <c r="Q43" i="2" s="1"/>
  <c r="P55" i="2"/>
  <c r="L81" i="2"/>
  <c r="P81" i="2" s="1"/>
  <c r="N16" i="4" s="1"/>
  <c r="K16" i="4"/>
  <c r="P38" i="2"/>
  <c r="I43" i="2"/>
  <c r="N81" i="2"/>
  <c r="Q81" i="2" s="1"/>
  <c r="Q55" i="2"/>
  <c r="N43" i="2"/>
  <c r="L43" i="2"/>
  <c r="M78" i="37"/>
  <c r="M79" i="37" s="1"/>
  <c r="S45" i="2" l="1"/>
  <c r="T45" i="2" s="1"/>
  <c r="C17" i="4"/>
  <c r="O16" i="4"/>
  <c r="E77" i="37" l="1"/>
  <c r="E76" i="37"/>
  <c r="E75" i="37"/>
  <c r="E74" i="37"/>
  <c r="E73" i="37"/>
  <c r="E72" i="37"/>
  <c r="E71" i="37"/>
  <c r="E78" i="37" s="1"/>
  <c r="F78" i="37" l="1"/>
  <c r="D78" i="37"/>
  <c r="C78" i="37"/>
  <c r="B78" i="37" l="1"/>
  <c r="N79" i="37"/>
  <c r="Q79" i="37" s="1"/>
  <c r="N77" i="37"/>
  <c r="Q77" i="37" s="1"/>
  <c r="N75" i="37"/>
  <c r="N74" i="37"/>
  <c r="N73" i="37"/>
  <c r="N71" i="37"/>
  <c r="Q71" i="37" s="1"/>
  <c r="L77" i="37"/>
  <c r="P77" i="37" s="1"/>
  <c r="L75" i="37"/>
  <c r="P75" i="37" s="1"/>
  <c r="L74" i="37"/>
  <c r="P74" i="37" s="1"/>
  <c r="L73" i="37"/>
  <c r="P73" i="37" s="1"/>
  <c r="L71" i="37"/>
  <c r="K78" i="37"/>
  <c r="K79" i="37" s="1"/>
  <c r="Q76" i="37"/>
  <c r="P76" i="37"/>
  <c r="Q75" i="37"/>
  <c r="Q74" i="37"/>
  <c r="Q73" i="37"/>
  <c r="Q72" i="37"/>
  <c r="P71" i="37"/>
  <c r="L73" i="27"/>
  <c r="L71" i="27"/>
  <c r="L79" i="37" l="1"/>
  <c r="P79" i="37" s="1"/>
  <c r="L78" i="37"/>
  <c r="I79" i="37"/>
  <c r="N78" i="37"/>
  <c r="Q78" i="37"/>
  <c r="P78" i="37"/>
  <c r="N57" i="37" l="1"/>
  <c r="N55" i="37"/>
  <c r="N54" i="37"/>
  <c r="M57" i="37"/>
  <c r="M56" i="37"/>
  <c r="M55" i="37"/>
  <c r="M54" i="37"/>
  <c r="M53" i="37"/>
  <c r="N53" i="37" s="1"/>
  <c r="M52" i="37"/>
  <c r="M51" i="37"/>
  <c r="N51" i="37" s="1"/>
  <c r="N58" i="37" s="1"/>
  <c r="K58" i="37"/>
  <c r="K59" i="37" s="1"/>
  <c r="L59" i="37" s="1"/>
  <c r="L57" i="37"/>
  <c r="L55" i="37"/>
  <c r="L54" i="37"/>
  <c r="L53" i="37"/>
  <c r="L51" i="37"/>
  <c r="L58" i="37" l="1"/>
  <c r="M58" i="37"/>
  <c r="M59" i="37" s="1"/>
  <c r="N59" i="37" s="1"/>
  <c r="E57" i="37"/>
  <c r="E56" i="37"/>
  <c r="E55" i="37"/>
  <c r="E54" i="37"/>
  <c r="E53" i="37"/>
  <c r="E52" i="37"/>
  <c r="E51" i="37"/>
  <c r="E58" i="37" s="1"/>
  <c r="F58" i="37"/>
  <c r="D58" i="37"/>
  <c r="I59" i="37" s="1"/>
  <c r="B58" i="37" l="1"/>
  <c r="C58" i="37"/>
  <c r="H48" i="37" l="1"/>
  <c r="H68" i="37" s="1"/>
  <c r="N46" i="37"/>
  <c r="N42" i="37"/>
  <c r="L46" i="37"/>
  <c r="L42" i="37"/>
  <c r="P42" i="37"/>
  <c r="F43" i="37"/>
  <c r="F63" i="37" s="1"/>
  <c r="D43" i="37"/>
  <c r="D63" i="37" s="1"/>
  <c r="M47" i="37"/>
  <c r="M67" i="37" s="1"/>
  <c r="M46" i="37"/>
  <c r="M45" i="37"/>
  <c r="M65" i="37" s="1"/>
  <c r="M44" i="37"/>
  <c r="M64" i="37" s="1"/>
  <c r="M43" i="37"/>
  <c r="M63" i="37" s="1"/>
  <c r="M42" i="37"/>
  <c r="M41" i="37"/>
  <c r="K47" i="37"/>
  <c r="K67" i="37" s="1"/>
  <c r="K46" i="37"/>
  <c r="K45" i="37"/>
  <c r="K65" i="37" s="1"/>
  <c r="K44" i="37"/>
  <c r="K64" i="37" s="1"/>
  <c r="K43" i="37"/>
  <c r="K63" i="37" s="1"/>
  <c r="K42" i="37"/>
  <c r="K41" i="37"/>
  <c r="K61" i="37" s="1"/>
  <c r="H47" i="37"/>
  <c r="H67" i="37" s="1"/>
  <c r="H45" i="37"/>
  <c r="H65" i="37" s="1"/>
  <c r="H44" i="37"/>
  <c r="H64" i="37" s="1"/>
  <c r="H43" i="37"/>
  <c r="H63" i="37" s="1"/>
  <c r="H41" i="37"/>
  <c r="H61" i="37" s="1"/>
  <c r="C41" i="37"/>
  <c r="C61" i="37" s="1"/>
  <c r="N24" i="37"/>
  <c r="N22" i="37"/>
  <c r="Q22" i="37" s="1"/>
  <c r="N21" i="37"/>
  <c r="N20" i="37"/>
  <c r="Q20" i="37" s="1"/>
  <c r="N18" i="37"/>
  <c r="Q24" i="37"/>
  <c r="Q23" i="37"/>
  <c r="P23" i="37"/>
  <c r="Q21" i="37"/>
  <c r="P21" i="37"/>
  <c r="P20" i="37"/>
  <c r="Q19" i="37"/>
  <c r="Q18" i="37"/>
  <c r="P18" i="37"/>
  <c r="H36" i="37"/>
  <c r="M35" i="37"/>
  <c r="K35" i="37"/>
  <c r="H35" i="37"/>
  <c r="F35" i="37"/>
  <c r="D35" i="37"/>
  <c r="C35" i="37"/>
  <c r="M33" i="37"/>
  <c r="K33" i="37"/>
  <c r="H33" i="37"/>
  <c r="F33" i="37"/>
  <c r="D33" i="37"/>
  <c r="C33" i="37"/>
  <c r="M32" i="37"/>
  <c r="K32" i="37"/>
  <c r="H32" i="37"/>
  <c r="F32" i="37"/>
  <c r="D32" i="37"/>
  <c r="C32" i="37"/>
  <c r="M31" i="37"/>
  <c r="K31" i="37"/>
  <c r="H31" i="37"/>
  <c r="F31" i="37"/>
  <c r="D31" i="37"/>
  <c r="C31" i="37"/>
  <c r="M29" i="37"/>
  <c r="K29" i="37"/>
  <c r="H29" i="37"/>
  <c r="F29" i="37"/>
  <c r="D29" i="37"/>
  <c r="C29" i="37"/>
  <c r="L21" i="37"/>
  <c r="L20" i="37"/>
  <c r="L18" i="37"/>
  <c r="N25" i="37" l="1"/>
  <c r="M48" i="37"/>
  <c r="M61" i="37"/>
  <c r="K48" i="37"/>
  <c r="D25" i="37"/>
  <c r="Q25" i="37" s="1"/>
  <c r="E24" i="37"/>
  <c r="E23" i="37"/>
  <c r="E22" i="37"/>
  <c r="E21" i="37"/>
  <c r="E20" i="37"/>
  <c r="E19" i="37"/>
  <c r="E18" i="37"/>
  <c r="E25" i="37" s="1"/>
  <c r="M49" i="37" l="1"/>
  <c r="N49" i="37" s="1"/>
  <c r="M68" i="37"/>
  <c r="K49" i="37"/>
  <c r="L49" i="37" s="1"/>
  <c r="K68" i="37"/>
  <c r="K25" i="37"/>
  <c r="K26" i="37" s="1"/>
  <c r="L26" i="37" s="1"/>
  <c r="P26" i="37" s="1"/>
  <c r="I78" i="37" l="1"/>
  <c r="I77" i="37"/>
  <c r="I75" i="37"/>
  <c r="I74" i="37"/>
  <c r="I73" i="37"/>
  <c r="I71" i="37"/>
  <c r="I57" i="37"/>
  <c r="I55" i="37"/>
  <c r="I54" i="37"/>
  <c r="I53" i="37"/>
  <c r="I51" i="37"/>
  <c r="I24" i="37"/>
  <c r="I22" i="37"/>
  <c r="I21" i="37"/>
  <c r="I20" i="37"/>
  <c r="I18" i="37"/>
  <c r="I14" i="37"/>
  <c r="I35" i="37" s="1"/>
  <c r="I12" i="37"/>
  <c r="I33" i="37" s="1"/>
  <c r="I11" i="37"/>
  <c r="I32" i="37" s="1"/>
  <c r="I10" i="37"/>
  <c r="I31" i="37" s="1"/>
  <c r="I8" i="37"/>
  <c r="I29" i="37" s="1"/>
  <c r="L14" i="37"/>
  <c r="F15" i="37"/>
  <c r="L12" i="37" l="1"/>
  <c r="L11" i="37"/>
  <c r="L10" i="37"/>
  <c r="L8" i="37"/>
  <c r="K15" i="37"/>
  <c r="K36" i="37" s="1"/>
  <c r="L43" i="37" l="1"/>
  <c r="L63" i="37" s="1"/>
  <c r="P10" i="37"/>
  <c r="L31" i="37"/>
  <c r="L29" i="37"/>
  <c r="L41" i="37"/>
  <c r="P8" i="37"/>
  <c r="L15" i="37"/>
  <c r="L32" i="37"/>
  <c r="L44" i="37"/>
  <c r="L64" i="37" s="1"/>
  <c r="E14" i="37"/>
  <c r="E35" i="37" s="1"/>
  <c r="E13" i="37"/>
  <c r="E12" i="37"/>
  <c r="E33" i="37" s="1"/>
  <c r="E11" i="37"/>
  <c r="E32" i="37" s="1"/>
  <c r="E10" i="37"/>
  <c r="E9" i="37"/>
  <c r="E8" i="37"/>
  <c r="E29" i="37" s="1"/>
  <c r="E15" i="37" l="1"/>
  <c r="E36" i="37" s="1"/>
  <c r="E43" i="37"/>
  <c r="E63" i="37" s="1"/>
  <c r="E31" i="37"/>
  <c r="P29" i="37"/>
  <c r="P41" i="37"/>
  <c r="L61" i="37"/>
  <c r="P31" i="37"/>
  <c r="P43" i="37"/>
  <c r="D15" i="37"/>
  <c r="D36" i="37" l="1"/>
  <c r="P15" i="37"/>
  <c r="I94" i="1"/>
  <c r="K96" i="1"/>
  <c r="N94" i="1"/>
  <c r="U94" i="1" s="1"/>
  <c r="L94" i="1"/>
  <c r="T94" i="1" s="1"/>
  <c r="L93" i="1"/>
  <c r="K95" i="1"/>
  <c r="AB97" i="1" s="1"/>
  <c r="H97" i="1" l="1"/>
  <c r="E94" i="1" l="1"/>
  <c r="I8" i="1" l="1"/>
  <c r="D8" i="1"/>
  <c r="D8" i="39"/>
  <c r="I46" i="1"/>
  <c r="M78" i="27"/>
  <c r="M79" i="27" s="1"/>
  <c r="K78" i="27"/>
  <c r="K79" i="27" s="1"/>
  <c r="F78" i="27"/>
  <c r="D78" i="27"/>
  <c r="C78" i="27"/>
  <c r="B78" i="27"/>
  <c r="N77" i="27"/>
  <c r="Q77" i="27" s="1"/>
  <c r="L77" i="27"/>
  <c r="P77" i="27" s="1"/>
  <c r="I77" i="27"/>
  <c r="E77" i="27"/>
  <c r="Q76" i="27"/>
  <c r="P76" i="27"/>
  <c r="E76" i="27"/>
  <c r="N75" i="27"/>
  <c r="Q75" i="27" s="1"/>
  <c r="L75" i="27"/>
  <c r="P75" i="27" s="1"/>
  <c r="I75" i="27"/>
  <c r="E75" i="27"/>
  <c r="N74" i="27"/>
  <c r="Q74" i="27" s="1"/>
  <c r="L74" i="27"/>
  <c r="I74" i="27"/>
  <c r="E74" i="27"/>
  <c r="N73" i="27"/>
  <c r="Q73" i="27" s="1"/>
  <c r="P73" i="27"/>
  <c r="I73" i="27"/>
  <c r="E73" i="27"/>
  <c r="Q72" i="27"/>
  <c r="E72" i="27"/>
  <c r="N71" i="27"/>
  <c r="Q71" i="27" s="1"/>
  <c r="P71" i="27"/>
  <c r="I71" i="27"/>
  <c r="E71" i="27"/>
  <c r="P74" i="27" l="1"/>
  <c r="L78" i="27"/>
  <c r="E78" i="27"/>
  <c r="I78" i="27"/>
  <c r="I79" i="27"/>
  <c r="P78" i="27"/>
  <c r="Q78" i="27"/>
  <c r="N78" i="27"/>
  <c r="M44" i="39" l="1"/>
  <c r="N59" i="39"/>
  <c r="L59" i="39"/>
  <c r="N44" i="39" l="1"/>
  <c r="L57" i="12"/>
  <c r="C69" i="39"/>
  <c r="I70" i="39" s="1"/>
  <c r="D69" i="39"/>
  <c r="D70" i="39" l="1"/>
  <c r="H71" i="39"/>
  <c r="I71" i="39"/>
  <c r="M81" i="39"/>
  <c r="L55" i="12" s="1"/>
  <c r="K81" i="39"/>
  <c r="AD81" i="39" l="1"/>
  <c r="J55" i="12"/>
  <c r="M94" i="39"/>
  <c r="L69" i="12" s="1"/>
  <c r="K96" i="39"/>
  <c r="J71" i="12" s="1"/>
  <c r="I94" i="39"/>
  <c r="I93" i="39"/>
  <c r="K95" i="39"/>
  <c r="L94" i="39"/>
  <c r="T94" i="39" s="1"/>
  <c r="L85" i="39"/>
  <c r="AB97" i="39" l="1"/>
  <c r="J70" i="12"/>
  <c r="L96" i="39"/>
  <c r="N94" i="39"/>
  <c r="U94" i="39" s="1"/>
  <c r="AD94" i="39"/>
  <c r="E94" i="39"/>
  <c r="E85" i="39"/>
  <c r="F95" i="39"/>
  <c r="F70" i="12" s="1"/>
  <c r="D95" i="39"/>
  <c r="C95" i="39"/>
  <c r="D96" i="39" l="1"/>
  <c r="H97" i="39"/>
  <c r="I95" i="39"/>
  <c r="K71" i="12"/>
  <c r="T96" i="39"/>
  <c r="F58" i="27" l="1"/>
  <c r="D58" i="27"/>
  <c r="C58" i="27"/>
  <c r="B58" i="27"/>
  <c r="K69" i="1"/>
  <c r="K56" i="1"/>
  <c r="N46" i="1"/>
  <c r="M44" i="1"/>
  <c r="N44" i="1" s="1"/>
  <c r="K44" i="1"/>
  <c r="L44" i="1" s="1"/>
  <c r="L18" i="1"/>
  <c r="T18" i="1" s="1"/>
  <c r="F30" i="1"/>
  <c r="K20" i="1"/>
  <c r="K19" i="1"/>
  <c r="M20" i="1"/>
  <c r="M19" i="1"/>
  <c r="D19" i="1"/>
  <c r="C19" i="1"/>
  <c r="M56" i="1"/>
  <c r="M70" i="1"/>
  <c r="N70" i="1" s="1"/>
  <c r="M69" i="1"/>
  <c r="M57" i="1"/>
  <c r="N57" i="1" s="1"/>
  <c r="K57" i="1"/>
  <c r="L57" i="1" s="1"/>
  <c r="K70" i="1"/>
  <c r="M81" i="1"/>
  <c r="K81" i="1"/>
  <c r="J16" i="12" s="1"/>
  <c r="N20" i="1" l="1"/>
  <c r="U20" i="1" s="1"/>
  <c r="L20" i="1"/>
  <c r="T20" i="1" s="1"/>
  <c r="K83" i="1"/>
  <c r="J18" i="12" s="1"/>
  <c r="L70" i="1"/>
  <c r="L16" i="12"/>
  <c r="AD81" i="1"/>
  <c r="I19" i="1"/>
  <c r="I20" i="1"/>
  <c r="D20" i="1"/>
  <c r="I21" i="1"/>
  <c r="H21" i="1"/>
  <c r="AC45" i="1"/>
  <c r="AB45" i="1"/>
  <c r="J32" i="12"/>
  <c r="U54" i="1"/>
  <c r="T54" i="1"/>
  <c r="U50" i="1"/>
  <c r="T50" i="1"/>
  <c r="U46" i="1"/>
  <c r="Q55" i="38"/>
  <c r="P55" i="38"/>
  <c r="Q54" i="38"/>
  <c r="P54" i="38"/>
  <c r="Q53" i="38"/>
  <c r="P53" i="38"/>
  <c r="Q52" i="38"/>
  <c r="P52" i="38"/>
  <c r="Q51" i="38"/>
  <c r="P51" i="38"/>
  <c r="Q50" i="38"/>
  <c r="P50" i="38"/>
  <c r="Q49" i="38"/>
  <c r="Q48" i="38"/>
  <c r="P48" i="38"/>
  <c r="P41" i="38"/>
  <c r="N54" i="4" s="1"/>
  <c r="F56" i="38"/>
  <c r="I42" i="38"/>
  <c r="I41" i="38"/>
  <c r="I40" i="38"/>
  <c r="I39" i="38"/>
  <c r="I38" i="38"/>
  <c r="I37" i="38"/>
  <c r="I36" i="38"/>
  <c r="I35" i="38"/>
  <c r="I34" i="38"/>
  <c r="I33" i="38"/>
  <c r="L18" i="38"/>
  <c r="P18" i="38" s="1"/>
  <c r="N42" i="38"/>
  <c r="Q42" i="38" s="1"/>
  <c r="L42" i="38"/>
  <c r="N41" i="38"/>
  <c r="L41" i="38"/>
  <c r="K54" i="4" s="1"/>
  <c r="M43" i="38"/>
  <c r="K43" i="38"/>
  <c r="Q17" i="38"/>
  <c r="P17" i="38"/>
  <c r="Q16" i="38"/>
  <c r="P16" i="38"/>
  <c r="N18" i="38"/>
  <c r="Q18" i="38" s="1"/>
  <c r="N17" i="38"/>
  <c r="N16" i="38"/>
  <c r="L17" i="38"/>
  <c r="L16" i="38"/>
  <c r="I18" i="38"/>
  <c r="I17" i="38"/>
  <c r="I16" i="38"/>
  <c r="I18" i="2"/>
  <c r="I17" i="2"/>
  <c r="L18" i="2"/>
  <c r="P18" i="2" s="1"/>
  <c r="L17" i="2"/>
  <c r="P17" i="2" s="1"/>
  <c r="L16" i="2"/>
  <c r="Q19" i="38" l="1"/>
  <c r="O55" i="4"/>
  <c r="O69" i="4"/>
  <c r="P19" i="38"/>
  <c r="M54" i="4"/>
  <c r="K55" i="4"/>
  <c r="K69" i="4"/>
  <c r="Q41" i="38"/>
  <c r="O54" i="4" s="1"/>
  <c r="P42" i="38"/>
  <c r="M69" i="4"/>
  <c r="M55" i="4"/>
  <c r="J70" i="4"/>
  <c r="AD45" i="1"/>
  <c r="L19" i="2"/>
  <c r="P16" i="2"/>
  <c r="P19" i="2" s="1"/>
  <c r="L46" i="38"/>
  <c r="N40" i="38"/>
  <c r="L40" i="38"/>
  <c r="N39" i="38"/>
  <c r="L39" i="38"/>
  <c r="N38" i="38"/>
  <c r="L38" i="38"/>
  <c r="N37" i="38"/>
  <c r="Q37" i="38" s="1"/>
  <c r="L37" i="38"/>
  <c r="P37" i="38" s="1"/>
  <c r="N36" i="38"/>
  <c r="L36" i="38"/>
  <c r="N35" i="38"/>
  <c r="L35" i="38"/>
  <c r="N34" i="38"/>
  <c r="L34" i="38"/>
  <c r="N33" i="38"/>
  <c r="L33" i="38"/>
  <c r="N55" i="4" l="1"/>
  <c r="N69" i="4"/>
  <c r="Q34" i="38"/>
  <c r="P35" i="38"/>
  <c r="Q35" i="38"/>
  <c r="P36" i="38"/>
  <c r="Q36" i="38"/>
  <c r="K67" i="4"/>
  <c r="Q38" i="38"/>
  <c r="K60" i="4"/>
  <c r="P33" i="38"/>
  <c r="P34" i="38"/>
  <c r="P46" i="38"/>
  <c r="P38" i="38"/>
  <c r="P39" i="38"/>
  <c r="Q33" i="38"/>
  <c r="Q39" i="38"/>
  <c r="L43" i="38"/>
  <c r="P40" i="38"/>
  <c r="Q40" i="38"/>
  <c r="N43" i="38"/>
  <c r="F19" i="2"/>
  <c r="D19" i="2"/>
  <c r="D20" i="2" s="1"/>
  <c r="C19" i="2"/>
  <c r="D43" i="2"/>
  <c r="F43" i="2"/>
  <c r="E42" i="2"/>
  <c r="E41" i="2"/>
  <c r="E29" i="4" s="1"/>
  <c r="E39" i="2"/>
  <c r="E38" i="2"/>
  <c r="E37" i="2"/>
  <c r="E36" i="2"/>
  <c r="E35" i="2"/>
  <c r="E34" i="2"/>
  <c r="E33" i="2"/>
  <c r="E48" i="38"/>
  <c r="E47" i="38"/>
  <c r="E46" i="38"/>
  <c r="E33" i="38"/>
  <c r="D31" i="4" l="1"/>
  <c r="D44" i="2"/>
  <c r="Q43" i="38"/>
  <c r="P43" i="38"/>
  <c r="E16" i="4"/>
  <c r="E30" i="4"/>
  <c r="F31" i="4"/>
  <c r="I45" i="2"/>
  <c r="I21" i="2"/>
  <c r="H21" i="2"/>
  <c r="I19" i="2"/>
  <c r="I20" i="2"/>
  <c r="D17" i="4"/>
  <c r="Q44" i="2"/>
  <c r="P44" i="2"/>
  <c r="N32" i="4" s="1"/>
  <c r="H45" i="2"/>
  <c r="Q20" i="2"/>
  <c r="P20" i="2"/>
  <c r="B56" i="38"/>
  <c r="D56" i="38"/>
  <c r="C43" i="38"/>
  <c r="C56" i="38"/>
  <c r="I57" i="38" l="1"/>
  <c r="I56" i="38"/>
  <c r="S45" i="38"/>
  <c r="T45" i="38" s="1"/>
  <c r="C56" i="4"/>
  <c r="C70" i="4"/>
  <c r="I43" i="38"/>
  <c r="I44" i="38"/>
  <c r="D57" i="38"/>
  <c r="P57" i="38"/>
  <c r="Q57" i="38"/>
  <c r="H58" i="38"/>
  <c r="I58" i="38"/>
  <c r="K39" i="4"/>
  <c r="J39" i="4"/>
  <c r="L57" i="39"/>
  <c r="L83" i="39" s="1"/>
  <c r="K31" i="39"/>
  <c r="K56" i="39"/>
  <c r="L46" i="39"/>
  <c r="T46" i="39" s="1"/>
  <c r="U54" i="39"/>
  <c r="T54" i="39"/>
  <c r="U50" i="39"/>
  <c r="T50" i="39"/>
  <c r="C56" i="39"/>
  <c r="I55" i="39"/>
  <c r="I46" i="39"/>
  <c r="M39" i="4" l="1"/>
  <c r="I56" i="39"/>
  <c r="N19" i="38"/>
  <c r="M19" i="38"/>
  <c r="L19" i="38"/>
  <c r="K19" i="38"/>
  <c r="F19" i="38"/>
  <c r="D19" i="38"/>
  <c r="C19" i="38"/>
  <c r="I20" i="38" s="1"/>
  <c r="E18" i="38"/>
  <c r="E17" i="38"/>
  <c r="F43" i="38"/>
  <c r="D43" i="38"/>
  <c r="E39" i="38"/>
  <c r="E38" i="38"/>
  <c r="E37" i="38"/>
  <c r="E36" i="38"/>
  <c r="E35" i="38"/>
  <c r="E34" i="38"/>
  <c r="C43" i="39"/>
  <c r="M19" i="39"/>
  <c r="K19" i="39"/>
  <c r="F30" i="39"/>
  <c r="D30" i="39"/>
  <c r="C30" i="39"/>
  <c r="I22" i="38"/>
  <c r="F30" i="38"/>
  <c r="D30" i="38"/>
  <c r="D31" i="38" s="1"/>
  <c r="C30" i="38"/>
  <c r="D20" i="38" l="1"/>
  <c r="Q20" i="38"/>
  <c r="P20" i="38"/>
  <c r="D44" i="38"/>
  <c r="D56" i="4"/>
  <c r="D70" i="4"/>
  <c r="Q44" i="38"/>
  <c r="P44" i="38"/>
  <c r="I30" i="38"/>
  <c r="H32" i="38"/>
  <c r="I21" i="38"/>
  <c r="H21" i="38"/>
  <c r="F70" i="4"/>
  <c r="I45" i="38"/>
  <c r="H45" i="38"/>
  <c r="I43" i="39"/>
  <c r="C70" i="12"/>
  <c r="E42" i="39"/>
  <c r="E69" i="12" s="1"/>
  <c r="E41" i="39"/>
  <c r="E39" i="39"/>
  <c r="E38" i="39"/>
  <c r="E37" i="39"/>
  <c r="E36" i="39"/>
  <c r="E35" i="39"/>
  <c r="E34" i="39"/>
  <c r="E33" i="39"/>
  <c r="F19" i="39"/>
  <c r="D19" i="39"/>
  <c r="D20" i="39" s="1"/>
  <c r="C19" i="39"/>
  <c r="B19" i="39"/>
  <c r="I20" i="39" l="1"/>
  <c r="H19" i="39"/>
  <c r="I21" i="39"/>
  <c r="I19" i="39"/>
  <c r="J78" i="4"/>
  <c r="K78" i="4"/>
  <c r="K86" i="4"/>
  <c r="N71" i="4"/>
  <c r="H21" i="39"/>
  <c r="E43" i="39"/>
  <c r="E60" i="12"/>
  <c r="L46" i="1"/>
  <c r="T46" i="1" s="1"/>
  <c r="M78" i="4" l="1"/>
  <c r="M86" i="4" s="1"/>
  <c r="J86" i="4"/>
  <c r="U16" i="1"/>
  <c r="L93" i="39"/>
  <c r="T93" i="39" s="1"/>
  <c r="E93" i="39"/>
  <c r="E68" i="12" s="1"/>
  <c r="AD92" i="39"/>
  <c r="N92" i="39"/>
  <c r="U92" i="39" s="1"/>
  <c r="L92" i="39"/>
  <c r="T92" i="39" s="1"/>
  <c r="I92" i="39"/>
  <c r="E92" i="39"/>
  <c r="E67" i="12" s="1"/>
  <c r="AD91" i="39"/>
  <c r="N91" i="39"/>
  <c r="U91" i="39" s="1"/>
  <c r="L91" i="39"/>
  <c r="T91" i="39" s="1"/>
  <c r="I91" i="39"/>
  <c r="E91" i="39"/>
  <c r="E66" i="12" s="1"/>
  <c r="AD90" i="39"/>
  <c r="N90" i="39"/>
  <c r="U90" i="39" s="1"/>
  <c r="L90" i="39"/>
  <c r="T90" i="39" s="1"/>
  <c r="I90" i="39"/>
  <c r="E90" i="39"/>
  <c r="E65" i="12" s="1"/>
  <c r="B90" i="39"/>
  <c r="B65" i="12" s="1"/>
  <c r="AD89" i="39"/>
  <c r="U89" i="39"/>
  <c r="T89" i="39"/>
  <c r="I89" i="39"/>
  <c r="E89" i="39"/>
  <c r="E64" i="12" s="1"/>
  <c r="AD88" i="39"/>
  <c r="N88" i="39"/>
  <c r="U88" i="39" s="1"/>
  <c r="L88" i="39"/>
  <c r="T88" i="39" s="1"/>
  <c r="I88" i="39"/>
  <c r="E88" i="39"/>
  <c r="E63" i="12" s="1"/>
  <c r="B88" i="39"/>
  <c r="B63" i="12" s="1"/>
  <c r="AD87" i="39"/>
  <c r="N87" i="39"/>
  <c r="U87" i="39" s="1"/>
  <c r="L87" i="39"/>
  <c r="T87" i="39" s="1"/>
  <c r="I87" i="39"/>
  <c r="E87" i="39"/>
  <c r="E62" i="12" s="1"/>
  <c r="AD86" i="39"/>
  <c r="N86" i="39"/>
  <c r="L86" i="39"/>
  <c r="T86" i="39" s="1"/>
  <c r="I86" i="39"/>
  <c r="E86" i="39"/>
  <c r="AD85" i="39"/>
  <c r="N85" i="39"/>
  <c r="I85" i="39"/>
  <c r="F81" i="39"/>
  <c r="F55" i="12" s="1"/>
  <c r="D81" i="39"/>
  <c r="D55" i="12" s="1"/>
  <c r="C81" i="39"/>
  <c r="B81" i="39"/>
  <c r="M80" i="39"/>
  <c r="K80" i="39"/>
  <c r="F80" i="39"/>
  <c r="F54" i="12" s="1"/>
  <c r="D80" i="39"/>
  <c r="C80" i="39"/>
  <c r="C54" i="12" s="1"/>
  <c r="B80" i="39"/>
  <c r="B54" i="12" s="1"/>
  <c r="M79" i="39"/>
  <c r="L53" i="12" s="1"/>
  <c r="F79" i="39"/>
  <c r="F53" i="12" s="1"/>
  <c r="D79" i="39"/>
  <c r="D53" i="12" s="1"/>
  <c r="C79" i="39"/>
  <c r="B79" i="39"/>
  <c r="M78" i="39"/>
  <c r="L52" i="12" s="1"/>
  <c r="K78" i="39"/>
  <c r="J52" i="12" s="1"/>
  <c r="F78" i="39"/>
  <c r="F52" i="12" s="1"/>
  <c r="D78" i="39"/>
  <c r="D52" i="12" s="1"/>
  <c r="C78" i="39"/>
  <c r="C52" i="12" s="1"/>
  <c r="B78" i="39"/>
  <c r="M77" i="39"/>
  <c r="L51" i="12" s="1"/>
  <c r="K77" i="39"/>
  <c r="F77" i="39"/>
  <c r="F51" i="12" s="1"/>
  <c r="D77" i="39"/>
  <c r="D51" i="12" s="1"/>
  <c r="C77" i="39"/>
  <c r="C51" i="12" s="1"/>
  <c r="B77" i="39"/>
  <c r="B51" i="12" s="1"/>
  <c r="N76" i="39"/>
  <c r="M76" i="39"/>
  <c r="L50" i="12" s="1"/>
  <c r="L76" i="39"/>
  <c r="K76" i="39"/>
  <c r="J50" i="12" s="1"/>
  <c r="F76" i="39"/>
  <c r="F50" i="12" s="1"/>
  <c r="D76" i="39"/>
  <c r="C76" i="39"/>
  <c r="C50" i="12" s="1"/>
  <c r="B76" i="39"/>
  <c r="M75" i="39"/>
  <c r="L49" i="12" s="1"/>
  <c r="K75" i="39"/>
  <c r="F75" i="39"/>
  <c r="F49" i="12" s="1"/>
  <c r="D75" i="39"/>
  <c r="C75" i="39"/>
  <c r="B75" i="39"/>
  <c r="B49" i="12" s="1"/>
  <c r="N74" i="39"/>
  <c r="M74" i="39"/>
  <c r="L48" i="12" s="1"/>
  <c r="K74" i="39"/>
  <c r="J48" i="12" s="1"/>
  <c r="F74" i="39"/>
  <c r="F48" i="12" s="1"/>
  <c r="D74" i="39"/>
  <c r="C74" i="39"/>
  <c r="C48" i="12" s="1"/>
  <c r="B74" i="39"/>
  <c r="B48" i="12" s="1"/>
  <c r="M73" i="39"/>
  <c r="L47" i="12" s="1"/>
  <c r="K73" i="39"/>
  <c r="F73" i="39"/>
  <c r="F47" i="12" s="1"/>
  <c r="D73" i="39"/>
  <c r="D47" i="12" s="1"/>
  <c r="C73" i="39"/>
  <c r="C47" i="12" s="1"/>
  <c r="B73" i="39"/>
  <c r="M72" i="39"/>
  <c r="K72" i="39"/>
  <c r="J46" i="12" s="1"/>
  <c r="F72" i="39"/>
  <c r="F46" i="12" s="1"/>
  <c r="D72" i="39"/>
  <c r="D46" i="12" s="1"/>
  <c r="C72" i="39"/>
  <c r="B72" i="39"/>
  <c r="I69" i="39"/>
  <c r="B69" i="39"/>
  <c r="N68" i="39"/>
  <c r="L68" i="39"/>
  <c r="I68" i="39"/>
  <c r="E68" i="39"/>
  <c r="N67" i="39"/>
  <c r="N80" i="39" s="1"/>
  <c r="L67" i="39"/>
  <c r="L80" i="39" s="1"/>
  <c r="I67" i="39"/>
  <c r="E67" i="39"/>
  <c r="N66" i="39"/>
  <c r="L66" i="39"/>
  <c r="I66" i="39"/>
  <c r="E66" i="39"/>
  <c r="N65" i="39"/>
  <c r="L65" i="39"/>
  <c r="I65" i="39"/>
  <c r="E65" i="39"/>
  <c r="E78" i="39" s="1"/>
  <c r="E52" i="12" s="1"/>
  <c r="N64" i="39"/>
  <c r="L64" i="39"/>
  <c r="I64" i="39"/>
  <c r="E64" i="39"/>
  <c r="E63" i="39"/>
  <c r="N62" i="39"/>
  <c r="L62" i="39"/>
  <c r="I62" i="39"/>
  <c r="E62" i="39"/>
  <c r="N61" i="39"/>
  <c r="L61" i="39"/>
  <c r="L74" i="39" s="1"/>
  <c r="I61" i="39"/>
  <c r="E61" i="39"/>
  <c r="N60" i="39"/>
  <c r="L60" i="39"/>
  <c r="I60" i="39"/>
  <c r="E60" i="39"/>
  <c r="I59" i="39"/>
  <c r="E59" i="39"/>
  <c r="M56" i="39"/>
  <c r="F56" i="39"/>
  <c r="D56" i="39"/>
  <c r="B56" i="39"/>
  <c r="N53" i="39"/>
  <c r="L53" i="39"/>
  <c r="T53" i="39" s="1"/>
  <c r="I53" i="39"/>
  <c r="E79" i="39"/>
  <c r="E53" i="12" s="1"/>
  <c r="N52" i="39"/>
  <c r="L52" i="39"/>
  <c r="I52" i="39"/>
  <c r="N51" i="39"/>
  <c r="L51" i="39"/>
  <c r="T51" i="39" s="1"/>
  <c r="I51" i="39"/>
  <c r="N49" i="39"/>
  <c r="U49" i="39" s="1"/>
  <c r="L49" i="39"/>
  <c r="T49" i="39" s="1"/>
  <c r="I49" i="39"/>
  <c r="E75" i="39"/>
  <c r="E48" i="39"/>
  <c r="N47" i="39"/>
  <c r="U47" i="39" s="1"/>
  <c r="L47" i="39"/>
  <c r="T47" i="39" s="1"/>
  <c r="I47" i="39"/>
  <c r="E47" i="39"/>
  <c r="N46" i="39"/>
  <c r="E46" i="39"/>
  <c r="M43" i="39"/>
  <c r="D43" i="39"/>
  <c r="B43" i="39"/>
  <c r="N42" i="39"/>
  <c r="L42" i="39"/>
  <c r="I42" i="39"/>
  <c r="T41" i="39"/>
  <c r="N68" i="12" s="1"/>
  <c r="N41" i="39"/>
  <c r="L41" i="39"/>
  <c r="I41" i="39"/>
  <c r="N40" i="39"/>
  <c r="L40" i="39"/>
  <c r="I40" i="39"/>
  <c r="N39" i="39"/>
  <c r="L39" i="39"/>
  <c r="I39" i="39"/>
  <c r="N38" i="39"/>
  <c r="L38" i="39"/>
  <c r="I38" i="39"/>
  <c r="N37" i="39"/>
  <c r="L37" i="39"/>
  <c r="I37" i="39"/>
  <c r="N36" i="39"/>
  <c r="L36" i="39"/>
  <c r="I36" i="39"/>
  <c r="N35" i="39"/>
  <c r="L35" i="39"/>
  <c r="I35" i="39"/>
  <c r="N34" i="39"/>
  <c r="L34" i="39"/>
  <c r="I34" i="39"/>
  <c r="N33" i="39"/>
  <c r="L33" i="39"/>
  <c r="I33" i="39"/>
  <c r="M31" i="39"/>
  <c r="N31" i="39" s="1"/>
  <c r="U31" i="39" s="1"/>
  <c r="T31" i="39"/>
  <c r="M30" i="39"/>
  <c r="I31" i="39" s="1"/>
  <c r="K30" i="39"/>
  <c r="D31" i="39"/>
  <c r="B30" i="39"/>
  <c r="N29" i="39"/>
  <c r="U29" i="39" s="1"/>
  <c r="L29" i="39"/>
  <c r="T29" i="39" s="1"/>
  <c r="I29" i="39"/>
  <c r="E29" i="39"/>
  <c r="N28" i="39"/>
  <c r="U28" i="39" s="1"/>
  <c r="L28" i="39"/>
  <c r="T28" i="39" s="1"/>
  <c r="I28" i="39"/>
  <c r="E28" i="39"/>
  <c r="N27" i="39"/>
  <c r="U27" i="39" s="1"/>
  <c r="L27" i="39"/>
  <c r="T27" i="39" s="1"/>
  <c r="I27" i="39"/>
  <c r="E27" i="39"/>
  <c r="N26" i="39"/>
  <c r="U26" i="39" s="1"/>
  <c r="L26" i="39"/>
  <c r="T26" i="39" s="1"/>
  <c r="I26" i="39"/>
  <c r="E26" i="39"/>
  <c r="N25" i="39"/>
  <c r="U25" i="39" s="1"/>
  <c r="L25" i="39"/>
  <c r="T25" i="39" s="1"/>
  <c r="I25" i="39"/>
  <c r="E25" i="39"/>
  <c r="N24" i="39"/>
  <c r="U24" i="39" s="1"/>
  <c r="L24" i="39"/>
  <c r="T24" i="39" s="1"/>
  <c r="I24" i="39"/>
  <c r="E24" i="39"/>
  <c r="N23" i="39"/>
  <c r="U23" i="39" s="1"/>
  <c r="L23" i="39"/>
  <c r="T23" i="39" s="1"/>
  <c r="I23" i="39"/>
  <c r="E23" i="39"/>
  <c r="N22" i="39"/>
  <c r="L22" i="39"/>
  <c r="I22" i="39"/>
  <c r="E22" i="39"/>
  <c r="N18" i="39"/>
  <c r="U18" i="39" s="1"/>
  <c r="L18" i="39"/>
  <c r="T18" i="39" s="1"/>
  <c r="I18" i="39"/>
  <c r="E18" i="39"/>
  <c r="N17" i="39"/>
  <c r="U17" i="39" s="1"/>
  <c r="L17" i="39"/>
  <c r="T17" i="39" s="1"/>
  <c r="I17" i="39"/>
  <c r="E17" i="39"/>
  <c r="I16" i="39"/>
  <c r="E16" i="39"/>
  <c r="B13" i="39"/>
  <c r="H97" i="38"/>
  <c r="L93" i="38"/>
  <c r="E93" i="38"/>
  <c r="E68" i="4" s="1"/>
  <c r="N92" i="38"/>
  <c r="P92" i="38"/>
  <c r="N67" i="4" s="1"/>
  <c r="I92" i="38"/>
  <c r="E92" i="38"/>
  <c r="N91" i="38"/>
  <c r="L91" i="38"/>
  <c r="I91" i="38"/>
  <c r="E91" i="38"/>
  <c r="E66" i="4" s="1"/>
  <c r="N90" i="38"/>
  <c r="L90" i="38"/>
  <c r="I90" i="38"/>
  <c r="E90" i="38"/>
  <c r="E65" i="4" s="1"/>
  <c r="E89" i="38"/>
  <c r="E64" i="4" s="1"/>
  <c r="N88" i="38"/>
  <c r="L88" i="38"/>
  <c r="I88" i="38"/>
  <c r="E88" i="38"/>
  <c r="E63" i="4" s="1"/>
  <c r="N87" i="38"/>
  <c r="L87" i="38"/>
  <c r="I87" i="38"/>
  <c r="E87" i="38"/>
  <c r="E62" i="4" s="1"/>
  <c r="N86" i="38"/>
  <c r="L86" i="38"/>
  <c r="I86" i="38"/>
  <c r="E86" i="38"/>
  <c r="E61" i="4" s="1"/>
  <c r="Q85" i="38"/>
  <c r="O60" i="4" s="1"/>
  <c r="N85" i="38"/>
  <c r="M60" i="4" s="1"/>
  <c r="P85" i="38"/>
  <c r="N60" i="4" s="1"/>
  <c r="I85" i="38"/>
  <c r="E85" i="38"/>
  <c r="B81" i="38"/>
  <c r="M80" i="38"/>
  <c r="L54" i="4" s="1"/>
  <c r="K80" i="38"/>
  <c r="J54" i="4" s="1"/>
  <c r="B80" i="38"/>
  <c r="M79" i="38"/>
  <c r="L53" i="4" s="1"/>
  <c r="K79" i="38"/>
  <c r="J53" i="4" s="1"/>
  <c r="B79" i="38"/>
  <c r="M78" i="38"/>
  <c r="L52" i="4" s="1"/>
  <c r="K78" i="38"/>
  <c r="J52" i="4" s="1"/>
  <c r="B78" i="38"/>
  <c r="M77" i="38"/>
  <c r="L51" i="4" s="1"/>
  <c r="K77" i="38"/>
  <c r="J51" i="4" s="1"/>
  <c r="B77" i="38"/>
  <c r="N76" i="38"/>
  <c r="M76" i="38"/>
  <c r="L50" i="4" s="1"/>
  <c r="K76" i="38"/>
  <c r="J50" i="4" s="1"/>
  <c r="Q76" i="38"/>
  <c r="B76" i="38"/>
  <c r="M75" i="38"/>
  <c r="L49" i="4" s="1"/>
  <c r="K75" i="38"/>
  <c r="J49" i="4" s="1"/>
  <c r="B75" i="38"/>
  <c r="M74" i="38"/>
  <c r="L48" i="4" s="1"/>
  <c r="K74" i="38"/>
  <c r="J48" i="4" s="1"/>
  <c r="B74" i="38"/>
  <c r="M73" i="38"/>
  <c r="L47" i="4" s="1"/>
  <c r="K73" i="38"/>
  <c r="J47" i="4" s="1"/>
  <c r="B73" i="38"/>
  <c r="M72" i="38"/>
  <c r="K72" i="38"/>
  <c r="B72" i="38"/>
  <c r="N70" i="38"/>
  <c r="Q70" i="38" s="1"/>
  <c r="B69" i="38"/>
  <c r="I67" i="38"/>
  <c r="E67" i="38"/>
  <c r="E80" i="38" s="1"/>
  <c r="N66" i="38"/>
  <c r="Q66" i="38" s="1"/>
  <c r="L66" i="38"/>
  <c r="P66" i="38" s="1"/>
  <c r="I66" i="38"/>
  <c r="E66" i="38"/>
  <c r="E79" i="38" s="1"/>
  <c r="N65" i="38"/>
  <c r="L65" i="38"/>
  <c r="P65" i="38" s="1"/>
  <c r="I65" i="38"/>
  <c r="E65" i="38"/>
  <c r="E78" i="38" s="1"/>
  <c r="E52" i="4" s="1"/>
  <c r="N64" i="38"/>
  <c r="L64" i="38"/>
  <c r="I64" i="38"/>
  <c r="E64" i="38"/>
  <c r="E77" i="38" s="1"/>
  <c r="E51" i="4" s="1"/>
  <c r="E63" i="38"/>
  <c r="E76" i="38" s="1"/>
  <c r="E50" i="4" s="1"/>
  <c r="N62" i="38"/>
  <c r="Q62" i="38" s="1"/>
  <c r="L62" i="38"/>
  <c r="P62" i="38" s="1"/>
  <c r="I62" i="38"/>
  <c r="E62" i="38"/>
  <c r="E75" i="38" s="1"/>
  <c r="E49" i="4" s="1"/>
  <c r="N74" i="38"/>
  <c r="M48" i="4" s="1"/>
  <c r="L74" i="38"/>
  <c r="K48" i="4" s="1"/>
  <c r="I61" i="38"/>
  <c r="E61" i="38"/>
  <c r="E74" i="38" s="1"/>
  <c r="E48" i="4" s="1"/>
  <c r="N60" i="38"/>
  <c r="Q60" i="38" s="1"/>
  <c r="L60" i="38"/>
  <c r="I60" i="38"/>
  <c r="E60" i="38"/>
  <c r="E73" i="38" s="1"/>
  <c r="E47" i="4" s="1"/>
  <c r="N59" i="38"/>
  <c r="L72" i="38"/>
  <c r="I59" i="38"/>
  <c r="E59" i="38"/>
  <c r="F82" i="38"/>
  <c r="I53" i="38"/>
  <c r="I52" i="38"/>
  <c r="I51" i="38"/>
  <c r="I49" i="38"/>
  <c r="N47" i="38"/>
  <c r="Q47" i="38" s="1"/>
  <c r="L47" i="38"/>
  <c r="I47" i="38"/>
  <c r="N46" i="38"/>
  <c r="I46" i="38"/>
  <c r="B43" i="38"/>
  <c r="M31" i="38"/>
  <c r="N31" i="38" s="1"/>
  <c r="Q31" i="38" s="1"/>
  <c r="K31" i="38"/>
  <c r="L31" i="38" s="1"/>
  <c r="P31" i="38" s="1"/>
  <c r="M30" i="38"/>
  <c r="B30" i="38"/>
  <c r="X29" i="38"/>
  <c r="W29" i="38"/>
  <c r="N29" i="38"/>
  <c r="Q29" i="38" s="1"/>
  <c r="L29" i="38"/>
  <c r="P29" i="38" s="1"/>
  <c r="I29" i="38"/>
  <c r="E29" i="38"/>
  <c r="Y29" i="38" s="1"/>
  <c r="Z28" i="38"/>
  <c r="X28" i="38"/>
  <c r="W28" i="38"/>
  <c r="Q28" i="38"/>
  <c r="N28" i="38"/>
  <c r="L28" i="38"/>
  <c r="P28" i="38" s="1"/>
  <c r="I28" i="38"/>
  <c r="E28" i="38"/>
  <c r="Y28" i="38" s="1"/>
  <c r="Z27" i="38"/>
  <c r="Y27" i="38"/>
  <c r="X27" i="38"/>
  <c r="W27" i="38"/>
  <c r="N27" i="38"/>
  <c r="Q27" i="38" s="1"/>
  <c r="L27" i="38"/>
  <c r="P27" i="38" s="1"/>
  <c r="I27" i="38"/>
  <c r="E27" i="38"/>
  <c r="Z26" i="38"/>
  <c r="X26" i="38"/>
  <c r="W26" i="38"/>
  <c r="Q26" i="38"/>
  <c r="N26" i="38"/>
  <c r="L26" i="38"/>
  <c r="P26" i="38" s="1"/>
  <c r="I26" i="38"/>
  <c r="E26" i="38"/>
  <c r="Y26" i="38" s="1"/>
  <c r="Z25" i="38"/>
  <c r="Y25" i="38"/>
  <c r="X25" i="38"/>
  <c r="W25" i="38"/>
  <c r="N25" i="38"/>
  <c r="Q25" i="38" s="1"/>
  <c r="L25" i="38"/>
  <c r="P25" i="38" s="1"/>
  <c r="I25" i="38"/>
  <c r="E25" i="38"/>
  <c r="Z24" i="38"/>
  <c r="Y24" i="38"/>
  <c r="X24" i="38"/>
  <c r="W24" i="38"/>
  <c r="N24" i="38"/>
  <c r="Q24" i="38" s="1"/>
  <c r="L24" i="38"/>
  <c r="P24" i="38" s="1"/>
  <c r="I24" i="38"/>
  <c r="E24" i="38"/>
  <c r="Z23" i="38"/>
  <c r="X23" i="38"/>
  <c r="W23" i="38"/>
  <c r="N23" i="38"/>
  <c r="Q23" i="38" s="1"/>
  <c r="L23" i="38"/>
  <c r="P23" i="38" s="1"/>
  <c r="I23" i="38"/>
  <c r="E23" i="38"/>
  <c r="Y23" i="38" s="1"/>
  <c r="W22" i="38"/>
  <c r="N22" i="38"/>
  <c r="Q22" i="38" s="1"/>
  <c r="L22" i="38"/>
  <c r="E22" i="38"/>
  <c r="B19" i="38"/>
  <c r="E42" i="38"/>
  <c r="E41" i="38"/>
  <c r="E54" i="4" s="1"/>
  <c r="E16" i="38"/>
  <c r="B13" i="38"/>
  <c r="E72" i="39" l="1"/>
  <c r="E46" i="12" s="1"/>
  <c r="AD79" i="39"/>
  <c r="L77" i="39"/>
  <c r="L46" i="4"/>
  <c r="M82" i="38"/>
  <c r="L56" i="4" s="1"/>
  <c r="L78" i="38"/>
  <c r="K52" i="4" s="1"/>
  <c r="B85" i="38"/>
  <c r="B46" i="4"/>
  <c r="B85" i="39"/>
  <c r="B46" i="12"/>
  <c r="Q88" i="38"/>
  <c r="O63" i="4" s="1"/>
  <c r="M63" i="4"/>
  <c r="B89" i="39"/>
  <c r="B64" i="12" s="1"/>
  <c r="B50" i="12"/>
  <c r="B86" i="38"/>
  <c r="B95" i="38" s="1"/>
  <c r="B47" i="4"/>
  <c r="I73" i="38"/>
  <c r="B93" i="38"/>
  <c r="B54" i="4"/>
  <c r="K51" i="12"/>
  <c r="K46" i="4"/>
  <c r="I80" i="38"/>
  <c r="Q86" i="38"/>
  <c r="O61" i="4" s="1"/>
  <c r="M61" i="4"/>
  <c r="M93" i="38"/>
  <c r="N93" i="38" s="1"/>
  <c r="B89" i="38"/>
  <c r="B50" i="4"/>
  <c r="I72" i="39"/>
  <c r="C46" i="12"/>
  <c r="Q90" i="38"/>
  <c r="O65" i="4" s="1"/>
  <c r="M65" i="4"/>
  <c r="B86" i="39"/>
  <c r="B61" i="12" s="1"/>
  <c r="B47" i="12"/>
  <c r="B93" i="39"/>
  <c r="B68" i="12" s="1"/>
  <c r="B56" i="4"/>
  <c r="Q92" i="38"/>
  <c r="O67" i="4" s="1"/>
  <c r="M67" i="4"/>
  <c r="U74" i="39"/>
  <c r="D48" i="12"/>
  <c r="N69" i="38"/>
  <c r="D44" i="39"/>
  <c r="H45" i="39"/>
  <c r="D70" i="12"/>
  <c r="T74" i="39"/>
  <c r="P47" i="38"/>
  <c r="P56" i="38" s="1"/>
  <c r="L56" i="38"/>
  <c r="B94" i="38"/>
  <c r="B55" i="4"/>
  <c r="E19" i="39"/>
  <c r="E30" i="39"/>
  <c r="D57" i="39"/>
  <c r="J46" i="4"/>
  <c r="K82" i="38"/>
  <c r="J56" i="4" s="1"/>
  <c r="I72" i="38"/>
  <c r="B91" i="39"/>
  <c r="B66" i="12" s="1"/>
  <c r="B52" i="12"/>
  <c r="B90" i="38"/>
  <c r="B51" i="4"/>
  <c r="B87" i="38"/>
  <c r="B48" i="4"/>
  <c r="L69" i="38"/>
  <c r="B91" i="38"/>
  <c r="B52" i="4"/>
  <c r="Q87" i="38"/>
  <c r="O62" i="4" s="1"/>
  <c r="M62" i="4"/>
  <c r="B92" i="39"/>
  <c r="B67" i="12" s="1"/>
  <c r="B53" i="12"/>
  <c r="B94" i="39"/>
  <c r="B69" i="12" s="1"/>
  <c r="B55" i="12"/>
  <c r="B87" i="39"/>
  <c r="B62" i="12" s="1"/>
  <c r="D83" i="38"/>
  <c r="F56" i="4"/>
  <c r="E40" i="38"/>
  <c r="E19" i="38"/>
  <c r="E55" i="4"/>
  <c r="E69" i="4"/>
  <c r="L75" i="38"/>
  <c r="K49" i="4" s="1"/>
  <c r="Y22" i="38"/>
  <c r="E30" i="38"/>
  <c r="B88" i="38"/>
  <c r="B49" i="4"/>
  <c r="I78" i="38"/>
  <c r="Q91" i="38"/>
  <c r="O66" i="4" s="1"/>
  <c r="M66" i="4"/>
  <c r="B92" i="38"/>
  <c r="B53" i="4"/>
  <c r="E69" i="38"/>
  <c r="E72" i="38"/>
  <c r="E46" i="4" s="1"/>
  <c r="I31" i="38"/>
  <c r="I32" i="38"/>
  <c r="E67" i="4"/>
  <c r="E69" i="39"/>
  <c r="AG69" i="39" s="1"/>
  <c r="E61" i="12"/>
  <c r="E95" i="39"/>
  <c r="E70" i="12" s="1"/>
  <c r="P86" i="38"/>
  <c r="N61" i="4" s="1"/>
  <c r="K61" i="4"/>
  <c r="L95" i="38"/>
  <c r="P90" i="38"/>
  <c r="N65" i="4" s="1"/>
  <c r="K65" i="4"/>
  <c r="P88" i="38"/>
  <c r="N63" i="4" s="1"/>
  <c r="K63" i="4"/>
  <c r="P93" i="38"/>
  <c r="N68" i="4" s="1"/>
  <c r="K68" i="4"/>
  <c r="P87" i="38"/>
  <c r="N62" i="4" s="1"/>
  <c r="K62" i="4"/>
  <c r="P91" i="38"/>
  <c r="N66" i="4" s="1"/>
  <c r="K66" i="4"/>
  <c r="E60" i="4"/>
  <c r="E95" i="38"/>
  <c r="U41" i="39"/>
  <c r="M54" i="12"/>
  <c r="U34" i="39"/>
  <c r="U38" i="39"/>
  <c r="O65" i="12" s="1"/>
  <c r="M65" i="12"/>
  <c r="N69" i="39"/>
  <c r="U42" i="39"/>
  <c r="O69" i="12" s="1"/>
  <c r="M69" i="12"/>
  <c r="M61" i="12"/>
  <c r="U39" i="39"/>
  <c r="O66" i="12" s="1"/>
  <c r="M66" i="12"/>
  <c r="I32" i="39"/>
  <c r="AC45" i="39"/>
  <c r="AD45" i="39" s="1"/>
  <c r="L56" i="12"/>
  <c r="I44" i="39"/>
  <c r="I45" i="39"/>
  <c r="M93" i="39"/>
  <c r="AD93" i="39" s="1"/>
  <c r="AD95" i="39" s="1"/>
  <c r="L54" i="12"/>
  <c r="U37" i="39"/>
  <c r="O64" i="12" s="1"/>
  <c r="M64" i="12"/>
  <c r="M50" i="12"/>
  <c r="M82" i="39"/>
  <c r="AC84" i="39" s="1"/>
  <c r="L46" i="12"/>
  <c r="U36" i="39"/>
  <c r="O63" i="12" s="1"/>
  <c r="M63" i="12"/>
  <c r="U40" i="39"/>
  <c r="O67" i="12" s="1"/>
  <c r="M67" i="12"/>
  <c r="N30" i="39"/>
  <c r="U30" i="39" s="1"/>
  <c r="U33" i="39"/>
  <c r="M60" i="12"/>
  <c r="U35" i="39"/>
  <c r="M62" i="12"/>
  <c r="M48" i="12"/>
  <c r="T38" i="39"/>
  <c r="N65" i="12" s="1"/>
  <c r="K65" i="12"/>
  <c r="T42" i="39"/>
  <c r="N69" i="12" s="1"/>
  <c r="K69" i="12"/>
  <c r="K62" i="12"/>
  <c r="K48" i="12"/>
  <c r="T39" i="39"/>
  <c r="N66" i="12" s="1"/>
  <c r="K66" i="12"/>
  <c r="T35" i="39"/>
  <c r="L95" i="39"/>
  <c r="T95" i="39" s="1"/>
  <c r="AH95" i="39" s="1"/>
  <c r="H32" i="39"/>
  <c r="H55" i="39" s="1"/>
  <c r="L55" i="39" s="1"/>
  <c r="T55" i="39" s="1"/>
  <c r="T56" i="39" s="1"/>
  <c r="I30" i="39"/>
  <c r="L73" i="39"/>
  <c r="L69" i="39"/>
  <c r="K60" i="12"/>
  <c r="AD73" i="39"/>
  <c r="J47" i="12"/>
  <c r="T34" i="39"/>
  <c r="K61" i="12"/>
  <c r="K47" i="12"/>
  <c r="K67" i="12"/>
  <c r="T40" i="39"/>
  <c r="N67" i="12" s="1"/>
  <c r="T37" i="39"/>
  <c r="N64" i="12" s="1"/>
  <c r="K64" i="12"/>
  <c r="K50" i="12"/>
  <c r="K68" i="12"/>
  <c r="K54" i="12"/>
  <c r="T22" i="39"/>
  <c r="L30" i="39"/>
  <c r="T36" i="39"/>
  <c r="N63" i="12" s="1"/>
  <c r="K63" i="12"/>
  <c r="U80" i="39"/>
  <c r="O54" i="12" s="1"/>
  <c r="D54" i="12"/>
  <c r="E49" i="12"/>
  <c r="I75" i="39"/>
  <c r="C49" i="12"/>
  <c r="C82" i="39"/>
  <c r="C56" i="12" s="1"/>
  <c r="U76" i="39"/>
  <c r="D50" i="12"/>
  <c r="H58" i="39"/>
  <c r="D49" i="12"/>
  <c r="D82" i="39"/>
  <c r="I79" i="39"/>
  <c r="C53" i="12"/>
  <c r="C55" i="12"/>
  <c r="I81" i="39"/>
  <c r="L78" i="39"/>
  <c r="K52" i="12" s="1"/>
  <c r="T52" i="39"/>
  <c r="I77" i="39"/>
  <c r="AD77" i="39"/>
  <c r="J51" i="12"/>
  <c r="AD75" i="39"/>
  <c r="K82" i="39"/>
  <c r="J49" i="12"/>
  <c r="AD80" i="39"/>
  <c r="J54" i="12"/>
  <c r="U86" i="39"/>
  <c r="O61" i="12" s="1"/>
  <c r="AD78" i="39"/>
  <c r="N56" i="38"/>
  <c r="Q46" i="38"/>
  <c r="Q56" i="38" s="1"/>
  <c r="I83" i="39"/>
  <c r="I57" i="39"/>
  <c r="I58" i="39"/>
  <c r="N79" i="39"/>
  <c r="U79" i="39" s="1"/>
  <c r="O53" i="12" s="1"/>
  <c r="U53" i="39"/>
  <c r="N73" i="39"/>
  <c r="U73" i="39" s="1"/>
  <c r="N78" i="39"/>
  <c r="M52" i="12" s="1"/>
  <c r="U52" i="39"/>
  <c r="N83" i="39"/>
  <c r="N75" i="39"/>
  <c r="U75" i="39" s="1"/>
  <c r="O49" i="12" s="1"/>
  <c r="N72" i="39"/>
  <c r="U72" i="39" s="1"/>
  <c r="U46" i="39"/>
  <c r="N77" i="39"/>
  <c r="U77" i="39" s="1"/>
  <c r="U51" i="39"/>
  <c r="AD72" i="39"/>
  <c r="Q59" i="38"/>
  <c r="N72" i="38"/>
  <c r="M46" i="4" s="1"/>
  <c r="L77" i="38"/>
  <c r="K51" i="4" s="1"/>
  <c r="P64" i="38"/>
  <c r="N77" i="38"/>
  <c r="Q64" i="38"/>
  <c r="L79" i="38"/>
  <c r="N73" i="38"/>
  <c r="P60" i="38"/>
  <c r="N75" i="38"/>
  <c r="M49" i="4" s="1"/>
  <c r="N78" i="38"/>
  <c r="M52" i="4" s="1"/>
  <c r="Q65" i="38"/>
  <c r="N79" i="38"/>
  <c r="M53" i="4" s="1"/>
  <c r="I74" i="38"/>
  <c r="L73" i="38"/>
  <c r="L82" i="38" s="1"/>
  <c r="P74" i="38"/>
  <c r="N48" i="4" s="1"/>
  <c r="X69" i="38"/>
  <c r="T44" i="39"/>
  <c r="U44" i="39"/>
  <c r="I75" i="38"/>
  <c r="I77" i="38"/>
  <c r="I79" i="38"/>
  <c r="P76" i="38"/>
  <c r="U16" i="39"/>
  <c r="U19" i="39" s="1"/>
  <c r="T16" i="39"/>
  <c r="T19" i="39" s="1"/>
  <c r="L19" i="39"/>
  <c r="T73" i="39"/>
  <c r="J57" i="12"/>
  <c r="L79" i="39"/>
  <c r="K53" i="12" s="1"/>
  <c r="L72" i="39"/>
  <c r="T72" i="39" s="1"/>
  <c r="F82" i="39"/>
  <c r="F56" i="12" s="1"/>
  <c r="E74" i="39"/>
  <c r="E48" i="12" s="1"/>
  <c r="E77" i="39"/>
  <c r="E51" i="12" s="1"/>
  <c r="E80" i="39"/>
  <c r="E54" i="12" s="1"/>
  <c r="E81" i="39"/>
  <c r="E55" i="12" s="1"/>
  <c r="E73" i="39"/>
  <c r="E47" i="12" s="1"/>
  <c r="L83" i="38"/>
  <c r="I76" i="38"/>
  <c r="P75" i="38"/>
  <c r="N49" i="4" s="1"/>
  <c r="P78" i="38"/>
  <c r="N52" i="4" s="1"/>
  <c r="E56" i="38"/>
  <c r="Q75" i="38"/>
  <c r="O49" i="4" s="1"/>
  <c r="P72" i="38"/>
  <c r="N46" i="4" s="1"/>
  <c r="Q74" i="38"/>
  <c r="O48" i="4" s="1"/>
  <c r="I73" i="39"/>
  <c r="I78" i="39"/>
  <c r="L75" i="39"/>
  <c r="T75" i="39" s="1"/>
  <c r="N49" i="12" s="1"/>
  <c r="T76" i="39"/>
  <c r="I80" i="39"/>
  <c r="I76" i="39"/>
  <c r="E56" i="39"/>
  <c r="AG56" i="39" s="1"/>
  <c r="L43" i="39"/>
  <c r="T33" i="39"/>
  <c r="L30" i="38"/>
  <c r="P30" i="38" s="1"/>
  <c r="Y30" i="38" s="1"/>
  <c r="P22" i="38"/>
  <c r="U22" i="39"/>
  <c r="N43" i="39"/>
  <c r="U43" i="39" s="1"/>
  <c r="T85" i="39"/>
  <c r="AD74" i="39"/>
  <c r="B82" i="39"/>
  <c r="B56" i="12" s="1"/>
  <c r="U85" i="39"/>
  <c r="T77" i="39"/>
  <c r="N51" i="12" s="1"/>
  <c r="AD76" i="39"/>
  <c r="K57" i="12"/>
  <c r="T80" i="39"/>
  <c r="N54" i="12" s="1"/>
  <c r="I74" i="39"/>
  <c r="E76" i="39"/>
  <c r="E50" i="12" s="1"/>
  <c r="X30" i="38"/>
  <c r="N83" i="38"/>
  <c r="M57" i="4" s="1"/>
  <c r="B82" i="38"/>
  <c r="N30" i="38"/>
  <c r="Q30" i="38" s="1"/>
  <c r="Z30" i="38" s="1"/>
  <c r="AG95" i="39" l="1"/>
  <c r="O51" i="12"/>
  <c r="P82" i="38"/>
  <c r="N56" i="4" s="1"/>
  <c r="K56" i="4"/>
  <c r="N95" i="38"/>
  <c r="M68" i="4"/>
  <c r="N93" i="39"/>
  <c r="M68" i="12" s="1"/>
  <c r="P69" i="38"/>
  <c r="B60" i="12"/>
  <c r="B95" i="39"/>
  <c r="B70" i="12" s="1"/>
  <c r="Q78" i="38"/>
  <c r="O52" i="4" s="1"/>
  <c r="P79" i="38"/>
  <c r="N53" i="4" s="1"/>
  <c r="K53" i="4"/>
  <c r="P77" i="38"/>
  <c r="N51" i="4" s="1"/>
  <c r="O50" i="12"/>
  <c r="P73" i="38"/>
  <c r="N47" i="4" s="1"/>
  <c r="K47" i="4"/>
  <c r="Q73" i="38"/>
  <c r="O47" i="4" s="1"/>
  <c r="M47" i="4"/>
  <c r="U78" i="39"/>
  <c r="O52" i="12" s="1"/>
  <c r="M49" i="12"/>
  <c r="Q79" i="38"/>
  <c r="O53" i="4" s="1"/>
  <c r="E70" i="4"/>
  <c r="E53" i="4"/>
  <c r="E43" i="38"/>
  <c r="M95" i="38"/>
  <c r="L68" i="4"/>
  <c r="P83" i="38"/>
  <c r="N57" i="4" s="1"/>
  <c r="K57" i="4"/>
  <c r="Q77" i="38"/>
  <c r="O51" i="4" s="1"/>
  <c r="M51" i="4"/>
  <c r="K70" i="4"/>
  <c r="P95" i="38"/>
  <c r="X95" i="38"/>
  <c r="M47" i="12"/>
  <c r="M53" i="12"/>
  <c r="M51" i="12"/>
  <c r="O62" i="12"/>
  <c r="O48" i="12"/>
  <c r="O47" i="12"/>
  <c r="M46" i="12"/>
  <c r="L68" i="12"/>
  <c r="M95" i="39"/>
  <c r="M96" i="39" s="1"/>
  <c r="O60" i="12"/>
  <c r="O46" i="12"/>
  <c r="N62" i="12"/>
  <c r="N48" i="12"/>
  <c r="N61" i="12"/>
  <c r="N47" i="12"/>
  <c r="N60" i="12"/>
  <c r="N46" i="12"/>
  <c r="K46" i="12"/>
  <c r="N50" i="12"/>
  <c r="T78" i="39"/>
  <c r="N52" i="12" s="1"/>
  <c r="L56" i="39"/>
  <c r="T43" i="39"/>
  <c r="N70" i="12" s="1"/>
  <c r="K70" i="12"/>
  <c r="X45" i="39"/>
  <c r="L81" i="39"/>
  <c r="K55" i="12" s="1"/>
  <c r="N55" i="39"/>
  <c r="N56" i="39" s="1"/>
  <c r="E82" i="39"/>
  <c r="E56" i="12" s="1"/>
  <c r="D56" i="12"/>
  <c r="D83" i="39"/>
  <c r="I84" i="39"/>
  <c r="AB84" i="39"/>
  <c r="I82" i="39"/>
  <c r="I100" i="39" s="1"/>
  <c r="J56" i="12"/>
  <c r="H84" i="39"/>
  <c r="H102" i="39" s="1"/>
  <c r="H106" i="39" s="1"/>
  <c r="T79" i="39"/>
  <c r="N53" i="12" s="1"/>
  <c r="K49" i="12"/>
  <c r="N71" i="12"/>
  <c r="U83" i="39"/>
  <c r="O57" i="12" s="1"/>
  <c r="M57" i="12"/>
  <c r="AD82" i="39"/>
  <c r="N82" i="38"/>
  <c r="Q72" i="38"/>
  <c r="O46" i="4" s="1"/>
  <c r="U93" i="39"/>
  <c r="O68" i="12" s="1"/>
  <c r="N95" i="39"/>
  <c r="H84" i="38"/>
  <c r="H102" i="38" s="1"/>
  <c r="H106" i="38" s="1"/>
  <c r="I82" i="38"/>
  <c r="I100" i="38" s="1"/>
  <c r="H105" i="38" s="1"/>
  <c r="I84" i="38"/>
  <c r="I83" i="38"/>
  <c r="Q69" i="38"/>
  <c r="E82" i="38"/>
  <c r="Y82" i="38"/>
  <c r="T83" i="39"/>
  <c r="N57" i="12" s="1"/>
  <c r="AG82" i="39"/>
  <c r="T30" i="39"/>
  <c r="X82" i="38"/>
  <c r="X56" i="38"/>
  <c r="Q93" i="38"/>
  <c r="O68" i="4" s="1"/>
  <c r="Q83" i="38"/>
  <c r="O57" i="4" s="1"/>
  <c r="L82" i="39" l="1"/>
  <c r="K56" i="12" s="1"/>
  <c r="S84" i="38"/>
  <c r="T84" i="38" s="1"/>
  <c r="M56" i="4"/>
  <c r="U55" i="39"/>
  <c r="U56" i="39" s="1"/>
  <c r="Q95" i="38"/>
  <c r="O70" i="4" s="1"/>
  <c r="M70" i="4"/>
  <c r="T81" i="39"/>
  <c r="N55" i="12" s="1"/>
  <c r="N81" i="39"/>
  <c r="U81" i="39" s="1"/>
  <c r="O55" i="12" s="1"/>
  <c r="L70" i="4"/>
  <c r="I96" i="38"/>
  <c r="I101" i="38" s="1"/>
  <c r="H107" i="38" s="1"/>
  <c r="I97" i="38"/>
  <c r="I102" i="38" s="1"/>
  <c r="H108" i="38" s="1"/>
  <c r="M96" i="38"/>
  <c r="U45" i="38"/>
  <c r="V45" i="38" s="1"/>
  <c r="E56" i="4"/>
  <c r="N70" i="4"/>
  <c r="Y95" i="38"/>
  <c r="AC97" i="39"/>
  <c r="AD97" i="39" s="1"/>
  <c r="I96" i="39"/>
  <c r="I101" i="39" s="1"/>
  <c r="H107" i="39" s="1"/>
  <c r="L70" i="12"/>
  <c r="I97" i="39"/>
  <c r="I102" i="39" s="1"/>
  <c r="H108" i="39" s="1"/>
  <c r="Z45" i="39"/>
  <c r="J78" i="12"/>
  <c r="K78" i="12"/>
  <c r="T82" i="39"/>
  <c r="AD84" i="39"/>
  <c r="AB100" i="39"/>
  <c r="U95" i="39"/>
  <c r="M70" i="12"/>
  <c r="N96" i="39"/>
  <c r="M71" i="12" s="1"/>
  <c r="L71" i="12"/>
  <c r="Q82" i="38"/>
  <c r="O56" i="4" s="1"/>
  <c r="Z82" i="38"/>
  <c r="U84" i="38"/>
  <c r="V84" i="38" s="1"/>
  <c r="AC100" i="39" l="1"/>
  <c r="W97" i="39"/>
  <c r="X97" i="39" s="1"/>
  <c r="U96" i="39"/>
  <c r="N82" i="39"/>
  <c r="M56" i="12" s="1"/>
  <c r="K76" i="12" s="1"/>
  <c r="M55" i="12"/>
  <c r="N96" i="38"/>
  <c r="L71" i="4"/>
  <c r="K75" i="4" s="1"/>
  <c r="M78" i="12"/>
  <c r="AD100" i="39"/>
  <c r="M75" i="12" s="1"/>
  <c r="AH82" i="39"/>
  <c r="N56" i="12"/>
  <c r="M75" i="4"/>
  <c r="AI95" i="39"/>
  <c r="O70" i="12"/>
  <c r="Y97" i="39"/>
  <c r="Z97" i="39" s="1"/>
  <c r="O71" i="12"/>
  <c r="K75" i="12"/>
  <c r="J75" i="12"/>
  <c r="J76" i="12"/>
  <c r="U82" i="39"/>
  <c r="O56" i="12" s="1"/>
  <c r="W84" i="39"/>
  <c r="Z95" i="38"/>
  <c r="J75" i="4" l="1"/>
  <c r="Q96" i="38"/>
  <c r="M71" i="4"/>
  <c r="S97" i="38"/>
  <c r="T97" i="38" s="1"/>
  <c r="K77" i="12"/>
  <c r="J77" i="12"/>
  <c r="X84" i="39"/>
  <c r="X100" i="39" s="1"/>
  <c r="M76" i="12" s="1"/>
  <c r="W100" i="39"/>
  <c r="AI82" i="39"/>
  <c r="Y84" i="39"/>
  <c r="O71" i="4" l="1"/>
  <c r="U97" i="38"/>
  <c r="K76" i="4"/>
  <c r="J76" i="4"/>
  <c r="Z84" i="39"/>
  <c r="Z100" i="39" s="1"/>
  <c r="M77" i="12" s="1"/>
  <c r="Y100" i="39"/>
  <c r="E22" i="1"/>
  <c r="V97" i="38" l="1"/>
  <c r="V100" i="38" s="1"/>
  <c r="M77" i="4" s="1"/>
  <c r="U100" i="38"/>
  <c r="J77" i="4"/>
  <c r="K77" i="4"/>
  <c r="C30" i="1"/>
  <c r="B19" i="31" l="1"/>
  <c r="B19" i="13"/>
  <c r="F18" i="31"/>
  <c r="D18" i="31"/>
  <c r="C18" i="31"/>
  <c r="F17" i="31"/>
  <c r="D17" i="31"/>
  <c r="C17" i="31"/>
  <c r="F16" i="31"/>
  <c r="D16" i="31"/>
  <c r="C16" i="31"/>
  <c r="M43" i="1" l="1"/>
  <c r="K43" i="1"/>
  <c r="F43" i="1"/>
  <c r="D43" i="1"/>
  <c r="C43" i="1"/>
  <c r="I44" i="1" s="1"/>
  <c r="B43" i="1"/>
  <c r="N42" i="1"/>
  <c r="M30" i="12" s="1"/>
  <c r="N41" i="1"/>
  <c r="F81" i="1"/>
  <c r="F16" i="12" s="1"/>
  <c r="D81" i="1"/>
  <c r="D16" i="12" s="1"/>
  <c r="C81" i="1"/>
  <c r="C56" i="1"/>
  <c r="I55" i="1"/>
  <c r="L55" i="1"/>
  <c r="N68" i="1"/>
  <c r="U68" i="1" s="1"/>
  <c r="I68" i="1"/>
  <c r="F69" i="1"/>
  <c r="D69" i="1"/>
  <c r="C69" i="1"/>
  <c r="I70" i="1" s="1"/>
  <c r="I59" i="1"/>
  <c r="L68" i="1"/>
  <c r="T68" i="1" s="1"/>
  <c r="D44" i="1" l="1"/>
  <c r="I45" i="1"/>
  <c r="I69" i="1"/>
  <c r="U41" i="1"/>
  <c r="I71" i="1"/>
  <c r="H71" i="1"/>
  <c r="U42" i="1"/>
  <c r="O30" i="12" s="1"/>
  <c r="C16" i="12"/>
  <c r="I81" i="1"/>
  <c r="I57" i="1"/>
  <c r="I56" i="1"/>
  <c r="D70" i="1"/>
  <c r="U70" i="1"/>
  <c r="T70" i="1"/>
  <c r="L81" i="1"/>
  <c r="T55" i="1"/>
  <c r="N55" i="1"/>
  <c r="J31" i="12"/>
  <c r="C31" i="12"/>
  <c r="I43" i="1"/>
  <c r="D31" i="12"/>
  <c r="T44" i="1"/>
  <c r="U44" i="1"/>
  <c r="F31" i="12"/>
  <c r="H45" i="1"/>
  <c r="I47" i="1"/>
  <c r="N81" i="1" l="1"/>
  <c r="U55" i="1"/>
  <c r="T81" i="1"/>
  <c r="E68" i="1"/>
  <c r="M16" i="12" l="1"/>
  <c r="U81" i="1"/>
  <c r="O16" i="12" s="1"/>
  <c r="H29" i="27"/>
  <c r="M58" i="27"/>
  <c r="M59" i="27" s="1"/>
  <c r="K58" i="27"/>
  <c r="P57" i="27"/>
  <c r="Q56" i="27"/>
  <c r="P56" i="27"/>
  <c r="P55" i="27"/>
  <c r="Q54" i="27"/>
  <c r="Q52" i="27"/>
  <c r="N57" i="27"/>
  <c r="Q57" i="27" s="1"/>
  <c r="N55" i="27"/>
  <c r="Q55" i="27" s="1"/>
  <c r="N54" i="27"/>
  <c r="N53" i="27"/>
  <c r="Q53" i="27" s="1"/>
  <c r="N51" i="27"/>
  <c r="Q51" i="27" s="1"/>
  <c r="L57" i="27"/>
  <c r="L55" i="27"/>
  <c r="L54" i="27"/>
  <c r="P54" i="27" s="1"/>
  <c r="L53" i="27"/>
  <c r="P53" i="27" s="1"/>
  <c r="L51" i="27"/>
  <c r="P51" i="27" s="1"/>
  <c r="L18" i="27"/>
  <c r="M15" i="27"/>
  <c r="M25" i="27"/>
  <c r="L58" i="27" l="1"/>
  <c r="K59" i="27"/>
  <c r="I58" i="27"/>
  <c r="I59" i="27"/>
  <c r="P58" i="27"/>
  <c r="Q58" i="27"/>
  <c r="N58" i="27"/>
  <c r="E57" i="27" l="1"/>
  <c r="E56" i="27"/>
  <c r="E55" i="27"/>
  <c r="E54" i="27"/>
  <c r="E53" i="27"/>
  <c r="E52" i="27"/>
  <c r="E51" i="27"/>
  <c r="E58" i="27" s="1"/>
  <c r="E18" i="27"/>
  <c r="I57" i="27" l="1"/>
  <c r="I55" i="27"/>
  <c r="I54" i="27"/>
  <c r="I53" i="27"/>
  <c r="I51" i="27"/>
  <c r="D30" i="1" l="1"/>
  <c r="D56" i="1"/>
  <c r="F56" i="1"/>
  <c r="K41" i="27"/>
  <c r="H48" i="27"/>
  <c r="M47" i="27"/>
  <c r="M67" i="27" s="1"/>
  <c r="K47" i="27"/>
  <c r="K67" i="27" s="1"/>
  <c r="H47" i="27"/>
  <c r="H67" i="27" s="1"/>
  <c r="I24" i="27"/>
  <c r="I22" i="27"/>
  <c r="I21" i="27"/>
  <c r="I20" i="27"/>
  <c r="I18" i="27"/>
  <c r="I12" i="27"/>
  <c r="I14" i="27"/>
  <c r="I11" i="27"/>
  <c r="I32" i="27" s="1"/>
  <c r="I10" i="27"/>
  <c r="I8" i="27"/>
  <c r="I29" i="27" s="1"/>
  <c r="I16" i="1"/>
  <c r="F29" i="27"/>
  <c r="H78" i="27" l="1"/>
  <c r="I33" i="27"/>
  <c r="I31" i="27"/>
  <c r="I35" i="27"/>
  <c r="I58" i="1"/>
  <c r="H58" i="1"/>
  <c r="D57" i="1"/>
  <c r="U57" i="1"/>
  <c r="T57" i="1"/>
  <c r="H58" i="27"/>
  <c r="H68" i="27"/>
  <c r="K61" i="27"/>
  <c r="L59" i="27" l="1"/>
  <c r="P59" i="27" s="1"/>
  <c r="N59" i="27"/>
  <c r="Q59" i="27" s="1"/>
  <c r="L79" i="27"/>
  <c r="P79" i="27" s="1"/>
  <c r="N79" i="27"/>
  <c r="Q79" i="27" s="1"/>
  <c r="F25" i="27"/>
  <c r="F15" i="27"/>
  <c r="C25" i="37" l="1"/>
  <c r="I25" i="37" s="1"/>
  <c r="F43" i="27" l="1"/>
  <c r="F63" i="27" s="1"/>
  <c r="E55" i="1" l="1"/>
  <c r="E81" i="1" s="1"/>
  <c r="E54" i="1"/>
  <c r="E53" i="1"/>
  <c r="E52" i="1"/>
  <c r="E51" i="1"/>
  <c r="E50" i="1"/>
  <c r="E49" i="1"/>
  <c r="E48" i="1"/>
  <c r="E47" i="1"/>
  <c r="F31" i="27"/>
  <c r="D43" i="27"/>
  <c r="E20" i="27"/>
  <c r="E31" i="27" s="1"/>
  <c r="E19" i="27"/>
  <c r="E10" i="27"/>
  <c r="E9" i="27"/>
  <c r="E8" i="27"/>
  <c r="D31" i="27"/>
  <c r="C31" i="27"/>
  <c r="E43" i="27" l="1"/>
  <c r="E63" i="27" s="1"/>
  <c r="D63" i="27"/>
  <c r="C41" i="27" l="1"/>
  <c r="I41" i="27" s="1"/>
  <c r="I61" i="27" s="1"/>
  <c r="C25" i="27"/>
  <c r="U18" i="1" l="1"/>
  <c r="U17" i="1" l="1"/>
  <c r="U19" i="1" s="1"/>
  <c r="N19" i="1"/>
  <c r="I40" i="1"/>
  <c r="I39" i="1"/>
  <c r="I38" i="1"/>
  <c r="I37" i="1"/>
  <c r="I36" i="1"/>
  <c r="I35" i="1"/>
  <c r="I34" i="1"/>
  <c r="I33" i="1"/>
  <c r="N40" i="1"/>
  <c r="L40" i="1"/>
  <c r="T40" i="1" s="1"/>
  <c r="N39" i="1"/>
  <c r="L39" i="1"/>
  <c r="N38" i="1"/>
  <c r="L38" i="1"/>
  <c r="N37" i="1"/>
  <c r="L37" i="1"/>
  <c r="N36" i="1"/>
  <c r="L36" i="1"/>
  <c r="N35" i="1"/>
  <c r="L35" i="1"/>
  <c r="N34" i="1"/>
  <c r="L34" i="1"/>
  <c r="L33" i="1"/>
  <c r="L42" i="1"/>
  <c r="I42" i="1"/>
  <c r="E42" i="1"/>
  <c r="L41" i="1"/>
  <c r="I41" i="1"/>
  <c r="E41" i="1"/>
  <c r="E39" i="1"/>
  <c r="E38" i="1"/>
  <c r="E37" i="1"/>
  <c r="E36" i="1"/>
  <c r="E35" i="1"/>
  <c r="E34" i="1"/>
  <c r="E33" i="1"/>
  <c r="I18" i="1"/>
  <c r="I17" i="1"/>
  <c r="L17" i="1"/>
  <c r="T17" i="1" s="1"/>
  <c r="L16" i="1"/>
  <c r="T34" i="1" l="1"/>
  <c r="U36" i="1"/>
  <c r="U37" i="1"/>
  <c r="M25" i="12"/>
  <c r="T35" i="1"/>
  <c r="U35" i="1"/>
  <c r="T37" i="1"/>
  <c r="K25" i="12"/>
  <c r="T36" i="1"/>
  <c r="K30" i="12"/>
  <c r="K16" i="12"/>
  <c r="U38" i="1"/>
  <c r="U34" i="1"/>
  <c r="T38" i="1"/>
  <c r="T33" i="1"/>
  <c r="T39" i="1"/>
  <c r="T16" i="1"/>
  <c r="T19" i="1" s="1"/>
  <c r="L19" i="1"/>
  <c r="K29" i="12"/>
  <c r="T41" i="1"/>
  <c r="E30" i="12"/>
  <c r="E16" i="12"/>
  <c r="U33" i="1"/>
  <c r="U39" i="1"/>
  <c r="U40" i="1"/>
  <c r="N43" i="1"/>
  <c r="L43" i="1"/>
  <c r="T42" i="1"/>
  <c r="B81" i="2"/>
  <c r="B80" i="2"/>
  <c r="B79" i="2"/>
  <c r="B78" i="2"/>
  <c r="B13" i="4" s="1"/>
  <c r="B77" i="2"/>
  <c r="B12" i="4" s="1"/>
  <c r="B76" i="2"/>
  <c r="B75" i="2"/>
  <c r="B10" i="4" s="1"/>
  <c r="B74" i="2"/>
  <c r="B73" i="2"/>
  <c r="B72" i="2"/>
  <c r="B69" i="2"/>
  <c r="B56" i="2"/>
  <c r="B43" i="2"/>
  <c r="B30" i="2"/>
  <c r="B19" i="2"/>
  <c r="B13" i="2"/>
  <c r="U43" i="1" l="1"/>
  <c r="T43" i="1"/>
  <c r="N30" i="12"/>
  <c r="N16" i="12"/>
  <c r="B89" i="2"/>
  <c r="B25" i="4" s="1"/>
  <c r="B11" i="4"/>
  <c r="B88" i="2"/>
  <c r="B24" i="4" s="1"/>
  <c r="B93" i="2"/>
  <c r="B29" i="4" s="1"/>
  <c r="B15" i="4"/>
  <c r="B85" i="2"/>
  <c r="B7" i="4"/>
  <c r="B82" i="2"/>
  <c r="B17" i="4" s="1"/>
  <c r="B91" i="2"/>
  <c r="B27" i="4" s="1"/>
  <c r="B94" i="2"/>
  <c r="B30" i="4" s="1"/>
  <c r="B16" i="4"/>
  <c r="B90" i="2"/>
  <c r="B26" i="4" s="1"/>
  <c r="B86" i="2"/>
  <c r="B22" i="4" s="1"/>
  <c r="B8" i="4"/>
  <c r="B92" i="2"/>
  <c r="B28" i="4" s="1"/>
  <c r="B14" i="4"/>
  <c r="B87" i="2"/>
  <c r="B23" i="4" s="1"/>
  <c r="B9" i="4"/>
  <c r="W45" i="1"/>
  <c r="X45" i="1" s="1"/>
  <c r="B95" i="2" l="1"/>
  <c r="B31" i="4" s="1"/>
  <c r="B21" i="4"/>
  <c r="B81" i="1"/>
  <c r="B16" i="12" s="1"/>
  <c r="B19" i="1"/>
  <c r="B30" i="1"/>
  <c r="B56" i="1"/>
  <c r="B69" i="1"/>
  <c r="B94" i="1" l="1"/>
  <c r="B30" i="12" s="1"/>
  <c r="E18" i="2"/>
  <c r="E17" i="2"/>
  <c r="E16" i="2"/>
  <c r="E19" i="2" l="1"/>
  <c r="E14" i="24"/>
  <c r="E10" i="24"/>
  <c r="E18" i="13"/>
  <c r="E17" i="13"/>
  <c r="E16" i="13"/>
  <c r="C17" i="24" l="1"/>
  <c r="E9" i="24"/>
  <c r="E18" i="1"/>
  <c r="E18" i="31" s="1"/>
  <c r="E17" i="1"/>
  <c r="E16" i="31"/>
  <c r="E17" i="31" l="1"/>
  <c r="E19" i="1"/>
  <c r="E13" i="24"/>
  <c r="M33" i="27" l="1"/>
  <c r="K25" i="27"/>
  <c r="I25" i="27" s="1"/>
  <c r="K15" i="27"/>
  <c r="B48" i="37" l="1"/>
  <c r="F47" i="37"/>
  <c r="F67" i="37" s="1"/>
  <c r="D47" i="37"/>
  <c r="D67" i="37" s="1"/>
  <c r="C47" i="37"/>
  <c r="F46" i="37"/>
  <c r="D46" i="37"/>
  <c r="C46" i="37"/>
  <c r="F45" i="37"/>
  <c r="F65" i="37" s="1"/>
  <c r="D45" i="37"/>
  <c r="D65" i="37" s="1"/>
  <c r="C45" i="37"/>
  <c r="C65" i="37" s="1"/>
  <c r="F44" i="37"/>
  <c r="F64" i="37" s="1"/>
  <c r="D44" i="37"/>
  <c r="D64" i="37" s="1"/>
  <c r="C44" i="37"/>
  <c r="C64" i="37" s="1"/>
  <c r="C43" i="37"/>
  <c r="C63" i="37" s="1"/>
  <c r="F42" i="37"/>
  <c r="E42" i="37"/>
  <c r="D42" i="37"/>
  <c r="C42" i="37"/>
  <c r="I41" i="37"/>
  <c r="I61" i="37" s="1"/>
  <c r="F41" i="37"/>
  <c r="F61" i="37" s="1"/>
  <c r="E41" i="37"/>
  <c r="E61" i="37" s="1"/>
  <c r="D41" i="37"/>
  <c r="M25" i="37"/>
  <c r="M26" i="37" s="1"/>
  <c r="N26" i="37" s="1"/>
  <c r="Q26" i="37" s="1"/>
  <c r="F25" i="37"/>
  <c r="B25" i="37"/>
  <c r="L24" i="37"/>
  <c r="L22" i="37"/>
  <c r="M15" i="37"/>
  <c r="M36" i="37" s="1"/>
  <c r="C15" i="37"/>
  <c r="B15" i="37"/>
  <c r="N14" i="37"/>
  <c r="P14" i="37"/>
  <c r="Q13" i="37"/>
  <c r="Q46" i="37" s="1"/>
  <c r="P13" i="37"/>
  <c r="P46" i="37" s="1"/>
  <c r="N12" i="37"/>
  <c r="E45" i="37"/>
  <c r="E65" i="37" s="1"/>
  <c r="N11" i="37"/>
  <c r="N10" i="37"/>
  <c r="Q9" i="37"/>
  <c r="Q42" i="37" s="1"/>
  <c r="N8" i="37"/>
  <c r="F47" i="27"/>
  <c r="F67" i="27" s="1"/>
  <c r="D47" i="27"/>
  <c r="F46" i="27"/>
  <c r="D46" i="27"/>
  <c r="F45" i="27"/>
  <c r="F65" i="27" s="1"/>
  <c r="D45" i="27"/>
  <c r="F44" i="27"/>
  <c r="F64" i="27" s="1"/>
  <c r="D44" i="27"/>
  <c r="F42" i="27"/>
  <c r="E42" i="27"/>
  <c r="D42" i="27"/>
  <c r="F41" i="27"/>
  <c r="F61" i="27" s="1"/>
  <c r="E41" i="27"/>
  <c r="D41" i="27"/>
  <c r="D61" i="27" s="1"/>
  <c r="C42" i="27"/>
  <c r="C47" i="27"/>
  <c r="F35" i="27"/>
  <c r="D35" i="27"/>
  <c r="F33" i="27"/>
  <c r="D33" i="27"/>
  <c r="F32" i="27"/>
  <c r="D32" i="27"/>
  <c r="E23" i="27"/>
  <c r="C36" i="37" l="1"/>
  <c r="I15" i="37"/>
  <c r="I36" i="37" s="1"/>
  <c r="I45" i="37"/>
  <c r="I65" i="37" s="1"/>
  <c r="N31" i="37"/>
  <c r="Q10" i="37"/>
  <c r="N43" i="37"/>
  <c r="N63" i="37" s="1"/>
  <c r="P24" i="37"/>
  <c r="P35" i="37" s="1"/>
  <c r="L47" i="37"/>
  <c r="L67" i="37" s="1"/>
  <c r="L35" i="37"/>
  <c r="N32" i="37"/>
  <c r="N44" i="37"/>
  <c r="N64" i="37" s="1"/>
  <c r="I43" i="37"/>
  <c r="I63" i="37" s="1"/>
  <c r="C67" i="37"/>
  <c r="I47" i="37"/>
  <c r="I67" i="37" s="1"/>
  <c r="C48" i="37"/>
  <c r="C68" i="37" s="1"/>
  <c r="N15" i="37"/>
  <c r="N29" i="37"/>
  <c r="N41" i="37"/>
  <c r="P22" i="37"/>
  <c r="L25" i="37"/>
  <c r="L45" i="37"/>
  <c r="L33" i="37"/>
  <c r="I26" i="37"/>
  <c r="F36" i="37"/>
  <c r="N47" i="37"/>
  <c r="N67" i="37" s="1"/>
  <c r="N35" i="37"/>
  <c r="N33" i="37"/>
  <c r="N45" i="37"/>
  <c r="N65" i="37" s="1"/>
  <c r="D61" i="37"/>
  <c r="D48" i="37"/>
  <c r="D68" i="37" s="1"/>
  <c r="I44" i="37"/>
  <c r="I64" i="37" s="1"/>
  <c r="D67" i="27"/>
  <c r="D64" i="27"/>
  <c r="I47" i="27"/>
  <c r="I67" i="27" s="1"/>
  <c r="C67" i="27"/>
  <c r="D65" i="27"/>
  <c r="E44" i="37"/>
  <c r="E64" i="37" s="1"/>
  <c r="F48" i="37"/>
  <c r="Q12" i="37"/>
  <c r="E46" i="37"/>
  <c r="K16" i="37"/>
  <c r="E47" i="37"/>
  <c r="E67" i="37" s="1"/>
  <c r="Q11" i="37"/>
  <c r="M16" i="37"/>
  <c r="N16" i="37" s="1"/>
  <c r="Q16" i="37" s="1"/>
  <c r="P11" i="37"/>
  <c r="Q8" i="37"/>
  <c r="P12" i="37"/>
  <c r="P45" i="37" s="1"/>
  <c r="Q14" i="37"/>
  <c r="F48" i="27"/>
  <c r="F68" i="27" s="1"/>
  <c r="D48" i="27"/>
  <c r="Q13" i="27"/>
  <c r="P13" i="27"/>
  <c r="E14" i="27"/>
  <c r="E13" i="27"/>
  <c r="E46" i="27" s="1"/>
  <c r="E12" i="27"/>
  <c r="E11" i="27"/>
  <c r="E15" i="27" s="1"/>
  <c r="C15" i="27"/>
  <c r="I15" i="27" s="1"/>
  <c r="I36" i="27" s="1"/>
  <c r="D15" i="27"/>
  <c r="P44" i="37" l="1"/>
  <c r="P32" i="37"/>
  <c r="L65" i="37"/>
  <c r="L48" i="37"/>
  <c r="L68" i="37" s="1"/>
  <c r="P25" i="37"/>
  <c r="P36" i="37" s="1"/>
  <c r="L36" i="37"/>
  <c r="Q41" i="37"/>
  <c r="Q29" i="37"/>
  <c r="P33" i="37"/>
  <c r="L16" i="37"/>
  <c r="P16" i="37" s="1"/>
  <c r="I16" i="37"/>
  <c r="I37" i="37" s="1"/>
  <c r="Q43" i="37"/>
  <c r="Q31" i="37"/>
  <c r="N36" i="37"/>
  <c r="Q15" i="37"/>
  <c r="Q36" i="37" s="1"/>
  <c r="Q44" i="37"/>
  <c r="Q32" i="37"/>
  <c r="F68" i="37"/>
  <c r="I49" i="37"/>
  <c r="N48" i="37"/>
  <c r="N68" i="37" s="1"/>
  <c r="N61" i="37"/>
  <c r="Q45" i="37"/>
  <c r="Q33" i="37"/>
  <c r="D68" i="27"/>
  <c r="Q35" i="37"/>
  <c r="Q47" i="37"/>
  <c r="P47" i="37"/>
  <c r="I48" i="37"/>
  <c r="E48" i="37"/>
  <c r="E68" i="37" s="1"/>
  <c r="Q48" i="37" l="1"/>
  <c r="P48" i="37"/>
  <c r="E24" i="27"/>
  <c r="E22" i="27"/>
  <c r="E21" i="27"/>
  <c r="E25" i="27" s="1"/>
  <c r="D25" i="27"/>
  <c r="I26" i="27" s="1"/>
  <c r="C36" i="27"/>
  <c r="B25" i="27"/>
  <c r="D36" i="27" l="1"/>
  <c r="E47" i="27"/>
  <c r="E67" i="27" s="1"/>
  <c r="E35" i="27"/>
  <c r="E32" i="27"/>
  <c r="E44" i="27"/>
  <c r="E33" i="27"/>
  <c r="E45" i="27"/>
  <c r="F36" i="27"/>
  <c r="E48" i="27" l="1"/>
  <c r="E68" i="27" s="1"/>
  <c r="E29" i="27"/>
  <c r="D29" i="27"/>
  <c r="C29" i="27"/>
  <c r="C61" i="27" l="1"/>
  <c r="M11" i="34"/>
  <c r="M10" i="34"/>
  <c r="M9" i="34"/>
  <c r="K8" i="34"/>
  <c r="K11" i="34"/>
  <c r="K10" i="34"/>
  <c r="K9" i="34"/>
  <c r="B12" i="35" l="1"/>
  <c r="B12" i="34"/>
  <c r="B12" i="33"/>
  <c r="F11" i="35" l="1"/>
  <c r="F10" i="35"/>
  <c r="F9" i="35"/>
  <c r="D11" i="35"/>
  <c r="D10" i="35"/>
  <c r="D9" i="35"/>
  <c r="C11" i="35"/>
  <c r="C10" i="35"/>
  <c r="C9" i="35"/>
  <c r="E11" i="34"/>
  <c r="E10" i="34"/>
  <c r="E9" i="34"/>
  <c r="E11" i="33"/>
  <c r="E11" i="35" s="1"/>
  <c r="E10" i="33"/>
  <c r="E10" i="35" s="1"/>
  <c r="B48" i="27" l="1"/>
  <c r="E65" i="27"/>
  <c r="E64" i="27"/>
  <c r="C46" i="27"/>
  <c r="C45" i="27"/>
  <c r="C44" i="27"/>
  <c r="C43" i="27"/>
  <c r="C35" i="27"/>
  <c r="C33" i="27"/>
  <c r="C32" i="27"/>
  <c r="C64" i="27" l="1"/>
  <c r="C65" i="27"/>
  <c r="E61" i="27"/>
  <c r="C63" i="27"/>
  <c r="C48" i="27"/>
  <c r="C68" i="27" s="1"/>
  <c r="B15" i="27"/>
  <c r="J13" i="34" l="1"/>
  <c r="K13" i="34" s="1"/>
  <c r="L12" i="34"/>
  <c r="J12" i="34"/>
  <c r="F12" i="34"/>
  <c r="C12" i="34"/>
  <c r="E12" i="34" l="1"/>
  <c r="M12" i="34"/>
  <c r="L13" i="34"/>
  <c r="M13" i="34" s="1"/>
  <c r="D12" i="34"/>
  <c r="K12" i="34"/>
  <c r="J13" i="33" l="1"/>
  <c r="K13" i="33" s="1"/>
  <c r="J12" i="33"/>
  <c r="U14" i="33" s="1"/>
  <c r="F12" i="33"/>
  <c r="C12" i="33"/>
  <c r="C12" i="35" s="1"/>
  <c r="AA10" i="33"/>
  <c r="L10" i="33"/>
  <c r="M10" i="33" s="1"/>
  <c r="P10" i="33" s="1"/>
  <c r="K10" i="33"/>
  <c r="O10" i="33" s="1"/>
  <c r="AA9" i="33"/>
  <c r="L9" i="33"/>
  <c r="L12" i="33" s="1"/>
  <c r="V14" i="33" s="1"/>
  <c r="K9" i="33"/>
  <c r="E9" i="33"/>
  <c r="E9" i="35" s="1"/>
  <c r="AA8" i="33"/>
  <c r="K8" i="33"/>
  <c r="O8" i="33" s="1"/>
  <c r="D8" i="33"/>
  <c r="E8" i="33" s="1"/>
  <c r="D12" i="33" l="1"/>
  <c r="O13" i="33"/>
  <c r="K12" i="33"/>
  <c r="O12" i="33" s="1"/>
  <c r="E12" i="33"/>
  <c r="W14" i="33"/>
  <c r="M9" i="33"/>
  <c r="L13" i="33"/>
  <c r="M13" i="33" s="1"/>
  <c r="P13" i="33" s="1"/>
  <c r="O9" i="33"/>
  <c r="M12" i="33" l="1"/>
  <c r="P12" i="33" s="1"/>
  <c r="R14" i="33" s="1"/>
  <c r="S14" i="33" s="1"/>
  <c r="P9" i="33"/>
  <c r="K24" i="28" l="1"/>
  <c r="K22" i="28"/>
  <c r="K21" i="28"/>
  <c r="K20" i="28"/>
  <c r="K18" i="28"/>
  <c r="K14" i="28"/>
  <c r="K12" i="28"/>
  <c r="K11" i="28"/>
  <c r="K10" i="28"/>
  <c r="K8" i="28"/>
  <c r="J93" i="32" l="1"/>
  <c r="J92" i="32"/>
  <c r="J91" i="32"/>
  <c r="J90" i="32"/>
  <c r="J89" i="32"/>
  <c r="J88" i="32"/>
  <c r="J87" i="32"/>
  <c r="J86" i="32"/>
  <c r="J85" i="32"/>
  <c r="J67" i="32"/>
  <c r="J66" i="32"/>
  <c r="J65" i="32"/>
  <c r="J64" i="32"/>
  <c r="J63" i="32"/>
  <c r="J62" i="32"/>
  <c r="J61" i="32"/>
  <c r="J60" i="32"/>
  <c r="J59" i="32"/>
  <c r="F93" i="32"/>
  <c r="C93" i="32"/>
  <c r="F92" i="32"/>
  <c r="C92" i="32"/>
  <c r="F91" i="32"/>
  <c r="C91" i="32"/>
  <c r="F90" i="32"/>
  <c r="C90" i="32"/>
  <c r="F89" i="32"/>
  <c r="C89" i="32"/>
  <c r="F88" i="32"/>
  <c r="C88" i="32"/>
  <c r="F87" i="32"/>
  <c r="C87" i="32"/>
  <c r="F86" i="32"/>
  <c r="C86" i="32"/>
  <c r="F85" i="32"/>
  <c r="C85" i="32"/>
  <c r="F67" i="32"/>
  <c r="C67" i="32"/>
  <c r="F66" i="32"/>
  <c r="C66" i="32"/>
  <c r="F65" i="32"/>
  <c r="C65" i="32"/>
  <c r="F64" i="32"/>
  <c r="C64" i="32"/>
  <c r="F63" i="32"/>
  <c r="C63" i="32"/>
  <c r="F62" i="32"/>
  <c r="C62" i="32"/>
  <c r="F61" i="32"/>
  <c r="C61" i="32"/>
  <c r="F60" i="32"/>
  <c r="C60" i="32"/>
  <c r="F59" i="32"/>
  <c r="C59" i="32"/>
  <c r="J53" i="32"/>
  <c r="J52" i="32"/>
  <c r="J51" i="32"/>
  <c r="J49" i="32"/>
  <c r="J47" i="32"/>
  <c r="J46" i="32"/>
  <c r="F53" i="32"/>
  <c r="C53" i="32"/>
  <c r="F52" i="32"/>
  <c r="C52" i="32"/>
  <c r="F51" i="32"/>
  <c r="C51" i="32"/>
  <c r="F49" i="32"/>
  <c r="C49" i="32"/>
  <c r="F47" i="32"/>
  <c r="C47" i="32"/>
  <c r="F46" i="32"/>
  <c r="C46" i="32"/>
  <c r="J29" i="32"/>
  <c r="J28" i="32"/>
  <c r="J27" i="32"/>
  <c r="J26" i="32"/>
  <c r="J25" i="32"/>
  <c r="J24" i="32"/>
  <c r="J23" i="32"/>
  <c r="J22" i="32"/>
  <c r="F29" i="32"/>
  <c r="F28" i="32"/>
  <c r="F27" i="32"/>
  <c r="F26" i="32"/>
  <c r="F25" i="32"/>
  <c r="F24" i="32"/>
  <c r="F23" i="32"/>
  <c r="F22" i="32"/>
  <c r="C29" i="32"/>
  <c r="C28" i="32"/>
  <c r="C27" i="32"/>
  <c r="C26" i="32"/>
  <c r="C25" i="32"/>
  <c r="C24" i="32"/>
  <c r="C23" i="32"/>
  <c r="C22" i="32"/>
  <c r="B80" i="32"/>
  <c r="B93" i="32" s="1"/>
  <c r="B79" i="32"/>
  <c r="B92" i="32" s="1"/>
  <c r="B78" i="32"/>
  <c r="B91" i="32" s="1"/>
  <c r="B77" i="32"/>
  <c r="B90" i="32" s="1"/>
  <c r="B76" i="32"/>
  <c r="B89" i="32" s="1"/>
  <c r="B75" i="32"/>
  <c r="B88" i="32" s="1"/>
  <c r="B74" i="32"/>
  <c r="B87" i="32" s="1"/>
  <c r="B73" i="32"/>
  <c r="B86" i="32" s="1"/>
  <c r="B72" i="32"/>
  <c r="B85" i="32" s="1"/>
  <c r="B69" i="32"/>
  <c r="B56" i="32"/>
  <c r="B30" i="32"/>
  <c r="J93" i="31"/>
  <c r="J92" i="31"/>
  <c r="J91" i="31"/>
  <c r="J90" i="31"/>
  <c r="J89" i="31"/>
  <c r="J88" i="31"/>
  <c r="J87" i="31"/>
  <c r="J86" i="31"/>
  <c r="J85" i="31"/>
  <c r="J67" i="31"/>
  <c r="J66" i="31"/>
  <c r="J65" i="31"/>
  <c r="J64" i="31"/>
  <c r="J63" i="31"/>
  <c r="J62" i="31"/>
  <c r="J61" i="31"/>
  <c r="J60" i="31"/>
  <c r="J59" i="31"/>
  <c r="F93" i="31"/>
  <c r="D93" i="31"/>
  <c r="C93" i="31"/>
  <c r="F92" i="31"/>
  <c r="D92" i="31"/>
  <c r="C92" i="31"/>
  <c r="F91" i="31"/>
  <c r="D91" i="31"/>
  <c r="C91" i="31"/>
  <c r="F90" i="31"/>
  <c r="D90" i="31"/>
  <c r="C90" i="31"/>
  <c r="F89" i="31"/>
  <c r="D89" i="31"/>
  <c r="C89" i="31"/>
  <c r="F88" i="31"/>
  <c r="D88" i="31"/>
  <c r="C88" i="31"/>
  <c r="F87" i="31"/>
  <c r="D87" i="31"/>
  <c r="C87" i="31"/>
  <c r="F86" i="31"/>
  <c r="D86" i="31"/>
  <c r="C86" i="31"/>
  <c r="F85" i="31"/>
  <c r="D85" i="31"/>
  <c r="C85" i="31"/>
  <c r="F67" i="31"/>
  <c r="D67" i="31"/>
  <c r="C67" i="31"/>
  <c r="F66" i="31"/>
  <c r="D66" i="31"/>
  <c r="C66" i="31"/>
  <c r="F65" i="31"/>
  <c r="D65" i="31"/>
  <c r="C65" i="31"/>
  <c r="F64" i="31"/>
  <c r="D64" i="31"/>
  <c r="C64" i="31"/>
  <c r="F63" i="31"/>
  <c r="D63" i="31"/>
  <c r="C63" i="31"/>
  <c r="F62" i="31"/>
  <c r="D62" i="31"/>
  <c r="C62" i="31"/>
  <c r="F61" i="31"/>
  <c r="D61" i="31"/>
  <c r="C61" i="31"/>
  <c r="F60" i="31"/>
  <c r="D60" i="31"/>
  <c r="C60" i="31"/>
  <c r="F59" i="31"/>
  <c r="D59" i="31"/>
  <c r="C59" i="31"/>
  <c r="J53" i="31"/>
  <c r="F53" i="31"/>
  <c r="D53" i="31"/>
  <c r="C53" i="31"/>
  <c r="J52" i="31"/>
  <c r="F52" i="31"/>
  <c r="D52" i="31"/>
  <c r="C52" i="31"/>
  <c r="J51" i="31"/>
  <c r="F51" i="31"/>
  <c r="D51" i="31"/>
  <c r="C51" i="31"/>
  <c r="J49" i="31"/>
  <c r="F49" i="31"/>
  <c r="D49" i="31"/>
  <c r="C49" i="31"/>
  <c r="J47" i="31"/>
  <c r="F47" i="31"/>
  <c r="D47" i="31"/>
  <c r="C47" i="31"/>
  <c r="J46" i="31"/>
  <c r="F46" i="31"/>
  <c r="D46" i="31"/>
  <c r="C46" i="31"/>
  <c r="J29" i="31"/>
  <c r="J28" i="31"/>
  <c r="J27" i="31"/>
  <c r="J26" i="31"/>
  <c r="J25" i="31"/>
  <c r="J24" i="31"/>
  <c r="J23" i="31"/>
  <c r="J22" i="31"/>
  <c r="F29" i="31"/>
  <c r="D29" i="31"/>
  <c r="F28" i="31"/>
  <c r="D28" i="31"/>
  <c r="F27" i="31"/>
  <c r="D27" i="31"/>
  <c r="F26" i="31"/>
  <c r="D26" i="31"/>
  <c r="F25" i="31"/>
  <c r="D25" i="31"/>
  <c r="F24" i="31"/>
  <c r="D24" i="31"/>
  <c r="F23" i="31"/>
  <c r="D23" i="31"/>
  <c r="F22" i="31"/>
  <c r="D22" i="31"/>
  <c r="B82" i="32" l="1"/>
  <c r="B95" i="32"/>
  <c r="C29" i="31" l="1"/>
  <c r="C28" i="31"/>
  <c r="C27" i="31"/>
  <c r="C26" i="31"/>
  <c r="C25" i="31"/>
  <c r="C24" i="31"/>
  <c r="C23" i="31"/>
  <c r="C22" i="31"/>
  <c r="B93" i="31"/>
  <c r="B91" i="31"/>
  <c r="B90" i="31"/>
  <c r="B89" i="31"/>
  <c r="B80" i="31"/>
  <c r="B79" i="31"/>
  <c r="B92" i="31" s="1"/>
  <c r="B78" i="31"/>
  <c r="B77" i="31"/>
  <c r="B76" i="31"/>
  <c r="B75" i="31"/>
  <c r="B88" i="31" s="1"/>
  <c r="B74" i="31"/>
  <c r="B87" i="31" s="1"/>
  <c r="B73" i="31"/>
  <c r="B86" i="31" s="1"/>
  <c r="B72" i="31"/>
  <c r="B85" i="31" s="1"/>
  <c r="B69" i="31"/>
  <c r="B56" i="31"/>
  <c r="B30" i="31"/>
  <c r="B95" i="31" l="1"/>
  <c r="B82" i="31"/>
  <c r="H45" i="27" l="1"/>
  <c r="H65" i="27" s="1"/>
  <c r="H44" i="27"/>
  <c r="H64" i="27" s="1"/>
  <c r="H43" i="27"/>
  <c r="H63" i="27" s="1"/>
  <c r="H41" i="27"/>
  <c r="H61" i="27" s="1"/>
  <c r="N46" i="27"/>
  <c r="Q46" i="27" s="1"/>
  <c r="M46" i="27"/>
  <c r="L46" i="27"/>
  <c r="P46" i="27" s="1"/>
  <c r="K46" i="27"/>
  <c r="M45" i="27"/>
  <c r="M65" i="27" s="1"/>
  <c r="K45" i="27"/>
  <c r="M44" i="27"/>
  <c r="M64" i="27" s="1"/>
  <c r="K44" i="27"/>
  <c r="M43" i="27"/>
  <c r="M63" i="27" s="1"/>
  <c r="K43" i="27"/>
  <c r="N42" i="27"/>
  <c r="Q42" i="27" s="1"/>
  <c r="M42" i="27"/>
  <c r="L42" i="27"/>
  <c r="K42" i="27"/>
  <c r="M41" i="27"/>
  <c r="N24" i="27"/>
  <c r="Q24" i="27" s="1"/>
  <c r="N22" i="27"/>
  <c r="Q22" i="27" s="1"/>
  <c r="Q33" i="27" s="1"/>
  <c r="N21" i="27"/>
  <c r="Q21" i="27" s="1"/>
  <c r="Q32" i="27" s="1"/>
  <c r="N20" i="27"/>
  <c r="Q20" i="27" s="1"/>
  <c r="N14" i="27"/>
  <c r="N12" i="27"/>
  <c r="Q12" i="27" s="1"/>
  <c r="N11" i="27"/>
  <c r="Q11" i="27" s="1"/>
  <c r="N10" i="27"/>
  <c r="Q10" i="27" s="1"/>
  <c r="M35" i="27"/>
  <c r="M32" i="27"/>
  <c r="M31" i="27"/>
  <c r="M16" i="27"/>
  <c r="M26" i="27"/>
  <c r="N26" i="27" s="1"/>
  <c r="Q26" i="27" s="1"/>
  <c r="N16" i="27" l="1"/>
  <c r="M37" i="27"/>
  <c r="M48" i="27"/>
  <c r="M49" i="27" s="1"/>
  <c r="K48" i="27"/>
  <c r="K49" i="27" s="1"/>
  <c r="Q31" i="27"/>
  <c r="M61" i="27"/>
  <c r="K63" i="27"/>
  <c r="I43" i="27"/>
  <c r="I63" i="27" s="1"/>
  <c r="K64" i="27"/>
  <c r="I44" i="27"/>
  <c r="I64" i="27" s="1"/>
  <c r="K65" i="27"/>
  <c r="I45" i="27"/>
  <c r="I65" i="27" s="1"/>
  <c r="Q14" i="27"/>
  <c r="Q35" i="27" s="1"/>
  <c r="N47" i="27"/>
  <c r="N32" i="27"/>
  <c r="N31" i="27"/>
  <c r="M68" i="27"/>
  <c r="N45" i="27"/>
  <c r="N35" i="27"/>
  <c r="N15" i="27"/>
  <c r="N44" i="27"/>
  <c r="M36" i="27"/>
  <c r="N33" i="27"/>
  <c r="N43" i="27"/>
  <c r="M69" i="27" l="1"/>
  <c r="N49" i="27"/>
  <c r="K69" i="27"/>
  <c r="L49" i="27"/>
  <c r="Q16" i="27"/>
  <c r="Q37" i="27" s="1"/>
  <c r="N37" i="27"/>
  <c r="I49" i="27"/>
  <c r="I69" i="27" s="1"/>
  <c r="I48" i="27"/>
  <c r="I68" i="27" s="1"/>
  <c r="N64" i="27"/>
  <c r="Q44" i="27"/>
  <c r="Q64" i="27" s="1"/>
  <c r="N63" i="27"/>
  <c r="Q43" i="27"/>
  <c r="Q63" i="27" s="1"/>
  <c r="N65" i="27"/>
  <c r="Q45" i="27"/>
  <c r="Q65" i="27" s="1"/>
  <c r="N67" i="27"/>
  <c r="Q47" i="27"/>
  <c r="Q67" i="27" s="1"/>
  <c r="K68" i="27"/>
  <c r="K26" i="27"/>
  <c r="L26" i="27" s="1"/>
  <c r="P26" i="27" s="1"/>
  <c r="H36" i="27"/>
  <c r="H35" i="27"/>
  <c r="H33" i="27"/>
  <c r="H32" i="27"/>
  <c r="H31" i="27"/>
  <c r="N69" i="27" l="1"/>
  <c r="Q49" i="27"/>
  <c r="Q69" i="27" s="1"/>
  <c r="L69" i="27"/>
  <c r="P49" i="27"/>
  <c r="P69" i="27" s="1"/>
  <c r="L22" i="27"/>
  <c r="P22" i="27" s="1"/>
  <c r="L21" i="27"/>
  <c r="P21" i="27" s="1"/>
  <c r="L20" i="27"/>
  <c r="P20" i="27" s="1"/>
  <c r="Q19" i="27"/>
  <c r="P19" i="27"/>
  <c r="M29" i="27" l="1"/>
  <c r="B25" i="28"/>
  <c r="B15" i="28"/>
  <c r="J25" i="28" l="1"/>
  <c r="K25" i="28" s="1"/>
  <c r="J15" i="28"/>
  <c r="K15" i="28" s="1"/>
  <c r="K16" i="27"/>
  <c r="K35" i="27"/>
  <c r="K33" i="27"/>
  <c r="K32" i="27"/>
  <c r="K31" i="27"/>
  <c r="K29" i="27"/>
  <c r="L16" i="27" l="1"/>
  <c r="L37" i="27" s="1"/>
  <c r="K37" i="27"/>
  <c r="P16" i="27"/>
  <c r="P37" i="27" s="1"/>
  <c r="I16" i="27"/>
  <c r="I37" i="27" s="1"/>
  <c r="K36" i="27"/>
  <c r="L14" i="27"/>
  <c r="L12" i="27"/>
  <c r="L11" i="27"/>
  <c r="L10" i="27"/>
  <c r="Q9" i="27"/>
  <c r="L24" i="27"/>
  <c r="P24" i="27" s="1"/>
  <c r="N8" i="27"/>
  <c r="L8" i="27"/>
  <c r="L43" i="27" l="1"/>
  <c r="P10" i="27"/>
  <c r="P31" i="27" s="1"/>
  <c r="P8" i="27"/>
  <c r="L41" i="27"/>
  <c r="P14" i="27"/>
  <c r="P35" i="27" s="1"/>
  <c r="L47" i="27"/>
  <c r="Q8" i="27"/>
  <c r="Q15" i="27" s="1"/>
  <c r="N41" i="27"/>
  <c r="L45" i="27"/>
  <c r="P12" i="27"/>
  <c r="P33" i="27" s="1"/>
  <c r="L44" i="27"/>
  <c r="P11" i="27"/>
  <c r="P32" i="27" s="1"/>
  <c r="L35" i="27"/>
  <c r="L33" i="27"/>
  <c r="L32" i="27"/>
  <c r="L31" i="27"/>
  <c r="L15" i="27"/>
  <c r="N18" i="27"/>
  <c r="L64" i="27" l="1"/>
  <c r="P44" i="27"/>
  <c r="P64" i="27" s="1"/>
  <c r="L65" i="27"/>
  <c r="P45" i="27"/>
  <c r="P65" i="27" s="1"/>
  <c r="N48" i="27"/>
  <c r="Q41" i="27"/>
  <c r="L67" i="27"/>
  <c r="P47" i="27"/>
  <c r="P67" i="27" s="1"/>
  <c r="P41" i="27"/>
  <c r="P61" i="27" s="1"/>
  <c r="L48" i="27"/>
  <c r="L68" i="27" s="1"/>
  <c r="P29" i="27"/>
  <c r="P15" i="27"/>
  <c r="L63" i="27"/>
  <c r="P43" i="27"/>
  <c r="P63" i="27" s="1"/>
  <c r="N25" i="27"/>
  <c r="Q18" i="27"/>
  <c r="Q29" i="27" s="1"/>
  <c r="L61" i="27"/>
  <c r="P18" i="27"/>
  <c r="N29" i="27"/>
  <c r="L25" i="27"/>
  <c r="L29" i="27"/>
  <c r="J30" i="13"/>
  <c r="Q48" i="27" l="1"/>
  <c r="Q68" i="27" s="1"/>
  <c r="Q61" i="27"/>
  <c r="P48" i="27"/>
  <c r="P68" i="27" s="1"/>
  <c r="N36" i="27"/>
  <c r="Q25" i="27"/>
  <c r="Q36" i="27" s="1"/>
  <c r="L36" i="27"/>
  <c r="P25" i="27"/>
  <c r="P36" i="27" s="1"/>
  <c r="N68" i="27"/>
  <c r="N61" i="27"/>
  <c r="P15" i="25"/>
  <c r="L15" i="25"/>
  <c r="K15" i="25"/>
  <c r="F15" i="25"/>
  <c r="D15" i="25"/>
  <c r="C15" i="25"/>
  <c r="K11" i="25"/>
  <c r="F11" i="25"/>
  <c r="E11" i="25"/>
  <c r="D11" i="25"/>
  <c r="C11" i="25"/>
  <c r="K15" i="24"/>
  <c r="F15" i="24"/>
  <c r="E15" i="24"/>
  <c r="D15" i="24"/>
  <c r="C15" i="24"/>
  <c r="K11" i="24"/>
  <c r="F11" i="24"/>
  <c r="E11" i="24"/>
  <c r="D11" i="24"/>
  <c r="C11" i="24"/>
  <c r="N38" i="25"/>
  <c r="L38" i="25"/>
  <c r="H38" i="25"/>
  <c r="F38" i="25"/>
  <c r="E38" i="25"/>
  <c r="D38" i="25"/>
  <c r="C38" i="25"/>
  <c r="H36" i="25"/>
  <c r="F36" i="25"/>
  <c r="E36" i="25"/>
  <c r="D36" i="25"/>
  <c r="M17" i="25"/>
  <c r="K17" i="25"/>
  <c r="H17" i="25"/>
  <c r="F17" i="25"/>
  <c r="D17" i="25"/>
  <c r="C17" i="25"/>
  <c r="B17" i="25"/>
  <c r="L10" i="25"/>
  <c r="P10" i="25" s="1"/>
  <c r="P11" i="25" s="1"/>
  <c r="E10" i="25"/>
  <c r="L14" i="25"/>
  <c r="P14" i="25" s="1"/>
  <c r="E14" i="25"/>
  <c r="E15" i="25" s="1"/>
  <c r="M17" i="24"/>
  <c r="K17" i="24"/>
  <c r="H17" i="24"/>
  <c r="F17" i="24"/>
  <c r="D17" i="24"/>
  <c r="B17" i="24"/>
  <c r="L10" i="24"/>
  <c r="P10" i="24" s="1"/>
  <c r="N17" i="24"/>
  <c r="P36" i="25"/>
  <c r="E17" i="24"/>
  <c r="L14" i="24"/>
  <c r="P14" i="24" s="1"/>
  <c r="Q38" i="25"/>
  <c r="P38" i="25"/>
  <c r="L11" i="25" l="1"/>
  <c r="N36" i="25"/>
  <c r="N40" i="25" s="1"/>
  <c r="L36" i="25"/>
  <c r="L11" i="24"/>
  <c r="P11" i="24"/>
  <c r="P15" i="24"/>
  <c r="L15" i="24"/>
  <c r="F40" i="25"/>
  <c r="N17" i="25"/>
  <c r="L40" i="25"/>
  <c r="E17" i="25"/>
  <c r="D40" i="25"/>
  <c r="C40" i="25"/>
  <c r="H40" i="25"/>
  <c r="E40" i="25"/>
  <c r="L17" i="25"/>
  <c r="P17" i="24"/>
  <c r="L17" i="24"/>
  <c r="BE29" i="17"/>
  <c r="BD29" i="17"/>
  <c r="AW29" i="17"/>
  <c r="AV29" i="17"/>
  <c r="AG29" i="17"/>
  <c r="AF29" i="17"/>
  <c r="T29" i="17"/>
  <c r="S29" i="17"/>
  <c r="BE28" i="17"/>
  <c r="BD28" i="17"/>
  <c r="AW28" i="17"/>
  <c r="AV28" i="17"/>
  <c r="AG28" i="17"/>
  <c r="AF28" i="17"/>
  <c r="T28" i="17"/>
  <c r="S28" i="17"/>
  <c r="BE27" i="17"/>
  <c r="BD27" i="17"/>
  <c r="AW27" i="17"/>
  <c r="AV27" i="17"/>
  <c r="AG27" i="17"/>
  <c r="AF27" i="17"/>
  <c r="T27" i="17"/>
  <c r="S27" i="17"/>
  <c r="BC17" i="17"/>
  <c r="BC29" i="17" s="1"/>
  <c r="BB17" i="17"/>
  <c r="BB29" i="17" s="1"/>
  <c r="BF29" i="17" s="1"/>
  <c r="AU17" i="17"/>
  <c r="AU29" i="17" s="1"/>
  <c r="AT17" i="17"/>
  <c r="AE17" i="17"/>
  <c r="AD17" i="17"/>
  <c r="R17" i="17"/>
  <c r="R29" i="17" s="1"/>
  <c r="Q17" i="17"/>
  <c r="Q29" i="17" s="1"/>
  <c r="BC16" i="17"/>
  <c r="BC28" i="17" s="1"/>
  <c r="BB16" i="17"/>
  <c r="BB28" i="17" s="1"/>
  <c r="AU16" i="17"/>
  <c r="AU28" i="17" s="1"/>
  <c r="AT16" i="17"/>
  <c r="AT28" i="17" s="1"/>
  <c r="AE16" i="17"/>
  <c r="AE28" i="17" s="1"/>
  <c r="AD16" i="17"/>
  <c r="AD28" i="17" s="1"/>
  <c r="R16" i="17"/>
  <c r="R28" i="17" s="1"/>
  <c r="Q16" i="17"/>
  <c r="Q28" i="17" s="1"/>
  <c r="BC15" i="17"/>
  <c r="BB15" i="17"/>
  <c r="BB27" i="17" s="1"/>
  <c r="AU15" i="17"/>
  <c r="AT15" i="17"/>
  <c r="AT27" i="17" s="1"/>
  <c r="AE15" i="17"/>
  <c r="AE27" i="17" s="1"/>
  <c r="AD15" i="17"/>
  <c r="R15" i="17"/>
  <c r="R27" i="17" s="1"/>
  <c r="Q15" i="17"/>
  <c r="Q27" i="17" s="1"/>
  <c r="I93" i="2"/>
  <c r="I92" i="2"/>
  <c r="I91" i="2"/>
  <c r="I90" i="2"/>
  <c r="I89" i="2"/>
  <c r="I88" i="2"/>
  <c r="I87" i="2"/>
  <c r="I86" i="2"/>
  <c r="I85" i="2"/>
  <c r="I67" i="2"/>
  <c r="I66" i="2"/>
  <c r="I65" i="2"/>
  <c r="I64" i="2"/>
  <c r="I62" i="2"/>
  <c r="I61" i="2"/>
  <c r="I60" i="2"/>
  <c r="I59" i="2"/>
  <c r="I53" i="2"/>
  <c r="I52" i="2"/>
  <c r="I51" i="2"/>
  <c r="I49" i="2"/>
  <c r="I47" i="2"/>
  <c r="I46" i="2"/>
  <c r="I29" i="2"/>
  <c r="I28" i="2"/>
  <c r="I27" i="2"/>
  <c r="I26" i="2"/>
  <c r="I25" i="2"/>
  <c r="I24" i="2"/>
  <c r="I23" i="2"/>
  <c r="I22" i="2"/>
  <c r="I93" i="1"/>
  <c r="I92" i="1"/>
  <c r="I91" i="1"/>
  <c r="I90" i="1"/>
  <c r="I89" i="1"/>
  <c r="I88" i="1"/>
  <c r="I87" i="1"/>
  <c r="I86" i="1"/>
  <c r="I85" i="1"/>
  <c r="I67" i="1"/>
  <c r="I66" i="1"/>
  <c r="I65" i="1"/>
  <c r="I64" i="1"/>
  <c r="I62" i="1"/>
  <c r="I61" i="1"/>
  <c r="I60" i="1"/>
  <c r="I53" i="1"/>
  <c r="I52" i="1"/>
  <c r="I51" i="1"/>
  <c r="I49" i="1"/>
  <c r="I29" i="1"/>
  <c r="I28" i="1"/>
  <c r="I27" i="1"/>
  <c r="I26" i="1"/>
  <c r="I25" i="1"/>
  <c r="I24" i="1"/>
  <c r="I23" i="1"/>
  <c r="I22" i="1"/>
  <c r="E92" i="2"/>
  <c r="E91" i="2"/>
  <c r="E27" i="4" s="1"/>
  <c r="E90" i="2"/>
  <c r="E26" i="4" s="1"/>
  <c r="E89" i="2"/>
  <c r="E25" i="4" s="1"/>
  <c r="E88" i="2"/>
  <c r="E24" i="4" s="1"/>
  <c r="E87" i="2"/>
  <c r="E23" i="4" s="1"/>
  <c r="E86" i="2"/>
  <c r="E22" i="4" s="1"/>
  <c r="E85" i="2"/>
  <c r="E21" i="4" s="1"/>
  <c r="E95" i="2" l="1"/>
  <c r="Q17" i="24"/>
  <c r="Q36" i="25"/>
  <c r="Q40" i="25" s="1"/>
  <c r="AN27" i="17"/>
  <c r="AN28" i="17"/>
  <c r="AN29" i="17"/>
  <c r="BF27" i="17"/>
  <c r="AT29" i="17"/>
  <c r="AX29" i="17" s="1"/>
  <c r="AD27" i="17"/>
  <c r="AI27" i="17" s="1"/>
  <c r="BG29" i="17"/>
  <c r="BH29" i="17" s="1"/>
  <c r="J29" i="17" s="1"/>
  <c r="BC27" i="17"/>
  <c r="BG27" i="17" s="1"/>
  <c r="BH27" i="17" s="1"/>
  <c r="J27" i="17" s="1"/>
  <c r="BF28" i="17"/>
  <c r="BG28" i="17"/>
  <c r="AD29" i="17"/>
  <c r="AH29" i="17" s="1"/>
  <c r="V27" i="17"/>
  <c r="AY28" i="17"/>
  <c r="AX27" i="17"/>
  <c r="AH28" i="17"/>
  <c r="AE29" i="17"/>
  <c r="V29" i="17"/>
  <c r="U29" i="17"/>
  <c r="V28" i="17"/>
  <c r="U28" i="17"/>
  <c r="AX28" i="17"/>
  <c r="U27" i="17"/>
  <c r="AI28" i="17"/>
  <c r="AU27" i="17"/>
  <c r="AY27" i="17" s="1"/>
  <c r="P40" i="25"/>
  <c r="P17" i="25"/>
  <c r="Q17" i="25"/>
  <c r="AH27" i="17" l="1"/>
  <c r="W29" i="17"/>
  <c r="C29" i="17" s="1"/>
  <c r="AY29" i="17"/>
  <c r="AZ29" i="17" s="1"/>
  <c r="F29" i="17" s="1"/>
  <c r="BH28" i="17"/>
  <c r="J28" i="17" s="1"/>
  <c r="AI29" i="17"/>
  <c r="AJ29" i="17" s="1"/>
  <c r="D29" i="17" s="1"/>
  <c r="AZ28" i="17"/>
  <c r="F28" i="17" s="1"/>
  <c r="AJ28" i="17"/>
  <c r="D28" i="17" s="1"/>
  <c r="W28" i="17"/>
  <c r="C28" i="17" s="1"/>
  <c r="AJ27" i="17"/>
  <c r="D27" i="17" s="1"/>
  <c r="AZ27" i="17"/>
  <c r="F27" i="17" s="1"/>
  <c r="W27" i="17"/>
  <c r="C27" i="17" s="1"/>
  <c r="K93" i="15"/>
  <c r="K92" i="15"/>
  <c r="K91" i="15"/>
  <c r="F80" i="15"/>
  <c r="AW17" i="17" s="1"/>
  <c r="AX17" i="17" s="1"/>
  <c r="D80" i="15"/>
  <c r="AG17" i="17" s="1"/>
  <c r="AH17" i="17" s="1"/>
  <c r="C80" i="15"/>
  <c r="T17" i="17" s="1"/>
  <c r="U17" i="17" s="1"/>
  <c r="F79" i="15"/>
  <c r="AW16" i="17" s="1"/>
  <c r="AX16" i="17" s="1"/>
  <c r="D79" i="15"/>
  <c r="AG16" i="17" s="1"/>
  <c r="AH16" i="17" s="1"/>
  <c r="C79" i="15"/>
  <c r="T16" i="17" s="1"/>
  <c r="U16" i="17" s="1"/>
  <c r="F78" i="15"/>
  <c r="AW15" i="17" s="1"/>
  <c r="AX15" i="17" s="1"/>
  <c r="D78" i="15"/>
  <c r="AG15" i="17" s="1"/>
  <c r="AH15" i="17" s="1"/>
  <c r="C78" i="15"/>
  <c r="T15" i="17" s="1"/>
  <c r="U15" i="17" s="1"/>
  <c r="K53" i="15"/>
  <c r="K52" i="15"/>
  <c r="K67" i="15"/>
  <c r="K80" i="15" s="1"/>
  <c r="K66" i="15"/>
  <c r="K65" i="15"/>
  <c r="D69" i="15"/>
  <c r="C69" i="15"/>
  <c r="C69" i="32" s="1"/>
  <c r="E67" i="15"/>
  <c r="E80" i="15" s="1"/>
  <c r="AO17" i="17" s="1"/>
  <c r="E66" i="15"/>
  <c r="E65" i="15"/>
  <c r="E53" i="15"/>
  <c r="E52" i="15"/>
  <c r="C56" i="15"/>
  <c r="C56" i="32" s="1"/>
  <c r="D56" i="15"/>
  <c r="F30" i="15"/>
  <c r="L93" i="2"/>
  <c r="L92" i="2"/>
  <c r="K28" i="4" s="1"/>
  <c r="L91" i="2"/>
  <c r="K27" i="4" s="1"/>
  <c r="N92" i="2"/>
  <c r="N91" i="2"/>
  <c r="F95" i="15"/>
  <c r="Q91" i="2" l="1"/>
  <c r="O27" i="4" s="1"/>
  <c r="M27" i="4"/>
  <c r="Q92" i="2"/>
  <c r="O28" i="4" s="1"/>
  <c r="M28" i="4"/>
  <c r="P93" i="2"/>
  <c r="K29" i="4"/>
  <c r="E78" i="15"/>
  <c r="AO15" i="17" s="1"/>
  <c r="E79" i="15"/>
  <c r="AO16" i="17" s="1"/>
  <c r="BM27" i="17"/>
  <c r="BW27" i="17"/>
  <c r="F95" i="32"/>
  <c r="BM28" i="17"/>
  <c r="BW28" i="17"/>
  <c r="BM29" i="17"/>
  <c r="BW29" i="17"/>
  <c r="K78" i="15"/>
  <c r="BM15" i="17" s="1"/>
  <c r="K79" i="15"/>
  <c r="BM16" i="17" s="1"/>
  <c r="P92" i="2"/>
  <c r="K92" i="32"/>
  <c r="BL28" i="17"/>
  <c r="P91" i="2"/>
  <c r="K91" i="32"/>
  <c r="BL27" i="17"/>
  <c r="K93" i="32"/>
  <c r="BL29" i="17"/>
  <c r="BW17" i="17"/>
  <c r="BM17" i="17"/>
  <c r="E93" i="15"/>
  <c r="E92" i="15"/>
  <c r="E91" i="15"/>
  <c r="BV27" i="17" l="1"/>
  <c r="N27" i="4"/>
  <c r="BV28" i="17"/>
  <c r="N28" i="4"/>
  <c r="BV29" i="17"/>
  <c r="N29" i="4"/>
  <c r="BW16" i="17"/>
  <c r="AO27" i="17"/>
  <c r="E91" i="32"/>
  <c r="AO28" i="17"/>
  <c r="E92" i="32"/>
  <c r="BW15" i="17"/>
  <c r="AO29" i="17"/>
  <c r="E93" i="32"/>
  <c r="K29" i="15"/>
  <c r="K28" i="15"/>
  <c r="F80" i="2"/>
  <c r="F15" i="4" s="1"/>
  <c r="D80" i="2"/>
  <c r="D15" i="4" s="1"/>
  <c r="C80" i="2"/>
  <c r="F79" i="2"/>
  <c r="F14" i="4" s="1"/>
  <c r="D79" i="2"/>
  <c r="D14" i="4" s="1"/>
  <c r="C79" i="2"/>
  <c r="C14" i="4" s="1"/>
  <c r="F78" i="2"/>
  <c r="F13" i="4" s="1"/>
  <c r="D78" i="2"/>
  <c r="D13" i="4" s="1"/>
  <c r="C78" i="2"/>
  <c r="C13" i="4" s="1"/>
  <c r="N67" i="2"/>
  <c r="N66" i="2"/>
  <c r="Q66" i="2" s="1"/>
  <c r="N65" i="2"/>
  <c r="Q65" i="2" s="1"/>
  <c r="L67" i="2"/>
  <c r="P67" i="2" s="1"/>
  <c r="L66" i="2"/>
  <c r="L65" i="2"/>
  <c r="N80" i="2" l="1"/>
  <c r="M15" i="4" s="1"/>
  <c r="Q67" i="2"/>
  <c r="K65" i="32"/>
  <c r="P65" i="2"/>
  <c r="C15" i="4"/>
  <c r="K66" i="32"/>
  <c r="P66" i="2"/>
  <c r="L80" i="2"/>
  <c r="K15" i="4" s="1"/>
  <c r="K67" i="32"/>
  <c r="K80" i="32"/>
  <c r="C78" i="32"/>
  <c r="S15" i="17"/>
  <c r="V15" i="17" s="1"/>
  <c r="W15" i="17" s="1"/>
  <c r="C15" i="17" s="1"/>
  <c r="F80" i="32"/>
  <c r="AV17" i="17"/>
  <c r="AY17" i="17" s="1"/>
  <c r="AZ17" i="17" s="1"/>
  <c r="F17" i="17" s="1"/>
  <c r="F79" i="32"/>
  <c r="AV16" i="17"/>
  <c r="AY16" i="17" s="1"/>
  <c r="AZ16" i="17" s="1"/>
  <c r="F16" i="17" s="1"/>
  <c r="AF17" i="17"/>
  <c r="AI17" i="17" s="1"/>
  <c r="AJ17" i="17" s="1"/>
  <c r="D17" i="17" s="1"/>
  <c r="Q80" i="2"/>
  <c r="O15" i="4" s="1"/>
  <c r="F78" i="32"/>
  <c r="AV15" i="17"/>
  <c r="AY15" i="17" s="1"/>
  <c r="AZ15" i="17" s="1"/>
  <c r="F15" i="17" s="1"/>
  <c r="AF16" i="17"/>
  <c r="AI16" i="17" s="1"/>
  <c r="AJ16" i="17" s="1"/>
  <c r="D16" i="17" s="1"/>
  <c r="C80" i="32"/>
  <c r="S17" i="17"/>
  <c r="V17" i="17" s="1"/>
  <c r="W17" i="17" s="1"/>
  <c r="C17" i="17" s="1"/>
  <c r="AF15" i="17"/>
  <c r="AI15" i="17" s="1"/>
  <c r="AJ15" i="17" s="1"/>
  <c r="D15" i="17" s="1"/>
  <c r="C79" i="32"/>
  <c r="S16" i="17"/>
  <c r="V16" i="17" s="1"/>
  <c r="W16" i="17" s="1"/>
  <c r="C16" i="17" s="1"/>
  <c r="BU15" i="17"/>
  <c r="BK15" i="17"/>
  <c r="BK16" i="17"/>
  <c r="BU16" i="17"/>
  <c r="BU17" i="17"/>
  <c r="BK17" i="17"/>
  <c r="E66" i="32"/>
  <c r="E65" i="32"/>
  <c r="P80" i="2" l="1"/>
  <c r="BV17" i="17" s="1"/>
  <c r="N15" i="4"/>
  <c r="BL17" i="17"/>
  <c r="E67" i="32"/>
  <c r="BU29" i="17"/>
  <c r="BK28" i="17"/>
  <c r="BK27" i="17"/>
  <c r="BK29" i="17"/>
  <c r="BU28" i="17"/>
  <c r="BU27" i="17"/>
  <c r="N53" i="2" l="1"/>
  <c r="N52" i="2"/>
  <c r="L53" i="2"/>
  <c r="P53" i="2" s="1"/>
  <c r="L52" i="2"/>
  <c r="P52" i="2" s="1"/>
  <c r="N78" i="2" l="1"/>
  <c r="Q52" i="2"/>
  <c r="N79" i="2"/>
  <c r="Q53" i="2"/>
  <c r="L79" i="2"/>
  <c r="K14" i="4" s="1"/>
  <c r="K53" i="32"/>
  <c r="K52" i="32"/>
  <c r="L78" i="2"/>
  <c r="K13" i="4" s="1"/>
  <c r="Q79" i="2" l="1"/>
  <c r="O14" i="4" s="1"/>
  <c r="M14" i="4"/>
  <c r="Q78" i="2"/>
  <c r="O13" i="4" s="1"/>
  <c r="M13" i="4"/>
  <c r="E53" i="32"/>
  <c r="E79" i="2"/>
  <c r="P78" i="2"/>
  <c r="K78" i="32"/>
  <c r="BL15" i="17"/>
  <c r="E52" i="32"/>
  <c r="E78" i="2"/>
  <c r="E13" i="4" s="1"/>
  <c r="P79" i="2"/>
  <c r="K79" i="32"/>
  <c r="BL16" i="17"/>
  <c r="E80" i="2"/>
  <c r="E15" i="4" s="1"/>
  <c r="Z29" i="2"/>
  <c r="X29" i="2"/>
  <c r="Z28" i="2"/>
  <c r="X28" i="2"/>
  <c r="X27" i="2"/>
  <c r="M30" i="2"/>
  <c r="K30" i="2"/>
  <c r="C30" i="2"/>
  <c r="D30" i="2"/>
  <c r="D31" i="2" s="1"/>
  <c r="F30" i="2"/>
  <c r="D30" i="15"/>
  <c r="C30" i="15"/>
  <c r="AM17" i="17"/>
  <c r="AM29" i="17" s="1"/>
  <c r="I30" i="2" l="1"/>
  <c r="I31" i="2"/>
  <c r="I32" i="2"/>
  <c r="BV15" i="17"/>
  <c r="N13" i="4"/>
  <c r="BV16" i="17"/>
  <c r="N14" i="4"/>
  <c r="F30" i="32"/>
  <c r="H32" i="2"/>
  <c r="AN17" i="17"/>
  <c r="E80" i="32"/>
  <c r="E78" i="32"/>
  <c r="AN15" i="17"/>
  <c r="E79" i="32"/>
  <c r="AN16" i="17"/>
  <c r="AL17" i="17"/>
  <c r="C30" i="32"/>
  <c r="BJ17" i="17" l="1"/>
  <c r="BT17" i="17"/>
  <c r="AL29" i="17"/>
  <c r="AP17" i="17"/>
  <c r="AQ17" i="17"/>
  <c r="B80" i="15"/>
  <c r="B79" i="15"/>
  <c r="B92" i="15" s="1"/>
  <c r="B78" i="15"/>
  <c r="B91" i="15" s="1"/>
  <c r="B77" i="15"/>
  <c r="B90" i="15" s="1"/>
  <c r="B76" i="15"/>
  <c r="B89" i="15" s="1"/>
  <c r="B75" i="15"/>
  <c r="B88" i="15" s="1"/>
  <c r="B74" i="15"/>
  <c r="B87" i="15" s="1"/>
  <c r="B73" i="15"/>
  <c r="B86" i="15" s="1"/>
  <c r="B72" i="15"/>
  <c r="B85" i="15" s="1"/>
  <c r="B69" i="15"/>
  <c r="B56" i="15"/>
  <c r="B30" i="15"/>
  <c r="E29" i="15"/>
  <c r="AM16" i="17" s="1"/>
  <c r="AM28" i="17" s="1"/>
  <c r="E28" i="15"/>
  <c r="AM15" i="17" s="1"/>
  <c r="AM27" i="17" s="1"/>
  <c r="E29" i="2"/>
  <c r="E40" i="2" s="1"/>
  <c r="E28" i="4" s="1"/>
  <c r="E28" i="2"/>
  <c r="J96" i="15"/>
  <c r="J95" i="15"/>
  <c r="J95" i="32" s="1"/>
  <c r="J80" i="15"/>
  <c r="J79" i="15"/>
  <c r="J78" i="15"/>
  <c r="J77" i="15"/>
  <c r="J76" i="15"/>
  <c r="J75" i="15"/>
  <c r="J74" i="15"/>
  <c r="J73" i="15"/>
  <c r="J72" i="15"/>
  <c r="J70" i="15"/>
  <c r="J69" i="15"/>
  <c r="J57" i="15"/>
  <c r="J56" i="15"/>
  <c r="J31" i="15"/>
  <c r="J30" i="15"/>
  <c r="J30" i="32" s="1"/>
  <c r="E14" i="4" l="1"/>
  <c r="E43" i="2"/>
  <c r="B82" i="15"/>
  <c r="J83" i="15"/>
  <c r="J82" i="15"/>
  <c r="BJ29" i="17"/>
  <c r="BN17" i="17"/>
  <c r="BO17" i="17"/>
  <c r="AR17" i="17"/>
  <c r="E17" i="17" s="1"/>
  <c r="AP29" i="17"/>
  <c r="AQ29" i="17"/>
  <c r="BT29" i="17"/>
  <c r="BX17" i="17"/>
  <c r="BY17" i="17"/>
  <c r="E28" i="32"/>
  <c r="AL15" i="17"/>
  <c r="Y28" i="2"/>
  <c r="E29" i="32"/>
  <c r="AL16" i="17"/>
  <c r="Y29" i="2"/>
  <c r="B93" i="15"/>
  <c r="B95" i="15" s="1"/>
  <c r="M80" i="2"/>
  <c r="L15" i="4" s="1"/>
  <c r="M79" i="2"/>
  <c r="L14" i="4" s="1"/>
  <c r="M78" i="2"/>
  <c r="L13" i="4" s="1"/>
  <c r="M77" i="2"/>
  <c r="L12" i="4" s="1"/>
  <c r="M76" i="2"/>
  <c r="L11" i="4" s="1"/>
  <c r="L10" i="4"/>
  <c r="M74" i="2"/>
  <c r="L9" i="4" s="1"/>
  <c r="M73" i="2"/>
  <c r="L8" i="4" s="1"/>
  <c r="M72" i="2"/>
  <c r="M83" i="2"/>
  <c r="L18" i="4" s="1"/>
  <c r="M31" i="2"/>
  <c r="J96" i="32"/>
  <c r="K80" i="2"/>
  <c r="K79" i="2"/>
  <c r="J14" i="4" s="1"/>
  <c r="K78" i="2"/>
  <c r="J13" i="4" s="1"/>
  <c r="K77" i="2"/>
  <c r="K76" i="2"/>
  <c r="K75" i="2"/>
  <c r="K74" i="2"/>
  <c r="K73" i="2"/>
  <c r="K72" i="2"/>
  <c r="J70" i="32"/>
  <c r="K31" i="2"/>
  <c r="J31" i="32" s="1"/>
  <c r="M29" i="16"/>
  <c r="BF29" i="16"/>
  <c r="BE29" i="16"/>
  <c r="AX29" i="16"/>
  <c r="AW29" i="16"/>
  <c r="AH29" i="16"/>
  <c r="AG29" i="16"/>
  <c r="U29" i="16"/>
  <c r="T29" i="16"/>
  <c r="M17" i="16"/>
  <c r="BD17" i="16"/>
  <c r="BD29" i="16" s="1"/>
  <c r="BC17" i="16"/>
  <c r="BC29" i="16" s="1"/>
  <c r="AV17" i="16"/>
  <c r="AV29" i="16" s="1"/>
  <c r="AU17" i="16"/>
  <c r="AU29" i="16" s="1"/>
  <c r="AF17" i="16"/>
  <c r="AF29" i="16" s="1"/>
  <c r="AE17" i="16"/>
  <c r="AE29" i="16" s="1"/>
  <c r="S17" i="16"/>
  <c r="S29" i="16" s="1"/>
  <c r="R17" i="16"/>
  <c r="K93" i="13"/>
  <c r="BN29" i="16" s="1"/>
  <c r="E31" i="4" l="1"/>
  <c r="U45" i="2"/>
  <c r="V45" i="2" s="1"/>
  <c r="BP17" i="17"/>
  <c r="K17" i="17" s="1"/>
  <c r="L7" i="4"/>
  <c r="M82" i="2"/>
  <c r="J15" i="4"/>
  <c r="I80" i="2"/>
  <c r="J73" i="32"/>
  <c r="J8" i="4"/>
  <c r="J7" i="4"/>
  <c r="K82" i="2"/>
  <c r="I72" i="2"/>
  <c r="J74" i="32"/>
  <c r="J9" i="4"/>
  <c r="J75" i="32"/>
  <c r="J10" i="4"/>
  <c r="J76" i="32"/>
  <c r="J11" i="4"/>
  <c r="J77" i="32"/>
  <c r="J12" i="4"/>
  <c r="AR29" i="17"/>
  <c r="E29" i="17" s="1"/>
  <c r="K93" i="31"/>
  <c r="J56" i="32"/>
  <c r="J69" i="32"/>
  <c r="K83" i="2"/>
  <c r="J18" i="4" s="1"/>
  <c r="J57" i="32"/>
  <c r="BN29" i="17"/>
  <c r="BO29" i="17"/>
  <c r="BM29" i="16"/>
  <c r="T93" i="1"/>
  <c r="N29" i="12" s="1"/>
  <c r="AY29" i="16"/>
  <c r="BZ17" i="17"/>
  <c r="N17" i="17" s="1"/>
  <c r="M93" i="2"/>
  <c r="J78" i="32"/>
  <c r="I78" i="2"/>
  <c r="J79" i="32"/>
  <c r="I79" i="2"/>
  <c r="J80" i="32"/>
  <c r="J72" i="32"/>
  <c r="BX29" i="17"/>
  <c r="BY29" i="17"/>
  <c r="AL27" i="17"/>
  <c r="AP15" i="17"/>
  <c r="AQ15" i="17"/>
  <c r="AP16" i="17"/>
  <c r="AQ16" i="17"/>
  <c r="AL28" i="17"/>
  <c r="R29" i="16"/>
  <c r="V29" i="16" s="1"/>
  <c r="AJ29" i="16"/>
  <c r="AZ29" i="16"/>
  <c r="AI29" i="16"/>
  <c r="BH29" i="16"/>
  <c r="BG29" i="16"/>
  <c r="E93" i="13"/>
  <c r="AP29" i="16" s="1"/>
  <c r="E91" i="1"/>
  <c r="E27" i="12" s="1"/>
  <c r="E92" i="1"/>
  <c r="E93" i="1"/>
  <c r="E29" i="12" s="1"/>
  <c r="J17" i="4" l="1"/>
  <c r="I82" i="2"/>
  <c r="I100" i="2" s="1"/>
  <c r="H105" i="2" s="1"/>
  <c r="M95" i="2"/>
  <c r="L31" i="4" s="1"/>
  <c r="L29" i="4"/>
  <c r="I97" i="2"/>
  <c r="I96" i="2"/>
  <c r="L17" i="4"/>
  <c r="I83" i="2"/>
  <c r="I101" i="2" s="1"/>
  <c r="H107" i="2" s="1"/>
  <c r="J83" i="32"/>
  <c r="BP29" i="17"/>
  <c r="K29" i="17" s="1"/>
  <c r="BA29" i="16"/>
  <c r="E29" i="16" s="1"/>
  <c r="AK29" i="16"/>
  <c r="C29" i="16" s="1"/>
  <c r="AO29" i="16"/>
  <c r="E93" i="31"/>
  <c r="W29" i="16"/>
  <c r="X29" i="16" s="1"/>
  <c r="B29" i="16" s="1"/>
  <c r="J82" i="32"/>
  <c r="AR16" i="17"/>
  <c r="E16" i="17" s="1"/>
  <c r="M96" i="2"/>
  <c r="N93" i="2"/>
  <c r="M29" i="4" s="1"/>
  <c r="BZ29" i="17"/>
  <c r="N29" i="17" s="1"/>
  <c r="AQ28" i="17"/>
  <c r="AP28" i="17"/>
  <c r="AR15" i="17"/>
  <c r="E15" i="17" s="1"/>
  <c r="AP27" i="17"/>
  <c r="AQ27" i="17"/>
  <c r="BI29" i="16"/>
  <c r="I29" i="16" s="1"/>
  <c r="L32" i="4" l="1"/>
  <c r="N96" i="2"/>
  <c r="J36" i="4"/>
  <c r="J83" i="4" s="1"/>
  <c r="K83" i="4"/>
  <c r="I95" i="1"/>
  <c r="AR28" i="17"/>
  <c r="E28" i="17" s="1"/>
  <c r="Q93" i="2"/>
  <c r="O29" i="4" s="1"/>
  <c r="AR27" i="17"/>
  <c r="E27" i="17" s="1"/>
  <c r="K80" i="1"/>
  <c r="J15" i="12" s="1"/>
  <c r="F80" i="1"/>
  <c r="F15" i="12" s="1"/>
  <c r="D80" i="1"/>
  <c r="D15" i="12" s="1"/>
  <c r="C80" i="1"/>
  <c r="C15" i="12" s="1"/>
  <c r="J80" i="13"/>
  <c r="F80" i="13"/>
  <c r="AX17" i="16" s="1"/>
  <c r="AY17" i="16" s="1"/>
  <c r="D80" i="13"/>
  <c r="AH17" i="16" s="1"/>
  <c r="AI17" i="16" s="1"/>
  <c r="C80" i="13"/>
  <c r="U17" i="16" s="1"/>
  <c r="V17" i="16" s="1"/>
  <c r="B80" i="13"/>
  <c r="B93" i="13" s="1"/>
  <c r="J70" i="13"/>
  <c r="K70" i="13" s="1"/>
  <c r="J69" i="13"/>
  <c r="F80" i="31" l="1"/>
  <c r="D80" i="31"/>
  <c r="BE17" i="17"/>
  <c r="BF17" i="17" s="1"/>
  <c r="BF17" i="16"/>
  <c r="BG17" i="16" s="1"/>
  <c r="C80" i="31"/>
  <c r="I80" i="1"/>
  <c r="J80" i="31"/>
  <c r="BD17" i="17"/>
  <c r="BG17" i="17" s="1"/>
  <c r="BE17" i="16"/>
  <c r="BH17" i="16" s="1"/>
  <c r="BI17" i="16" s="1"/>
  <c r="I17" i="16" s="1"/>
  <c r="AG17" i="16"/>
  <c r="AJ17" i="16" s="1"/>
  <c r="AK17" i="16" s="1"/>
  <c r="C17" i="16" s="1"/>
  <c r="AW17" i="16"/>
  <c r="AZ17" i="16" s="1"/>
  <c r="BA17" i="16" s="1"/>
  <c r="E17" i="16" s="1"/>
  <c r="T17" i="16"/>
  <c r="W17" i="16" s="1"/>
  <c r="X17" i="16" s="1"/>
  <c r="B17" i="16" s="1"/>
  <c r="K67" i="13"/>
  <c r="K80" i="13" s="1"/>
  <c r="BN17" i="16" s="1"/>
  <c r="L67" i="1"/>
  <c r="T67" i="1" s="1"/>
  <c r="BH17" i="17" l="1"/>
  <c r="J17" i="17" s="1"/>
  <c r="L80" i="1"/>
  <c r="K67" i="31"/>
  <c r="BM17" i="16" l="1"/>
  <c r="K15" i="12"/>
  <c r="K80" i="31"/>
  <c r="T80" i="1"/>
  <c r="N15" i="12" s="1"/>
  <c r="N67" i="1"/>
  <c r="F69" i="13"/>
  <c r="F69" i="31" s="1"/>
  <c r="D69" i="13"/>
  <c r="C69" i="13"/>
  <c r="B69" i="13"/>
  <c r="E67" i="13"/>
  <c r="E80" i="13" s="1"/>
  <c r="AP17" i="16" s="1"/>
  <c r="E66" i="13"/>
  <c r="E67" i="1"/>
  <c r="N80" i="1" l="1"/>
  <c r="U67" i="1"/>
  <c r="C69" i="31"/>
  <c r="D69" i="31"/>
  <c r="E67" i="31"/>
  <c r="E80" i="1"/>
  <c r="E15" i="12" s="1"/>
  <c r="M31" i="1"/>
  <c r="K31" i="1"/>
  <c r="K26" i="13"/>
  <c r="J31" i="13"/>
  <c r="BL17" i="16"/>
  <c r="BL29" i="16" s="1"/>
  <c r="L31" i="1" l="1"/>
  <c r="T31" i="1" s="1"/>
  <c r="N31" i="1"/>
  <c r="U31" i="1" s="1"/>
  <c r="U80" i="1"/>
  <c r="O15" i="12" s="1"/>
  <c r="M15" i="12"/>
  <c r="J31" i="31"/>
  <c r="AO17" i="16"/>
  <c r="E80" i="31"/>
  <c r="BK17" i="16"/>
  <c r="BK29" i="16" l="1"/>
  <c r="BO17" i="16"/>
  <c r="BP17" i="16"/>
  <c r="BQ17" i="16" l="1"/>
  <c r="J17" i="16" s="1"/>
  <c r="BO29" i="16"/>
  <c r="BP29" i="16"/>
  <c r="BQ29" i="16" l="1"/>
  <c r="J29" i="16" s="1"/>
  <c r="D30" i="13" l="1"/>
  <c r="F30" i="13"/>
  <c r="E26" i="13" l="1"/>
  <c r="AN17" i="16"/>
  <c r="AN29" i="16" s="1"/>
  <c r="D30" i="31" l="1"/>
  <c r="AM17" i="16"/>
  <c r="AM29" i="16" l="1"/>
  <c r="AQ17" i="16"/>
  <c r="AR17" i="16"/>
  <c r="AS17" i="16" l="1"/>
  <c r="D17" i="16" s="1"/>
  <c r="AQ29" i="16"/>
  <c r="AR29" i="16"/>
  <c r="R18" i="16" l="1"/>
  <c r="AS29" i="16"/>
  <c r="D29" i="16" s="1"/>
  <c r="K30" i="1" l="1"/>
  <c r="H32" i="1" s="1"/>
  <c r="M30" i="1"/>
  <c r="M80" i="1"/>
  <c r="L15" i="12" s="1"/>
  <c r="B80" i="1"/>
  <c r="B15" i="12" s="1"/>
  <c r="I31" i="1" l="1"/>
  <c r="I32" i="1"/>
  <c r="J30" i="31"/>
  <c r="I30" i="1"/>
  <c r="F30" i="31"/>
  <c r="D31" i="1"/>
  <c r="M93" i="1"/>
  <c r="AD80" i="1"/>
  <c r="B93" i="1"/>
  <c r="B29" i="12" s="1"/>
  <c r="L29" i="12" l="1"/>
  <c r="M95" i="1"/>
  <c r="AC97" i="1" s="1"/>
  <c r="AD93" i="1"/>
  <c r="N93" i="1"/>
  <c r="M29" i="12" s="1"/>
  <c r="I97" i="1" l="1"/>
  <c r="I96" i="1"/>
  <c r="L31" i="12"/>
  <c r="U93" i="1"/>
  <c r="O29" i="12" s="1"/>
  <c r="G6" i="23"/>
  <c r="E6" i="23"/>
  <c r="W28" i="2" l="1"/>
  <c r="L29" i="2"/>
  <c r="L28" i="2"/>
  <c r="N29" i="2"/>
  <c r="N28" i="2"/>
  <c r="Q28" i="2" l="1"/>
  <c r="Q29" i="2"/>
  <c r="P28" i="2"/>
  <c r="K28" i="32"/>
  <c r="BJ15" i="17"/>
  <c r="P29" i="2"/>
  <c r="BT16" i="17" s="1"/>
  <c r="K29" i="32"/>
  <c r="BJ16" i="17"/>
  <c r="Z27" i="2"/>
  <c r="Z26" i="2"/>
  <c r="Z25" i="2"/>
  <c r="Z24" i="2"/>
  <c r="Z23" i="2"/>
  <c r="Z22" i="2"/>
  <c r="X26" i="2"/>
  <c r="X25" i="2"/>
  <c r="X24" i="2"/>
  <c r="X23" i="2"/>
  <c r="X22" i="2"/>
  <c r="W27" i="2"/>
  <c r="W26" i="2"/>
  <c r="W25" i="2"/>
  <c r="W24" i="2"/>
  <c r="W23" i="2"/>
  <c r="W22" i="2"/>
  <c r="BT15" i="17" l="1"/>
  <c r="BJ28" i="17"/>
  <c r="BN16" i="17"/>
  <c r="BO16" i="17"/>
  <c r="BJ27" i="17"/>
  <c r="BN15" i="17"/>
  <c r="BO15" i="17"/>
  <c r="BT28" i="17"/>
  <c r="BX16" i="17"/>
  <c r="BY16" i="17"/>
  <c r="BT27" i="17"/>
  <c r="BX15" i="17"/>
  <c r="BY15" i="17"/>
  <c r="M28" i="16"/>
  <c r="M27" i="16"/>
  <c r="M16" i="16"/>
  <c r="M15" i="16"/>
  <c r="BP16" i="17" l="1"/>
  <c r="K16" i="17" s="1"/>
  <c r="BP15" i="17"/>
  <c r="K15" i="17" s="1"/>
  <c r="BZ15" i="17"/>
  <c r="N15" i="17" s="1"/>
  <c r="BN27" i="17"/>
  <c r="BO27" i="17"/>
  <c r="BZ16" i="17"/>
  <c r="N16" i="17" s="1"/>
  <c r="BN28" i="17"/>
  <c r="BO28" i="17"/>
  <c r="BX27" i="17"/>
  <c r="BY27" i="17"/>
  <c r="BX28" i="17"/>
  <c r="BY28" i="17"/>
  <c r="J95" i="13"/>
  <c r="J95" i="31" s="1"/>
  <c r="F95" i="13"/>
  <c r="F95" i="31" s="1"/>
  <c r="E92" i="13"/>
  <c r="E92" i="31" s="1"/>
  <c r="E91" i="13"/>
  <c r="E91" i="31" s="1"/>
  <c r="D95" i="13"/>
  <c r="D95" i="31" s="1"/>
  <c r="BP28" i="17" l="1"/>
  <c r="K28" i="17" s="1"/>
  <c r="BP27" i="17"/>
  <c r="K27" i="17" s="1"/>
  <c r="BZ27" i="17"/>
  <c r="N27" i="17" s="1"/>
  <c r="BZ28" i="17"/>
  <c r="N28" i="17" s="1"/>
  <c r="C95" i="13"/>
  <c r="C95" i="31" l="1"/>
  <c r="K92" i="13"/>
  <c r="K91" i="13"/>
  <c r="J96" i="13"/>
  <c r="K96" i="13" s="1"/>
  <c r="BW31" i="16" s="1"/>
  <c r="J79" i="13" l="1"/>
  <c r="BE16" i="17" s="1"/>
  <c r="BF16" i="17" s="1"/>
  <c r="J78" i="13"/>
  <c r="BE15" i="17" s="1"/>
  <c r="BF15" i="17" s="1"/>
  <c r="F79" i="13"/>
  <c r="D79" i="13"/>
  <c r="C79" i="13"/>
  <c r="F78" i="13"/>
  <c r="D78" i="13"/>
  <c r="C78" i="13"/>
  <c r="E65" i="13" l="1"/>
  <c r="K66" i="13" l="1"/>
  <c r="K65" i="13"/>
  <c r="K53" i="13" l="1"/>
  <c r="K79" i="13" s="1"/>
  <c r="K52" i="13"/>
  <c r="K78" i="13" s="1"/>
  <c r="E53" i="13" l="1"/>
  <c r="E79" i="13" s="1"/>
  <c r="E52" i="13"/>
  <c r="E78" i="13" s="1"/>
  <c r="J56" i="13"/>
  <c r="F56" i="13"/>
  <c r="C56" i="13"/>
  <c r="D56" i="13"/>
  <c r="J57" i="13" l="1"/>
  <c r="K29" i="13" l="1"/>
  <c r="K28" i="13"/>
  <c r="K27" i="13"/>
  <c r="C30" i="13" l="1"/>
  <c r="E29" i="13"/>
  <c r="E28" i="13"/>
  <c r="C30" i="31" l="1"/>
  <c r="E30" i="13"/>
  <c r="B79" i="13"/>
  <c r="B92" i="13" s="1"/>
  <c r="B78" i="13"/>
  <c r="B91" i="13" s="1"/>
  <c r="B77" i="13"/>
  <c r="B90" i="13" s="1"/>
  <c r="B76" i="13"/>
  <c r="B89" i="13" s="1"/>
  <c r="B75" i="13"/>
  <c r="B88" i="13" s="1"/>
  <c r="B74" i="13"/>
  <c r="B87" i="13" s="1"/>
  <c r="B73" i="13"/>
  <c r="B86" i="13" s="1"/>
  <c r="B72" i="13"/>
  <c r="B56" i="13"/>
  <c r="B30" i="13"/>
  <c r="B85" i="13" l="1"/>
  <c r="B95" i="13" s="1"/>
  <c r="B82" i="13"/>
  <c r="BN28" i="16"/>
  <c r="BF28" i="16"/>
  <c r="BE28" i="16"/>
  <c r="AX28" i="16"/>
  <c r="AW28" i="16"/>
  <c r="AP28" i="16"/>
  <c r="AH28" i="16"/>
  <c r="AG28" i="16"/>
  <c r="U28" i="16"/>
  <c r="T28" i="16"/>
  <c r="BN27" i="16"/>
  <c r="BF27" i="16"/>
  <c r="BE27" i="16"/>
  <c r="AX27" i="16"/>
  <c r="AW27" i="16"/>
  <c r="AP27" i="16"/>
  <c r="AH27" i="16"/>
  <c r="AG27" i="16"/>
  <c r="U27" i="16"/>
  <c r="T27" i="16"/>
  <c r="BN16" i="16"/>
  <c r="BL16" i="16"/>
  <c r="BF16" i="16"/>
  <c r="BD16" i="16"/>
  <c r="BC16" i="16"/>
  <c r="BC28" i="16" s="1"/>
  <c r="AX16" i="16"/>
  <c r="AV16" i="16"/>
  <c r="AU16" i="16"/>
  <c r="AU28" i="16" s="1"/>
  <c r="AP16" i="16"/>
  <c r="AN16" i="16"/>
  <c r="AH16" i="16"/>
  <c r="AF16" i="16"/>
  <c r="AF28" i="16" s="1"/>
  <c r="AE16" i="16"/>
  <c r="AE28" i="16" s="1"/>
  <c r="U16" i="16"/>
  <c r="S16" i="16"/>
  <c r="S28" i="16" s="1"/>
  <c r="R16" i="16"/>
  <c r="R28" i="16" s="1"/>
  <c r="BN15" i="16"/>
  <c r="BL15" i="16"/>
  <c r="BF15" i="16"/>
  <c r="BD15" i="16"/>
  <c r="BC15" i="16"/>
  <c r="BC27" i="16" s="1"/>
  <c r="AX15" i="16"/>
  <c r="AV15" i="16"/>
  <c r="AU15" i="16"/>
  <c r="AU27" i="16" s="1"/>
  <c r="AP15" i="16"/>
  <c r="AN15" i="16"/>
  <c r="AH15" i="16"/>
  <c r="AF15" i="16"/>
  <c r="AF27" i="16" s="1"/>
  <c r="AE15" i="16"/>
  <c r="AE27" i="16" s="1"/>
  <c r="U15" i="16"/>
  <c r="S15" i="16"/>
  <c r="S27" i="16" s="1"/>
  <c r="R15" i="16"/>
  <c r="R27" i="16" s="1"/>
  <c r="N92" i="1"/>
  <c r="L92" i="1"/>
  <c r="K28" i="12" s="1"/>
  <c r="F79" i="1"/>
  <c r="F14" i="12" s="1"/>
  <c r="F78" i="1"/>
  <c r="F13" i="12" s="1"/>
  <c r="F77" i="1"/>
  <c r="F12" i="12" s="1"/>
  <c r="F56" i="31"/>
  <c r="D79" i="1"/>
  <c r="D78" i="1"/>
  <c r="D13" i="12" s="1"/>
  <c r="E53" i="31"/>
  <c r="E52" i="31"/>
  <c r="AD29" i="1"/>
  <c r="E29" i="1"/>
  <c r="E28" i="1"/>
  <c r="U92" i="1" l="1"/>
  <c r="O28" i="12" s="1"/>
  <c r="M28" i="12"/>
  <c r="E29" i="31"/>
  <c r="E40" i="1"/>
  <c r="D79" i="31"/>
  <c r="D14" i="12"/>
  <c r="BM28" i="16"/>
  <c r="K92" i="31"/>
  <c r="D56" i="31"/>
  <c r="AG15" i="16"/>
  <c r="AJ15" i="16" s="1"/>
  <c r="D78" i="31"/>
  <c r="F78" i="31"/>
  <c r="F79" i="31"/>
  <c r="AM15" i="16"/>
  <c r="AQ15" i="16" s="1"/>
  <c r="E28" i="31"/>
  <c r="AG16" i="16"/>
  <c r="AJ16" i="16" s="1"/>
  <c r="BG16" i="16"/>
  <c r="BG15" i="16"/>
  <c r="V27" i="16"/>
  <c r="AM16" i="16"/>
  <c r="AM28" i="16" s="1"/>
  <c r="AQ28" i="16" s="1"/>
  <c r="T92" i="1"/>
  <c r="N28" i="12" s="1"/>
  <c r="AW15" i="16"/>
  <c r="AZ15" i="16" s="1"/>
  <c r="AW16" i="16"/>
  <c r="AZ16" i="16" s="1"/>
  <c r="V16" i="16"/>
  <c r="AI28" i="16"/>
  <c r="AJ28" i="16"/>
  <c r="AY27" i="16"/>
  <c r="AJ27" i="16"/>
  <c r="BG28" i="16"/>
  <c r="W27" i="16"/>
  <c r="AI15" i="16"/>
  <c r="AY15" i="16"/>
  <c r="AI16" i="16"/>
  <c r="AY16" i="16"/>
  <c r="AI27" i="16"/>
  <c r="V28" i="16"/>
  <c r="AV28" i="16"/>
  <c r="AZ28" i="16" s="1"/>
  <c r="BG27" i="16"/>
  <c r="V15" i="16"/>
  <c r="AY28" i="16"/>
  <c r="BL27" i="16"/>
  <c r="BL28" i="16"/>
  <c r="AV27" i="16"/>
  <c r="AZ27" i="16" s="1"/>
  <c r="AN28" i="16"/>
  <c r="AN27" i="16"/>
  <c r="BD28" i="16"/>
  <c r="BH28" i="16" s="1"/>
  <c r="BD27" i="16"/>
  <c r="BH27" i="16" s="1"/>
  <c r="W28" i="16"/>
  <c r="E28" i="12" l="1"/>
  <c r="E43" i="1"/>
  <c r="AM27" i="16"/>
  <c r="AQ27" i="16" s="1"/>
  <c r="BA15" i="16"/>
  <c r="E15" i="16" s="1"/>
  <c r="AK27" i="16"/>
  <c r="C27" i="16" s="1"/>
  <c r="AK15" i="16"/>
  <c r="C15" i="16" s="1"/>
  <c r="AK16" i="16"/>
  <c r="C16" i="16" s="1"/>
  <c r="BA16" i="16"/>
  <c r="E16" i="16" s="1"/>
  <c r="X27" i="16"/>
  <c r="B27" i="16" s="1"/>
  <c r="BA28" i="16"/>
  <c r="E28" i="16" s="1"/>
  <c r="BI27" i="16"/>
  <c r="I27" i="16" s="1"/>
  <c r="AK28" i="16"/>
  <c r="C28" i="16" s="1"/>
  <c r="BA27" i="16"/>
  <c r="E27" i="16" s="1"/>
  <c r="AQ16" i="16"/>
  <c r="X28" i="16"/>
  <c r="B28" i="16" s="1"/>
  <c r="BI28" i="16"/>
  <c r="I28" i="16" s="1"/>
  <c r="N91" i="1"/>
  <c r="K79" i="1"/>
  <c r="J14" i="12" s="1"/>
  <c r="K78" i="1"/>
  <c r="J13" i="12" s="1"/>
  <c r="C79" i="1"/>
  <c r="C14" i="12" s="1"/>
  <c r="C78" i="1"/>
  <c r="C77" i="1"/>
  <c r="C12" i="12" s="1"/>
  <c r="E66" i="1"/>
  <c r="E65" i="1"/>
  <c r="U91" i="1" l="1"/>
  <c r="O27" i="12" s="1"/>
  <c r="M27" i="12"/>
  <c r="Y45" i="1"/>
  <c r="Z45" i="1" s="1"/>
  <c r="C78" i="31"/>
  <c r="C13" i="12"/>
  <c r="E78" i="1"/>
  <c r="E65" i="31"/>
  <c r="E79" i="1"/>
  <c r="E66" i="31"/>
  <c r="C79" i="31"/>
  <c r="I79" i="1"/>
  <c r="J78" i="31"/>
  <c r="I78" i="1"/>
  <c r="BD15" i="17"/>
  <c r="BG15" i="17" s="1"/>
  <c r="BH15" i="17" s="1"/>
  <c r="J15" i="17" s="1"/>
  <c r="J79" i="31"/>
  <c r="BD16" i="17"/>
  <c r="BG16" i="17" s="1"/>
  <c r="BH16" i="17" s="1"/>
  <c r="J16" i="17" s="1"/>
  <c r="AO28" i="16"/>
  <c r="AR28" i="16" s="1"/>
  <c r="AS28" i="16" s="1"/>
  <c r="D28" i="16" s="1"/>
  <c r="T15" i="16"/>
  <c r="W15" i="16" s="1"/>
  <c r="X15" i="16" s="1"/>
  <c r="B15" i="16" s="1"/>
  <c r="AO27" i="16"/>
  <c r="AR27" i="16" s="1"/>
  <c r="AS27" i="16" s="1"/>
  <c r="D27" i="16" s="1"/>
  <c r="T16" i="16"/>
  <c r="W16" i="16" s="1"/>
  <c r="X16" i="16" s="1"/>
  <c r="B16" i="16" s="1"/>
  <c r="BE15" i="16"/>
  <c r="BH15" i="16" s="1"/>
  <c r="BI15" i="16" s="1"/>
  <c r="I15" i="16" s="1"/>
  <c r="BE16" i="16"/>
  <c r="BH16" i="16" s="1"/>
  <c r="BI16" i="16" s="1"/>
  <c r="I16" i="16" s="1"/>
  <c r="J70" i="31"/>
  <c r="L66" i="1"/>
  <c r="L65" i="1"/>
  <c r="B79" i="1"/>
  <c r="B14" i="12" s="1"/>
  <c r="B78" i="1"/>
  <c r="B13" i="12" s="1"/>
  <c r="B77" i="1"/>
  <c r="B76" i="1"/>
  <c r="B11" i="12" s="1"/>
  <c r="L91" i="1"/>
  <c r="K91" i="31" l="1"/>
  <c r="K27" i="12"/>
  <c r="B90" i="1"/>
  <c r="B26" i="12" s="1"/>
  <c r="B12" i="12"/>
  <c r="K65" i="31"/>
  <c r="T65" i="1"/>
  <c r="E78" i="31"/>
  <c r="E13" i="12"/>
  <c r="E79" i="31"/>
  <c r="E14" i="12"/>
  <c r="K66" i="31"/>
  <c r="T66" i="1"/>
  <c r="AO15" i="16"/>
  <c r="AR15" i="16" s="1"/>
  <c r="AS15" i="16" s="1"/>
  <c r="D15" i="16" s="1"/>
  <c r="C56" i="31"/>
  <c r="J69" i="31"/>
  <c r="AO16" i="16"/>
  <c r="AR16" i="16" s="1"/>
  <c r="AS16" i="16" s="1"/>
  <c r="D16" i="16" s="1"/>
  <c r="BM27" i="16"/>
  <c r="T91" i="1"/>
  <c r="N27" i="12" s="1"/>
  <c r="B91" i="1"/>
  <c r="B27" i="12" s="1"/>
  <c r="B92" i="1"/>
  <c r="B28" i="12" s="1"/>
  <c r="J56" i="31"/>
  <c r="N53" i="1"/>
  <c r="U53" i="1" s="1"/>
  <c r="N52" i="1"/>
  <c r="U52" i="1" s="1"/>
  <c r="N51" i="1"/>
  <c r="U51" i="1" s="1"/>
  <c r="L53" i="1"/>
  <c r="T53" i="1" s="1"/>
  <c r="L52" i="1"/>
  <c r="T52" i="1" s="1"/>
  <c r="AD92" i="1"/>
  <c r="AD91" i="1"/>
  <c r="J57" i="31" l="1"/>
  <c r="L96" i="1"/>
  <c r="K32" i="12" s="1"/>
  <c r="J96" i="31"/>
  <c r="L78" i="1"/>
  <c r="K52" i="31"/>
  <c r="L79" i="1"/>
  <c r="K53" i="31"/>
  <c r="BM15" i="16"/>
  <c r="L28" i="1"/>
  <c r="K28" i="31" s="1"/>
  <c r="K78" i="31" l="1"/>
  <c r="K13" i="12"/>
  <c r="T78" i="1"/>
  <c r="N13" i="12" s="1"/>
  <c r="BM16" i="16"/>
  <c r="K14" i="12"/>
  <c r="T96" i="1"/>
  <c r="N32" i="12" s="1"/>
  <c r="K96" i="31"/>
  <c r="T79" i="1"/>
  <c r="N14" i="12" s="1"/>
  <c r="K79" i="31"/>
  <c r="T28" i="1"/>
  <c r="BK15" i="16"/>
  <c r="BP15" i="16" s="1"/>
  <c r="U29" i="1"/>
  <c r="L29" i="1"/>
  <c r="K29" i="31" s="1"/>
  <c r="N66" i="1"/>
  <c r="U66" i="1" s="1"/>
  <c r="N65" i="1"/>
  <c r="N78" i="1" l="1"/>
  <c r="U65" i="1"/>
  <c r="N79" i="1"/>
  <c r="U28" i="1"/>
  <c r="BK27" i="16"/>
  <c r="BO15" i="16"/>
  <c r="BQ15" i="16" s="1"/>
  <c r="J15" i="16" s="1"/>
  <c r="BK16" i="16"/>
  <c r="T29" i="1"/>
  <c r="M79" i="1"/>
  <c r="L14" i="12" s="1"/>
  <c r="M78" i="1"/>
  <c r="L13" i="12" s="1"/>
  <c r="AD28" i="1"/>
  <c r="U79" i="1" l="1"/>
  <c r="O14" i="12" s="1"/>
  <c r="M14" i="12"/>
  <c r="U78" i="1"/>
  <c r="O13" i="12" s="1"/>
  <c r="M13" i="12"/>
  <c r="AD78" i="1"/>
  <c r="AD79" i="1"/>
  <c r="BO27" i="16"/>
  <c r="BP27" i="16"/>
  <c r="BK28" i="16"/>
  <c r="BO16" i="16"/>
  <c r="BP16" i="16"/>
  <c r="G7" i="23"/>
  <c r="F7" i="23"/>
  <c r="E7" i="23"/>
  <c r="C7" i="23"/>
  <c r="BQ27" i="16" l="1"/>
  <c r="J27" i="16" s="1"/>
  <c r="BQ16" i="16"/>
  <c r="J16" i="16" s="1"/>
  <c r="BO28" i="16"/>
  <c r="BP28" i="16"/>
  <c r="BQ28" i="16" l="1"/>
  <c r="J28" i="16" s="1"/>
  <c r="K90" i="15"/>
  <c r="BW26" i="17" s="1"/>
  <c r="N76" i="2" l="1"/>
  <c r="N26" i="2"/>
  <c r="L26" i="2"/>
  <c r="M72" i="1"/>
  <c r="L7" i="12" l="1"/>
  <c r="C74" i="13"/>
  <c r="C73" i="13"/>
  <c r="C72" i="13"/>
  <c r="K76" i="13"/>
  <c r="B89" i="1" l="1"/>
  <c r="B25" i="12" s="1"/>
  <c r="M77" i="1"/>
  <c r="L12" i="12" s="1"/>
  <c r="K77" i="1"/>
  <c r="J12" i="12" s="1"/>
  <c r="N76" i="1"/>
  <c r="M11" i="12" s="1"/>
  <c r="M76" i="1"/>
  <c r="L11" i="12" s="1"/>
  <c r="L76" i="1"/>
  <c r="K11" i="12" s="1"/>
  <c r="K76" i="1"/>
  <c r="J11" i="12" s="1"/>
  <c r="M75" i="1"/>
  <c r="L10" i="12" s="1"/>
  <c r="K75" i="1"/>
  <c r="J10" i="12" s="1"/>
  <c r="M74" i="1"/>
  <c r="L9" i="12" s="1"/>
  <c r="K74" i="1"/>
  <c r="J9" i="12" s="1"/>
  <c r="M73" i="1"/>
  <c r="M82" i="1" s="1"/>
  <c r="AC84" i="1" s="1"/>
  <c r="K73" i="1"/>
  <c r="J8" i="12" s="1"/>
  <c r="K72" i="1"/>
  <c r="L26" i="1"/>
  <c r="K26" i="31" s="1"/>
  <c r="K82" i="1" l="1"/>
  <c r="AB84" i="1" s="1"/>
  <c r="AD84" i="1" s="1"/>
  <c r="L8" i="12"/>
  <c r="J7" i="12"/>
  <c r="AD77" i="1"/>
  <c r="I77" i="1"/>
  <c r="BM26" i="17"/>
  <c r="BE26" i="17"/>
  <c r="BD26" i="17"/>
  <c r="AW26" i="17"/>
  <c r="AV26" i="17"/>
  <c r="AG26" i="17"/>
  <c r="AF26" i="17"/>
  <c r="T26" i="17"/>
  <c r="S26" i="17"/>
  <c r="BD14" i="17"/>
  <c r="BC14" i="17"/>
  <c r="BC26" i="17" s="1"/>
  <c r="BB14" i="17"/>
  <c r="BB26" i="17" s="1"/>
  <c r="AU14" i="17"/>
  <c r="AU26" i="17" s="1"/>
  <c r="AT14" i="17"/>
  <c r="AT26" i="17" s="1"/>
  <c r="AE14" i="17"/>
  <c r="AE26" i="17" s="1"/>
  <c r="AD14" i="17"/>
  <c r="AD26" i="17" s="1"/>
  <c r="R14" i="17"/>
  <c r="R26" i="17" s="1"/>
  <c r="Q14" i="17"/>
  <c r="Q26" i="17" s="1"/>
  <c r="AC100" i="1" l="1"/>
  <c r="L17" i="12"/>
  <c r="J17" i="12"/>
  <c r="AB100" i="1"/>
  <c r="V26" i="17"/>
  <c r="AY26" i="17"/>
  <c r="BF26" i="17"/>
  <c r="U26" i="17"/>
  <c r="AH26" i="17"/>
  <c r="BG26" i="17"/>
  <c r="AI26" i="17"/>
  <c r="AX26" i="17"/>
  <c r="BG14" i="17"/>
  <c r="BF26" i="16"/>
  <c r="BE26" i="16"/>
  <c r="AX26" i="16"/>
  <c r="AW26" i="16"/>
  <c r="AH26" i="16"/>
  <c r="AG26" i="16"/>
  <c r="BE14" i="16"/>
  <c r="BD14" i="16"/>
  <c r="BD26" i="16" s="1"/>
  <c r="BC14" i="16"/>
  <c r="BC26" i="16" s="1"/>
  <c r="AV14" i="16"/>
  <c r="AU14" i="16"/>
  <c r="AU26" i="16" s="1"/>
  <c r="AF14" i="16"/>
  <c r="AE14" i="16"/>
  <c r="AE26" i="16" s="1"/>
  <c r="U26" i="16"/>
  <c r="T26" i="16"/>
  <c r="S14" i="16"/>
  <c r="R14" i="16"/>
  <c r="R26" i="16" s="1"/>
  <c r="K90" i="13"/>
  <c r="AZ26" i="17" l="1"/>
  <c r="F26" i="17" s="1"/>
  <c r="W26" i="17"/>
  <c r="C26" i="17" s="1"/>
  <c r="BN26" i="16"/>
  <c r="BW26" i="16"/>
  <c r="BH26" i="17"/>
  <c r="J26" i="17" s="1"/>
  <c r="AJ26" i="17"/>
  <c r="D26" i="17" s="1"/>
  <c r="AY26" i="16"/>
  <c r="V26" i="16"/>
  <c r="BH26" i="16"/>
  <c r="BH14" i="16"/>
  <c r="AI26" i="16"/>
  <c r="AV26" i="16"/>
  <c r="AZ26" i="16" s="1"/>
  <c r="BG26" i="16"/>
  <c r="AF26" i="16"/>
  <c r="AJ26" i="16" s="1"/>
  <c r="S26" i="16"/>
  <c r="W26" i="16" s="1"/>
  <c r="BA26" i="16" l="1"/>
  <c r="E26" i="16" s="1"/>
  <c r="X26" i="16"/>
  <c r="B26" i="16" s="1"/>
  <c r="AK26" i="16"/>
  <c r="C26" i="16" s="1"/>
  <c r="BI26" i="16"/>
  <c r="I26" i="16" s="1"/>
  <c r="E90" i="13"/>
  <c r="AP26" i="16" s="1"/>
  <c r="E89" i="13"/>
  <c r="E90" i="15" l="1"/>
  <c r="E89" i="15"/>
  <c r="E89" i="32" s="1"/>
  <c r="E85" i="15"/>
  <c r="E85" i="32" l="1"/>
  <c r="AO26" i="17"/>
  <c r="E90" i="32"/>
  <c r="C95" i="15"/>
  <c r="C95" i="32" l="1"/>
  <c r="J77" i="13"/>
  <c r="J77" i="31" s="1"/>
  <c r="J76" i="13"/>
  <c r="J76" i="31" s="1"/>
  <c r="J75" i="13"/>
  <c r="J75" i="31" s="1"/>
  <c r="J74" i="13"/>
  <c r="F77" i="13"/>
  <c r="D77" i="13"/>
  <c r="AH14" i="16" s="1"/>
  <c r="AI14" i="16" s="1"/>
  <c r="F76" i="13"/>
  <c r="D76" i="13"/>
  <c r="C77" i="13"/>
  <c r="C77" i="31" s="1"/>
  <c r="C76" i="13"/>
  <c r="D77" i="15"/>
  <c r="AG14" i="17" s="1"/>
  <c r="AH14" i="17" s="1"/>
  <c r="D76" i="15"/>
  <c r="F77" i="15"/>
  <c r="AW14" i="17" s="1"/>
  <c r="AX14" i="17" s="1"/>
  <c r="F76" i="15"/>
  <c r="F75" i="15"/>
  <c r="F72" i="15"/>
  <c r="C77" i="15"/>
  <c r="C76" i="15"/>
  <c r="C75" i="15"/>
  <c r="C72" i="15"/>
  <c r="F69" i="15"/>
  <c r="F69" i="32" s="1"/>
  <c r="E63" i="15"/>
  <c r="E76" i="15" s="1"/>
  <c r="E64" i="15"/>
  <c r="E59" i="15"/>
  <c r="E63" i="13"/>
  <c r="E76" i="13" s="1"/>
  <c r="E64" i="13"/>
  <c r="E51" i="13"/>
  <c r="E46" i="13"/>
  <c r="E77" i="13" l="1"/>
  <c r="AP14" i="16" s="1"/>
  <c r="AX14" i="16"/>
  <c r="AY14" i="16" s="1"/>
  <c r="F77" i="31"/>
  <c r="J74" i="31"/>
  <c r="BE14" i="17"/>
  <c r="BF14" i="17" s="1"/>
  <c r="BH14" i="17" s="1"/>
  <c r="J14" i="17" s="1"/>
  <c r="BF14" i="16"/>
  <c r="BG14" i="16" s="1"/>
  <c r="BI14" i="16" s="1"/>
  <c r="I14" i="16" s="1"/>
  <c r="U14" i="16"/>
  <c r="V14" i="16" s="1"/>
  <c r="T14" i="17"/>
  <c r="U14" i="17" s="1"/>
  <c r="K64" i="15" l="1"/>
  <c r="K64" i="13"/>
  <c r="K59" i="13"/>
  <c r="E46" i="15" l="1"/>
  <c r="K51" i="15" l="1"/>
  <c r="K77" i="15" s="1"/>
  <c r="K51" i="13"/>
  <c r="K77" i="13" s="1"/>
  <c r="BN14" i="16" l="1"/>
  <c r="BW14" i="16"/>
  <c r="BM14" i="17"/>
  <c r="BW14" i="17"/>
  <c r="E51" i="15"/>
  <c r="E77" i="15" s="1"/>
  <c r="AO14" i="17" s="1"/>
  <c r="E49" i="15"/>
  <c r="F56" i="15"/>
  <c r="F56" i="32" s="1"/>
  <c r="K27" i="15" l="1"/>
  <c r="E27" i="15"/>
  <c r="AM14" i="17" s="1"/>
  <c r="E26" i="15"/>
  <c r="E25" i="15"/>
  <c r="E24" i="15"/>
  <c r="E23" i="15"/>
  <c r="AM26" i="17" l="1"/>
  <c r="BU14" i="17"/>
  <c r="BK14" i="17"/>
  <c r="BK26" i="17" s="1"/>
  <c r="K31" i="13"/>
  <c r="BU19" i="16" l="1"/>
  <c r="BU31" i="16" s="1"/>
  <c r="K31" i="31"/>
  <c r="BU26" i="17"/>
  <c r="BL14" i="16"/>
  <c r="BL26" i="16" s="1"/>
  <c r="BU14" i="16"/>
  <c r="E27" i="13"/>
  <c r="AN14" i="16" s="1"/>
  <c r="BU26" i="16" l="1"/>
  <c r="AN26" i="16"/>
  <c r="S30" i="17" l="1"/>
  <c r="C77" i="2"/>
  <c r="C12" i="4" s="1"/>
  <c r="C76" i="2"/>
  <c r="C11" i="4" s="1"/>
  <c r="C75" i="2"/>
  <c r="C10" i="4" s="1"/>
  <c r="C74" i="2"/>
  <c r="C9" i="4" s="1"/>
  <c r="C73" i="2"/>
  <c r="C8" i="4" s="1"/>
  <c r="F77" i="2"/>
  <c r="F12" i="4" s="1"/>
  <c r="F76" i="2"/>
  <c r="F75" i="2"/>
  <c r="F74" i="2"/>
  <c r="F9" i="4" s="1"/>
  <c r="F73" i="2"/>
  <c r="F8" i="4" s="1"/>
  <c r="F72" i="2"/>
  <c r="E64" i="32"/>
  <c r="E63" i="32"/>
  <c r="E59" i="32"/>
  <c r="D77" i="2"/>
  <c r="D76" i="2"/>
  <c r="D11" i="4" s="1"/>
  <c r="D75" i="2"/>
  <c r="D10" i="4" s="1"/>
  <c r="D74" i="2"/>
  <c r="D9" i="4" s="1"/>
  <c r="D73" i="2"/>
  <c r="D8" i="4" s="1"/>
  <c r="D72" i="2"/>
  <c r="D7" i="4" s="1"/>
  <c r="E51" i="32"/>
  <c r="E49" i="32"/>
  <c r="F82" i="2"/>
  <c r="D83" i="2" s="1"/>
  <c r="F17" i="4" l="1"/>
  <c r="H84" i="2"/>
  <c r="H102" i="2" s="1"/>
  <c r="H106" i="2" s="1"/>
  <c r="I84" i="2"/>
  <c r="I102" i="2" s="1"/>
  <c r="H108" i="2" s="1"/>
  <c r="AF14" i="17"/>
  <c r="AI14" i="17" s="1"/>
  <c r="AJ14" i="17" s="1"/>
  <c r="D14" i="17" s="1"/>
  <c r="D12" i="4"/>
  <c r="F75" i="32"/>
  <c r="F10" i="4"/>
  <c r="F76" i="32"/>
  <c r="F11" i="4"/>
  <c r="F72" i="32"/>
  <c r="F7" i="4"/>
  <c r="E72" i="2"/>
  <c r="E7" i="4" s="1"/>
  <c r="E46" i="32"/>
  <c r="C76" i="32"/>
  <c r="I76" i="2"/>
  <c r="S14" i="17"/>
  <c r="V14" i="17" s="1"/>
  <c r="W14" i="17" s="1"/>
  <c r="C14" i="17" s="1"/>
  <c r="C77" i="32"/>
  <c r="I77" i="2"/>
  <c r="I73" i="2"/>
  <c r="I74" i="2"/>
  <c r="AV14" i="17"/>
  <c r="AY14" i="17" s="1"/>
  <c r="AZ14" i="17" s="1"/>
  <c r="F14" i="17" s="1"/>
  <c r="F77" i="32"/>
  <c r="C72" i="32"/>
  <c r="E73" i="2"/>
  <c r="E8" i="4" s="1"/>
  <c r="C75" i="32"/>
  <c r="I75" i="2"/>
  <c r="E76" i="2"/>
  <c r="E74" i="2"/>
  <c r="E9" i="4" s="1"/>
  <c r="E75" i="2"/>
  <c r="E10" i="4" s="1"/>
  <c r="E77" i="2"/>
  <c r="E12" i="4" s="1"/>
  <c r="X69" i="2"/>
  <c r="AN26" i="17"/>
  <c r="X95" i="2"/>
  <c r="N90" i="2"/>
  <c r="N64" i="2"/>
  <c r="Q64" i="2" s="1"/>
  <c r="N51" i="2"/>
  <c r="Q51" i="2" s="1"/>
  <c r="N27" i="2"/>
  <c r="L90" i="2"/>
  <c r="L64" i="2"/>
  <c r="L51" i="2"/>
  <c r="L27" i="2"/>
  <c r="K27" i="32" s="1"/>
  <c r="Q90" i="2" l="1"/>
  <c r="O26" i="4" s="1"/>
  <c r="M26" i="4"/>
  <c r="K90" i="32"/>
  <c r="K26" i="4"/>
  <c r="E76" i="32"/>
  <c r="E11" i="4"/>
  <c r="K64" i="32"/>
  <c r="P64" i="2"/>
  <c r="K51" i="32"/>
  <c r="P51" i="2"/>
  <c r="P56" i="2" s="1"/>
  <c r="L56" i="2"/>
  <c r="AN14" i="17"/>
  <c r="E77" i="32"/>
  <c r="E82" i="2"/>
  <c r="N77" i="2"/>
  <c r="L77" i="2"/>
  <c r="X56" i="2"/>
  <c r="BL26" i="17"/>
  <c r="P90" i="2"/>
  <c r="BJ14" i="17"/>
  <c r="P27" i="2"/>
  <c r="Q27" i="2"/>
  <c r="E27" i="2"/>
  <c r="E26" i="2"/>
  <c r="E25" i="2"/>
  <c r="E24" i="2"/>
  <c r="E23" i="2"/>
  <c r="E22" i="2"/>
  <c r="BV26" i="17" l="1"/>
  <c r="N26" i="4"/>
  <c r="Q77" i="2"/>
  <c r="O12" i="4" s="1"/>
  <c r="M12" i="4"/>
  <c r="P77" i="2"/>
  <c r="K12" i="4"/>
  <c r="E17" i="4"/>
  <c r="X82" i="2"/>
  <c r="BL14" i="17"/>
  <c r="BO14" i="17" s="1"/>
  <c r="K77" i="32"/>
  <c r="Y25" i="2"/>
  <c r="E25" i="32"/>
  <c r="E30" i="2"/>
  <c r="X30" i="2" s="1"/>
  <c r="Y23" i="2"/>
  <c r="E23" i="32"/>
  <c r="Y24" i="2"/>
  <c r="E24" i="32"/>
  <c r="Y27" i="2"/>
  <c r="E27" i="32"/>
  <c r="Y26" i="2"/>
  <c r="E26" i="32"/>
  <c r="Y22" i="2"/>
  <c r="BT14" i="17"/>
  <c r="AL14" i="17"/>
  <c r="BN14" i="17"/>
  <c r="BJ26" i="17"/>
  <c r="BV14" i="17" l="1"/>
  <c r="N12" i="4"/>
  <c r="AL26" i="17"/>
  <c r="AP14" i="17"/>
  <c r="AQ14" i="17"/>
  <c r="BT26" i="17"/>
  <c r="BX14" i="17"/>
  <c r="BY14" i="17"/>
  <c r="BO26" i="17"/>
  <c r="BN26" i="17"/>
  <c r="BP14" i="17"/>
  <c r="K14" i="17" s="1"/>
  <c r="BZ14" i="17" l="1"/>
  <c r="N14" i="17" s="1"/>
  <c r="BY26" i="17"/>
  <c r="BX26" i="17"/>
  <c r="AR14" i="17"/>
  <c r="E14" i="17" s="1"/>
  <c r="AP26" i="17"/>
  <c r="AQ26" i="17"/>
  <c r="BP26" i="17"/>
  <c r="K26" i="17" s="1"/>
  <c r="AR26" i="17" l="1"/>
  <c r="E26" i="17" s="1"/>
  <c r="BZ26" i="17"/>
  <c r="N26" i="17" s="1"/>
  <c r="AD72" i="1"/>
  <c r="L59" i="1"/>
  <c r="K59" i="31" l="1"/>
  <c r="T59" i="1"/>
  <c r="L72" i="1"/>
  <c r="M83" i="1"/>
  <c r="L18" i="12" s="1"/>
  <c r="L51" i="1"/>
  <c r="AW14" i="16"/>
  <c r="AZ14" i="16" s="1"/>
  <c r="BA14" i="16" s="1"/>
  <c r="E14" i="16" s="1"/>
  <c r="D77" i="1"/>
  <c r="D12" i="12" s="1"/>
  <c r="F76" i="1"/>
  <c r="D76" i="1"/>
  <c r="F75" i="1"/>
  <c r="F10" i="12" s="1"/>
  <c r="D75" i="1"/>
  <c r="D10" i="12" s="1"/>
  <c r="F74" i="1"/>
  <c r="F9" i="12" s="1"/>
  <c r="D74" i="1"/>
  <c r="D9" i="12" s="1"/>
  <c r="F73" i="1"/>
  <c r="F8" i="12" s="1"/>
  <c r="D73" i="1"/>
  <c r="D8" i="12" s="1"/>
  <c r="F72" i="1"/>
  <c r="D72" i="1"/>
  <c r="T14" i="16"/>
  <c r="W14" i="16" s="1"/>
  <c r="X14" i="16" s="1"/>
  <c r="B14" i="16" s="1"/>
  <c r="C76" i="1"/>
  <c r="C11" i="12" s="1"/>
  <c r="C75" i="1"/>
  <c r="C10" i="12" s="1"/>
  <c r="C74" i="1"/>
  <c r="C9" i="12" s="1"/>
  <c r="C73" i="1"/>
  <c r="C8" i="12" s="1"/>
  <c r="C72" i="1"/>
  <c r="E51" i="31"/>
  <c r="E46" i="1"/>
  <c r="F82" i="1" l="1"/>
  <c r="K7" i="12"/>
  <c r="D76" i="31"/>
  <c r="D11" i="12"/>
  <c r="C82" i="1"/>
  <c r="C7" i="12"/>
  <c r="F76" i="31"/>
  <c r="F11" i="12"/>
  <c r="D7" i="12"/>
  <c r="D82" i="1"/>
  <c r="K51" i="31"/>
  <c r="T51" i="1"/>
  <c r="F7" i="12"/>
  <c r="E46" i="31"/>
  <c r="E56" i="1"/>
  <c r="C72" i="31"/>
  <c r="I72" i="1"/>
  <c r="C73" i="31"/>
  <c r="I73" i="1"/>
  <c r="C74" i="31"/>
  <c r="I74" i="1"/>
  <c r="C76" i="31"/>
  <c r="I76" i="1"/>
  <c r="AG14" i="16"/>
  <c r="AJ14" i="16" s="1"/>
  <c r="AK14" i="16" s="1"/>
  <c r="C14" i="16" s="1"/>
  <c r="D77" i="31"/>
  <c r="I75" i="1"/>
  <c r="D83" i="1" l="1"/>
  <c r="D17" i="12"/>
  <c r="K86" i="12" s="1"/>
  <c r="I83" i="1"/>
  <c r="I101" i="1" s="1"/>
  <c r="H107" i="1" s="1"/>
  <c r="I82" i="1"/>
  <c r="I100" i="1" s="1"/>
  <c r="C17" i="12"/>
  <c r="I84" i="1"/>
  <c r="I102" i="1" s="1"/>
  <c r="H108" i="1" s="1"/>
  <c r="H84" i="1"/>
  <c r="H102" i="1" s="1"/>
  <c r="H106" i="1" s="1"/>
  <c r="F17" i="12"/>
  <c r="AG56" i="1"/>
  <c r="N64" i="1"/>
  <c r="L64" i="1"/>
  <c r="T64" i="1" s="1"/>
  <c r="E64" i="1"/>
  <c r="E63" i="1"/>
  <c r="E62" i="1"/>
  <c r="E61" i="1"/>
  <c r="E60" i="1"/>
  <c r="E59" i="1"/>
  <c r="AD90" i="1"/>
  <c r="AD85" i="1"/>
  <c r="N90" i="1"/>
  <c r="K39" i="12" l="1"/>
  <c r="J39" i="12"/>
  <c r="N77" i="1"/>
  <c r="U64" i="1"/>
  <c r="U90" i="1"/>
  <c r="O26" i="12" s="1"/>
  <c r="M26" i="12"/>
  <c r="E69" i="1"/>
  <c r="E75" i="1"/>
  <c r="E10" i="12" s="1"/>
  <c r="E76" i="1"/>
  <c r="E63" i="31"/>
  <c r="E77" i="1"/>
  <c r="E64" i="31"/>
  <c r="E73" i="1"/>
  <c r="E8" i="12" s="1"/>
  <c r="L77" i="1"/>
  <c r="K64" i="31"/>
  <c r="E74" i="1"/>
  <c r="E9" i="12" s="1"/>
  <c r="E72" i="1"/>
  <c r="N85" i="1"/>
  <c r="L90" i="1"/>
  <c r="E90" i="1"/>
  <c r="E26" i="12" s="1"/>
  <c r="E89" i="1"/>
  <c r="E88" i="1"/>
  <c r="E24" i="12" s="1"/>
  <c r="E87" i="1"/>
  <c r="E23" i="12" s="1"/>
  <c r="E86" i="1"/>
  <c r="E22" i="12" s="1"/>
  <c r="E85" i="1"/>
  <c r="AD27" i="1"/>
  <c r="L27" i="1"/>
  <c r="K27" i="31" s="1"/>
  <c r="M39" i="12" l="1"/>
  <c r="M86" i="12" s="1"/>
  <c r="J86" i="12"/>
  <c r="E82" i="1"/>
  <c r="E17" i="12" s="1"/>
  <c r="E7" i="12"/>
  <c r="K90" i="31"/>
  <c r="K26" i="12"/>
  <c r="AO14" i="16"/>
  <c r="E12" i="12"/>
  <c r="E89" i="31"/>
  <c r="E25" i="12"/>
  <c r="E76" i="31"/>
  <c r="E11" i="12"/>
  <c r="K77" i="31"/>
  <c r="K12" i="12"/>
  <c r="M21" i="12"/>
  <c r="E95" i="1"/>
  <c r="E31" i="12" s="1"/>
  <c r="E21" i="12"/>
  <c r="U77" i="1"/>
  <c r="O12" i="12" s="1"/>
  <c r="M12" i="12"/>
  <c r="AO26" i="16"/>
  <c r="E90" i="31"/>
  <c r="L83" i="1"/>
  <c r="K18" i="12" s="1"/>
  <c r="K70" i="31"/>
  <c r="AG69" i="1"/>
  <c r="T77" i="1"/>
  <c r="BM14" i="16"/>
  <c r="E77" i="31"/>
  <c r="U27" i="1"/>
  <c r="BK14" i="16"/>
  <c r="BK26" i="16" s="1"/>
  <c r="T27" i="1"/>
  <c r="T90" i="1"/>
  <c r="BM26" i="16"/>
  <c r="M96" i="1"/>
  <c r="L32" i="12" s="1"/>
  <c r="E27" i="1"/>
  <c r="E26" i="1"/>
  <c r="E26" i="31" s="1"/>
  <c r="E25" i="1"/>
  <c r="E24" i="1"/>
  <c r="E23" i="1"/>
  <c r="J36" i="12" l="1"/>
  <c r="J83" i="12" s="1"/>
  <c r="K83" i="12"/>
  <c r="K36" i="12"/>
  <c r="BV26" i="16"/>
  <c r="N26" i="12"/>
  <c r="BV14" i="16"/>
  <c r="N12" i="12"/>
  <c r="E30" i="1"/>
  <c r="AG95" i="1"/>
  <c r="BP14" i="16"/>
  <c r="E30" i="31"/>
  <c r="AM14" i="16"/>
  <c r="AR14" i="16" s="1"/>
  <c r="E27" i="31"/>
  <c r="BO14" i="16"/>
  <c r="AG82" i="1"/>
  <c r="BT14" i="16"/>
  <c r="BP26" i="16"/>
  <c r="BO26" i="16"/>
  <c r="T22" i="1"/>
  <c r="AM26" i="16" l="1"/>
  <c r="BQ14" i="16"/>
  <c r="J14" i="16" s="1"/>
  <c r="AQ14" i="16"/>
  <c r="AS14" i="16" s="1"/>
  <c r="D14" i="16" s="1"/>
  <c r="AG30" i="1"/>
  <c r="AQ26" i="16"/>
  <c r="AR26" i="16"/>
  <c r="BT9" i="16"/>
  <c r="BT21" i="16" s="1"/>
  <c r="BT26" i="16"/>
  <c r="BX14" i="16"/>
  <c r="BY14" i="16"/>
  <c r="BQ26" i="16"/>
  <c r="J26" i="16" s="1"/>
  <c r="AD89" i="1"/>
  <c r="AD88" i="1"/>
  <c r="AD87" i="1"/>
  <c r="AD86" i="1"/>
  <c r="AD76" i="1"/>
  <c r="AD75" i="1"/>
  <c r="AD74" i="1"/>
  <c r="AD73" i="1"/>
  <c r="AD26" i="1"/>
  <c r="AD25" i="1"/>
  <c r="AD24" i="1"/>
  <c r="AD23" i="1"/>
  <c r="Q76" i="2"/>
  <c r="P76" i="2"/>
  <c r="Q26" i="2"/>
  <c r="P26" i="2"/>
  <c r="U89" i="1"/>
  <c r="O25" i="12" s="1"/>
  <c r="T89" i="1"/>
  <c r="N25" i="12" s="1"/>
  <c r="U76" i="1"/>
  <c r="O11" i="12" s="1"/>
  <c r="T76" i="1"/>
  <c r="N11" i="12" s="1"/>
  <c r="U26" i="1"/>
  <c r="T26" i="1"/>
  <c r="AD95" i="1" l="1"/>
  <c r="AD82" i="1"/>
  <c r="AS26" i="16"/>
  <c r="D26" i="16" s="1"/>
  <c r="AD30" i="1"/>
  <c r="BZ14" i="16"/>
  <c r="M14" i="16" s="1"/>
  <c r="BX26" i="16"/>
  <c r="BY26" i="16"/>
  <c r="BZ26" i="16" l="1"/>
  <c r="M26" i="16" s="1"/>
  <c r="R23" i="4" l="1"/>
  <c r="R21" i="4"/>
  <c r="AV30" i="17" l="1"/>
  <c r="AW24" i="17"/>
  <c r="AV24" i="17"/>
  <c r="AW23" i="17"/>
  <c r="AV23" i="17"/>
  <c r="AW22" i="17"/>
  <c r="AV22" i="17"/>
  <c r="AW21" i="17"/>
  <c r="AV21" i="17"/>
  <c r="AV18" i="17"/>
  <c r="AT18" i="17"/>
  <c r="AV12" i="17"/>
  <c r="AU12" i="17"/>
  <c r="AT12" i="17"/>
  <c r="AT24" i="17" s="1"/>
  <c r="AV11" i="17"/>
  <c r="AU11" i="17"/>
  <c r="AU23" i="17" s="1"/>
  <c r="AT11" i="17"/>
  <c r="AT23" i="17" s="1"/>
  <c r="AV10" i="17"/>
  <c r="AU10" i="17"/>
  <c r="AT10" i="17"/>
  <c r="AT22" i="17" s="1"/>
  <c r="AW9" i="17"/>
  <c r="AV9" i="17"/>
  <c r="AU9" i="17"/>
  <c r="AU21" i="17" s="1"/>
  <c r="AT9" i="17"/>
  <c r="AT21" i="17" s="1"/>
  <c r="AN30" i="17"/>
  <c r="AN24" i="17"/>
  <c r="AN23" i="17"/>
  <c r="AN22" i="17"/>
  <c r="AN21" i="17"/>
  <c r="AN18" i="17"/>
  <c r="AL18" i="17"/>
  <c r="AN12" i="17"/>
  <c r="AL12" i="17"/>
  <c r="AN11" i="17"/>
  <c r="AL11" i="17"/>
  <c r="AL23" i="17" s="1"/>
  <c r="AN10" i="17"/>
  <c r="AL10" i="17"/>
  <c r="AL22" i="17" s="1"/>
  <c r="AN9" i="17"/>
  <c r="AL9" i="17"/>
  <c r="AL21" i="17" s="1"/>
  <c r="AF30" i="17"/>
  <c r="AG24" i="17"/>
  <c r="AF24" i="17"/>
  <c r="AG23" i="17"/>
  <c r="AF23" i="17"/>
  <c r="AG22" i="17"/>
  <c r="AF22" i="17"/>
  <c r="AG21" i="17"/>
  <c r="AF21" i="17"/>
  <c r="AF18" i="17"/>
  <c r="AD18" i="17"/>
  <c r="AF12" i="17"/>
  <c r="AE12" i="17"/>
  <c r="AE24" i="17" s="1"/>
  <c r="AD12" i="17"/>
  <c r="AD24" i="17" s="1"/>
  <c r="AH24" i="17" s="1"/>
  <c r="AF11" i="17"/>
  <c r="AE11" i="17"/>
  <c r="AD11" i="17"/>
  <c r="AD23" i="17" s="1"/>
  <c r="AF10" i="17"/>
  <c r="AE10" i="17"/>
  <c r="AE22" i="17" s="1"/>
  <c r="AD10" i="17"/>
  <c r="AD22" i="17" s="1"/>
  <c r="AF9" i="17"/>
  <c r="AE9" i="17"/>
  <c r="AE21" i="17" s="1"/>
  <c r="AD9" i="17"/>
  <c r="AD21" i="17" s="1"/>
  <c r="T24" i="17"/>
  <c r="S24" i="17"/>
  <c r="T23" i="17"/>
  <c r="S23" i="17"/>
  <c r="T22" i="17"/>
  <c r="S22" i="17"/>
  <c r="T21" i="17"/>
  <c r="S21" i="17"/>
  <c r="S18" i="17"/>
  <c r="Q18" i="17"/>
  <c r="Q30" i="17" s="1"/>
  <c r="T12" i="17"/>
  <c r="S12" i="17"/>
  <c r="R12" i="17"/>
  <c r="Q12" i="17"/>
  <c r="Q24" i="17" s="1"/>
  <c r="S11" i="17"/>
  <c r="R11" i="17"/>
  <c r="R23" i="17" s="1"/>
  <c r="Q11" i="17"/>
  <c r="S10" i="17"/>
  <c r="R10" i="17"/>
  <c r="R22" i="17" s="1"/>
  <c r="Q10" i="17"/>
  <c r="Q22" i="17" s="1"/>
  <c r="S9" i="17"/>
  <c r="R9" i="17"/>
  <c r="R21" i="17" s="1"/>
  <c r="Q9" i="17"/>
  <c r="BD31" i="17"/>
  <c r="BE24" i="17"/>
  <c r="BD24" i="17"/>
  <c r="BE23" i="17"/>
  <c r="BD23" i="17"/>
  <c r="BE22" i="17"/>
  <c r="BD22" i="17"/>
  <c r="BE21" i="17"/>
  <c r="BD21" i="17"/>
  <c r="BD19" i="17"/>
  <c r="BB19" i="17"/>
  <c r="BB31" i="17" s="1"/>
  <c r="BB18" i="17"/>
  <c r="BD12" i="17"/>
  <c r="BC12" i="17"/>
  <c r="BC24" i="17" s="1"/>
  <c r="BB12" i="17"/>
  <c r="BB24" i="17" s="1"/>
  <c r="BD11" i="17"/>
  <c r="BC11" i="17"/>
  <c r="BB11" i="17"/>
  <c r="BB23" i="17" s="1"/>
  <c r="BD10" i="17"/>
  <c r="BC10" i="17"/>
  <c r="BC22" i="17" s="1"/>
  <c r="BB10" i="17"/>
  <c r="BB22" i="17" s="1"/>
  <c r="BD9" i="17"/>
  <c r="BC9" i="17"/>
  <c r="BC21" i="17" s="1"/>
  <c r="BB9" i="17"/>
  <c r="BO7" i="17"/>
  <c r="BN7" i="17"/>
  <c r="BG7" i="17"/>
  <c r="BF7" i="17"/>
  <c r="AY7" i="17"/>
  <c r="AX7" i="17"/>
  <c r="AZ7" i="17" s="1"/>
  <c r="AQ7" i="17"/>
  <c r="AP7" i="17"/>
  <c r="AI7" i="17"/>
  <c r="AH7" i="17"/>
  <c r="AJ7" i="17" s="1"/>
  <c r="Z7" i="17"/>
  <c r="Y7" i="17"/>
  <c r="V7" i="17"/>
  <c r="U7" i="17"/>
  <c r="BE31" i="16"/>
  <c r="BF24" i="16"/>
  <c r="BE24" i="16"/>
  <c r="BF23" i="16"/>
  <c r="BE23" i="16"/>
  <c r="BF22" i="16"/>
  <c r="BE22" i="16"/>
  <c r="BF21" i="16"/>
  <c r="BE21" i="16"/>
  <c r="AW30" i="16"/>
  <c r="AX24" i="16"/>
  <c r="AW24" i="16"/>
  <c r="AX23" i="16"/>
  <c r="AW23" i="16"/>
  <c r="AX22" i="16"/>
  <c r="AW22" i="16"/>
  <c r="AX21" i="16"/>
  <c r="AW21" i="16"/>
  <c r="AO30" i="16"/>
  <c r="AO24" i="16"/>
  <c r="AO23" i="16"/>
  <c r="AO22" i="16"/>
  <c r="AO21" i="16"/>
  <c r="AG30" i="16"/>
  <c r="AH24" i="16"/>
  <c r="AG24" i="16"/>
  <c r="AH23" i="16"/>
  <c r="AG23" i="16"/>
  <c r="AH22" i="16"/>
  <c r="AG22" i="16"/>
  <c r="AH21" i="16"/>
  <c r="AG21" i="16"/>
  <c r="U24" i="16"/>
  <c r="T24" i="16"/>
  <c r="U23" i="16"/>
  <c r="T23" i="16"/>
  <c r="U22" i="16"/>
  <c r="T22" i="16"/>
  <c r="U21" i="16"/>
  <c r="T21" i="16"/>
  <c r="BP7" i="16"/>
  <c r="BO7" i="16"/>
  <c r="BE19" i="16"/>
  <c r="BC19" i="16"/>
  <c r="BC31" i="16" s="1"/>
  <c r="BC18" i="16"/>
  <c r="BC30" i="16" s="1"/>
  <c r="BE12" i="16"/>
  <c r="BD12" i="16"/>
  <c r="BD24" i="16" s="1"/>
  <c r="BC12" i="16"/>
  <c r="BC24" i="16" s="1"/>
  <c r="BE11" i="16"/>
  <c r="BD11" i="16"/>
  <c r="BC11" i="16"/>
  <c r="BC23" i="16" s="1"/>
  <c r="BE10" i="16"/>
  <c r="BD10" i="16"/>
  <c r="BD22" i="16" s="1"/>
  <c r="BC10" i="16"/>
  <c r="BC22" i="16" s="1"/>
  <c r="BE9" i="16"/>
  <c r="BD9" i="16"/>
  <c r="BD21" i="16" s="1"/>
  <c r="BC9" i="16"/>
  <c r="BC21" i="16" s="1"/>
  <c r="AA7" i="16"/>
  <c r="Z7" i="16"/>
  <c r="AB7" i="16" s="1"/>
  <c r="AC7" i="16" s="1"/>
  <c r="BH7" i="16"/>
  <c r="BG7" i="16"/>
  <c r="AW18" i="16"/>
  <c r="AU18" i="16"/>
  <c r="AU30" i="16" s="1"/>
  <c r="AW12" i="16"/>
  <c r="AV12" i="16"/>
  <c r="AU12" i="16"/>
  <c r="AU24" i="16" s="1"/>
  <c r="AW11" i="16"/>
  <c r="AV11" i="16"/>
  <c r="AV23" i="16" s="1"/>
  <c r="AU11" i="16"/>
  <c r="AU23" i="16" s="1"/>
  <c r="AW10" i="16"/>
  <c r="AV10" i="16"/>
  <c r="AU10" i="16"/>
  <c r="AU22" i="16" s="1"/>
  <c r="AW9" i="16"/>
  <c r="AV9" i="16"/>
  <c r="AU9" i="16"/>
  <c r="AU21" i="16" s="1"/>
  <c r="AZ7" i="16"/>
  <c r="AY7" i="16"/>
  <c r="AO18" i="16"/>
  <c r="AM18" i="16"/>
  <c r="AM30" i="16" s="1"/>
  <c r="AO12" i="16"/>
  <c r="AM12" i="16"/>
  <c r="AM24" i="16" s="1"/>
  <c r="AO11" i="16"/>
  <c r="AM11" i="16"/>
  <c r="AM23" i="16" s="1"/>
  <c r="AO10" i="16"/>
  <c r="AM10" i="16"/>
  <c r="AM22" i="16" s="1"/>
  <c r="AO9" i="16"/>
  <c r="AM9" i="16"/>
  <c r="AR7" i="16"/>
  <c r="AQ7" i="16"/>
  <c r="AG18" i="16"/>
  <c r="AG12" i="16"/>
  <c r="AF12" i="16"/>
  <c r="AE12" i="16"/>
  <c r="AE24" i="16" s="1"/>
  <c r="AG11" i="16"/>
  <c r="AF11" i="16"/>
  <c r="AF23" i="16" s="1"/>
  <c r="AE11" i="16"/>
  <c r="AE23" i="16" s="1"/>
  <c r="AG10" i="16"/>
  <c r="AF10" i="16"/>
  <c r="AF22" i="16" s="1"/>
  <c r="AE10" i="16"/>
  <c r="AE22" i="16" s="1"/>
  <c r="AG9" i="16"/>
  <c r="AF9" i="16"/>
  <c r="AF21" i="16" s="1"/>
  <c r="AE9" i="16"/>
  <c r="AE21" i="16" s="1"/>
  <c r="AJ7" i="16"/>
  <c r="AI7" i="16"/>
  <c r="T18" i="16"/>
  <c r="T12" i="16"/>
  <c r="S12" i="16"/>
  <c r="S24" i="16" s="1"/>
  <c r="R12" i="16"/>
  <c r="R24" i="16" s="1"/>
  <c r="T11" i="16"/>
  <c r="S11" i="16"/>
  <c r="S23" i="16" s="1"/>
  <c r="R11" i="16"/>
  <c r="R23" i="16" s="1"/>
  <c r="T10" i="16"/>
  <c r="S10" i="16"/>
  <c r="S22" i="16" s="1"/>
  <c r="R10" i="16"/>
  <c r="R22" i="16" s="1"/>
  <c r="S9" i="16"/>
  <c r="S21" i="16" s="1"/>
  <c r="T9" i="16"/>
  <c r="R9" i="16"/>
  <c r="R21" i="16" s="1"/>
  <c r="W7" i="16"/>
  <c r="V7" i="16"/>
  <c r="AT30" i="17" l="1"/>
  <c r="AL30" i="17"/>
  <c r="R24" i="17"/>
  <c r="V12" i="17"/>
  <c r="AA7" i="17"/>
  <c r="AB7" i="17" s="1"/>
  <c r="U12" i="17"/>
  <c r="BA7" i="16"/>
  <c r="AR7" i="17"/>
  <c r="AX21" i="17"/>
  <c r="AI24" i="16"/>
  <c r="V24" i="16"/>
  <c r="BH7" i="17"/>
  <c r="BP7" i="17"/>
  <c r="W7" i="17"/>
  <c r="V9" i="17"/>
  <c r="AY10" i="17"/>
  <c r="Q21" i="17"/>
  <c r="U21" i="17" s="1"/>
  <c r="AY9" i="17"/>
  <c r="AI9" i="17"/>
  <c r="AU22" i="17"/>
  <c r="AY22" i="17" s="1"/>
  <c r="AI12" i="17"/>
  <c r="AX22" i="17"/>
  <c r="W23" i="16"/>
  <c r="AJ21" i="16"/>
  <c r="V21" i="16"/>
  <c r="BH24" i="16"/>
  <c r="AY21" i="16"/>
  <c r="BG9" i="17"/>
  <c r="BG11" i="17"/>
  <c r="BF22" i="17"/>
  <c r="V23" i="16"/>
  <c r="AJ22" i="16"/>
  <c r="BG22" i="17"/>
  <c r="AZ9" i="16"/>
  <c r="AZ23" i="16"/>
  <c r="BH12" i="16"/>
  <c r="AI22" i="16"/>
  <c r="AY24" i="16"/>
  <c r="BG10" i="17"/>
  <c r="BC23" i="17"/>
  <c r="BG23" i="17" s="1"/>
  <c r="BH22" i="16"/>
  <c r="BG21" i="16"/>
  <c r="V22" i="16"/>
  <c r="BH21" i="16"/>
  <c r="W22" i="16"/>
  <c r="W24" i="16"/>
  <c r="W21" i="16"/>
  <c r="BQ7" i="16"/>
  <c r="AJ12" i="16"/>
  <c r="AI21" i="16"/>
  <c r="BG23" i="16"/>
  <c r="BH11" i="16"/>
  <c r="AZ10" i="16"/>
  <c r="AZ12" i="16"/>
  <c r="AJ23" i="16"/>
  <c r="AY22" i="16"/>
  <c r="BG22" i="16"/>
  <c r="AM21" i="16"/>
  <c r="AI23" i="16"/>
  <c r="BG24" i="16"/>
  <c r="BH9" i="16"/>
  <c r="AY23" i="16"/>
  <c r="F9" i="17"/>
  <c r="AY21" i="17"/>
  <c r="AD30" i="17"/>
  <c r="AI24" i="17"/>
  <c r="AJ24" i="17" s="1"/>
  <c r="D24" i="17" s="1"/>
  <c r="AH21" i="17"/>
  <c r="V24" i="17"/>
  <c r="V11" i="17"/>
  <c r="U24" i="17"/>
  <c r="V22" i="17"/>
  <c r="BG24" i="17"/>
  <c r="U22" i="17"/>
  <c r="AE23" i="17"/>
  <c r="AI23" i="17" s="1"/>
  <c r="AI11" i="17"/>
  <c r="AY23" i="17"/>
  <c r="AX24" i="17"/>
  <c r="AY11" i="17"/>
  <c r="AI21" i="17"/>
  <c r="AX23" i="17"/>
  <c r="AH22" i="17"/>
  <c r="AY12" i="17"/>
  <c r="AU24" i="17"/>
  <c r="AY24" i="17" s="1"/>
  <c r="BB21" i="17"/>
  <c r="BF21" i="17" s="1"/>
  <c r="AI10" i="17"/>
  <c r="AL24" i="17"/>
  <c r="BF23" i="17"/>
  <c r="BF24" i="17"/>
  <c r="V10" i="17"/>
  <c r="Q23" i="17"/>
  <c r="U23" i="17" s="1"/>
  <c r="BG12" i="17"/>
  <c r="BB30" i="17"/>
  <c r="AI22" i="17"/>
  <c r="AH23" i="17"/>
  <c r="AV21" i="16"/>
  <c r="AZ21" i="16" s="1"/>
  <c r="BH10" i="16"/>
  <c r="BD23" i="16"/>
  <c r="BH23" i="16" s="1"/>
  <c r="AF24" i="16"/>
  <c r="AJ24" i="16" s="1"/>
  <c r="X7" i="16"/>
  <c r="AZ11" i="16"/>
  <c r="AK7" i="16"/>
  <c r="AJ10" i="16"/>
  <c r="AS7" i="16"/>
  <c r="BI7" i="16"/>
  <c r="AV22" i="16"/>
  <c r="AZ22" i="16" s="1"/>
  <c r="AV24" i="16"/>
  <c r="AZ24" i="16" s="1"/>
  <c r="W9" i="16"/>
  <c r="AJ11" i="16"/>
  <c r="AJ9" i="16"/>
  <c r="W10" i="16"/>
  <c r="W12" i="16"/>
  <c r="W11" i="16"/>
  <c r="AW30" i="17"/>
  <c r="AX30" i="17" s="1"/>
  <c r="D95" i="15"/>
  <c r="E88" i="15"/>
  <c r="E87" i="15"/>
  <c r="E86" i="15"/>
  <c r="AO21" i="17"/>
  <c r="AP21" i="17" s="1"/>
  <c r="AO24" i="17" l="1"/>
  <c r="E88" i="32"/>
  <c r="E86" i="32"/>
  <c r="E95" i="15"/>
  <c r="E95" i="32" s="1"/>
  <c r="AO23" i="17"/>
  <c r="AP23" i="17" s="1"/>
  <c r="E87" i="32"/>
  <c r="W12" i="17"/>
  <c r="C12" i="17" s="1"/>
  <c r="AO22" i="17"/>
  <c r="AP22" i="17" s="1"/>
  <c r="AO30" i="17"/>
  <c r="AP30" i="17" s="1"/>
  <c r="AK24" i="16"/>
  <c r="C24" i="16" s="1"/>
  <c r="X24" i="16"/>
  <c r="B24" i="16" s="1"/>
  <c r="AZ21" i="17"/>
  <c r="F21" i="17" s="1"/>
  <c r="V21" i="17"/>
  <c r="W21" i="17" s="1"/>
  <c r="C21" i="17" s="1"/>
  <c r="T30" i="17"/>
  <c r="U30" i="17" s="1"/>
  <c r="AG30" i="17"/>
  <c r="AH30" i="17" s="1"/>
  <c r="AZ22" i="17"/>
  <c r="F22" i="17" s="1"/>
  <c r="AZ23" i="17"/>
  <c r="F23" i="17" s="1"/>
  <c r="W24" i="17"/>
  <c r="C24" i="17" s="1"/>
  <c r="AJ22" i="17"/>
  <c r="D22" i="17" s="1"/>
  <c r="BH23" i="17"/>
  <c r="J23" i="17" s="1"/>
  <c r="X23" i="16"/>
  <c r="B23" i="16" s="1"/>
  <c r="BA23" i="16"/>
  <c r="E23" i="16" s="1"/>
  <c r="BI24" i="16"/>
  <c r="I24" i="16" s="1"/>
  <c r="AK22" i="16"/>
  <c r="C22" i="16" s="1"/>
  <c r="AK21" i="16"/>
  <c r="C21" i="16" s="1"/>
  <c r="X21" i="16"/>
  <c r="B21" i="16" s="1"/>
  <c r="BA24" i="16"/>
  <c r="E24" i="16" s="1"/>
  <c r="BH24" i="17"/>
  <c r="J24" i="17" s="1"/>
  <c r="BH22" i="17"/>
  <c r="J22" i="17" s="1"/>
  <c r="BA21" i="16"/>
  <c r="E21" i="16" s="1"/>
  <c r="BA22" i="16"/>
  <c r="E22" i="16" s="1"/>
  <c r="AK23" i="16"/>
  <c r="C23" i="16" s="1"/>
  <c r="X22" i="16"/>
  <c r="B22" i="16" s="1"/>
  <c r="BI23" i="16"/>
  <c r="I23" i="16" s="1"/>
  <c r="BI21" i="16"/>
  <c r="I21" i="16" s="1"/>
  <c r="BI22" i="16"/>
  <c r="I22" i="16" s="1"/>
  <c r="AP24" i="17"/>
  <c r="AJ23" i="17"/>
  <c r="D23" i="17" s="1"/>
  <c r="AJ21" i="17"/>
  <c r="D21" i="17" s="1"/>
  <c r="W22" i="17"/>
  <c r="C22" i="17" s="1"/>
  <c r="V23" i="17"/>
  <c r="W23" i="17" s="1"/>
  <c r="C23" i="17" s="1"/>
  <c r="BG21" i="17"/>
  <c r="BH21" i="17" s="1"/>
  <c r="J21" i="17" s="1"/>
  <c r="AZ24" i="17"/>
  <c r="F24" i="17" s="1"/>
  <c r="AW12" i="17"/>
  <c r="AX12" i="17" s="1"/>
  <c r="AZ12" i="17" s="1"/>
  <c r="F12" i="17" s="1"/>
  <c r="D75" i="15"/>
  <c r="AG12" i="17" s="1"/>
  <c r="AH12" i="17" s="1"/>
  <c r="AJ12" i="17" s="1"/>
  <c r="D12" i="17" s="1"/>
  <c r="F74" i="15"/>
  <c r="D74" i="15"/>
  <c r="AG11" i="17" s="1"/>
  <c r="AH11" i="17" s="1"/>
  <c r="AJ11" i="17" s="1"/>
  <c r="D11" i="17" s="1"/>
  <c r="C74" i="15"/>
  <c r="C74" i="32" s="1"/>
  <c r="F73" i="15"/>
  <c r="D73" i="15"/>
  <c r="AG10" i="17" s="1"/>
  <c r="AH10" i="17" s="1"/>
  <c r="AJ10" i="17" s="1"/>
  <c r="D10" i="17" s="1"/>
  <c r="C73" i="15"/>
  <c r="C73" i="32" s="1"/>
  <c r="D72" i="15"/>
  <c r="AG9" i="17" s="1"/>
  <c r="AH9" i="17" s="1"/>
  <c r="AJ9" i="17" s="1"/>
  <c r="D9" i="17" s="1"/>
  <c r="T9" i="17"/>
  <c r="U9" i="17" s="1"/>
  <c r="W9" i="17" s="1"/>
  <c r="C9" i="17" s="1"/>
  <c r="E62" i="15"/>
  <c r="E61" i="15"/>
  <c r="E61" i="32" s="1"/>
  <c r="E60" i="15"/>
  <c r="E75" i="15" l="1"/>
  <c r="AO12" i="17" s="1"/>
  <c r="AP12" i="17" s="1"/>
  <c r="E62" i="32"/>
  <c r="E69" i="15"/>
  <c r="E69" i="32" s="1"/>
  <c r="E60" i="32"/>
  <c r="F82" i="15"/>
  <c r="F82" i="32" s="1"/>
  <c r="F73" i="32"/>
  <c r="AW11" i="17"/>
  <c r="AX11" i="17" s="1"/>
  <c r="AZ11" i="17" s="1"/>
  <c r="F11" i="17" s="1"/>
  <c r="F74" i="32"/>
  <c r="T10" i="17"/>
  <c r="U10" i="17" s="1"/>
  <c r="W10" i="17" s="1"/>
  <c r="C10" i="17" s="1"/>
  <c r="C82" i="15"/>
  <c r="C82" i="32" s="1"/>
  <c r="T11" i="17"/>
  <c r="U11" i="17" s="1"/>
  <c r="W11" i="17" s="1"/>
  <c r="C11" i="17" s="1"/>
  <c r="AW10" i="17"/>
  <c r="AX10" i="17" s="1"/>
  <c r="AZ10" i="17" s="1"/>
  <c r="F10" i="17" s="1"/>
  <c r="E48" i="15"/>
  <c r="E74" i="15" s="1"/>
  <c r="E47" i="15"/>
  <c r="E47" i="32" s="1"/>
  <c r="E72" i="15"/>
  <c r="E72" i="32" s="1"/>
  <c r="D82" i="15"/>
  <c r="AG18" i="17" s="1"/>
  <c r="AH18" i="17" s="1"/>
  <c r="E75" i="32" l="1"/>
  <c r="AW18" i="17"/>
  <c r="AX18" i="17" s="1"/>
  <c r="AO11" i="17"/>
  <c r="AP11" i="17" s="1"/>
  <c r="E74" i="32"/>
  <c r="E73" i="15"/>
  <c r="E56" i="15"/>
  <c r="E56" i="32" s="1"/>
  <c r="T18" i="17"/>
  <c r="U18" i="17" s="1"/>
  <c r="AO9" i="17"/>
  <c r="AP9" i="17" s="1"/>
  <c r="AM12" i="17"/>
  <c r="AQ12" i="17" s="1"/>
  <c r="AR12" i="17" s="1"/>
  <c r="E12" i="17" s="1"/>
  <c r="AM11" i="17"/>
  <c r="AM10" i="17"/>
  <c r="E22" i="15"/>
  <c r="AU18" i="17"/>
  <c r="AY18" i="17" s="1"/>
  <c r="AZ18" i="17" s="1"/>
  <c r="F18" i="17" s="1"/>
  <c r="AE18" i="17"/>
  <c r="E30" i="15" l="1"/>
  <c r="E30" i="32" s="1"/>
  <c r="E22" i="32"/>
  <c r="AO10" i="17"/>
  <c r="AP10" i="17" s="1"/>
  <c r="E73" i="32"/>
  <c r="E82" i="15"/>
  <c r="AM9" i="17"/>
  <c r="AQ9" i="17" s="1"/>
  <c r="AR9" i="17" s="1"/>
  <c r="E9" i="17" s="1"/>
  <c r="AM24" i="17"/>
  <c r="AQ24" i="17" s="1"/>
  <c r="AR24" i="17" s="1"/>
  <c r="E24" i="17" s="1"/>
  <c r="AU30" i="17"/>
  <c r="AY30" i="17" s="1"/>
  <c r="AZ30" i="17" s="1"/>
  <c r="F30" i="17" s="1"/>
  <c r="AM23" i="17"/>
  <c r="AQ23" i="17" s="1"/>
  <c r="AR23" i="17" s="1"/>
  <c r="E23" i="17" s="1"/>
  <c r="AQ11" i="17"/>
  <c r="AR11" i="17" s="1"/>
  <c r="E11" i="17" s="1"/>
  <c r="R18" i="17"/>
  <c r="V18" i="17" s="1"/>
  <c r="W18" i="17" s="1"/>
  <c r="C18" i="17" s="1"/>
  <c r="AE30" i="17"/>
  <c r="AI30" i="17" s="1"/>
  <c r="AJ30" i="17" s="1"/>
  <c r="D30" i="17" s="1"/>
  <c r="AI18" i="17"/>
  <c r="AJ18" i="17" s="1"/>
  <c r="D18" i="17" s="1"/>
  <c r="AM22" i="17"/>
  <c r="AQ22" i="17" s="1"/>
  <c r="AR22" i="17" s="1"/>
  <c r="E22" i="17" s="1"/>
  <c r="AQ10" i="17"/>
  <c r="AM18" i="17"/>
  <c r="AQ18" i="17" s="1"/>
  <c r="AR10" i="17" l="1"/>
  <c r="E10" i="17" s="1"/>
  <c r="AM21" i="17"/>
  <c r="AQ21" i="17" s="1"/>
  <c r="AR21" i="17" s="1"/>
  <c r="E21" i="17" s="1"/>
  <c r="AO18" i="17"/>
  <c r="AP18" i="17" s="1"/>
  <c r="AR18" i="17" s="1"/>
  <c r="E18" i="17" s="1"/>
  <c r="E82" i="32"/>
  <c r="AM30" i="17"/>
  <c r="AQ30" i="17" s="1"/>
  <c r="AR30" i="17" s="1"/>
  <c r="E30" i="17" s="1"/>
  <c r="R30" i="17"/>
  <c r="V30" i="17" s="1"/>
  <c r="W30" i="17" s="1"/>
  <c r="C30" i="17" s="1"/>
  <c r="K96" i="15"/>
  <c r="K88" i="15"/>
  <c r="K87" i="15"/>
  <c r="K86" i="15"/>
  <c r="K85" i="15"/>
  <c r="BW21" i="17" s="1"/>
  <c r="K70" i="15"/>
  <c r="K62" i="15"/>
  <c r="K61" i="15"/>
  <c r="K74" i="15" s="1"/>
  <c r="K60" i="15"/>
  <c r="K59" i="15"/>
  <c r="K57" i="15"/>
  <c r="K49" i="15"/>
  <c r="K47" i="15"/>
  <c r="K46" i="15"/>
  <c r="K31" i="15"/>
  <c r="K25" i="15"/>
  <c r="K24" i="15"/>
  <c r="K23" i="15"/>
  <c r="K22" i="15"/>
  <c r="K30" i="15" l="1"/>
  <c r="BM23" i="17"/>
  <c r="BW23" i="17"/>
  <c r="BM31" i="17"/>
  <c r="BW31" i="17"/>
  <c r="BM22" i="17"/>
  <c r="BW22" i="17"/>
  <c r="BM24" i="17"/>
  <c r="BW24" i="17"/>
  <c r="K72" i="15"/>
  <c r="BW9" i="17" s="1"/>
  <c r="K56" i="15"/>
  <c r="K69" i="15"/>
  <c r="K73" i="15"/>
  <c r="BW10" i="17" s="1"/>
  <c r="BK19" i="17"/>
  <c r="BK31" i="17" s="1"/>
  <c r="BU19" i="17"/>
  <c r="K75" i="15"/>
  <c r="BK9" i="17"/>
  <c r="BK21" i="17" s="1"/>
  <c r="BU9" i="17"/>
  <c r="BU18" i="17"/>
  <c r="BK10" i="17"/>
  <c r="BK22" i="17" s="1"/>
  <c r="BU10" i="17"/>
  <c r="BK11" i="17"/>
  <c r="BK23" i="17" s="1"/>
  <c r="BU11" i="17"/>
  <c r="BK12" i="17"/>
  <c r="BK24" i="17" s="1"/>
  <c r="BU12" i="17"/>
  <c r="K95" i="15"/>
  <c r="BM21" i="17"/>
  <c r="AH30" i="16"/>
  <c r="E88" i="13"/>
  <c r="E87" i="13"/>
  <c r="E87" i="31" s="1"/>
  <c r="E86" i="13"/>
  <c r="E85" i="13"/>
  <c r="E85" i="31" s="1"/>
  <c r="AX30" i="16"/>
  <c r="AY30" i="16" s="1"/>
  <c r="BM30" i="17" l="1"/>
  <c r="BW30" i="17"/>
  <c r="BM9" i="17"/>
  <c r="BM10" i="17"/>
  <c r="AP24" i="16"/>
  <c r="AQ24" i="16" s="1"/>
  <c r="E88" i="31"/>
  <c r="AP22" i="16"/>
  <c r="AQ22" i="16" s="1"/>
  <c r="E86" i="31"/>
  <c r="BW12" i="17"/>
  <c r="BM12" i="17"/>
  <c r="AP21" i="16"/>
  <c r="AQ21" i="16" s="1"/>
  <c r="E95" i="13"/>
  <c r="E95" i="31" s="1"/>
  <c r="BU22" i="17"/>
  <c r="BU30" i="17"/>
  <c r="K83" i="15"/>
  <c r="BW19" i="17" s="1"/>
  <c r="BU21" i="17"/>
  <c r="BU23" i="17"/>
  <c r="BU31" i="17"/>
  <c r="BU24" i="17"/>
  <c r="K82" i="15"/>
  <c r="BK18" i="17"/>
  <c r="BK30" i="17" s="1"/>
  <c r="BW11" i="17"/>
  <c r="BM11" i="17"/>
  <c r="BF30" i="16"/>
  <c r="BG30" i="16" s="1"/>
  <c r="BE30" i="17"/>
  <c r="BF30" i="17" s="1"/>
  <c r="AP23" i="16"/>
  <c r="AQ23" i="16" s="1"/>
  <c r="BE31" i="17"/>
  <c r="BF31" i="17" s="1"/>
  <c r="BF31" i="16"/>
  <c r="BG31" i="16" s="1"/>
  <c r="U30" i="16"/>
  <c r="J73" i="13"/>
  <c r="J73" i="31" s="1"/>
  <c r="J72" i="13"/>
  <c r="F75" i="13"/>
  <c r="D75" i="13"/>
  <c r="C75" i="13"/>
  <c r="F74" i="13"/>
  <c r="D74" i="13"/>
  <c r="U11" i="16"/>
  <c r="V11" i="16" s="1"/>
  <c r="X11" i="16" s="1"/>
  <c r="B11" i="16" s="1"/>
  <c r="F73" i="13"/>
  <c r="D73" i="13"/>
  <c r="U10" i="16"/>
  <c r="V10" i="16" s="1"/>
  <c r="X10" i="16" s="1"/>
  <c r="B10" i="16" s="1"/>
  <c r="F72" i="13"/>
  <c r="D72" i="13"/>
  <c r="U9" i="16"/>
  <c r="V9" i="16" s="1"/>
  <c r="X9" i="16" s="1"/>
  <c r="B9" i="16" s="1"/>
  <c r="E62" i="13"/>
  <c r="E62" i="31" s="1"/>
  <c r="E61" i="13"/>
  <c r="E61" i="31" s="1"/>
  <c r="E60" i="13"/>
  <c r="E60" i="31" s="1"/>
  <c r="E59" i="13"/>
  <c r="AP30" i="16" l="1"/>
  <c r="AQ30" i="16" s="1"/>
  <c r="J72" i="31"/>
  <c r="J83" i="13"/>
  <c r="J83" i="31" s="1"/>
  <c r="J82" i="13"/>
  <c r="J82" i="31" s="1"/>
  <c r="E59" i="31"/>
  <c r="E69" i="13"/>
  <c r="E69" i="31" s="1"/>
  <c r="AH10" i="16"/>
  <c r="AI10" i="16" s="1"/>
  <c r="AK10" i="16" s="1"/>
  <c r="C10" i="16" s="1"/>
  <c r="D73" i="31"/>
  <c r="F82" i="13"/>
  <c r="F82" i="31" s="1"/>
  <c r="F72" i="31"/>
  <c r="AX10" i="16"/>
  <c r="AY10" i="16" s="1"/>
  <c r="BA10" i="16" s="1"/>
  <c r="E10" i="16" s="1"/>
  <c r="F73" i="31"/>
  <c r="AH11" i="16"/>
  <c r="AI11" i="16" s="1"/>
  <c r="AK11" i="16" s="1"/>
  <c r="C11" i="16" s="1"/>
  <c r="D74" i="31"/>
  <c r="C82" i="13"/>
  <c r="C82" i="31" s="1"/>
  <c r="C75" i="31"/>
  <c r="AH12" i="16"/>
  <c r="AI12" i="16" s="1"/>
  <c r="AK12" i="16" s="1"/>
  <c r="C12" i="16" s="1"/>
  <c r="D75" i="31"/>
  <c r="D82" i="13"/>
  <c r="D82" i="31" s="1"/>
  <c r="D72" i="31"/>
  <c r="AX11" i="16"/>
  <c r="AY11" i="16" s="1"/>
  <c r="BA11" i="16" s="1"/>
  <c r="E11" i="16" s="1"/>
  <c r="F74" i="31"/>
  <c r="AX12" i="16"/>
  <c r="AY12" i="16" s="1"/>
  <c r="BA12" i="16" s="1"/>
  <c r="E12" i="16" s="1"/>
  <c r="F75" i="31"/>
  <c r="BE18" i="17"/>
  <c r="BF18" i="17" s="1"/>
  <c r="BW18" i="17"/>
  <c r="BM18" i="17"/>
  <c r="AH9" i="16"/>
  <c r="AI9" i="16" s="1"/>
  <c r="AK9" i="16" s="1"/>
  <c r="C9" i="16" s="1"/>
  <c r="U12" i="16"/>
  <c r="V12" i="16" s="1"/>
  <c r="X12" i="16" s="1"/>
  <c r="B12" i="16" s="1"/>
  <c r="AX9" i="16"/>
  <c r="AY9" i="16" s="1"/>
  <c r="BA9" i="16" s="1"/>
  <c r="E9" i="16" s="1"/>
  <c r="BM19" i="17"/>
  <c r="BE10" i="17"/>
  <c r="BF10" i="17" s="1"/>
  <c r="BH10" i="17" s="1"/>
  <c r="J10" i="17" s="1"/>
  <c r="BF10" i="16"/>
  <c r="BG10" i="16" s="1"/>
  <c r="BI10" i="16" s="1"/>
  <c r="I10" i="16" s="1"/>
  <c r="BE11" i="17"/>
  <c r="BF11" i="17" s="1"/>
  <c r="BH11" i="17" s="1"/>
  <c r="J11" i="17" s="1"/>
  <c r="BF11" i="16"/>
  <c r="BG11" i="16" s="1"/>
  <c r="BI11" i="16" s="1"/>
  <c r="I11" i="16" s="1"/>
  <c r="BF9" i="16"/>
  <c r="BG9" i="16" s="1"/>
  <c r="BI9" i="16" s="1"/>
  <c r="I9" i="16" s="1"/>
  <c r="BE9" i="17"/>
  <c r="BF9" i="17" s="1"/>
  <c r="BH9" i="17" s="1"/>
  <c r="J9" i="17" s="1"/>
  <c r="BE12" i="17"/>
  <c r="BF12" i="17" s="1"/>
  <c r="BH12" i="17" s="1"/>
  <c r="J12" i="17" s="1"/>
  <c r="BF12" i="16"/>
  <c r="BG12" i="16" s="1"/>
  <c r="BI12" i="16" s="1"/>
  <c r="I12" i="16" s="1"/>
  <c r="E49" i="13"/>
  <c r="E48" i="13"/>
  <c r="E74" i="13" s="1"/>
  <c r="E47" i="13"/>
  <c r="E47" i="31" s="1"/>
  <c r="E72" i="13"/>
  <c r="AH18" i="16" l="1"/>
  <c r="E75" i="13"/>
  <c r="E49" i="31"/>
  <c r="AX18" i="16"/>
  <c r="AY18" i="16" s="1"/>
  <c r="AP12" i="16"/>
  <c r="AQ12" i="16" s="1"/>
  <c r="E75" i="31"/>
  <c r="E72" i="31"/>
  <c r="AP11" i="16"/>
  <c r="AQ11" i="16" s="1"/>
  <c r="E74" i="31"/>
  <c r="BF18" i="16"/>
  <c r="BG18" i="16" s="1"/>
  <c r="E56" i="13"/>
  <c r="E56" i="31" s="1"/>
  <c r="E73" i="13"/>
  <c r="U18" i="16"/>
  <c r="BF19" i="16"/>
  <c r="BG19" i="16" s="1"/>
  <c r="BE19" i="17"/>
  <c r="BF19" i="17" s="1"/>
  <c r="AP9" i="16"/>
  <c r="AQ9" i="16" s="1"/>
  <c r="E24" i="13"/>
  <c r="E25" i="13"/>
  <c r="E23" i="13"/>
  <c r="E22" i="13"/>
  <c r="AV18" i="16"/>
  <c r="AP10" i="16" l="1"/>
  <c r="AQ10" i="16" s="1"/>
  <c r="E73" i="31"/>
  <c r="E82" i="13"/>
  <c r="E82" i="31" s="1"/>
  <c r="AN9" i="16"/>
  <c r="E22" i="31"/>
  <c r="AN10" i="16"/>
  <c r="AR10" i="16" s="1"/>
  <c r="AS10" i="16" s="1"/>
  <c r="D10" i="16" s="1"/>
  <c r="E23" i="31"/>
  <c r="AN12" i="16"/>
  <c r="AN24" i="16" s="1"/>
  <c r="AR24" i="16" s="1"/>
  <c r="AS24" i="16" s="1"/>
  <c r="D24" i="16" s="1"/>
  <c r="E25" i="31"/>
  <c r="AN11" i="16"/>
  <c r="AN23" i="16" s="1"/>
  <c r="AR23" i="16" s="1"/>
  <c r="AS23" i="16" s="1"/>
  <c r="D23" i="16" s="1"/>
  <c r="E24" i="31"/>
  <c r="AP18" i="16"/>
  <c r="AQ18" i="16" s="1"/>
  <c r="AN18" i="16"/>
  <c r="AR18" i="16" s="1"/>
  <c r="BD18" i="16"/>
  <c r="BD30" i="16" s="1"/>
  <c r="BC18" i="17"/>
  <c r="BC30" i="17" s="1"/>
  <c r="S18" i="16"/>
  <c r="S30" i="16" s="1"/>
  <c r="BD19" i="16"/>
  <c r="BC19" i="17"/>
  <c r="AV30" i="16"/>
  <c r="AZ30" i="16" s="1"/>
  <c r="BA30" i="16" s="1"/>
  <c r="E30" i="16" s="1"/>
  <c r="AZ18" i="16"/>
  <c r="BA18" i="16" s="1"/>
  <c r="E18" i="16" s="1"/>
  <c r="AF18" i="16"/>
  <c r="AF30" i="16" s="1"/>
  <c r="AN21" i="16"/>
  <c r="AR21" i="16" s="1"/>
  <c r="AS21" i="16" s="1"/>
  <c r="D21" i="16" s="1"/>
  <c r="AR9" i="16"/>
  <c r="AS9" i="16" s="1"/>
  <c r="D9" i="16" s="1"/>
  <c r="AR11" i="16"/>
  <c r="AS11" i="16" s="1"/>
  <c r="D11" i="16" s="1"/>
  <c r="BN31" i="16"/>
  <c r="K88" i="13"/>
  <c r="K87" i="13"/>
  <c r="K86" i="13"/>
  <c r="K85" i="13"/>
  <c r="K62" i="13"/>
  <c r="K61" i="13"/>
  <c r="K74" i="13" s="1"/>
  <c r="BW11" i="16" s="1"/>
  <c r="K60" i="13"/>
  <c r="K57" i="13"/>
  <c r="K57" i="31" s="1"/>
  <c r="K49" i="13"/>
  <c r="K75" i="13" s="1"/>
  <c r="BW12" i="16" s="1"/>
  <c r="K47" i="13"/>
  <c r="K46" i="13"/>
  <c r="BL19" i="16"/>
  <c r="BL31" i="16" s="1"/>
  <c r="K25" i="13"/>
  <c r="K24" i="13"/>
  <c r="K23" i="13"/>
  <c r="K22" i="13"/>
  <c r="K69" i="13" l="1"/>
  <c r="K95" i="13"/>
  <c r="BW30" i="16" s="1"/>
  <c r="BW21" i="16"/>
  <c r="BN22" i="16"/>
  <c r="BW22" i="16"/>
  <c r="BN23" i="16"/>
  <c r="BW23" i="16"/>
  <c r="BN24" i="16"/>
  <c r="BW24" i="16"/>
  <c r="AN22" i="16"/>
  <c r="AR22" i="16" s="1"/>
  <c r="AS22" i="16" s="1"/>
  <c r="D22" i="16" s="1"/>
  <c r="K30" i="13"/>
  <c r="BU18" i="16" s="1"/>
  <c r="K22" i="31"/>
  <c r="AR12" i="16"/>
  <c r="AS12" i="16" s="1"/>
  <c r="D12" i="16" s="1"/>
  <c r="K72" i="13"/>
  <c r="K56" i="13"/>
  <c r="BU9" i="16"/>
  <c r="BU21" i="16" s="1"/>
  <c r="AS18" i="16"/>
  <c r="D18" i="16" s="1"/>
  <c r="BL10" i="16"/>
  <c r="BL22" i="16" s="1"/>
  <c r="BU10" i="16"/>
  <c r="BL12" i="16"/>
  <c r="BL24" i="16" s="1"/>
  <c r="BU12" i="16"/>
  <c r="BN12" i="16"/>
  <c r="BL11" i="16"/>
  <c r="BL23" i="16" s="1"/>
  <c r="BU11" i="16"/>
  <c r="BW9" i="16"/>
  <c r="BX9" i="16" s="1"/>
  <c r="K73" i="13"/>
  <c r="BN11" i="16"/>
  <c r="BL9" i="16"/>
  <c r="BL21" i="16" s="1"/>
  <c r="BN21" i="16"/>
  <c r="BN30" i="16"/>
  <c r="AN30" i="16"/>
  <c r="AR30" i="16" s="1"/>
  <c r="AS30" i="16" s="1"/>
  <c r="D30" i="16" s="1"/>
  <c r="BC31" i="17"/>
  <c r="BG31" i="17" s="1"/>
  <c r="BH31" i="17" s="1"/>
  <c r="J31" i="17" s="1"/>
  <c r="BG19" i="17"/>
  <c r="BH19" i="17" s="1"/>
  <c r="J19" i="17" s="1"/>
  <c r="BD31" i="16"/>
  <c r="BH31" i="16" s="1"/>
  <c r="BI31" i="16" s="1"/>
  <c r="I31" i="16" s="1"/>
  <c r="BH19" i="16"/>
  <c r="BI19" i="16" s="1"/>
  <c r="I19" i="16" s="1"/>
  <c r="K83" i="13" l="1"/>
  <c r="K83" i="31" s="1"/>
  <c r="K82" i="13"/>
  <c r="BL18" i="16"/>
  <c r="BL30" i="16" s="1"/>
  <c r="BU22" i="16"/>
  <c r="BU23" i="16"/>
  <c r="BW10" i="16"/>
  <c r="BN10" i="16"/>
  <c r="BU30" i="16"/>
  <c r="BU24" i="16"/>
  <c r="BW18" i="16"/>
  <c r="BN9" i="16"/>
  <c r="BN18" i="16" l="1"/>
  <c r="BW19" i="16"/>
  <c r="BN19" i="16"/>
  <c r="B75" i="1"/>
  <c r="B10" i="12" s="1"/>
  <c r="B74" i="1"/>
  <c r="B9" i="12" s="1"/>
  <c r="B73" i="1"/>
  <c r="B8" i="12" s="1"/>
  <c r="B72" i="1"/>
  <c r="B7" i="12" l="1"/>
  <c r="B82" i="1"/>
  <c r="B85" i="1"/>
  <c r="B86" i="1"/>
  <c r="B22" i="12" s="1"/>
  <c r="B87" i="1"/>
  <c r="B23" i="12" s="1"/>
  <c r="B88" i="1"/>
  <c r="B24" i="12" s="1"/>
  <c r="B17" i="12" l="1"/>
  <c r="AF30" i="1"/>
  <c r="B21" i="12"/>
  <c r="B95" i="1"/>
  <c r="B31" i="12" s="1"/>
  <c r="AD97" i="1"/>
  <c r="AD100" i="1" s="1"/>
  <c r="BD30" i="17"/>
  <c r="BG30" i="17" s="1"/>
  <c r="BH30" i="17" s="1"/>
  <c r="J30" i="17" s="1"/>
  <c r="BE30" i="16"/>
  <c r="BH30" i="16" s="1"/>
  <c r="BI30" i="16" s="1"/>
  <c r="I30" i="16" s="1"/>
  <c r="K59" i="32"/>
  <c r="M36" i="12" l="1"/>
  <c r="M83" i="12" s="1"/>
  <c r="M36" i="4"/>
  <c r="M83" i="4" s="1"/>
  <c r="BK19" i="16"/>
  <c r="K96" i="32"/>
  <c r="N88" i="2"/>
  <c r="L88" i="2"/>
  <c r="N87" i="2"/>
  <c r="L87" i="2"/>
  <c r="N86" i="2"/>
  <c r="L86" i="2"/>
  <c r="K70" i="32"/>
  <c r="N62" i="2"/>
  <c r="Q62" i="2" s="1"/>
  <c r="L62" i="2"/>
  <c r="N61" i="2"/>
  <c r="L61" i="2"/>
  <c r="P61" i="2" s="1"/>
  <c r="N60" i="2"/>
  <c r="Q60" i="2" s="1"/>
  <c r="L60" i="2"/>
  <c r="N59" i="2"/>
  <c r="K57" i="32"/>
  <c r="N49" i="2"/>
  <c r="N56" i="2" s="1"/>
  <c r="K49" i="32"/>
  <c r="K47" i="32"/>
  <c r="N31" i="2"/>
  <c r="L31" i="2"/>
  <c r="N25" i="2"/>
  <c r="L25" i="2"/>
  <c r="K25" i="32" s="1"/>
  <c r="N24" i="2"/>
  <c r="L24" i="2"/>
  <c r="K24" i="32" s="1"/>
  <c r="N23" i="2"/>
  <c r="L23" i="2"/>
  <c r="K23" i="32" s="1"/>
  <c r="K22" i="32"/>
  <c r="M22" i="4" l="1"/>
  <c r="N95" i="2"/>
  <c r="K22" i="4"/>
  <c r="L95" i="2"/>
  <c r="K87" i="32"/>
  <c r="K23" i="4"/>
  <c r="K88" i="32"/>
  <c r="K24" i="4"/>
  <c r="Q96" i="2"/>
  <c r="O32" i="4" s="1"/>
  <c r="M32" i="4"/>
  <c r="Q87" i="2"/>
  <c r="O23" i="4" s="1"/>
  <c r="M23" i="4"/>
  <c r="Q88" i="2"/>
  <c r="O24" i="4" s="1"/>
  <c r="M24" i="4"/>
  <c r="K62" i="32"/>
  <c r="P62" i="2"/>
  <c r="Q49" i="2"/>
  <c r="Q56" i="2" s="1"/>
  <c r="Q86" i="2"/>
  <c r="O22" i="4" s="1"/>
  <c r="M31" i="4"/>
  <c r="K31" i="32"/>
  <c r="P31" i="2"/>
  <c r="K86" i="32"/>
  <c r="K31" i="4"/>
  <c r="P60" i="2"/>
  <c r="L69" i="2"/>
  <c r="K69" i="32" s="1"/>
  <c r="N69" i="2"/>
  <c r="Q59" i="2"/>
  <c r="N74" i="2"/>
  <c r="Q61" i="2"/>
  <c r="L72" i="2"/>
  <c r="K46" i="32"/>
  <c r="K85" i="32"/>
  <c r="L74" i="2"/>
  <c r="K61" i="32"/>
  <c r="K60" i="32"/>
  <c r="N30" i="2"/>
  <c r="L30" i="2"/>
  <c r="P30" i="2" s="1"/>
  <c r="Y30" i="2" s="1"/>
  <c r="L75" i="2"/>
  <c r="K10" i="4" s="1"/>
  <c r="N72" i="2"/>
  <c r="N75" i="2"/>
  <c r="L83" i="2"/>
  <c r="K18" i="4" s="1"/>
  <c r="N73" i="2"/>
  <c r="BX21" i="16"/>
  <c r="P85" i="2"/>
  <c r="L73" i="2"/>
  <c r="K8" i="4" s="1"/>
  <c r="N83" i="2"/>
  <c r="Q95" i="2"/>
  <c r="P88" i="2"/>
  <c r="BL24" i="17"/>
  <c r="P25" i="2"/>
  <c r="BJ12" i="17"/>
  <c r="Q23" i="2"/>
  <c r="P87" i="2"/>
  <c r="BL23" i="17"/>
  <c r="P24" i="2"/>
  <c r="BT11" i="17" s="1"/>
  <c r="BJ11" i="17"/>
  <c r="Q24" i="2"/>
  <c r="Q25" i="2"/>
  <c r="BL21" i="17"/>
  <c r="BL31" i="17"/>
  <c r="P22" i="2"/>
  <c r="BJ9" i="17"/>
  <c r="BJ19" i="17"/>
  <c r="Q85" i="2"/>
  <c r="O21" i="4" s="1"/>
  <c r="Q22" i="2"/>
  <c r="Q31" i="2"/>
  <c r="P86" i="2"/>
  <c r="BL22" i="17"/>
  <c r="P23" i="2"/>
  <c r="BJ10" i="17"/>
  <c r="BK31" i="16"/>
  <c r="BO31" i="16" s="1"/>
  <c r="BO19" i="16"/>
  <c r="N96" i="1"/>
  <c r="N88" i="1"/>
  <c r="N87" i="1"/>
  <c r="N86" i="1"/>
  <c r="N83" i="1"/>
  <c r="M18" i="12" s="1"/>
  <c r="N62" i="1"/>
  <c r="U62" i="1" s="1"/>
  <c r="N61" i="1"/>
  <c r="N60" i="1"/>
  <c r="U60" i="1" s="1"/>
  <c r="N59" i="1"/>
  <c r="N49" i="1"/>
  <c r="U49" i="1" s="1"/>
  <c r="N47" i="1"/>
  <c r="L88" i="1"/>
  <c r="K24" i="12" s="1"/>
  <c r="L87" i="1"/>
  <c r="L86" i="1"/>
  <c r="L85" i="1"/>
  <c r="L62" i="1"/>
  <c r="L61" i="1"/>
  <c r="T61" i="1" s="1"/>
  <c r="L60" i="1"/>
  <c r="L49" i="1"/>
  <c r="T49" i="1" s="1"/>
  <c r="L47" i="1"/>
  <c r="K46" i="31"/>
  <c r="L25" i="1"/>
  <c r="K25" i="31" s="1"/>
  <c r="L24" i="1"/>
  <c r="K24" i="31" s="1"/>
  <c r="L23" i="1"/>
  <c r="L30" i="1" s="1"/>
  <c r="N30" i="1" l="1"/>
  <c r="BV24" i="17"/>
  <c r="N24" i="4"/>
  <c r="Z95" i="2"/>
  <c r="O31" i="4"/>
  <c r="Q83" i="2"/>
  <c r="O18" i="4" s="1"/>
  <c r="M18" i="4"/>
  <c r="BV21" i="17"/>
  <c r="N21" i="4"/>
  <c r="BV22" i="17"/>
  <c r="N22" i="4"/>
  <c r="P69" i="2"/>
  <c r="BV23" i="17"/>
  <c r="N23" i="4"/>
  <c r="U88" i="1"/>
  <c r="O24" i="12" s="1"/>
  <c r="M24" i="12"/>
  <c r="K47" i="31"/>
  <c r="T47" i="1"/>
  <c r="T56" i="1" s="1"/>
  <c r="L56" i="1"/>
  <c r="U87" i="1"/>
  <c r="O23" i="12" s="1"/>
  <c r="M23" i="12"/>
  <c r="U96" i="1"/>
  <c r="O32" i="12" s="1"/>
  <c r="M32" i="12"/>
  <c r="K62" i="31"/>
  <c r="T62" i="1"/>
  <c r="U47" i="1"/>
  <c r="U56" i="1" s="1"/>
  <c r="N56" i="1"/>
  <c r="N74" i="1"/>
  <c r="U61" i="1"/>
  <c r="T60" i="1"/>
  <c r="L69" i="1"/>
  <c r="K69" i="31" s="1"/>
  <c r="U59" i="1"/>
  <c r="U69" i="1" s="1"/>
  <c r="N69" i="1"/>
  <c r="K87" i="31"/>
  <c r="K23" i="12"/>
  <c r="L95" i="1"/>
  <c r="K31" i="12" s="1"/>
  <c r="K21" i="12"/>
  <c r="K86" i="31"/>
  <c r="K22" i="12"/>
  <c r="M22" i="12"/>
  <c r="N95" i="1"/>
  <c r="P95" i="2"/>
  <c r="S97" i="2"/>
  <c r="T97" i="2" s="1"/>
  <c r="K74" i="32"/>
  <c r="K9" i="4"/>
  <c r="P74" i="2"/>
  <c r="Q75" i="2"/>
  <c r="O10" i="4" s="1"/>
  <c r="M10" i="4"/>
  <c r="K72" i="32"/>
  <c r="L82" i="2"/>
  <c r="BL18" i="17" s="1"/>
  <c r="K7" i="4"/>
  <c r="Q72" i="2"/>
  <c r="O7" i="4" s="1"/>
  <c r="N82" i="2"/>
  <c r="M7" i="4"/>
  <c r="Q74" i="2"/>
  <c r="O9" i="4" s="1"/>
  <c r="M9" i="4"/>
  <c r="BL9" i="17"/>
  <c r="BO9" i="17" s="1"/>
  <c r="Q69" i="2"/>
  <c r="Q73" i="2"/>
  <c r="O8" i="4" s="1"/>
  <c r="M8" i="4"/>
  <c r="P72" i="2"/>
  <c r="K95" i="32"/>
  <c r="BL11" i="17"/>
  <c r="BO11" i="17" s="1"/>
  <c r="K85" i="31"/>
  <c r="T88" i="1"/>
  <c r="K88" i="31"/>
  <c r="K83" i="32"/>
  <c r="P73" i="2"/>
  <c r="K73" i="32"/>
  <c r="P75" i="2"/>
  <c r="K75" i="32"/>
  <c r="K56" i="32"/>
  <c r="K30" i="32"/>
  <c r="L74" i="1"/>
  <c r="K61" i="31"/>
  <c r="K60" i="31"/>
  <c r="L75" i="1"/>
  <c r="K49" i="31"/>
  <c r="K23" i="31"/>
  <c r="BL12" i="17"/>
  <c r="BO12" i="17" s="1"/>
  <c r="U30" i="1"/>
  <c r="BV31" i="17"/>
  <c r="BL10" i="17"/>
  <c r="BO10" i="17" s="1"/>
  <c r="BL19" i="17"/>
  <c r="BO19" i="17" s="1"/>
  <c r="P83" i="2"/>
  <c r="K72" i="31"/>
  <c r="K56" i="31"/>
  <c r="N72" i="1"/>
  <c r="U86" i="1"/>
  <c r="O22" i="12" s="1"/>
  <c r="N73" i="1"/>
  <c r="L73" i="1"/>
  <c r="BT19" i="17"/>
  <c r="BT18" i="17"/>
  <c r="BT10" i="17"/>
  <c r="BT9" i="17"/>
  <c r="BT12" i="17"/>
  <c r="N75" i="1"/>
  <c r="BJ31" i="17"/>
  <c r="BN31" i="17" s="1"/>
  <c r="BN19" i="17"/>
  <c r="BL30" i="17"/>
  <c r="Q30" i="2"/>
  <c r="Z30" i="2" s="1"/>
  <c r="BJ18" i="17"/>
  <c r="BJ24" i="17"/>
  <c r="BN24" i="17" s="1"/>
  <c r="BN12" i="17"/>
  <c r="BJ22" i="17"/>
  <c r="BN22" i="17" s="1"/>
  <c r="BN10" i="17"/>
  <c r="BJ23" i="17"/>
  <c r="BN23" i="17" s="1"/>
  <c r="BN11" i="17"/>
  <c r="BJ21" i="17"/>
  <c r="BN21" i="17" s="1"/>
  <c r="BN9" i="17"/>
  <c r="BK9" i="16"/>
  <c r="U22" i="1"/>
  <c r="BV31" i="16"/>
  <c r="BM31" i="16"/>
  <c r="BP31" i="16" s="1"/>
  <c r="BQ31" i="16" s="1"/>
  <c r="J31" i="16" s="1"/>
  <c r="T23" i="1"/>
  <c r="BK10" i="16"/>
  <c r="U23" i="1"/>
  <c r="T83" i="1"/>
  <c r="BM19" i="16"/>
  <c r="BP19" i="16" s="1"/>
  <c r="BQ19" i="16" s="1"/>
  <c r="J19" i="16" s="1"/>
  <c r="T25" i="1"/>
  <c r="BK12" i="16"/>
  <c r="T85" i="1"/>
  <c r="N21" i="12" s="1"/>
  <c r="BM21" i="16"/>
  <c r="T86" i="1"/>
  <c r="BM22" i="16"/>
  <c r="BM24" i="16"/>
  <c r="T24" i="1"/>
  <c r="BK11" i="16"/>
  <c r="U24" i="1"/>
  <c r="U83" i="1"/>
  <c r="O18" i="12" s="1"/>
  <c r="U25" i="1"/>
  <c r="U85" i="1"/>
  <c r="O21" i="12" s="1"/>
  <c r="T87" i="1"/>
  <c r="BM23" i="16"/>
  <c r="K8" i="12" l="1"/>
  <c r="L82" i="1"/>
  <c r="U97" i="2"/>
  <c r="V97" i="2" s="1"/>
  <c r="N31" i="4"/>
  <c r="BV19" i="17"/>
  <c r="N18" i="4"/>
  <c r="M7" i="12"/>
  <c r="N82" i="1"/>
  <c r="W84" i="1" s="1"/>
  <c r="M31" i="12"/>
  <c r="W97" i="1"/>
  <c r="X97" i="1" s="1"/>
  <c r="K75" i="31"/>
  <c r="K10" i="12"/>
  <c r="T69" i="1"/>
  <c r="U75" i="1"/>
  <c r="O10" i="12" s="1"/>
  <c r="M10" i="12"/>
  <c r="BV24" i="16"/>
  <c r="N24" i="12"/>
  <c r="BV22" i="16"/>
  <c r="N22" i="12"/>
  <c r="BV23" i="16"/>
  <c r="N23" i="12"/>
  <c r="BV19" i="16"/>
  <c r="N18" i="12"/>
  <c r="U74" i="1"/>
  <c r="O9" i="12" s="1"/>
  <c r="M9" i="12"/>
  <c r="U73" i="1"/>
  <c r="O8" i="12" s="1"/>
  <c r="M8" i="12"/>
  <c r="K74" i="31"/>
  <c r="K9" i="12"/>
  <c r="BV11" i="17"/>
  <c r="BY11" i="17" s="1"/>
  <c r="N9" i="4"/>
  <c r="BV9" i="17"/>
  <c r="BY9" i="17" s="1"/>
  <c r="N7" i="4"/>
  <c r="BV10" i="17"/>
  <c r="BY10" i="17" s="1"/>
  <c r="N8" i="4"/>
  <c r="Q82" i="2"/>
  <c r="M17" i="4"/>
  <c r="BV12" i="17"/>
  <c r="BY12" i="17" s="1"/>
  <c r="N10" i="4"/>
  <c r="P82" i="2"/>
  <c r="S84" i="2"/>
  <c r="S100" i="2" s="1"/>
  <c r="K17" i="4"/>
  <c r="BM11" i="16"/>
  <c r="BP11" i="16" s="1"/>
  <c r="T74" i="1"/>
  <c r="BM12" i="16"/>
  <c r="BP12" i="16" s="1"/>
  <c r="T75" i="1"/>
  <c r="U95" i="1"/>
  <c r="T95" i="1"/>
  <c r="N31" i="12" s="1"/>
  <c r="K95" i="31"/>
  <c r="K82" i="32"/>
  <c r="K73" i="31"/>
  <c r="K30" i="31"/>
  <c r="T30" i="1"/>
  <c r="BM10" i="16"/>
  <c r="BP10" i="16" s="1"/>
  <c r="T73" i="1"/>
  <c r="T72" i="1"/>
  <c r="BM9" i="16"/>
  <c r="BP9" i="16" s="1"/>
  <c r="BY19" i="17"/>
  <c r="U72" i="1"/>
  <c r="O7" i="12" s="1"/>
  <c r="BT12" i="16"/>
  <c r="BT24" i="17"/>
  <c r="BX12" i="17"/>
  <c r="BT22" i="17"/>
  <c r="BX10" i="17"/>
  <c r="BX18" i="17"/>
  <c r="BT30" i="17"/>
  <c r="BX30" i="17" s="1"/>
  <c r="BV21" i="16"/>
  <c r="BY21" i="16" s="1"/>
  <c r="BZ21" i="16" s="1"/>
  <c r="M21" i="16" s="1"/>
  <c r="BT11" i="16"/>
  <c r="BV30" i="17"/>
  <c r="Y95" i="2"/>
  <c r="BT21" i="17"/>
  <c r="BX9" i="17"/>
  <c r="BT23" i="17"/>
  <c r="BX23" i="17" s="1"/>
  <c r="BX11" i="17"/>
  <c r="BT10" i="16"/>
  <c r="BT31" i="17"/>
  <c r="BX19" i="17"/>
  <c r="BP11" i="17"/>
  <c r="K11" i="17" s="1"/>
  <c r="BO21" i="17"/>
  <c r="BP21" i="17" s="1"/>
  <c r="K21" i="17" s="1"/>
  <c r="BP12" i="17"/>
  <c r="K12" i="17" s="1"/>
  <c r="BO24" i="17"/>
  <c r="BP24" i="17" s="1"/>
  <c r="K24" i="17" s="1"/>
  <c r="BP19" i="17"/>
  <c r="K19" i="17" s="1"/>
  <c r="BO22" i="17"/>
  <c r="BP22" i="17" s="1"/>
  <c r="K22" i="17" s="1"/>
  <c r="BP9" i="17"/>
  <c r="K9" i="17" s="1"/>
  <c r="BO23" i="17"/>
  <c r="BP23" i="17" s="1"/>
  <c r="K23" i="17" s="1"/>
  <c r="BO31" i="17"/>
  <c r="BP31" i="17" s="1"/>
  <c r="K31" i="17" s="1"/>
  <c r="BJ30" i="17"/>
  <c r="BN30" i="17" s="1"/>
  <c r="BN18" i="17"/>
  <c r="BP10" i="17"/>
  <c r="K10" i="17" s="1"/>
  <c r="BO18" i="17"/>
  <c r="BM30" i="16"/>
  <c r="AE18" i="16"/>
  <c r="BK21" i="16"/>
  <c r="BO21" i="16" s="1"/>
  <c r="BO9" i="16"/>
  <c r="BK18" i="16"/>
  <c r="AI30" i="1"/>
  <c r="BK24" i="16"/>
  <c r="BO24" i="16" s="1"/>
  <c r="BO12" i="16"/>
  <c r="BK22" i="16"/>
  <c r="BO22" i="16" s="1"/>
  <c r="BO10" i="16"/>
  <c r="BK23" i="16"/>
  <c r="BO23" i="16" s="1"/>
  <c r="BO11" i="16"/>
  <c r="K84" i="4" l="1"/>
  <c r="J37" i="4"/>
  <c r="J84" i="4" s="1"/>
  <c r="T84" i="2"/>
  <c r="T100" i="2" s="1"/>
  <c r="M37" i="4" s="1"/>
  <c r="BM18" i="16"/>
  <c r="BP18" i="16" s="1"/>
  <c r="K17" i="12"/>
  <c r="K84" i="12" s="1"/>
  <c r="BV9" i="16"/>
  <c r="BY9" i="16" s="1"/>
  <c r="BZ9" i="16" s="1"/>
  <c r="M9" i="16" s="1"/>
  <c r="N7" i="12"/>
  <c r="BV11" i="16"/>
  <c r="N9" i="12"/>
  <c r="BV12" i="16"/>
  <c r="BY12" i="16" s="1"/>
  <c r="N10" i="12"/>
  <c r="BY11" i="16"/>
  <c r="BV10" i="16"/>
  <c r="BY10" i="16" s="1"/>
  <c r="N8" i="12"/>
  <c r="U82" i="1"/>
  <c r="M17" i="12"/>
  <c r="AI95" i="1"/>
  <c r="O31" i="12"/>
  <c r="N17" i="4"/>
  <c r="U84" i="2"/>
  <c r="U100" i="2" s="1"/>
  <c r="BZ9" i="17"/>
  <c r="N9" i="17" s="1"/>
  <c r="O17" i="4"/>
  <c r="Z82" i="2"/>
  <c r="V84" i="2"/>
  <c r="V100" i="2" s="1"/>
  <c r="M38" i="4" s="1"/>
  <c r="M85" i="4" s="1"/>
  <c r="BV18" i="17"/>
  <c r="BY18" i="17" s="1"/>
  <c r="BZ18" i="17" s="1"/>
  <c r="N18" i="17" s="1"/>
  <c r="Y82" i="2"/>
  <c r="AH95" i="1"/>
  <c r="BV30" i="16"/>
  <c r="Y97" i="1"/>
  <c r="Z97" i="1" s="1"/>
  <c r="AH30" i="1"/>
  <c r="BT18" i="16"/>
  <c r="BT30" i="16" s="1"/>
  <c r="T82" i="1"/>
  <c r="K82" i="31"/>
  <c r="X84" i="1"/>
  <c r="K38" i="4"/>
  <c r="BZ19" i="17"/>
  <c r="N19" i="17" s="1"/>
  <c r="K37" i="4"/>
  <c r="BZ12" i="17"/>
  <c r="N12" i="17" s="1"/>
  <c r="BZ11" i="17"/>
  <c r="N11" i="17" s="1"/>
  <c r="BY30" i="17"/>
  <c r="BY22" i="17"/>
  <c r="BX22" i="17"/>
  <c r="BY31" i="17"/>
  <c r="BX31" i="17"/>
  <c r="BX24" i="17"/>
  <c r="BY24" i="17"/>
  <c r="BY23" i="17"/>
  <c r="BZ23" i="17" s="1"/>
  <c r="BY21" i="17"/>
  <c r="BX21" i="17"/>
  <c r="BT24" i="16"/>
  <c r="BX12" i="16"/>
  <c r="BZ10" i="17"/>
  <c r="N10" i="17" s="1"/>
  <c r="BT19" i="16"/>
  <c r="BT22" i="16"/>
  <c r="BX10" i="16"/>
  <c r="BT23" i="16"/>
  <c r="BX11" i="16"/>
  <c r="BP18" i="17"/>
  <c r="K18" i="17" s="1"/>
  <c r="BO30" i="17"/>
  <c r="BP30" i="17" s="1"/>
  <c r="K30" i="17" s="1"/>
  <c r="BQ12" i="16"/>
  <c r="J12" i="16" s="1"/>
  <c r="BQ10" i="16"/>
  <c r="J10" i="16" s="1"/>
  <c r="BQ11" i="16"/>
  <c r="J11" i="16" s="1"/>
  <c r="BQ9" i="16"/>
  <c r="J9" i="16" s="1"/>
  <c r="BP21" i="16"/>
  <c r="BQ21" i="16" s="1"/>
  <c r="J21" i="16" s="1"/>
  <c r="BP22" i="16"/>
  <c r="BQ22" i="16" s="1"/>
  <c r="J22" i="16" s="1"/>
  <c r="R30" i="16"/>
  <c r="V18" i="16"/>
  <c r="W18" i="16"/>
  <c r="BP24" i="16"/>
  <c r="BQ24" i="16" s="1"/>
  <c r="J24" i="16" s="1"/>
  <c r="BK30" i="16"/>
  <c r="BO30" i="16" s="1"/>
  <c r="BO18" i="16"/>
  <c r="BP23" i="16"/>
  <c r="BQ23" i="16" s="1"/>
  <c r="J23" i="16" s="1"/>
  <c r="AE30" i="16"/>
  <c r="AJ18" i="16"/>
  <c r="AI18" i="16"/>
  <c r="Y84" i="1" l="1"/>
  <c r="K85" i="4"/>
  <c r="J38" i="4"/>
  <c r="J85" i="4" s="1"/>
  <c r="BZ11" i="16"/>
  <c r="M11" i="16" s="1"/>
  <c r="Z84" i="1"/>
  <c r="Z100" i="1" s="1"/>
  <c r="N17" i="12"/>
  <c r="BZ12" i="16"/>
  <c r="M12" i="16" s="1"/>
  <c r="J37" i="12"/>
  <c r="J84" i="12" s="1"/>
  <c r="K37" i="12"/>
  <c r="AI82" i="1"/>
  <c r="O17" i="12"/>
  <c r="BV18" i="16"/>
  <c r="BY18" i="16" s="1"/>
  <c r="AH82" i="1"/>
  <c r="Y100" i="1"/>
  <c r="BX18" i="16"/>
  <c r="W100" i="1"/>
  <c r="X100" i="1"/>
  <c r="BZ10" i="16"/>
  <c r="M10" i="16" s="1"/>
  <c r="BZ30" i="17"/>
  <c r="N30" i="17" s="1"/>
  <c r="X18" i="16"/>
  <c r="B18" i="16" s="1"/>
  <c r="BZ31" i="17"/>
  <c r="N31" i="17" s="1"/>
  <c r="BZ22" i="17"/>
  <c r="N22" i="17" s="1"/>
  <c r="BZ24" i="17"/>
  <c r="N24" i="17" s="1"/>
  <c r="BX23" i="16"/>
  <c r="BY23" i="16"/>
  <c r="BY30" i="16"/>
  <c r="BX30" i="16"/>
  <c r="BX22" i="16"/>
  <c r="BY22" i="16"/>
  <c r="BY24" i="16"/>
  <c r="BX24" i="16"/>
  <c r="BT31" i="16"/>
  <c r="BX19" i="16"/>
  <c r="BY19" i="16"/>
  <c r="BZ21" i="17"/>
  <c r="N21" i="17" s="1"/>
  <c r="N23" i="17"/>
  <c r="AK18" i="16"/>
  <c r="C18" i="16" s="1"/>
  <c r="BP30" i="16"/>
  <c r="BQ30" i="16" s="1"/>
  <c r="J30" i="16" s="1"/>
  <c r="BQ18" i="16"/>
  <c r="J18" i="16" s="1"/>
  <c r="V30" i="16"/>
  <c r="AI30" i="16"/>
  <c r="AJ30" i="16"/>
  <c r="K38" i="12" l="1"/>
  <c r="J38" i="12"/>
  <c r="J85" i="12" s="1"/>
  <c r="K85" i="12"/>
  <c r="M38" i="12"/>
  <c r="M85" i="12" s="1"/>
  <c r="M37" i="12"/>
  <c r="M84" i="12" s="1"/>
  <c r="BZ18" i="16"/>
  <c r="M18" i="16" s="1"/>
  <c r="BZ24" i="16"/>
  <c r="M24" i="16" s="1"/>
  <c r="BZ30" i="16"/>
  <c r="M30" i="16" s="1"/>
  <c r="BZ22" i="16"/>
  <c r="M22" i="16" s="1"/>
  <c r="BZ19" i="16"/>
  <c r="M19" i="16" s="1"/>
  <c r="BX31" i="16"/>
  <c r="BY31" i="16"/>
  <c r="BZ23" i="16"/>
  <c r="M23" i="16" s="1"/>
  <c r="AK30" i="16"/>
  <c r="C30" i="16" s="1"/>
  <c r="T30" i="16"/>
  <c r="W30" i="16" s="1"/>
  <c r="X30" i="16" s="1"/>
  <c r="B30" i="16" s="1"/>
  <c r="BZ31" i="16" l="1"/>
  <c r="M31" i="16" s="1"/>
  <c r="BD18" i="17"/>
  <c r="BG18" i="17" s="1"/>
  <c r="BH18" i="17" s="1"/>
  <c r="J18" i="17" s="1"/>
  <c r="BE18" i="16"/>
  <c r="BH18" i="16" s="1"/>
  <c r="BI18" i="16" s="1"/>
  <c r="I18" i="16" s="1"/>
  <c r="K36" i="4" l="1"/>
  <c r="E36" i="27" l="1"/>
  <c r="I69" i="37" l="1"/>
  <c r="I58" i="37"/>
  <c r="I68" i="37" s="1"/>
  <c r="S100" i="38"/>
  <c r="T100" i="38" l="1"/>
  <c r="M76" i="4" s="1"/>
  <c r="M8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tc={8B5199CD-3D56-4BD5-A1DB-8D78312DCA32}</author>
    <author>tc={6C6EB1EE-A549-4A7A-A6FD-EB2BFD777020}</author>
    <author>tc={CEF466E6-0FF4-4A8F-927B-F82ED8FC5C38}</author>
  </authors>
  <commentList>
    <comment ref="C8" authorId="0" shapeId="0" xr:uid="{8B5199CD-3D56-4BD5-A1DB-8D78312DCA32}">
      <text>
        <t>[Threaded comment]
Your version of Excel allows you to read this threaded comment; however, any edits to it will get removed if the file is opened in a newer version of Excel. Learn more: https://go.microsoft.com/fwlink/?linkid=870924
Comment:
    XLS interpolation method</t>
      </text>
    </comment>
    <comment ref="D8" authorId="1" shapeId="0" xr:uid="{6C6EB1EE-A549-4A7A-A6FD-EB2BFD777020}">
      <text>
        <t>[Threaded comment]
Your version of Excel allows you to read this threaded comment; however, any edits to it will get removed if the file is opened in a newer version of Excel. Learn more: https://go.microsoft.com/fwlink/?linkid=870924
Comment:
    fTHg = wwTHg - pTHg</t>
      </text>
    </comment>
    <comment ref="F8" authorId="2" shapeId="0" xr:uid="{CEF466E6-0FF4-4A8F-927B-F82ED8FC5C38}">
      <text>
        <t>[Threaded comment]
Your version of Excel allows you to read this threaded comment; however, any edits to it will get removed if the file is opened in a newer version of Excel. Learn more: https://go.microsoft.com/fwlink/?linkid=870924
Comment:
    XLS interpolation metho</t>
      </text>
    </comment>
  </commentList>
</comments>
</file>

<file path=xl/sharedStrings.xml><?xml version="1.0" encoding="utf-8"?>
<sst xmlns="http://schemas.openxmlformats.org/spreadsheetml/2006/main" count="3636" uniqueCount="346">
  <si>
    <t>Inflow 11452600</t>
  </si>
  <si>
    <t>WY 2010</t>
  </si>
  <si>
    <t>WY 2011</t>
  </si>
  <si>
    <t>WY 2012</t>
  </si>
  <si>
    <t>WY 2013</t>
  </si>
  <si>
    <t>WY 2014</t>
  </si>
  <si>
    <t>P-THg</t>
  </si>
  <si>
    <t>F-THg</t>
  </si>
  <si>
    <t>kg</t>
  </si>
  <si>
    <t>WW-THg</t>
  </si>
  <si>
    <t>P+F-THg</t>
  </si>
  <si>
    <t>Outflow Weir (Spilllway) 11452800</t>
  </si>
  <si>
    <t>Outflow Gate 11452900</t>
  </si>
  <si>
    <r>
      <t>10</t>
    </r>
    <r>
      <rPr>
        <vertAlign val="superscript"/>
        <sz val="11"/>
        <color theme="1"/>
        <rFont val="Calibri"/>
        <family val="2"/>
        <scheme val="minor"/>
      </rPr>
      <t xml:space="preserve">6 </t>
    </r>
    <r>
      <rPr>
        <sz val="11"/>
        <color theme="1"/>
        <rFont val="Calibri"/>
        <family val="2"/>
        <scheme val="minor"/>
      </rPr>
      <t>kg</t>
    </r>
  </si>
  <si>
    <t>Total Outflow (11452901) - sum of 11452800 and 11452900</t>
  </si>
  <si>
    <t>Combined Outflow (11452901) - weighted average of 11452800 and 11452900</t>
  </si>
  <si>
    <t>SS-L</t>
  </si>
  <si>
    <t>SS-G</t>
  </si>
  <si>
    <t>P-THg-L</t>
  </si>
  <si>
    <t>na</t>
  </si>
  <si>
    <t>P-MeHg</t>
  </si>
  <si>
    <t>F-MeHg</t>
  </si>
  <si>
    <t>P+F-MeHg</t>
  </si>
  <si>
    <t>WW-MeHg</t>
  </si>
  <si>
    <t>P-MeHg-L</t>
  </si>
  <si>
    <t>Total Outflow 11452901 - sum of 11452800 and 11452900</t>
  </si>
  <si>
    <t>sum</t>
  </si>
  <si>
    <t>Total flow</t>
  </si>
  <si>
    <r>
      <t>10</t>
    </r>
    <r>
      <rPr>
        <vertAlign val="super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 xml:space="preserve"> L</t>
    </r>
  </si>
  <si>
    <t>conc.</t>
  </si>
  <si>
    <t>volume</t>
  </si>
  <si>
    <t>load</t>
  </si>
  <si>
    <t>nd</t>
  </si>
  <si>
    <t>Combined Outflow 11452901 - flow-weighted average of 11452800 and 11452900</t>
  </si>
  <si>
    <t>n</t>
  </si>
  <si>
    <t>load (SE)</t>
  </si>
  <si>
    <t>Inflow (11452600) vs. Total Outflow (11452901) - sum of 11452800 and 11452900</t>
  </si>
  <si>
    <t>TE</t>
  </si>
  <si>
    <t>Inflow (11452600) vs. Combined Outflow (11452901) - weighted average of 11452800 and 11452900</t>
  </si>
  <si>
    <t>TE (SE)</t>
  </si>
  <si>
    <t>I</t>
  </si>
  <si>
    <t>O</t>
  </si>
  <si>
    <t>SE-I</t>
  </si>
  <si>
    <t>SE-O</t>
  </si>
  <si>
    <t>term1</t>
  </si>
  <si>
    <t>term2</t>
  </si>
  <si>
    <t>[(SEo)^2]*[(1/I)^2]</t>
  </si>
  <si>
    <t>sqrt (term 1 + term 2)</t>
  </si>
  <si>
    <t>SE-TE</t>
  </si>
  <si>
    <t>[(SEi^2)]*[(-O/I^2))^2]</t>
  </si>
  <si>
    <t>https://en.wikipedia.org/wiki/Propagation_of_uncertainty</t>
  </si>
  <si>
    <t>see "Resistance Measurement"</t>
  </si>
  <si>
    <t>[(Seo)/O)^2)</t>
  </si>
  <si>
    <t>((Sei/I)2</t>
  </si>
  <si>
    <t>sqrt(t1+t2)</t>
  </si>
  <si>
    <t>(I/O)(t3)</t>
  </si>
  <si>
    <t>pTHg</t>
  </si>
  <si>
    <t>fTHg</t>
  </si>
  <si>
    <t>p+fTHg</t>
  </si>
  <si>
    <t>wwTHg</t>
  </si>
  <si>
    <t>pTHg-L</t>
  </si>
  <si>
    <t>pTHg-G</t>
  </si>
  <si>
    <t>pMeHg</t>
  </si>
  <si>
    <t>fMeHg</t>
  </si>
  <si>
    <t>p+fMeHg</t>
  </si>
  <si>
    <t>wwMeHg</t>
  </si>
  <si>
    <t>pMeHg-L</t>
  </si>
  <si>
    <t>pMeHg-G</t>
  </si>
  <si>
    <t>pTHg-L + fTHg</t>
  </si>
  <si>
    <t>pTHg-G + fTHg</t>
  </si>
  <si>
    <t>Average</t>
  </si>
  <si>
    <t>wwTHg load</t>
  </si>
  <si>
    <t>kg/yr</t>
  </si>
  <si>
    <t>pMeHg-L + fMeHg</t>
  </si>
  <si>
    <t>pMeHg-G + fMeHg</t>
  </si>
  <si>
    <t>wwMeHg load</t>
  </si>
  <si>
    <t>SS-L load</t>
  </si>
  <si>
    <t>SS-G Load</t>
  </si>
  <si>
    <r>
      <t>10</t>
    </r>
    <r>
      <rPr>
        <vertAlign val="superscript"/>
        <sz val="11"/>
        <color theme="1"/>
        <rFont val="Calibri"/>
        <family val="2"/>
        <scheme val="minor"/>
      </rPr>
      <t xml:space="preserve">6 </t>
    </r>
    <r>
      <rPr>
        <sz val="11"/>
        <color theme="1"/>
        <rFont val="Calibri"/>
        <family val="2"/>
        <scheme val="minor"/>
      </rPr>
      <t>kg/yr</t>
    </r>
  </si>
  <si>
    <t xml:space="preserve">Average </t>
  </si>
  <si>
    <t>SS-L and SS-G loads</t>
  </si>
  <si>
    <t>(n=6)</t>
  </si>
  <si>
    <t>(n=12)</t>
  </si>
  <si>
    <t>(n=2)</t>
  </si>
  <si>
    <t>min</t>
  </si>
  <si>
    <t>max</t>
  </si>
  <si>
    <t>Total Mercury</t>
  </si>
  <si>
    <t>Suspended Sediment</t>
  </si>
  <si>
    <t>WY 2015</t>
  </si>
  <si>
    <t xml:space="preserve">avg TE SS </t>
  </si>
  <si>
    <t>s.d.</t>
  </si>
  <si>
    <t>avg.</t>
  </si>
  <si>
    <t>avg TE p.THg</t>
  </si>
  <si>
    <t>avt TE ww.THg</t>
  </si>
  <si>
    <t>P-THg-L + F-THg</t>
  </si>
  <si>
    <t>WY 2016</t>
  </si>
  <si>
    <r>
      <t>[THg, total mercury; MeHg, methylmercury; RHg(II), reactive divalent mercury, LOI, loss on ignition; TRS, total reduced sulfur; GSD, grain-size distribution by laser-scattering; DOC, dissolved organic carbon;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S, hydrogen sulfide; 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, sulfate; Cl, chloride; * Hg(II)-methylation potential and pore-water constituents determined only for samples with overlying water]</t>
    </r>
  </si>
  <si>
    <t>Phase</t>
  </si>
  <si>
    <t>dates</t>
  </si>
  <si>
    <t>number of sampling events</t>
  </si>
  <si>
    <t>number of locations per sampling event</t>
  </si>
  <si>
    <t>number of unique environmental samples</t>
  </si>
  <si>
    <t>number of replicate samples</t>
  </si>
  <si>
    <t>total number of samples per Phase</t>
  </si>
  <si>
    <t>constituents analyzed in solids</t>
  </si>
  <si>
    <t>constituents analyzed in pore waters</t>
  </si>
  <si>
    <t>objectives</t>
  </si>
  <si>
    <t>Apr. 2010 - Mar. 2012</t>
  </si>
  <si>
    <t>6 to 8</t>
  </si>
  <si>
    <t>THg, MeHg, RHg(II), moisture, LOI, TRS, Fe species, GSD</t>
  </si>
  <si>
    <t>none</t>
  </si>
  <si>
    <t>Reconnaissance of spatial variation: east vs. west and 2 habitats: agricultural vs. non-agricultural</t>
  </si>
  <si>
    <t>Feb. 2013 - Mar. 2015</t>
  </si>
  <si>
    <t>90 to 92</t>
  </si>
  <si>
    <r>
      <t>THg, MeHg, DOC,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S, 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, Cl in selected samples*</t>
    </r>
  </si>
  <si>
    <t>Detailed investigation of spatial variation among 4 level-one habitats (open water, riparian, floodplain, and agricultural) and 8 level-two subhabitats; temporal variation by season</t>
  </si>
  <si>
    <t>12 to 13</t>
  </si>
  <si>
    <t>THg, MeHg, RHg(II), moisture, LOI, TRS, Fe species, GSD.  Hg(II)-methylation potential*</t>
  </si>
  <si>
    <t>Detailed investigation of temporal variation by month; 4 level-one habitats and 5 level-two habitats, each represented in east and west</t>
  </si>
  <si>
    <t>Totals</t>
  </si>
  <si>
    <t xml:space="preserve"> </t>
  </si>
  <si>
    <t>[MeHg, methylmercury; pMeHg, particulate methylmercury; fMeHg, filtered methylmercury; p+fMeHg, particulate plus filtered methylmercury; wwMeHg, whole-water methylmercury; SS-L, suspended sediment load from LOADEST model; SS-G, suspended sediment load from GLCAS model; pMeHg-L, particulate methylmercury load from multiplying geometric mean gravimetric pMeHg  concentration times SS-L; pMeHg-G, particulate methylmercury load from multiplying geometric mean gravimetric pMeHg concentration times SS-G;TE, Trap Efficiency; SE, standard error;  TE data in Table 7]</t>
  </si>
  <si>
    <t>[MeHg, methylmercury; pMeHg, particulate methylmercury; fMeHg, filtered methylmercury; p+fMeHg, particulate plus filtered methylmercury; wwMeHg, whole-water methylmercury; SS-L, suspended sediment load from LOADEST model; SS-G, suspended sediment load from GLCAS model; pMeHg-L, particulate methylmercury load from multiplying geometric mean gravimetric pMeHg  concentration times SS-L; pMeHg-G, particulate methylmercury load from multiplying geometric mean gravimetric pMeHg concentration times SS-G; TE, Trap Efficiency; TE computed as (LoadIn-LoadOut)/(LoadIn) using load data in table 6, as indicated; nd, not determined]</t>
  </si>
  <si>
    <t>[THg, total mercury; pTHg, particulate total mercury; fTHg, filtered total mercury; p+fTHg, particulate plus filtered total mercury; wwTHg, whole-water total mercury; SS-L, suspended sediment load from LOADEST model; SS-G, suspended sediment load from GLCAS model; pTHg-L, particulate total mercury load from multiplying geomteric mean gravimetric pTHg  concentration times SS-L; pTHg-G, particulate total mercury load from multiplying geometric mean gravimetric pTHg concentration times SS-G; TE, Trap Efficiency; SE, standard error;  TE data in Table 3]</t>
  </si>
  <si>
    <t>[THg, total mercury; pTHg, particulate total mercury; fTHg, filtered total mercury; p+fTHg, particulate plus filtered total mercury; wwTHg, whole-water total mercury; SS-L, suspended sediment load from LOADEST model; SS-G, suspended sediment load from GLCAS model; pTHg-L, particulate total mercury load from multiplying geometric mean gravimetric pTHg  concentration times SS-L; pTHg-G, particulate total mercury load from multiplying geometric mean gravimetric pTHg concentration times SS-G; TE, Trap Efficiency; TE computed as (LoadIn-LoadOut)/(LoadIn) using load data in table 2, as indicated]</t>
  </si>
  <si>
    <t>WY 2017</t>
  </si>
  <si>
    <t>load/flow (apparent concentration, ng/L)</t>
  </si>
  <si>
    <t>Mar. 2015 - Jul. 2016, Jun.-Jul. 2017</t>
  </si>
  <si>
    <t>WY 2018</t>
  </si>
  <si>
    <t>WY 2010-2018 sum</t>
  </si>
  <si>
    <t>9-yr</t>
  </si>
  <si>
    <t>Combined Outflow (11452901) - flow-weighted average of 11452800 and 11452900</t>
  </si>
  <si>
    <t>(n=3)</t>
  </si>
  <si>
    <t>% filtered</t>
  </si>
  <si>
    <t>[ratio of pTHg load to SS-L load]             ng/g</t>
  </si>
  <si>
    <t>Average of Total Outflow and Combined Outflow</t>
  </si>
  <si>
    <t>(median)           ng/g</t>
  </si>
  <si>
    <t>[THg, total mercury; pTHg, particulate total mercury; fTHg, filtered total mercury; p+fTHg, particulate plus filtered total mercury; wwTHg, whole-water total mercury; SS-L, suspended sediment load from LOADEST model; SS-G, suspended sediment load from GLCAS model; pTHg-L, particulate total mercury load from multiplying median gravimetric pTHg  concentration times SS-L; pTHg-G, particulate total mercury load from multiplying median gravimetric pTHg concentration times SS-G; conc., concentration; light orange shading indicates filtered total mercury load; medium orange shading indicates particulate total mercury load; dark orange shading indicates whole-water total mercury load; light gray shading indicates suspended sediment load; in pTHg conc. column, red font indicates estimated total mercury concentration from ratio of total mercury load to suspended sediment load from LOADEST (SS-L) and bold black font indicates 9-year flow-weighted average of laboratory data for gravimetric pTHg concentraions on filters; ng/g, nanogram per gram]</t>
  </si>
  <si>
    <t>pTHg load</t>
  </si>
  <si>
    <t>[MeHg, methylmercury; pMeHg, particulate methylmercury; fMeHg, filtered methylmercury; p+fMeHg, particulate plus filtered methylmercury; wwMeHg, whole-water methylmercury; SS-L, suspended sediment load from LOADEST model; SS-G, suspended sediment load from GLCAS model; pMeHg-L, particulate methylmercury load from multiplying median gravimetric pMeHg  concentration times SS-L; pMeHg-G, particulate methylmercury load from multiplying median gravimetric pMeHg concentration times SS-G; SE, standard error of the mean; kg, kilogram; ng/g, nanogram per gram; conc., concentration; light orange shading indicates filtered methylmercury load; medium orange shading indicates particulate methylmercury load; dark orange shading indicates whole-water methylmercury load; gray shading indicates suspended sediment load]</t>
  </si>
  <si>
    <t>[THg, total mercury; pTHg, particulate total mercury; fTHg, filtered total mercury; p+fTHg, particulate plus filtered total mercury; wwTHg, whole-water total mercury; SS-L, suspended sediment load from LOADEST model; SS-G, suspended sediment load from GLCAS model; pTHg-L, particulate total mercury load from multiplying median gravimetric pTHg  concentration times SS-L; pTHg-G, particulate total mercury load from multiplying median gravimetric pTHg concentration times SS-G; conc., concentration; SE, standard error of the mean; light orange shading indicates filtered total mercury load; medium orange shading indicates particulate total mercury load; dark orange shading ind indicates whole-water total mercury load; gray sahding indicates suspended sediment load]</t>
  </si>
  <si>
    <t>[MeHg, methylmercury; pMeHg, particulate methylmercury; fMeHg, filtered methylmercury; p+fMeHg, particulate plus filtered methylmercury; wwMeHg, whole-water methylmercury; SS-L, suspended sediment load from LOADEST model; SS-G, suspended sediment load from GLCAS model; pMeHg-L, particulate methylmercury load from multiplying geometric mean gravimetric pMeHg  concentration times SS-L; pMeHg-G, particulate methylmercury load from multiplying geometric mean gravimetric pMeHg concentration times SS-G; kg, kilogram; ng/g, nanogram per gram; conc., concentration; light orange shading indicates filtered methylmercury load; medium orange shading indicates particulate methylmercury load; dark orange shading indicates whole-water methylmercury load; gray shading indicates suspended sediment load]</t>
  </si>
  <si>
    <t>Water Year</t>
  </si>
  <si>
    <t>Rumsey</t>
  </si>
  <si>
    <t>not sampled</t>
  </si>
  <si>
    <t>LOADEST or XLS (pre-fire)</t>
  </si>
  <si>
    <t>LOADEST, 2016-18</t>
  </si>
  <si>
    <t>Yolo</t>
  </si>
  <si>
    <t>LOADEST, 2017-18</t>
  </si>
  <si>
    <t>Road 102</t>
  </si>
  <si>
    <t>LOADEST (pre-fire) 2010-15</t>
  </si>
  <si>
    <t>LOADEST, 2016-17</t>
  </si>
  <si>
    <t>no flow</t>
  </si>
  <si>
    <t>Station Location</t>
  </si>
  <si>
    <t>CCSB Gated Outlet</t>
  </si>
  <si>
    <t>CCSB Weir / Spillway</t>
  </si>
  <si>
    <t>CCSB Combined Outflow</t>
  </si>
  <si>
    <t>[CCSB, Cache Creek Settling Basin]</t>
  </si>
  <si>
    <t>USGS Station Number</t>
  </si>
  <si>
    <t>Inflow at Road 102 - 11452600</t>
  </si>
  <si>
    <t>Standard error</t>
  </si>
  <si>
    <t>Inflow at Yolo - 11452500</t>
  </si>
  <si>
    <t>Ratio Yolo/Road 102</t>
  </si>
  <si>
    <t>[THg, total mercury; pTHg, particulate total mercury; fTHg, filtered total mercury; p+fTHg, particulate plus filtered total mercury; wwTHg, whole-water total mercury; SS-L, suspended sediment load from LOADEST model; SS-G, suspended sediment load from GLCAS model; pTHg-L, particulate total mercury load from multiplying geometric mean gravimetric pTHg  concentration times SS-L; pTHg-G, particulate total mercury load from multiplying geometric mean gravimetric pTHg concentration times SS-G; conc., concentration; light orange shading indicates filtered mercury load; medium orange shading indicates particulate total mercury load; dark orange shading indicates whole-water total mercury load; gray shading indicates suspended sediment load]</t>
  </si>
  <si>
    <t>Cache Creek at Yolo - 11452500</t>
  </si>
  <si>
    <t>Cache Creek at Road 102 - 11452600</t>
  </si>
  <si>
    <t>%pMeHg</t>
  </si>
  <si>
    <t>%fMeHg</t>
  </si>
  <si>
    <t>%(p+f)     MeHg</t>
  </si>
  <si>
    <t>%ww      MeHg</t>
  </si>
  <si>
    <t>%pMeHg-L</t>
  </si>
  <si>
    <t>%pMeHg-G</t>
  </si>
  <si>
    <t>%(pMeHg-L + fMeHg)</t>
  </si>
  <si>
    <t>%(pMeHg-G + fMeHg)</t>
  </si>
  <si>
    <t>[MeHg, total mercury; pMeHg, particulate total mercury; fMeHg, filtered total mercury; p+fMeHg, particulate plus filtered total mercury; wwMeHg, whole-water total mercury; SS-L, suspended sediment load from LOADEST model; SS-G, suspended sediment load from GLCAS model; pTHg-L, particulate total mercury load from multiplying median gravimetric pMeHg  concentration times SS-L; pMeHg-G, particulate total mercury load from multiplying median gravimetric pMeHg concentration times SS-G; conc., concentration; light orange shading indicates filtered methylmercury load; medium orange shading indicates particulate methylmercury load; dark orange shading indicates whole-water methylmercury load; gray shading indicates suspended sediment load]</t>
  </si>
  <si>
    <t>[%pMeHg load, ratio of particulate methylmercury load to partciulate total mercury load, in percent; %fMeHg load, ratio of  filtered methylmercury load to total mercury load, in percent; %(p+f)MeHg load, ratio of particulate plus filtered methylmercury load to particulate plus filtered total mercury load, in percent;  %wwMeHg, ratio of whole water methylmercury load to whole water total mercury load, in percent; %pMeHg conc., ratio of median particulate methylmercury concentration to median particulate total mercury concentration, in percent; %pMeHg-L load; ratio of particulate methylmercury load to particulate total mercury load, computed from LOADEST suspended sediment load, in percent; %pMeHg-G load, ratio of particulate methylmercury load to total mercury load, computed from GCLAS suspended sediment load, in percent]</t>
  </si>
  <si>
    <t>%Standard error</t>
  </si>
  <si>
    <t>South Abutment - 11452800</t>
  </si>
  <si>
    <t xml:space="preserve">North Abutment - </t>
  </si>
  <si>
    <t>South:North ratio</t>
  </si>
  <si>
    <t>WY2013</t>
  </si>
  <si>
    <t>WY2014</t>
  </si>
  <si>
    <t>WY2015</t>
  </si>
  <si>
    <t>WY2016</t>
  </si>
  <si>
    <t>WY2017</t>
  </si>
  <si>
    <t>WY2019</t>
  </si>
  <si>
    <t>WY2018</t>
  </si>
  <si>
    <t>Total WY2013-19</t>
  </si>
  <si>
    <t>7-yr</t>
  </si>
  <si>
    <t>Storm event number</t>
  </si>
  <si>
    <t>CCSB Weir</t>
  </si>
  <si>
    <t>Date</t>
  </si>
  <si>
    <t>Time</t>
  </si>
  <si>
    <t>cfs</t>
  </si>
  <si>
    <t>1?21?2017</t>
  </si>
  <si>
    <t>[R, rising limb; P, peak (within 10 percent of maximum discharge); F, falling limb]</t>
  </si>
  <si>
    <t>R</t>
  </si>
  <si>
    <t>P</t>
  </si>
  <si>
    <t>F</t>
  </si>
  <si>
    <t>--</t>
  </si>
  <si>
    <t>–</t>
  </si>
  <si>
    <r>
      <rPr>
        <b/>
        <sz val="12"/>
        <color theme="1"/>
        <rFont val="Times New Roman"/>
        <family val="1"/>
      </rPr>
      <t>Table 2</t>
    </r>
    <r>
      <rPr>
        <sz val="12"/>
        <color theme="1"/>
        <rFont val="Times New Roman"/>
        <family val="1"/>
      </rPr>
      <t>. Summary of shallow sediment sampling phases within the Cache Creek Settling Basin for mercury studies</t>
    </r>
  </si>
  <si>
    <r>
      <rPr>
        <b/>
        <sz val="11"/>
        <color theme="1"/>
        <rFont val="Calibri"/>
        <family val="2"/>
        <scheme val="minor"/>
      </rPr>
      <t>Table 3.</t>
    </r>
    <r>
      <rPr>
        <sz val="11"/>
        <color theme="1"/>
        <rFont val="Calibri"/>
        <family val="2"/>
        <scheme val="minor"/>
      </rPr>
      <t xml:space="preserve"> Details of load calculations for Cache Creek sites, Water Years 2010-2018.</t>
    </r>
  </si>
  <si>
    <r>
      <rPr>
        <b/>
        <sz val="12"/>
        <color theme="1"/>
        <rFont val="Calibri"/>
        <family val="2"/>
        <scheme val="minor"/>
      </rPr>
      <t>Table 5</t>
    </r>
    <r>
      <rPr>
        <sz val="12"/>
        <color theme="1"/>
        <rFont val="Calibri"/>
        <family val="2"/>
        <scheme val="minor"/>
      </rPr>
      <t>. Summary of load calculations for total mercury, comparing Cache Creek at Yolo with Cache Creek at Road 102, water year 2017</t>
    </r>
  </si>
  <si>
    <r>
      <rPr>
        <b/>
        <sz val="12"/>
        <color theme="1"/>
        <rFont val="Calibri"/>
        <family val="2"/>
        <scheme val="minor"/>
      </rPr>
      <t>Table 8</t>
    </r>
    <r>
      <rPr>
        <sz val="12"/>
        <color theme="1"/>
        <rFont val="Calibri"/>
        <family val="2"/>
        <scheme val="minor"/>
      </rPr>
      <t>. Trap efficiency standard error calculations for total mercury, Cache Creek Settling Basin, California, water years 2010-18</t>
    </r>
  </si>
  <si>
    <r>
      <t xml:space="preserve">Table 10B. </t>
    </r>
    <r>
      <rPr>
        <sz val="11"/>
        <color theme="1"/>
        <rFont val="Calibri"/>
        <family val="2"/>
        <scheme val="minor"/>
      </rPr>
      <t xml:space="preserve"> Summary of load calculations, ratio of methylmercury to total mercury, Cache Creek Settling Basin, California, comparing Inflow at Road 102 with Cache Creek at Yolo, water year 2017</t>
    </r>
  </si>
  <si>
    <r>
      <rPr>
        <b/>
        <sz val="12"/>
        <color theme="1"/>
        <rFont val="Calibri"/>
        <family val="2"/>
        <scheme val="minor"/>
      </rPr>
      <t>Table 10A</t>
    </r>
    <r>
      <rPr>
        <sz val="12"/>
        <color theme="1"/>
        <rFont val="Calibri"/>
        <family val="2"/>
        <scheme val="minor"/>
      </rPr>
      <t>. Summary of load calculations for methylmercury, Cache Creek Settling Basin, California, comparing Inflow at Road 102 with Cache Creek at Yolo, water year 2017</t>
    </r>
  </si>
  <si>
    <r>
      <rPr>
        <b/>
        <sz val="12"/>
        <color theme="1"/>
        <rFont val="Calibri"/>
        <family val="2"/>
        <scheme val="minor"/>
      </rPr>
      <t>Table 13.</t>
    </r>
    <r>
      <rPr>
        <sz val="12"/>
        <color theme="1"/>
        <rFont val="Calibri"/>
        <family val="2"/>
        <scheme val="minor"/>
      </rPr>
      <t xml:space="preserve"> Trap efficiency standard error calculations for methylmercury, Cache Creek Settling Basin, California, water years 2010-18</t>
    </r>
  </si>
  <si>
    <r>
      <rPr>
        <b/>
        <sz val="14"/>
        <color theme="1"/>
        <rFont val="Calibri"/>
        <family val="2"/>
        <scheme val="minor"/>
      </rPr>
      <t xml:space="preserve">Table 1A. </t>
    </r>
    <r>
      <rPr>
        <sz val="14"/>
        <color theme="1"/>
        <rFont val="Calibri"/>
        <family val="2"/>
        <scheme val="minor"/>
      </rPr>
      <t>Peak discharge of largest storm events during Water Year 2017 at four sampling stations on Cache Creek, Yolo County, California</t>
    </r>
  </si>
  <si>
    <r>
      <rPr>
        <b/>
        <sz val="14"/>
        <color theme="1"/>
        <rFont val="Calibri"/>
        <family val="2"/>
        <scheme val="minor"/>
      </rPr>
      <t xml:space="preserve">Table 1B. </t>
    </r>
    <r>
      <rPr>
        <sz val="14"/>
        <color theme="1"/>
        <rFont val="Calibri"/>
        <family val="2"/>
        <scheme val="minor"/>
      </rPr>
      <t>Water-quality sample collection in relation to peak discharge of largest storm events during Water Year 2017 at four sampling stations on Cache Creek, Yolo County, California</t>
    </r>
  </si>
  <si>
    <t>[cfs, cubic feet per second; Discharge data from USGS National Water Information System, http://waterdata.usgs.gov/; station number indicated; discharge at station 11452600 estimated from station 11452500 with 2-hour offset]</t>
  </si>
  <si>
    <t>Numbers indicate percentage of peak discharge at time of sample collection; bold numbers indicate that multiple samples were collected; separate samples at CCSB Weir were taken both at station 11452800 (south abutment) and at station 384115121402501 (north abutment); percentage of peak discharge at weir represents average conditions for paired samples at north and south abutments.]</t>
  </si>
  <si>
    <t xml:space="preserve"> nd</t>
  </si>
  <si>
    <t>avg TE pMeHg</t>
  </si>
  <si>
    <t>(n=5)</t>
  </si>
  <si>
    <t>(n=10)</t>
  </si>
  <si>
    <t>Average of South and North</t>
  </si>
  <si>
    <t>Total WY2013-18</t>
  </si>
  <si>
    <t>load (%SE)</t>
  </si>
  <si>
    <r>
      <rPr>
        <b/>
        <sz val="12"/>
        <color theme="1"/>
        <rFont val="Calibri"/>
        <family val="2"/>
        <scheme val="minor"/>
      </rPr>
      <t>Table 7b</t>
    </r>
    <r>
      <rPr>
        <sz val="12"/>
        <color theme="1"/>
        <rFont val="Calibri"/>
        <family val="2"/>
        <scheme val="minor"/>
      </rPr>
      <t>. Summary of load calculations for total mercury,  percentage standard error of the mean, Cache Creek Settling Basin, California, water years 2010-18</t>
    </r>
  </si>
  <si>
    <r>
      <rPr>
        <b/>
        <sz val="12"/>
        <color theme="1"/>
        <rFont val="Calibri"/>
        <family val="2"/>
        <scheme val="minor"/>
      </rPr>
      <t xml:space="preserve">Table 12a. </t>
    </r>
    <r>
      <rPr>
        <sz val="12"/>
        <color theme="1"/>
        <rFont val="Calibri"/>
        <family val="2"/>
        <scheme val="minor"/>
      </rPr>
      <t>Summary of load calculations for methylmercury, standard error of the mean, Cache Creek Settling Basin, California, water years 2010-18</t>
    </r>
  </si>
  <si>
    <t>S:N</t>
  </si>
  <si>
    <t>(S+N):All</t>
  </si>
  <si>
    <r>
      <rPr>
        <b/>
        <sz val="12"/>
        <color theme="1"/>
        <rFont val="Calibri"/>
        <family val="2"/>
        <scheme val="minor"/>
      </rPr>
      <t xml:space="preserve">Table 12b. </t>
    </r>
    <r>
      <rPr>
        <sz val="12"/>
        <color theme="1"/>
        <rFont val="Calibri"/>
        <family val="2"/>
        <scheme val="minor"/>
      </rPr>
      <t>Summary of load calculations for methylmercury, percentage standard error of the mean, Cache Creek Settling Basin, California, water years 2010-18</t>
    </r>
  </si>
  <si>
    <t>[THg, total mercury; pTHg, particulate total mercury; fTHg, filtered total mercury; p+fTHg, particulate plus filtered total mercury; wwTHg, whole-water total mercury; SS-L, suspended sediment load from LOADEST model; SS-G, suspended sediment load from GLCAS model; pTHg-L, particulate total mercury load from multiplying median gravimetric pTHg  concentration times SS-L; pTHg-G, particulate total mercury load from multiplying median gravimetric pTHg concentration times SS-G; conc., concentration; %SE, percentage standard error of the mean (=100*(standard error of the mean load)/load); light orange shading indicates filtered total mercury load; medium orange shading indicates particulate total mercury load; dark orange shading ind indicates whole-water total mercury load; gray sahding indicates suspended sediment load]</t>
  </si>
  <si>
    <t>[MeHg, methylmercury; pMeHg, particulate methylmercury; fMeHg, filtered methylmercury; p+fMeHg, particulate plus filtered methylmercury; wwMeHg, whole-water methylmercury; SS-L, suspended sediment load from LOADEST model; SS-G, suspended sediment load from GLCAS model; pMeHg-L, particulate methylmercury load from multiplying median gravimetric pMeHg  concentration times SS-L; pMeHg-G, particulate methylmercury load from multiplying median gravimetric pMeHg concentration times SS-G; %SE, standard error of the mean (=100*(standard error of the mean load)/load); kg, kilogram; ng/g, nanogram per gram; conc., concentration; light orange shading indicates filtered methylmercury load; medium orange shading indicates particulate methylmercury load; dark orange shading indicates whole-water methylmercury load; gray shading indicates suspended sediment load]</t>
  </si>
  <si>
    <r>
      <rPr>
        <b/>
        <sz val="12"/>
        <color theme="1"/>
        <rFont val="Calibri"/>
        <family val="2"/>
        <scheme val="minor"/>
      </rPr>
      <t>Table 7a</t>
    </r>
    <r>
      <rPr>
        <sz val="12"/>
        <color theme="1"/>
        <rFont val="Calibri"/>
        <family val="2"/>
        <scheme val="minor"/>
      </rPr>
      <t>. Summary of load calculations for total mercury,  standard error of the mean, Cache Creek Settling Basin, California, water years 2010-18</t>
    </r>
  </si>
  <si>
    <t>[THg, total mercury; pTHg, particulate total mercury; fTHg, filtered total mercury; p+fTHg, particulate plus filtered total mercury; wwTHg, whole-water total mercury; SS-L, suspended sediment load from LOADEST model; SS-G, suspended sediment load from GLCAS model; pTHg-L, particulate total mercury load from multiplying geometric mean gravimetric pTHg  concentration times SS-L; pTHg-G, particulate total mercury load from multiplying geometric mean gravimetric pTHg concentration times SS-G; conc., concentration; light gray and orange shading indicates particulate total mercury load; dark gray and orange shading indicates whole-water total mercury load]</t>
  </si>
  <si>
    <t>Check Sum</t>
  </si>
  <si>
    <t>HSPF Results</t>
  </si>
  <si>
    <t>Silt-Clay-L</t>
  </si>
  <si>
    <t>Sand-L</t>
  </si>
  <si>
    <t>Sand+Silt-Clay   load</t>
  </si>
  <si>
    <t>SS-HSPF</t>
  </si>
  <si>
    <t>Sand-HSPF</t>
  </si>
  <si>
    <t>Silt+Clay</t>
  </si>
  <si>
    <t>Load</t>
  </si>
  <si>
    <t>(geometric mean)           ng/g</t>
  </si>
  <si>
    <t>tons</t>
  </si>
  <si>
    <t>Rumsey 11451800 (A. DWR discharge - WY2015)</t>
  </si>
  <si>
    <t>WY 2015-2018 sum</t>
  </si>
  <si>
    <t>WY 2015-2017 sum</t>
  </si>
  <si>
    <t>3-yr</t>
  </si>
  <si>
    <t>4-yr average</t>
  </si>
  <si>
    <t>kg/4 yrs</t>
  </si>
  <si>
    <r>
      <rPr>
        <b/>
        <sz val="12"/>
        <color theme="1"/>
        <rFont val="Calibri"/>
        <family val="2"/>
        <scheme val="minor"/>
      </rPr>
      <t>Table 19a</t>
    </r>
    <r>
      <rPr>
        <sz val="12"/>
        <color theme="1"/>
        <rFont val="Calibri"/>
        <family val="2"/>
        <scheme val="minor"/>
      </rPr>
      <t>. Summary of load calculations for total mercury, Cache Creek at Rumsey,  standard error of the mean, water years 2015-18</t>
    </r>
  </si>
  <si>
    <r>
      <rPr>
        <b/>
        <sz val="12"/>
        <color theme="1"/>
        <rFont val="Calibri"/>
        <family val="2"/>
        <scheme val="minor"/>
      </rPr>
      <t>Table 18</t>
    </r>
    <r>
      <rPr>
        <sz val="12"/>
        <color theme="1"/>
        <rFont val="Calibri"/>
        <family val="2"/>
        <scheme val="minor"/>
      </rPr>
      <t>. Summary of load calculations for total mercury, Cache Creek at Rumsey, water years 2015-18</t>
    </r>
  </si>
  <si>
    <t>WY 2019</t>
  </si>
  <si>
    <r>
      <rPr>
        <b/>
        <sz val="12"/>
        <color theme="1"/>
        <rFont val="Calibri"/>
        <family val="2"/>
        <scheme val="minor"/>
      </rPr>
      <t>Table 19b</t>
    </r>
    <r>
      <rPr>
        <sz val="12"/>
        <color theme="1"/>
        <rFont val="Calibri"/>
        <family val="2"/>
        <scheme val="minor"/>
      </rPr>
      <t>. Summary of load calculations for total mercury,  percentage standard error of the mean, Cache Creek at Rumsey, California, water years 2015-18</t>
    </r>
  </si>
  <si>
    <r>
      <rPr>
        <b/>
        <sz val="12"/>
        <color theme="1"/>
        <rFont val="Calibri"/>
        <family val="2"/>
        <scheme val="minor"/>
      </rPr>
      <t>Table 17a</t>
    </r>
    <r>
      <rPr>
        <sz val="12"/>
        <color theme="1"/>
        <rFont val="Calibri"/>
        <family val="2"/>
        <scheme val="minor"/>
      </rPr>
      <t>. Summary of load calculations for total mercury, standard error of the mean, comparison of north and south abutments of spillway, Cache Creek Settling Basin, California, water years 2013-19</t>
    </r>
  </si>
  <si>
    <r>
      <rPr>
        <b/>
        <sz val="12"/>
        <color theme="1"/>
        <rFont val="Calibri"/>
        <family val="2"/>
        <scheme val="minor"/>
      </rPr>
      <t>Table 16</t>
    </r>
    <r>
      <rPr>
        <sz val="12"/>
        <color theme="1"/>
        <rFont val="Calibri"/>
        <family val="2"/>
        <scheme val="minor"/>
      </rPr>
      <t>. Summary of mercury and suspended sediment load calculations for Cache Creek Settling Basin Spillway, north and south abutments, water years 2013-19</t>
    </r>
  </si>
  <si>
    <r>
      <rPr>
        <b/>
        <sz val="12"/>
        <color theme="1"/>
        <rFont val="Calibri"/>
        <family val="2"/>
        <scheme val="minor"/>
      </rPr>
      <t>Table 17c</t>
    </r>
    <r>
      <rPr>
        <sz val="12"/>
        <color theme="1"/>
        <rFont val="Calibri"/>
        <family val="2"/>
        <scheme val="minor"/>
      </rPr>
      <t>. Summary of methylmercury and sediment load calculations for Cache Creek Settling Basin Spillway, north and south abutments, water years 2013-19</t>
    </r>
  </si>
  <si>
    <t>check with Denis</t>
  </si>
  <si>
    <t>WY 2010-2019 sum</t>
  </si>
  <si>
    <t>[ratio of pMeHg load to SS-L load]             ng/g</t>
  </si>
  <si>
    <t xml:space="preserve">Yolo - 11452500 </t>
  </si>
  <si>
    <t>WY 2016-2019 sum</t>
  </si>
  <si>
    <t>Rumsey - 11451800</t>
  </si>
  <si>
    <t>WY 2015-2019 sum</t>
  </si>
  <si>
    <t>Road 102 - 11452600</t>
  </si>
  <si>
    <t>Inflow to CCSB (Road 102 WY2010-17, Yolo WY2018-19)</t>
  </si>
  <si>
    <t>WY 2010-2017 sum</t>
  </si>
  <si>
    <t>WY 2017-2019 sum</t>
  </si>
  <si>
    <t>10-yr</t>
  </si>
  <si>
    <t>8-yr</t>
  </si>
  <si>
    <t>5-yr</t>
  </si>
  <si>
    <t>Inflow (11452500 or 11452600) vs. Total Outflow (11452901) - sum of 11452800 and 11452900</t>
  </si>
  <si>
    <t>Inflow (11452500 or 11452600) vs. Combined Outflow (11452901) - weighted average of 11452800 and 11452900</t>
  </si>
  <si>
    <t>NR</t>
  </si>
  <si>
    <t>Outflow Weir (Spilllway) 11452800 (average of North and South abutments, WYs 2013-19)</t>
  </si>
  <si>
    <t>Ratio of South-North average with Flow-weighted average (combined site)</t>
  </si>
  <si>
    <t>ratio</t>
  </si>
  <si>
    <t>ng/g</t>
  </si>
  <si>
    <r>
      <rPr>
        <b/>
        <sz val="12"/>
        <color theme="1"/>
        <rFont val="Calibri"/>
        <family val="2"/>
        <scheme val="minor"/>
      </rPr>
      <t>Table 4a</t>
    </r>
    <r>
      <rPr>
        <sz val="12"/>
        <color theme="1"/>
        <rFont val="Calibri"/>
        <family val="2"/>
        <scheme val="minor"/>
      </rPr>
      <t>. Summary of load calculations for total mercury, Cache Creek Settling Basin, California, water years 2010-19 [Calibrated using daily average discharge]</t>
    </r>
  </si>
  <si>
    <r>
      <rPr>
        <b/>
        <sz val="12"/>
        <color theme="1"/>
        <rFont val="Calibri"/>
        <family val="2"/>
        <scheme val="minor"/>
      </rPr>
      <t xml:space="preserve">Table 9a. </t>
    </r>
    <r>
      <rPr>
        <sz val="12"/>
        <color theme="1"/>
        <rFont val="Calibri"/>
        <family val="2"/>
        <scheme val="minor"/>
      </rPr>
      <t>Summary of load calculations for methylmercury, Cache Creek Settling Basin, California, water years 2010-19 [Calibrated using daily average discharge]</t>
    </r>
  </si>
  <si>
    <r>
      <rPr>
        <b/>
        <sz val="12"/>
        <color theme="1"/>
        <rFont val="Calibri"/>
        <family val="2"/>
        <scheme val="minor"/>
      </rPr>
      <t xml:space="preserve">Table 9b. </t>
    </r>
    <r>
      <rPr>
        <sz val="12"/>
        <color theme="1"/>
        <rFont val="Calibri"/>
        <family val="2"/>
        <scheme val="minor"/>
      </rPr>
      <t>Summary of load calculations for methylmercury, Cache Creek Settling Basin, California, water years 2010-19 [[Calibrated using instantaneous discharge]</t>
    </r>
  </si>
  <si>
    <r>
      <rPr>
        <b/>
        <sz val="12"/>
        <color theme="1"/>
        <rFont val="Calibri"/>
        <family val="2"/>
        <scheme val="minor"/>
      </rPr>
      <t>Table 4b</t>
    </r>
    <r>
      <rPr>
        <sz val="12"/>
        <color theme="1"/>
        <rFont val="Calibri"/>
        <family val="2"/>
        <scheme val="minor"/>
      </rPr>
      <t>. Summary of load calculations for total mercury, Cache Creek Settling Basin, California, water years 2010-19 [Calibrated using instantaneous discharge]</t>
    </r>
  </si>
  <si>
    <t>Outflow Weir (Spilllway) 11452800 South abutment</t>
  </si>
  <si>
    <t>Excel interpolation method - Rumsey WY2015</t>
  </si>
  <si>
    <t>Loadest - Daily calibration</t>
  </si>
  <si>
    <t>Loadest - Unit value calibration</t>
  </si>
  <si>
    <t>Flow-weighted averaged of N and S abutment data - Calibrated with unit discharge values</t>
  </si>
  <si>
    <t>Flow-weighted average of N and S abutment data (modeled as one parameter)</t>
  </si>
  <si>
    <t>Flow-weighted averaged of N and S abutment data (modeled as one site, calibrated with daily average discharge)</t>
  </si>
  <si>
    <t>Flow-weighted averaged of N and S abutment data (modeled as one site, calibrated with unit discharge values)</t>
  </si>
  <si>
    <t>10-year averages</t>
  </si>
  <si>
    <t>10-yr average</t>
  </si>
  <si>
    <t>Overall 10-yr average</t>
  </si>
  <si>
    <t>Inflow to CCSB (Road 102 WY2010-17, Yolo WY2017-19); average used for WY2017</t>
  </si>
  <si>
    <t>kg/10 yrs</t>
  </si>
  <si>
    <t>kg/10yrs</t>
  </si>
  <si>
    <t>WY 2010 (Road 102)</t>
  </si>
  <si>
    <t>WY 2011 (Road 102)</t>
  </si>
  <si>
    <t>WY 2012 (Road 102)</t>
  </si>
  <si>
    <t>WY 2013 (Road 102)</t>
  </si>
  <si>
    <t>WY 2014 (Road 102)</t>
  </si>
  <si>
    <t>WY 2015 (Road 102)</t>
  </si>
  <si>
    <t>WY 2016 (Road 102)</t>
  </si>
  <si>
    <t>WY 2017 (avg. of Road 102 and Yolo)</t>
  </si>
  <si>
    <t>WY 2018 (Yolo)</t>
  </si>
  <si>
    <t>WY 2019 (Yolo)</t>
  </si>
  <si>
    <t>WY 2010 (South abutment)</t>
  </si>
  <si>
    <t>WY 2011 (South abutment)</t>
  </si>
  <si>
    <t>WY 2012 (South abutment)</t>
  </si>
  <si>
    <t>WY 2013 (avg. of South and North abutments)</t>
  </si>
  <si>
    <t>WY 2014  (avg. of South and North abutments)</t>
  </si>
  <si>
    <t>WY 2015  (avg. of South and North abutments)</t>
  </si>
  <si>
    <t>WY 2016  (avg. of South and North abutments)</t>
  </si>
  <si>
    <t>WY 2017  (avg. of South and North abutments)</t>
  </si>
  <si>
    <t>WY 2018  (avg. of South and North abutments)</t>
  </si>
  <si>
    <t>WY 2019  (avg. of South and North abutments)</t>
  </si>
  <si>
    <t>avg TE wwMeHg</t>
  </si>
  <si>
    <t>avg TE fMeHg</t>
  </si>
  <si>
    <t>avg TE fTHg</t>
  </si>
  <si>
    <t>Calibration using daily average discharge</t>
  </si>
  <si>
    <t>Calibration using Instantaneous discharge</t>
  </si>
  <si>
    <r>
      <rPr>
        <b/>
        <sz val="12"/>
        <color theme="1"/>
        <rFont val="Calibri"/>
        <family val="2"/>
        <scheme val="minor"/>
      </rPr>
      <t>Table 6.</t>
    </r>
    <r>
      <rPr>
        <sz val="12"/>
        <color theme="1"/>
        <rFont val="Calibri"/>
        <family val="2"/>
        <scheme val="minor"/>
      </rPr>
      <t xml:space="preserve"> Trap efficiency calculations for total mercury, Cache Creek Settling Basin, California, water years 2010-19</t>
    </r>
  </si>
  <si>
    <t>load ratio:  pTHg/SS-L (ppb Hg)</t>
  </si>
  <si>
    <t>flow-weighted average of annual median pTHg (ppb)</t>
  </si>
  <si>
    <t>load ratio:  (wwTHg-fTHg)/SS-L (ppb Hg)</t>
  </si>
  <si>
    <t>load ratio: pTHg/SS-G (ppb Hg)</t>
  </si>
  <si>
    <t>load ratio:  (wwTHg-fTHg)/SS-G (ppb Hg)</t>
  </si>
  <si>
    <t>load ratio:  pMeHg/SS-L (ppb MeHg)</t>
  </si>
  <si>
    <t>flow-weighted average of annual median pMeHg (ppb)</t>
  </si>
  <si>
    <t>load ratio: pMeHg/SS-G (ppb MeHg)</t>
  </si>
  <si>
    <t>load ratio:  (wwMeHg-fMeHg)/SS-G (ppb MeHg)</t>
  </si>
  <si>
    <t>load ratio:  (wwMeHg-fMeHg)/SS-L (ppb MeHg)</t>
  </si>
  <si>
    <r>
      <rPr>
        <b/>
        <sz val="12"/>
        <color theme="1"/>
        <rFont val="Calibri"/>
        <family val="2"/>
        <scheme val="minor"/>
      </rPr>
      <t>Table 11</t>
    </r>
    <r>
      <rPr>
        <sz val="12"/>
        <color theme="1"/>
        <rFont val="Calibri"/>
        <family val="2"/>
        <scheme val="minor"/>
      </rPr>
      <t>. Trap efficiency calculations for methylmercury, Cache Creek Settling Basin, California, water years 2010-19</t>
    </r>
  </si>
  <si>
    <t>Calibration using instantaneous discharge</t>
  </si>
  <si>
    <t>pMeHg load</t>
  </si>
  <si>
    <t>Combining two calibration methods</t>
  </si>
  <si>
    <t>a</t>
  </si>
  <si>
    <t>SS-CL</t>
  </si>
  <si>
    <t>SS-CG</t>
  </si>
  <si>
    <t>pTHg-CL</t>
  </si>
  <si>
    <t>pTHg-CG</t>
  </si>
  <si>
    <t>SS-CL - model 9</t>
  </si>
  <si>
    <t>Notes</t>
  </si>
  <si>
    <t>Outflow Weir (Spilllway) 11452800 (avg. of N &amp; S abutments, WYs 2013-19)</t>
  </si>
  <si>
    <t>WY 2013 (avg. of S and N abutments)</t>
  </si>
  <si>
    <t>WY 2014 (avg. of S and N abutments)</t>
  </si>
  <si>
    <t>WY 2015 (avg. of S and N abutments)</t>
  </si>
  <si>
    <t>WY 2016 (avg. of S and N abutments)</t>
  </si>
  <si>
    <t>WY 2017 (avg. of S and N abutments)</t>
  </si>
  <si>
    <t>WY 2018 (avg. of S and N abutments)</t>
  </si>
  <si>
    <t>WY 2019 (avg. of S and N abutments)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</si>
</sst>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0.0"/>
    <numFmt numFmtId="165" formatCode="0.000"/>
    <numFmt numFmtId="166" formatCode="0.0000"/>
    <numFmt numFmtId="167" formatCode="0.00000"/>
    <numFmt numFmtId="168" formatCode="0.0000000"/>
    <numFmt numFmtId="169" formatCode="0.000000"/>
    <numFmt numFmtId="170" formatCode="0.0%"/>
    <numFmt numFmtId="171" formatCode="#,##0.0"/>
  </numFmts>
  <fonts count="3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7030A0"/>
      <name val="Calibri"/>
      <family val="2"/>
      <scheme val="minor"/>
    </font>
    <font>
      <sz val="12"/>
      <color theme="1"/>
      <name val="Times New Roman"/>
      <family val="1"/>
    </font>
    <font>
      <vertAlign val="subscript"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6" tint="0.7999816888943144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9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635">
    <xf numFmtId="0" fontId="0" fillId="0" borderId="0" xfId="0"/>
    <xf numFmtId="0" fontId="2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0" xfId="0" applyFont="1" applyFill="1"/>
    <xf numFmtId="1" fontId="0" fillId="0" borderId="1" xfId="0" applyNumberFormat="1" applyBorder="1" applyAlignment="1">
      <alignment horizontal="center"/>
    </xf>
    <xf numFmtId="0" fontId="2" fillId="0" borderId="2" xfId="0" applyFont="1" applyFill="1" applyBorder="1"/>
    <xf numFmtId="164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0" borderId="3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165" fontId="0" fillId="0" borderId="0" xfId="0" applyNumberFormat="1" applyFill="1"/>
    <xf numFmtId="165" fontId="0" fillId="3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0" borderId="0" xfId="0" applyNumberFormat="1"/>
    <xf numFmtId="164" fontId="0" fillId="3" borderId="1" xfId="0" applyNumberFormat="1" applyFill="1" applyBorder="1" applyAlignment="1">
      <alignment horizontal="center"/>
    </xf>
    <xf numFmtId="1" fontId="0" fillId="0" borderId="0" xfId="0" applyNumberFormat="1"/>
    <xf numFmtId="165" fontId="6" fillId="0" borderId="0" xfId="0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0" xfId="0" applyFont="1"/>
    <xf numFmtId="0" fontId="7" fillId="0" borderId="0" xfId="0" applyFont="1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Fill="1" applyBorder="1"/>
    <xf numFmtId="1" fontId="0" fillId="0" borderId="0" xfId="0" applyNumberFormat="1" applyFill="1" applyBorder="1"/>
    <xf numFmtId="2" fontId="0" fillId="0" borderId="0" xfId="0" applyNumberFormat="1" applyFill="1" applyBorder="1"/>
    <xf numFmtId="165" fontId="0" fillId="0" borderId="0" xfId="0" applyNumberFormat="1"/>
    <xf numFmtId="164" fontId="0" fillId="0" borderId="0" xfId="0" applyNumberFormat="1"/>
    <xf numFmtId="9" fontId="0" fillId="0" borderId="1" xfId="1" applyFont="1" applyFill="1" applyBorder="1" applyAlignment="1">
      <alignment horizontal="center"/>
    </xf>
    <xf numFmtId="0" fontId="0" fillId="0" borderId="4" xfId="0" applyBorder="1"/>
    <xf numFmtId="0" fontId="7" fillId="3" borderId="1" xfId="0" applyFont="1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0" fontId="9" fillId="0" borderId="0" xfId="2"/>
    <xf numFmtId="0" fontId="10" fillId="0" borderId="0" xfId="0" applyFont="1"/>
    <xf numFmtId="9" fontId="0" fillId="0" borderId="0" xfId="1" applyFont="1" applyAlignment="1">
      <alignment horizontal="center"/>
    </xf>
    <xf numFmtId="0" fontId="0" fillId="0" borderId="1" xfId="0" applyFill="1" applyBorder="1"/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1" fontId="0" fillId="4" borderId="1" xfId="0" applyNumberForma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2" fontId="0" fillId="0" borderId="0" xfId="0" applyNumberFormat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5" fontId="0" fillId="6" borderId="6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" fontId="0" fillId="8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6" fillId="0" borderId="0" xfId="0" applyFont="1"/>
    <xf numFmtId="0" fontId="0" fillId="4" borderId="0" xfId="0" applyFill="1" applyAlignment="1">
      <alignment horizontal="center"/>
    </xf>
    <xf numFmtId="0" fontId="0" fillId="0" borderId="0" xfId="0" applyFont="1"/>
    <xf numFmtId="0" fontId="0" fillId="4" borderId="1" xfId="0" applyFont="1" applyFill="1" applyBorder="1" applyAlignment="1">
      <alignment horizontal="center" wrapText="1"/>
    </xf>
    <xf numFmtId="165" fontId="0" fillId="7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  <xf numFmtId="167" fontId="0" fillId="4" borderId="1" xfId="0" applyNumberFormat="1" applyFill="1" applyBorder="1" applyAlignment="1">
      <alignment horizontal="center"/>
    </xf>
    <xf numFmtId="167" fontId="0" fillId="8" borderId="1" xfId="0" applyNumberFormat="1" applyFill="1" applyBorder="1" applyAlignment="1">
      <alignment horizontal="center"/>
    </xf>
    <xf numFmtId="167" fontId="0" fillId="7" borderId="1" xfId="0" applyNumberFormat="1" applyFill="1" applyBorder="1" applyAlignment="1">
      <alignment horizontal="center"/>
    </xf>
    <xf numFmtId="166" fontId="0" fillId="8" borderId="1" xfId="0" applyNumberFormat="1" applyFill="1" applyBorder="1" applyAlignment="1">
      <alignment horizontal="center"/>
    </xf>
    <xf numFmtId="168" fontId="0" fillId="7" borderId="1" xfId="0" applyNumberFormat="1" applyFill="1" applyBorder="1" applyAlignment="1">
      <alignment horizontal="center"/>
    </xf>
    <xf numFmtId="169" fontId="0" fillId="4" borderId="1" xfId="0" applyNumberFormat="1" applyFill="1" applyBorder="1" applyAlignment="1">
      <alignment horizontal="center"/>
    </xf>
    <xf numFmtId="0" fontId="0" fillId="0" borderId="6" xfId="0" applyBorder="1"/>
    <xf numFmtId="0" fontId="7" fillId="0" borderId="1" xfId="0" applyFont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9" fontId="0" fillId="10" borderId="1" xfId="1" applyFont="1" applyFill="1" applyBorder="1" applyAlignment="1">
      <alignment horizontal="center"/>
    </xf>
    <xf numFmtId="9" fontId="0" fillId="9" borderId="1" xfId="1" applyFont="1" applyFill="1" applyBorder="1" applyAlignment="1">
      <alignment horizontal="center"/>
    </xf>
    <xf numFmtId="9" fontId="0" fillId="7" borderId="1" xfId="1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9" fontId="0" fillId="7" borderId="1" xfId="0" applyNumberFormat="1" applyFill="1" applyBorder="1" applyAlignment="1">
      <alignment horizontal="center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9" fontId="0" fillId="10" borderId="1" xfId="0" applyNumberFormat="1" applyFill="1" applyBorder="1" applyAlignment="1">
      <alignment horizontal="center"/>
    </xf>
    <xf numFmtId="0" fontId="0" fillId="9" borderId="1" xfId="0" applyFill="1" applyBorder="1"/>
    <xf numFmtId="9" fontId="0" fillId="9" borderId="1" xfId="0" applyNumberForma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170" fontId="0" fillId="0" borderId="0" xfId="1" applyNumberFormat="1" applyFont="1"/>
    <xf numFmtId="170" fontId="0" fillId="0" borderId="0" xfId="1" applyNumberFormat="1" applyFont="1" applyAlignment="1">
      <alignment horizontal="center"/>
    </xf>
    <xf numFmtId="0" fontId="11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9" fontId="0" fillId="3" borderId="2" xfId="1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0" fontId="0" fillId="2" borderId="1" xfId="0" applyFill="1" applyBorder="1"/>
    <xf numFmtId="1" fontId="6" fillId="2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1" fontId="6" fillId="5" borderId="1" xfId="0" applyNumberFormat="1" applyFont="1" applyFill="1" applyBorder="1" applyAlignment="1">
      <alignment horizontal="center"/>
    </xf>
    <xf numFmtId="1" fontId="6" fillId="8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3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1" fontId="0" fillId="10" borderId="1" xfId="0" applyNumberForma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1" fontId="0" fillId="3" borderId="1" xfId="0" applyNumberFormat="1" applyFill="1" applyBorder="1" applyAlignment="1">
      <alignment horizontal="center"/>
    </xf>
    <xf numFmtId="1" fontId="0" fillId="3" borderId="1" xfId="0" applyNumberFormat="1" applyFont="1" applyFill="1" applyBorder="1" applyAlignment="1">
      <alignment horizontal="center"/>
    </xf>
    <xf numFmtId="1" fontId="8" fillId="3" borderId="1" xfId="3" applyNumberFormat="1" applyFont="1" applyFill="1" applyBorder="1" applyAlignment="1">
      <alignment horizontal="center"/>
    </xf>
    <xf numFmtId="1" fontId="6" fillId="11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1" fontId="7" fillId="9" borderId="1" xfId="0" applyNumberFormat="1" applyFont="1" applyFill="1" applyBorder="1" applyAlignment="1">
      <alignment horizontal="center"/>
    </xf>
    <xf numFmtId="164" fontId="7" fillId="9" borderId="1" xfId="0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1" fontId="14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14" fillId="0" borderId="1" xfId="0" applyNumberFormat="1" applyFont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12" borderId="7" xfId="0" applyFill="1" applyBorder="1" applyAlignment="1">
      <alignment horizontal="center" wrapText="1"/>
    </xf>
    <xf numFmtId="0" fontId="0" fillId="0" borderId="1" xfId="0" applyBorder="1" applyAlignment="1">
      <alignment vertical="center"/>
    </xf>
    <xf numFmtId="0" fontId="0" fillId="0" borderId="0" xfId="0" applyBorder="1"/>
    <xf numFmtId="0" fontId="0" fillId="14" borderId="1" xfId="0" applyFill="1" applyBorder="1" applyAlignment="1">
      <alignment horizontal="center"/>
    </xf>
    <xf numFmtId="0" fontId="2" fillId="0" borderId="0" xfId="0" applyFont="1"/>
    <xf numFmtId="0" fontId="0" fillId="3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7" fillId="0" borderId="1" xfId="0" applyFont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wrapText="1"/>
    </xf>
    <xf numFmtId="2" fontId="0" fillId="0" borderId="0" xfId="0" applyNumberFormat="1" applyBorder="1"/>
    <xf numFmtId="0" fontId="7" fillId="0" borderId="0" xfId="0" applyFont="1" applyBorder="1" applyAlignment="1">
      <alignment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2" fontId="0" fillId="8" borderId="6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9" fontId="0" fillId="4" borderId="1" xfId="1" applyFont="1" applyFill="1" applyBorder="1" applyAlignment="1">
      <alignment horizontal="center"/>
    </xf>
    <xf numFmtId="9" fontId="0" fillId="8" borderId="1" xfId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7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7" fillId="0" borderId="0" xfId="0" applyFont="1" applyBorder="1"/>
    <xf numFmtId="0" fontId="0" fillId="0" borderId="0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7" fillId="6" borderId="1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4" fontId="0" fillId="0" borderId="19" xfId="0" applyNumberFormat="1" applyBorder="1" applyAlignment="1">
      <alignment horizontal="center"/>
    </xf>
    <xf numFmtId="20" fontId="0" fillId="0" borderId="5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14" fontId="0" fillId="0" borderId="21" xfId="0" applyNumberFormat="1" applyBorder="1" applyAlignment="1">
      <alignment horizontal="center"/>
    </xf>
    <xf numFmtId="14" fontId="0" fillId="0" borderId="21" xfId="0" applyNumberFormat="1" applyBorder="1"/>
    <xf numFmtId="0" fontId="0" fillId="0" borderId="22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14" fontId="0" fillId="0" borderId="24" xfId="0" applyNumberFormat="1" applyBorder="1" applyAlignment="1">
      <alignment horizontal="center"/>
    </xf>
    <xf numFmtId="14" fontId="0" fillId="0" borderId="24" xfId="0" applyNumberFormat="1" applyBorder="1"/>
    <xf numFmtId="0" fontId="0" fillId="0" borderId="24" xfId="0" applyBorder="1"/>
    <xf numFmtId="0" fontId="0" fillId="0" borderId="25" xfId="0" applyBorder="1" applyAlignment="1">
      <alignment horizontal="center"/>
    </xf>
    <xf numFmtId="14" fontId="0" fillId="0" borderId="14" xfId="0" applyNumberFormat="1" applyBorder="1" applyAlignment="1">
      <alignment horizontal="center"/>
    </xf>
    <xf numFmtId="20" fontId="0" fillId="0" borderId="15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0" xfId="0" quotePrefix="1" applyBorder="1" applyAlignment="1">
      <alignment horizontal="center"/>
    </xf>
    <xf numFmtId="0" fontId="0" fillId="0" borderId="21" xfId="0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4" xfId="0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7" fillId="3" borderId="1" xfId="0" applyNumberFormat="1" applyFont="1" applyFill="1" applyBorder="1" applyAlignment="1">
      <alignment horizontal="center"/>
    </xf>
    <xf numFmtId="9" fontId="7" fillId="3" borderId="1" xfId="1" applyFont="1" applyFill="1" applyBorder="1" applyAlignment="1">
      <alignment horizontal="center"/>
    </xf>
    <xf numFmtId="9" fontId="7" fillId="2" borderId="1" xfId="1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2" fontId="6" fillId="2" borderId="1" xfId="0" applyNumberFormat="1" applyFont="1" applyFill="1" applyBorder="1" applyAlignment="1">
      <alignment horizontal="center"/>
    </xf>
    <xf numFmtId="2" fontId="6" fillId="5" borderId="1" xfId="0" applyNumberFormat="1" applyFont="1" applyFill="1" applyBorder="1" applyAlignment="1">
      <alignment horizontal="center"/>
    </xf>
    <xf numFmtId="2" fontId="6" fillId="4" borderId="1" xfId="0" applyNumberFormat="1" applyFont="1" applyFill="1" applyBorder="1" applyAlignment="1">
      <alignment horizontal="center"/>
    </xf>
    <xf numFmtId="167" fontId="0" fillId="0" borderId="0" xfId="0" applyNumberFormat="1"/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9" fontId="6" fillId="7" borderId="1" xfId="1" applyFont="1" applyFill="1" applyBorder="1" applyAlignment="1">
      <alignment horizontal="center"/>
    </xf>
    <xf numFmtId="9" fontId="6" fillId="4" borderId="1" xfId="1" applyFont="1" applyFill="1" applyBorder="1" applyAlignment="1">
      <alignment horizontal="center"/>
    </xf>
    <xf numFmtId="9" fontId="6" fillId="8" borderId="1" xfId="1" applyFont="1" applyFill="1" applyBorder="1" applyAlignment="1">
      <alignment horizontal="center"/>
    </xf>
    <xf numFmtId="9" fontId="6" fillId="2" borderId="1" xfId="1" applyFon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9" fontId="0" fillId="0" borderId="1" xfId="0" applyNumberFormat="1" applyFill="1" applyBorder="1" applyAlignment="1">
      <alignment horizontal="center"/>
    </xf>
    <xf numFmtId="2" fontId="14" fillId="0" borderId="0" xfId="0" applyNumberFormat="1" applyFont="1" applyFill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9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7" fillId="0" borderId="0" xfId="0" applyFont="1"/>
    <xf numFmtId="1" fontId="0" fillId="0" borderId="0" xfId="0" applyNumberFormat="1" applyAlignment="1"/>
    <xf numFmtId="0" fontId="0" fillId="0" borderId="5" xfId="0" applyFill="1" applyBorder="1" applyAlignment="1">
      <alignment horizontal="center" vertical="center"/>
    </xf>
    <xf numFmtId="1" fontId="0" fillId="0" borderId="0" xfId="0" applyNumberFormat="1" applyFill="1" applyBorder="1" applyAlignment="1"/>
    <xf numFmtId="0" fontId="0" fillId="4" borderId="6" xfId="0" applyFill="1" applyBorder="1"/>
    <xf numFmtId="0" fontId="0" fillId="4" borderId="1" xfId="0" applyFill="1" applyBorder="1"/>
    <xf numFmtId="1" fontId="6" fillId="0" borderId="0" xfId="0" applyNumberFormat="1" applyFont="1" applyFill="1" applyBorder="1" applyAlignment="1"/>
    <xf numFmtId="0" fontId="0" fillId="0" borderId="0" xfId="0" applyFill="1" applyBorder="1" applyAlignment="1"/>
    <xf numFmtId="1" fontId="6" fillId="4" borderId="4" xfId="0" applyNumberFormat="1" applyFont="1" applyFill="1" applyBorder="1" applyAlignment="1">
      <alignment horizontal="center"/>
    </xf>
    <xf numFmtId="0" fontId="0" fillId="0" borderId="0" xfId="0" applyFont="1" applyBorder="1"/>
    <xf numFmtId="0" fontId="7" fillId="15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center" vertical="center"/>
    </xf>
    <xf numFmtId="0" fontId="7" fillId="0" borderId="0" xfId="0" applyFont="1" applyFill="1" applyBorder="1"/>
    <xf numFmtId="0" fontId="0" fillId="3" borderId="0" xfId="0" applyFill="1" applyBorder="1"/>
    <xf numFmtId="0" fontId="7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1" fontId="0" fillId="3" borderId="0" xfId="0" applyNumberFormat="1" applyFill="1" applyBorder="1" applyAlignment="1">
      <alignment horizontal="center"/>
    </xf>
    <xf numFmtId="1" fontId="6" fillId="3" borderId="0" xfId="0" applyNumberFormat="1" applyFont="1" applyFill="1" applyBorder="1" applyAlignment="1">
      <alignment horizontal="center"/>
    </xf>
    <xf numFmtId="0" fontId="18" fillId="0" borderId="0" xfId="0" applyFont="1"/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6" fontId="0" fillId="0" borderId="0" xfId="0" applyNumberFormat="1" applyFill="1"/>
    <xf numFmtId="0" fontId="0" fillId="15" borderId="1" xfId="0" applyFill="1" applyBorder="1" applyAlignment="1">
      <alignment horizontal="center"/>
    </xf>
    <xf numFmtId="1" fontId="0" fillId="15" borderId="1" xfId="0" applyNumberFormat="1" applyFill="1" applyBorder="1" applyAlignment="1">
      <alignment horizontal="center"/>
    </xf>
    <xf numFmtId="0" fontId="0" fillId="15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164" fontId="0" fillId="16" borderId="1" xfId="0" applyNumberFormat="1" applyFill="1" applyBorder="1" applyAlignment="1">
      <alignment horizontal="center"/>
    </xf>
    <xf numFmtId="2" fontId="0" fillId="16" borderId="1" xfId="0" applyNumberFormat="1" applyFill="1" applyBorder="1" applyAlignment="1">
      <alignment horizontal="center"/>
    </xf>
    <xf numFmtId="1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 applyAlignment="1">
      <alignment horizontal="center"/>
    </xf>
    <xf numFmtId="2" fontId="0" fillId="17" borderId="1" xfId="0" applyNumberFormat="1" applyFill="1" applyBorder="1" applyAlignment="1">
      <alignment horizontal="center"/>
    </xf>
    <xf numFmtId="1" fontId="0" fillId="18" borderId="1" xfId="0" applyNumberFormat="1" applyFill="1" applyBorder="1" applyAlignment="1">
      <alignment horizontal="center"/>
    </xf>
    <xf numFmtId="164" fontId="0" fillId="18" borderId="1" xfId="0" applyNumberFormat="1" applyFill="1" applyBorder="1" applyAlignment="1">
      <alignment horizontal="center"/>
    </xf>
    <xf numFmtId="2" fontId="0" fillId="18" borderId="1" xfId="0" applyNumberFormat="1" applyFill="1" applyBorder="1" applyAlignment="1">
      <alignment horizontal="center"/>
    </xf>
    <xf numFmtId="165" fontId="0" fillId="17" borderId="1" xfId="0" applyNumberFormat="1" applyFill="1" applyBorder="1" applyAlignment="1">
      <alignment horizontal="center"/>
    </xf>
    <xf numFmtId="166" fontId="0" fillId="17" borderId="1" xfId="0" applyNumberFormat="1" applyFill="1" applyBorder="1" applyAlignment="1">
      <alignment horizontal="center"/>
    </xf>
    <xf numFmtId="165" fontId="0" fillId="16" borderId="1" xfId="0" applyNumberFormat="1" applyFill="1" applyBorder="1" applyAlignment="1">
      <alignment horizontal="center"/>
    </xf>
    <xf numFmtId="166" fontId="0" fillId="16" borderId="1" xfId="0" applyNumberFormat="1" applyFill="1" applyBorder="1" applyAlignment="1">
      <alignment horizontal="center"/>
    </xf>
    <xf numFmtId="166" fontId="0" fillId="18" borderId="1" xfId="0" applyNumberFormat="1" applyFill="1" applyBorder="1" applyAlignment="1">
      <alignment horizontal="center"/>
    </xf>
    <xf numFmtId="165" fontId="0" fillId="18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164" fontId="0" fillId="16" borderId="1" xfId="0" applyNumberFormat="1" applyFont="1" applyFill="1" applyBorder="1" applyAlignment="1">
      <alignment horizontal="center"/>
    </xf>
    <xf numFmtId="165" fontId="0" fillId="16" borderId="1" xfId="0" applyNumberFormat="1" applyFont="1" applyFill="1" applyBorder="1" applyAlignment="1">
      <alignment horizontal="center"/>
    </xf>
    <xf numFmtId="2" fontId="0" fillId="19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2" fontId="0" fillId="16" borderId="1" xfId="0" applyNumberFormat="1" applyFill="1" applyBorder="1" applyAlignment="1">
      <alignment horizontal="center" vertical="center"/>
    </xf>
    <xf numFmtId="1" fontId="0" fillId="18" borderId="1" xfId="0" applyNumberFormat="1" applyFill="1" applyBorder="1" applyAlignment="1">
      <alignment horizontal="center" vertical="center"/>
    </xf>
    <xf numFmtId="2" fontId="0" fillId="18" borderId="1" xfId="0" applyNumberFormat="1" applyFill="1" applyBorder="1" applyAlignment="1">
      <alignment horizontal="center" vertical="center"/>
    </xf>
    <xf numFmtId="1" fontId="0" fillId="17" borderId="1" xfId="0" applyNumberFormat="1" applyFill="1" applyBorder="1" applyAlignment="1">
      <alignment horizontal="center" vertical="center"/>
    </xf>
    <xf numFmtId="0" fontId="0" fillId="0" borderId="4" xfId="0" applyFill="1" applyBorder="1"/>
    <xf numFmtId="1" fontId="6" fillId="4" borderId="0" xfId="0" applyNumberFormat="1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center"/>
    </xf>
    <xf numFmtId="0" fontId="7" fillId="0" borderId="2" xfId="0" applyFont="1" applyFill="1" applyBorder="1"/>
    <xf numFmtId="1" fontId="0" fillId="9" borderId="0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9" fontId="6" fillId="0" borderId="0" xfId="1" applyFont="1" applyFill="1" applyBorder="1" applyAlignment="1">
      <alignment horizontal="center"/>
    </xf>
    <xf numFmtId="2" fontId="0" fillId="0" borderId="0" xfId="0" applyNumberFormat="1" applyFill="1"/>
    <xf numFmtId="0" fontId="0" fillId="2" borderId="4" xfId="0" applyFill="1" applyBorder="1"/>
    <xf numFmtId="164" fontId="7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9" borderId="1" xfId="0" applyFill="1" applyBorder="1" applyAlignment="1">
      <alignment horizontal="center"/>
    </xf>
    <xf numFmtId="1" fontId="0" fillId="6" borderId="0" xfId="0" applyNumberFormat="1" applyFill="1" applyAlignment="1">
      <alignment horizontal="center"/>
    </xf>
    <xf numFmtId="1" fontId="6" fillId="11" borderId="1" xfId="0" applyNumberFormat="1" applyFont="1" applyFill="1" applyBorder="1" applyAlignment="1">
      <alignment horizontal="left" indent="1"/>
    </xf>
    <xf numFmtId="3" fontId="0" fillId="0" borderId="1" xfId="0" applyNumberFormat="1" applyBorder="1" applyAlignment="1">
      <alignment horizontal="center"/>
    </xf>
    <xf numFmtId="164" fontId="0" fillId="17" borderId="1" xfId="0" applyNumberFormat="1" applyFont="1" applyFill="1" applyBorder="1" applyAlignment="1">
      <alignment horizontal="center"/>
    </xf>
    <xf numFmtId="1" fontId="0" fillId="17" borderId="1" xfId="0" applyNumberFormat="1" applyFont="1" applyFill="1" applyBorder="1" applyAlignment="1">
      <alignment horizontal="center"/>
    </xf>
    <xf numFmtId="1" fontId="0" fillId="16" borderId="1" xfId="0" applyNumberFormat="1" applyFill="1" applyBorder="1" applyAlignment="1">
      <alignment horizontal="center"/>
    </xf>
    <xf numFmtId="2" fontId="0" fillId="16" borderId="1" xfId="0" applyNumberFormat="1" applyFont="1" applyFill="1" applyBorder="1" applyAlignment="1">
      <alignment horizontal="center"/>
    </xf>
    <xf numFmtId="1" fontId="0" fillId="16" borderId="1" xfId="0" applyNumberFormat="1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1" fontId="0" fillId="18" borderId="1" xfId="0" applyNumberFormat="1" applyFont="1" applyFill="1" applyBorder="1" applyAlignment="1">
      <alignment horizontal="center"/>
    </xf>
    <xf numFmtId="164" fontId="0" fillId="18" borderId="1" xfId="0" applyNumberFormat="1" applyFont="1" applyFill="1" applyBorder="1" applyAlignment="1">
      <alignment horizontal="center"/>
    </xf>
    <xf numFmtId="1" fontId="7" fillId="17" borderId="1" xfId="0" applyNumberFormat="1" applyFont="1" applyFill="1" applyBorder="1" applyAlignment="1">
      <alignment horizontal="center"/>
    </xf>
    <xf numFmtId="165" fontId="0" fillId="17" borderId="1" xfId="0" applyNumberFormat="1" applyFont="1" applyFill="1" applyBorder="1" applyAlignment="1">
      <alignment horizontal="center"/>
    </xf>
    <xf numFmtId="2" fontId="0" fillId="17" borderId="1" xfId="0" applyNumberFormat="1" applyFont="1" applyFill="1" applyBorder="1" applyAlignment="1">
      <alignment horizontal="center"/>
    </xf>
    <xf numFmtId="0" fontId="0" fillId="16" borderId="1" xfId="0" applyFont="1" applyFill="1" applyBorder="1" applyAlignment="1">
      <alignment horizontal="center"/>
    </xf>
    <xf numFmtId="166" fontId="0" fillId="16" borderId="1" xfId="0" applyNumberFormat="1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1" fontId="7" fillId="17" borderId="7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7" fillId="2" borderId="7" xfId="0" applyNumberFormat="1" applyFont="1" applyFill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" fontId="0" fillId="15" borderId="1" xfId="0" applyNumberFormat="1" applyFont="1" applyFill="1" applyBorder="1" applyAlignment="1">
      <alignment horizontal="center"/>
    </xf>
    <xf numFmtId="1" fontId="7" fillId="18" borderId="1" xfId="0" applyNumberFormat="1" applyFont="1" applyFill="1" applyBorder="1" applyAlignment="1">
      <alignment horizontal="center"/>
    </xf>
    <xf numFmtId="1" fontId="0" fillId="9" borderId="7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171" fontId="0" fillId="3" borderId="1" xfId="0" applyNumberFormat="1" applyFill="1" applyBorder="1" applyAlignment="1">
      <alignment horizontal="center"/>
    </xf>
    <xf numFmtId="1" fontId="6" fillId="12" borderId="1" xfId="0" applyNumberFormat="1" applyFont="1" applyFill="1" applyBorder="1" applyAlignment="1">
      <alignment horizontal="center"/>
    </xf>
    <xf numFmtId="1" fontId="7" fillId="18" borderId="2" xfId="0" applyNumberFormat="1" applyFont="1" applyFill="1" applyBorder="1" applyAlignment="1">
      <alignment horizontal="center"/>
    </xf>
    <xf numFmtId="3" fontId="0" fillId="15" borderId="1" xfId="0" applyNumberFormat="1" applyFill="1" applyBorder="1" applyAlignment="1">
      <alignment horizontal="center"/>
    </xf>
    <xf numFmtId="2" fontId="14" fillId="0" borderId="1" xfId="0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1" fontId="7" fillId="11" borderId="1" xfId="0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" fontId="0" fillId="20" borderId="1" xfId="0" applyNumberFormat="1" applyFill="1" applyBorder="1" applyAlignment="1">
      <alignment horizontal="center"/>
    </xf>
    <xf numFmtId="2" fontId="0" fillId="20" borderId="1" xfId="0" applyNumberFormat="1" applyFill="1" applyBorder="1" applyAlignment="1">
      <alignment horizontal="center"/>
    </xf>
    <xf numFmtId="1" fontId="0" fillId="20" borderId="1" xfId="0" applyNumberFormat="1" applyFill="1" applyBorder="1" applyAlignment="1">
      <alignment horizontal="center" vertical="center"/>
    </xf>
    <xf numFmtId="2" fontId="0" fillId="20" borderId="1" xfId="0" applyNumberFormat="1" applyFill="1" applyBorder="1" applyAlignment="1">
      <alignment horizontal="center" vertical="center"/>
    </xf>
    <xf numFmtId="9" fontId="0" fillId="20" borderId="1" xfId="1" applyFont="1" applyFill="1" applyBorder="1" applyAlignment="1">
      <alignment horizontal="center"/>
    </xf>
    <xf numFmtId="164" fontId="0" fillId="21" borderId="1" xfId="0" applyNumberFormat="1" applyFont="1" applyFill="1" applyBorder="1" applyAlignment="1">
      <alignment horizontal="center"/>
    </xf>
    <xf numFmtId="165" fontId="0" fillId="21" borderId="1" xfId="0" applyNumberFormat="1" applyFont="1" applyFill="1" applyBorder="1" applyAlignment="1">
      <alignment horizontal="center"/>
    </xf>
    <xf numFmtId="1" fontId="0" fillId="22" borderId="1" xfId="0" applyNumberFormat="1" applyFill="1" applyBorder="1" applyAlignment="1">
      <alignment horizontal="center"/>
    </xf>
    <xf numFmtId="2" fontId="0" fillId="22" borderId="1" xfId="0" applyNumberFormat="1" applyFill="1" applyBorder="1" applyAlignment="1">
      <alignment horizontal="center"/>
    </xf>
    <xf numFmtId="2" fontId="0" fillId="21" borderId="1" xfId="0" applyNumberFormat="1" applyFill="1" applyBorder="1" applyAlignment="1">
      <alignment horizontal="center" vertical="center"/>
    </xf>
    <xf numFmtId="165" fontId="0" fillId="21" borderId="1" xfId="0" applyNumberFormat="1" applyFill="1" applyBorder="1" applyAlignment="1">
      <alignment horizontal="center" vertical="center"/>
    </xf>
    <xf numFmtId="9" fontId="0" fillId="21" borderId="1" xfId="1" applyFont="1" applyFill="1" applyBorder="1" applyAlignment="1">
      <alignment horizontal="center"/>
    </xf>
    <xf numFmtId="9" fontId="0" fillId="22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9" borderId="1" xfId="0" applyFill="1" applyBorder="1" applyAlignment="1">
      <alignment horizontal="center"/>
    </xf>
    <xf numFmtId="164" fontId="0" fillId="20" borderId="1" xfId="0" applyNumberFormat="1" applyFill="1" applyBorder="1" applyAlignment="1">
      <alignment horizontal="center"/>
    </xf>
    <xf numFmtId="2" fontId="0" fillId="21" borderId="1" xfId="0" applyNumberFormat="1" applyFill="1" applyBorder="1" applyAlignment="1">
      <alignment horizontal="center"/>
    </xf>
    <xf numFmtId="164" fontId="0" fillId="21" borderId="1" xfId="0" applyNumberFormat="1" applyFill="1" applyBorder="1" applyAlignment="1">
      <alignment horizontal="center"/>
    </xf>
    <xf numFmtId="164" fontId="0" fillId="22" borderId="1" xfId="0" applyNumberFormat="1" applyFill="1" applyBorder="1" applyAlignment="1">
      <alignment horizontal="center"/>
    </xf>
    <xf numFmtId="165" fontId="0" fillId="20" borderId="1" xfId="0" applyNumberFormat="1" applyFill="1" applyBorder="1" applyAlignment="1">
      <alignment horizontal="center"/>
    </xf>
    <xf numFmtId="166" fontId="0" fillId="20" borderId="1" xfId="0" applyNumberFormat="1" applyFill="1" applyBorder="1" applyAlignment="1">
      <alignment horizontal="center"/>
    </xf>
    <xf numFmtId="165" fontId="0" fillId="21" borderId="1" xfId="0" applyNumberFormat="1" applyFill="1" applyBorder="1" applyAlignment="1">
      <alignment horizontal="center"/>
    </xf>
    <xf numFmtId="166" fontId="0" fillId="21" borderId="1" xfId="0" applyNumberFormat="1" applyFill="1" applyBorder="1" applyAlignment="1">
      <alignment horizontal="center"/>
    </xf>
    <xf numFmtId="166" fontId="0" fillId="22" borderId="1" xfId="0" applyNumberFormat="1" applyFill="1" applyBorder="1" applyAlignment="1">
      <alignment horizontal="center"/>
    </xf>
    <xf numFmtId="165" fontId="0" fillId="22" borderId="1" xfId="0" applyNumberFormat="1" applyFill="1" applyBorder="1" applyAlignment="1">
      <alignment horizontal="center"/>
    </xf>
    <xf numFmtId="2" fontId="0" fillId="18" borderId="1" xfId="0" applyNumberFormat="1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1" fontId="8" fillId="15" borderId="1" xfId="3" applyNumberFormat="1" applyFont="1" applyFill="1" applyBorder="1" applyAlignment="1">
      <alignment horizontal="center"/>
    </xf>
    <xf numFmtId="1" fontId="0" fillId="23" borderId="1" xfId="0" applyNumberFormat="1" applyFill="1" applyBorder="1" applyAlignment="1">
      <alignment horizontal="center"/>
    </xf>
    <xf numFmtId="164" fontId="0" fillId="23" borderId="1" xfId="0" applyNumberFormat="1" applyFill="1" applyBorder="1" applyAlignment="1">
      <alignment horizontal="center"/>
    </xf>
    <xf numFmtId="1" fontId="0" fillId="20" borderId="1" xfId="0" applyNumberFormat="1" applyFont="1" applyFill="1" applyBorder="1" applyAlignment="1">
      <alignment horizontal="center"/>
    </xf>
    <xf numFmtId="164" fontId="0" fillId="20" borderId="1" xfId="0" applyNumberFormat="1" applyFont="1" applyFill="1" applyBorder="1" applyAlignment="1">
      <alignment horizontal="center"/>
    </xf>
    <xf numFmtId="2" fontId="6" fillId="2" borderId="1" xfId="0" applyNumberFormat="1" applyFont="1" applyFill="1" applyBorder="1" applyAlignment="1">
      <alignment horizontal="left" indent="1"/>
    </xf>
    <xf numFmtId="1" fontId="0" fillId="6" borderId="4" xfId="0" applyNumberFormat="1" applyFill="1" applyBorder="1" applyAlignment="1">
      <alignment horizontal="center"/>
    </xf>
    <xf numFmtId="1" fontId="0" fillId="21" borderId="1" xfId="0" applyNumberFormat="1" applyFill="1" applyBorder="1" applyAlignment="1">
      <alignment horizontal="center"/>
    </xf>
    <xf numFmtId="1" fontId="14" fillId="11" borderId="1" xfId="0" applyNumberFormat="1" applyFont="1" applyFill="1" applyBorder="1" applyAlignment="1">
      <alignment horizontal="center"/>
    </xf>
    <xf numFmtId="1" fontId="14" fillId="2" borderId="1" xfId="0" applyNumberFormat="1" applyFont="1" applyFill="1" applyBorder="1" applyAlignment="1">
      <alignment horizontal="center"/>
    </xf>
    <xf numFmtId="164" fontId="14" fillId="2" borderId="1" xfId="0" applyNumberFormat="1" applyFont="1" applyFill="1" applyBorder="1" applyAlignment="1">
      <alignment horizontal="center"/>
    </xf>
    <xf numFmtId="1" fontId="14" fillId="5" borderId="1" xfId="0" applyNumberFormat="1" applyFont="1" applyFill="1" applyBorder="1" applyAlignment="1">
      <alignment horizontal="center"/>
    </xf>
    <xf numFmtId="164" fontId="0" fillId="22" borderId="1" xfId="0" applyNumberFormat="1" applyFont="1" applyFill="1" applyBorder="1" applyAlignment="1">
      <alignment horizontal="center"/>
    </xf>
    <xf numFmtId="1" fontId="0" fillId="22" borderId="1" xfId="0" applyNumberFormat="1" applyFont="1" applyFill="1" applyBorder="1" applyAlignment="1">
      <alignment horizontal="center"/>
    </xf>
    <xf numFmtId="1" fontId="14" fillId="2" borderId="7" xfId="0" applyNumberFormat="1" applyFont="1" applyFill="1" applyBorder="1" applyAlignment="1">
      <alignment horizontal="center"/>
    </xf>
    <xf numFmtId="165" fontId="14" fillId="2" borderId="1" xfId="0" applyNumberFormat="1" applyFont="1" applyFill="1" applyBorder="1" applyAlignment="1">
      <alignment horizontal="center"/>
    </xf>
    <xf numFmtId="2" fontId="14" fillId="2" borderId="1" xfId="0" applyNumberFormat="1" applyFont="1" applyFill="1" applyBorder="1" applyAlignment="1">
      <alignment horizontal="center"/>
    </xf>
    <xf numFmtId="164" fontId="14" fillId="2" borderId="0" xfId="0" applyNumberFormat="1" applyFont="1" applyFill="1" applyBorder="1" applyAlignment="1">
      <alignment horizontal="center"/>
    </xf>
    <xf numFmtId="164" fontId="20" fillId="2" borderId="1" xfId="0" applyNumberFormat="1" applyFont="1" applyFill="1" applyBorder="1" applyAlignment="1">
      <alignment horizontal="center"/>
    </xf>
    <xf numFmtId="164" fontId="0" fillId="9" borderId="1" xfId="0" applyNumberFormat="1" applyFont="1" applyFill="1" applyBorder="1" applyAlignment="1">
      <alignment horizontal="center"/>
    </xf>
    <xf numFmtId="1" fontId="0" fillId="6" borderId="1" xfId="0" applyNumberFormat="1" applyFont="1" applyFill="1" applyBorder="1" applyAlignment="1">
      <alignment horizontal="center"/>
    </xf>
    <xf numFmtId="1" fontId="7" fillId="14" borderId="1" xfId="0" applyNumberFormat="1" applyFont="1" applyFill="1" applyBorder="1" applyAlignment="1">
      <alignment horizontal="center"/>
    </xf>
    <xf numFmtId="1" fontId="21" fillId="0" borderId="1" xfId="0" applyNumberFormat="1" applyFont="1" applyBorder="1" applyAlignment="1">
      <alignment horizontal="center"/>
    </xf>
    <xf numFmtId="1" fontId="21" fillId="2" borderId="1" xfId="0" applyNumberFormat="1" applyFont="1" applyFill="1" applyBorder="1" applyAlignment="1">
      <alignment horizontal="center"/>
    </xf>
    <xf numFmtId="1" fontId="21" fillId="5" borderId="1" xfId="0" applyNumberFormat="1" applyFont="1" applyFill="1" applyBorder="1" applyAlignment="1">
      <alignment horizontal="center"/>
    </xf>
    <xf numFmtId="164" fontId="21" fillId="2" borderId="1" xfId="0" applyNumberFormat="1" applyFont="1" applyFill="1" applyBorder="1" applyAlignment="1">
      <alignment horizontal="center"/>
    </xf>
    <xf numFmtId="1" fontId="22" fillId="2" borderId="1" xfId="0" applyNumberFormat="1" applyFont="1" applyFill="1" applyBorder="1" applyAlignment="1">
      <alignment horizontal="center"/>
    </xf>
    <xf numFmtId="164" fontId="22" fillId="2" borderId="1" xfId="0" applyNumberFormat="1" applyFont="1" applyFill="1" applyBorder="1" applyAlignment="1">
      <alignment horizontal="center"/>
    </xf>
    <xf numFmtId="0" fontId="0" fillId="15" borderId="1" xfId="0" applyFont="1" applyFill="1" applyBorder="1" applyAlignment="1">
      <alignment horizontal="center"/>
    </xf>
    <xf numFmtId="1" fontId="14" fillId="5" borderId="7" xfId="0" applyNumberFormat="1" applyFont="1" applyFill="1" applyBorder="1" applyAlignment="1">
      <alignment horizontal="center"/>
    </xf>
    <xf numFmtId="0" fontId="14" fillId="2" borderId="0" xfId="0" applyFont="1" applyFill="1"/>
    <xf numFmtId="1" fontId="22" fillId="0" borderId="2" xfId="0" applyNumberFormat="1" applyFont="1" applyFill="1" applyBorder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165" fontId="0" fillId="23" borderId="1" xfId="0" applyNumberFormat="1" applyFill="1" applyBorder="1" applyAlignment="1">
      <alignment horizontal="center"/>
    </xf>
    <xf numFmtId="2" fontId="0" fillId="23" borderId="1" xfId="0" applyNumberForma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1" fontId="14" fillId="6" borderId="1" xfId="0" applyNumberFormat="1" applyFont="1" applyFill="1" applyBorder="1" applyAlignment="1">
      <alignment horizontal="center"/>
    </xf>
    <xf numFmtId="2" fontId="0" fillId="21" borderId="1" xfId="0" applyNumberFormat="1" applyFont="1" applyFill="1" applyBorder="1" applyAlignment="1">
      <alignment horizontal="center"/>
    </xf>
    <xf numFmtId="2" fontId="0" fillId="22" borderId="1" xfId="0" applyNumberFormat="1" applyFont="1" applyFill="1" applyBorder="1" applyAlignment="1">
      <alignment horizontal="center"/>
    </xf>
    <xf numFmtId="0" fontId="2" fillId="12" borderId="0" xfId="0" applyFont="1" applyFill="1"/>
    <xf numFmtId="0" fontId="0" fillId="12" borderId="0" xfId="0" applyFill="1"/>
    <xf numFmtId="2" fontId="0" fillId="12" borderId="1" xfId="0" applyNumberFormat="1" applyFill="1" applyBorder="1" applyAlignment="1">
      <alignment horizontal="center"/>
    </xf>
    <xf numFmtId="0" fontId="0" fillId="24" borderId="1" xfId="0" applyFill="1" applyBorder="1" applyAlignment="1">
      <alignment horizontal="center"/>
    </xf>
    <xf numFmtId="0" fontId="0" fillId="24" borderId="1" xfId="0" applyFill="1" applyBorder="1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68" fontId="0" fillId="17" borderId="1" xfId="0" applyNumberFormat="1" applyFill="1" applyBorder="1" applyAlignment="1">
      <alignment horizontal="center"/>
    </xf>
    <xf numFmtId="167" fontId="0" fillId="17" borderId="1" xfId="0" applyNumberFormat="1" applyFill="1" applyBorder="1" applyAlignment="1">
      <alignment horizontal="center"/>
    </xf>
    <xf numFmtId="165" fontId="14" fillId="17" borderId="1" xfId="0" applyNumberFormat="1" applyFont="1" applyFill="1" applyBorder="1" applyAlignment="1">
      <alignment horizontal="center"/>
    </xf>
    <xf numFmtId="165" fontId="0" fillId="18" borderId="1" xfId="0" applyNumberFormat="1" applyFont="1" applyFill="1" applyBorder="1" applyAlignment="1">
      <alignment horizontal="center"/>
    </xf>
    <xf numFmtId="1" fontId="23" fillId="2" borderId="1" xfId="0" applyNumberFormat="1" applyFont="1" applyFill="1" applyBorder="1" applyAlignment="1">
      <alignment horizontal="center"/>
    </xf>
    <xf numFmtId="2" fontId="14" fillId="18" borderId="1" xfId="0" applyNumberFormat="1" applyFont="1" applyFill="1" applyBorder="1" applyAlignment="1">
      <alignment horizontal="center"/>
    </xf>
    <xf numFmtId="2" fontId="14" fillId="17" borderId="1" xfId="0" applyNumberFormat="1" applyFont="1" applyFill="1" applyBorder="1" applyAlignment="1">
      <alignment horizontal="center"/>
    </xf>
    <xf numFmtId="1" fontId="23" fillId="15" borderId="1" xfId="0" applyNumberFormat="1" applyFont="1" applyFill="1" applyBorder="1" applyAlignment="1">
      <alignment horizontal="center"/>
    </xf>
    <xf numFmtId="164" fontId="22" fillId="0" borderId="2" xfId="0" applyNumberFormat="1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14" fillId="0" borderId="1" xfId="0" applyNumberFormat="1" applyFont="1" applyBorder="1" applyAlignment="1">
      <alignment horizontal="center"/>
    </xf>
    <xf numFmtId="2" fontId="22" fillId="0" borderId="2" xfId="0" applyNumberFormat="1" applyFont="1" applyFill="1" applyBorder="1" applyAlignment="1">
      <alignment horizontal="center"/>
    </xf>
    <xf numFmtId="1" fontId="14" fillId="3" borderId="7" xfId="0" applyNumberFormat="1" applyFont="1" applyFill="1" applyBorder="1" applyAlignment="1">
      <alignment horizontal="center"/>
    </xf>
    <xf numFmtId="2" fontId="14" fillId="17" borderId="7" xfId="0" applyNumberFormat="1" applyFont="1" applyFill="1" applyBorder="1" applyAlignment="1">
      <alignment horizontal="center"/>
    </xf>
    <xf numFmtId="1" fontId="14" fillId="3" borderId="1" xfId="0" applyNumberFormat="1" applyFont="1" applyFill="1" applyBorder="1" applyAlignment="1">
      <alignment horizontal="center"/>
    </xf>
    <xf numFmtId="0" fontId="6" fillId="0" borderId="1" xfId="0" applyFont="1" applyBorder="1"/>
    <xf numFmtId="164" fontId="6" fillId="12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1" fontId="0" fillId="0" borderId="7" xfId="0" applyNumberFormat="1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2" fontId="14" fillId="18" borderId="7" xfId="0" applyNumberFormat="1" applyFont="1" applyFill="1" applyBorder="1" applyAlignment="1">
      <alignment horizontal="center"/>
    </xf>
    <xf numFmtId="164" fontId="22" fillId="0" borderId="1" xfId="0" applyNumberFormat="1" applyFont="1" applyFill="1" applyBorder="1" applyAlignment="1">
      <alignment horizontal="center"/>
    </xf>
    <xf numFmtId="1" fontId="0" fillId="25" borderId="1" xfId="0" applyNumberFormat="1" applyFill="1" applyBorder="1" applyAlignment="1">
      <alignment horizontal="center"/>
    </xf>
    <xf numFmtId="1" fontId="6" fillId="25" borderId="1" xfId="0" applyNumberFormat="1" applyFont="1" applyFill="1" applyBorder="1" applyAlignment="1">
      <alignment horizontal="center"/>
    </xf>
    <xf numFmtId="2" fontId="14" fillId="5" borderId="1" xfId="0" applyNumberFormat="1" applyFont="1" applyFill="1" applyBorder="1" applyAlignment="1">
      <alignment horizontal="center"/>
    </xf>
    <xf numFmtId="2" fontId="6" fillId="20" borderId="1" xfId="0" applyNumberFormat="1" applyFont="1" applyFill="1" applyBorder="1" applyAlignment="1">
      <alignment horizontal="center"/>
    </xf>
    <xf numFmtId="164" fontId="6" fillId="9" borderId="1" xfId="0" applyNumberFormat="1" applyFont="1" applyFill="1" applyBorder="1" applyAlignment="1">
      <alignment horizontal="center"/>
    </xf>
    <xf numFmtId="167" fontId="0" fillId="16" borderId="1" xfId="0" applyNumberFormat="1" applyFill="1" applyBorder="1" applyAlignment="1">
      <alignment horizontal="center"/>
    </xf>
    <xf numFmtId="164" fontId="0" fillId="15" borderId="1" xfId="0" applyNumberFormat="1" applyFill="1" applyBorder="1" applyAlignment="1">
      <alignment horizontal="center"/>
    </xf>
    <xf numFmtId="165" fontId="6" fillId="17" borderId="1" xfId="0" applyNumberFormat="1" applyFont="1" applyFill="1" applyBorder="1" applyAlignment="1">
      <alignment horizontal="center"/>
    </xf>
    <xf numFmtId="2" fontId="6" fillId="17" borderId="1" xfId="0" applyNumberFormat="1" applyFont="1" applyFill="1" applyBorder="1" applyAlignment="1">
      <alignment horizontal="center"/>
    </xf>
    <xf numFmtId="2" fontId="14" fillId="5" borderId="5" xfId="0" applyNumberFormat="1" applyFont="1" applyFill="1" applyBorder="1" applyAlignment="1">
      <alignment horizontal="center"/>
    </xf>
    <xf numFmtId="164" fontId="6" fillId="5" borderId="1" xfId="0" applyNumberFormat="1" applyFont="1" applyFill="1" applyBorder="1" applyAlignment="1">
      <alignment horizontal="center"/>
    </xf>
    <xf numFmtId="167" fontId="0" fillId="20" borderId="1" xfId="0" applyNumberFormat="1" applyFill="1" applyBorder="1" applyAlignment="1">
      <alignment horizontal="center"/>
    </xf>
    <xf numFmtId="167" fontId="0" fillId="22" borderId="1" xfId="0" applyNumberFormat="1" applyFill="1" applyBorder="1" applyAlignment="1">
      <alignment horizontal="center"/>
    </xf>
    <xf numFmtId="164" fontId="22" fillId="0" borderId="1" xfId="0" applyNumberFormat="1" applyFont="1" applyBorder="1" applyAlignment="1">
      <alignment horizontal="center"/>
    </xf>
    <xf numFmtId="165" fontId="22" fillId="2" borderId="1" xfId="0" applyNumberFormat="1" applyFont="1" applyFill="1" applyBorder="1" applyAlignment="1">
      <alignment horizontal="center"/>
    </xf>
    <xf numFmtId="0" fontId="7" fillId="0" borderId="0" xfId="0" applyFont="1" applyFill="1"/>
    <xf numFmtId="1" fontId="7" fillId="0" borderId="1" xfId="0" applyNumberFormat="1" applyFont="1" applyBorder="1" applyAlignment="1">
      <alignment horizontal="center"/>
    </xf>
    <xf numFmtId="1" fontId="22" fillId="0" borderId="1" xfId="0" applyNumberFormat="1" applyFont="1" applyBorder="1" applyAlignment="1">
      <alignment horizontal="center"/>
    </xf>
    <xf numFmtId="170" fontId="0" fillId="0" borderId="0" xfId="1" applyNumberFormat="1" applyFont="1" applyFill="1" applyBorder="1" applyAlignment="1">
      <alignment horizontal="center"/>
    </xf>
    <xf numFmtId="170" fontId="0" fillId="0" borderId="1" xfId="1" applyNumberFormat="1" applyFont="1" applyFill="1" applyBorder="1" applyAlignment="1">
      <alignment horizontal="center"/>
    </xf>
    <xf numFmtId="1" fontId="10" fillId="6" borderId="1" xfId="0" applyNumberFormat="1" applyFont="1" applyFill="1" applyBorder="1" applyAlignment="1">
      <alignment horizontal="center"/>
    </xf>
    <xf numFmtId="1" fontId="24" fillId="6" borderId="1" xfId="0" applyNumberFormat="1" applyFont="1" applyFill="1" applyBorder="1" applyAlignment="1">
      <alignment horizontal="center"/>
    </xf>
    <xf numFmtId="1" fontId="25" fillId="6" borderId="1" xfId="0" applyNumberFormat="1" applyFont="1" applyFill="1" applyBorder="1" applyAlignment="1">
      <alignment horizontal="center"/>
    </xf>
    <xf numFmtId="164" fontId="10" fillId="6" borderId="1" xfId="0" applyNumberFormat="1" applyFont="1" applyFill="1" applyBorder="1" applyAlignment="1">
      <alignment horizontal="center"/>
    </xf>
    <xf numFmtId="164" fontId="24" fillId="6" borderId="1" xfId="0" applyNumberFormat="1" applyFont="1" applyFill="1" applyBorder="1" applyAlignment="1">
      <alignment horizontal="center"/>
    </xf>
    <xf numFmtId="0" fontId="26" fillId="0" borderId="0" xfId="0" applyFont="1" applyFill="1"/>
    <xf numFmtId="1" fontId="8" fillId="7" borderId="1" xfId="3" applyNumberFormat="1" applyFont="1" applyFill="1" applyBorder="1" applyAlignment="1">
      <alignment horizontal="center"/>
    </xf>
    <xf numFmtId="3" fontId="0" fillId="7" borderId="1" xfId="0" applyNumberFormat="1" applyFill="1" applyBorder="1" applyAlignment="1">
      <alignment horizontal="center"/>
    </xf>
    <xf numFmtId="165" fontId="4" fillId="20" borderId="1" xfId="0" applyNumberFormat="1" applyFont="1" applyFill="1" applyBorder="1" applyAlignment="1">
      <alignment horizontal="center"/>
    </xf>
    <xf numFmtId="167" fontId="0" fillId="21" borderId="1" xfId="0" applyNumberFormat="1" applyFill="1" applyBorder="1" applyAlignment="1">
      <alignment horizontal="center"/>
    </xf>
    <xf numFmtId="165" fontId="23" fillId="21" borderId="1" xfId="0" applyNumberFormat="1" applyFont="1" applyFill="1" applyBorder="1" applyAlignment="1">
      <alignment horizontal="center"/>
    </xf>
    <xf numFmtId="165" fontId="0" fillId="26" borderId="1" xfId="0" applyNumberFormat="1" applyFill="1" applyBorder="1" applyAlignment="1">
      <alignment horizontal="center"/>
    </xf>
    <xf numFmtId="2" fontId="0" fillId="26" borderId="1" xfId="0" applyNumberFormat="1" applyFill="1" applyBorder="1" applyAlignment="1">
      <alignment horizontal="center"/>
    </xf>
    <xf numFmtId="166" fontId="0" fillId="26" borderId="1" xfId="0" applyNumberFormat="1" applyFill="1" applyBorder="1" applyAlignment="1">
      <alignment horizontal="center"/>
    </xf>
    <xf numFmtId="168" fontId="0" fillId="2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20" fillId="2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2" fontId="6" fillId="8" borderId="1" xfId="0" applyNumberFormat="1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5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center"/>
    </xf>
    <xf numFmtId="1" fontId="0" fillId="24" borderId="1" xfId="0" applyNumberFormat="1" applyFill="1" applyBorder="1" applyAlignment="1">
      <alignment horizontal="center"/>
    </xf>
    <xf numFmtId="9" fontId="0" fillId="24" borderId="1" xfId="1" applyFont="1" applyFill="1" applyBorder="1" applyAlignment="1">
      <alignment horizontal="center"/>
    </xf>
    <xf numFmtId="1" fontId="0" fillId="24" borderId="1" xfId="0" applyNumberFormat="1" applyFill="1" applyBorder="1" applyAlignment="1">
      <alignment horizontal="left"/>
    </xf>
    <xf numFmtId="9" fontId="0" fillId="24" borderId="1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 vertical="center" wrapText="1"/>
    </xf>
    <xf numFmtId="0" fontId="27" fillId="0" borderId="0" xfId="0" applyFont="1" applyBorder="1"/>
    <xf numFmtId="0" fontId="27" fillId="0" borderId="0" xfId="0" applyFont="1"/>
    <xf numFmtId="2" fontId="0" fillId="12" borderId="1" xfId="0" applyNumberFormat="1" applyFont="1" applyFill="1" applyBorder="1" applyAlignment="1">
      <alignment horizontal="center"/>
    </xf>
    <xf numFmtId="9" fontId="0" fillId="17" borderId="1" xfId="1" applyFont="1" applyFill="1" applyBorder="1" applyAlignment="1">
      <alignment horizontal="center"/>
    </xf>
    <xf numFmtId="9" fontId="0" fillId="16" borderId="1" xfId="1" applyFont="1" applyFill="1" applyBorder="1" applyAlignment="1">
      <alignment horizontal="center"/>
    </xf>
    <xf numFmtId="9" fontId="0" fillId="18" borderId="1" xfId="1" applyFont="1" applyFill="1" applyBorder="1" applyAlignment="1">
      <alignment horizontal="center"/>
    </xf>
    <xf numFmtId="2" fontId="0" fillId="12" borderId="6" xfId="0" applyNumberFormat="1" applyFill="1" applyBorder="1" applyAlignment="1">
      <alignment horizontal="center"/>
    </xf>
    <xf numFmtId="1" fontId="0" fillId="25" borderId="5" xfId="0" applyNumberFormat="1" applyFill="1" applyBorder="1" applyAlignment="1">
      <alignment horizontal="center"/>
    </xf>
    <xf numFmtId="0" fontId="28" fillId="0" borderId="0" xfId="0" applyFont="1"/>
    <xf numFmtId="0" fontId="28" fillId="0" borderId="0" xfId="0" applyFont="1" applyBorder="1"/>
    <xf numFmtId="164" fontId="25" fillId="6" borderId="1" xfId="0" applyNumberFormat="1" applyFont="1" applyFill="1" applyBorder="1" applyAlignment="1">
      <alignment horizontal="center"/>
    </xf>
    <xf numFmtId="164" fontId="14" fillId="5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14" fillId="2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167" fontId="0" fillId="26" borderId="1" xfId="0" applyNumberFormat="1" applyFill="1" applyBorder="1" applyAlignment="1">
      <alignment horizontal="center"/>
    </xf>
    <xf numFmtId="167" fontId="23" fillId="21" borderId="1" xfId="0" applyNumberFormat="1" applyFont="1" applyFill="1" applyBorder="1" applyAlignment="1">
      <alignment horizontal="center"/>
    </xf>
    <xf numFmtId="164" fontId="14" fillId="5" borderId="5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" fontId="0" fillId="17" borderId="0" xfId="0" applyNumberFormat="1" applyFill="1" applyBorder="1" applyAlignment="1">
      <alignment horizontal="center"/>
    </xf>
    <xf numFmtId="1" fontId="0" fillId="17" borderId="0" xfId="0" applyNumberFormat="1" applyFont="1" applyFill="1" applyBorder="1" applyAlignment="1">
      <alignment horizontal="center"/>
    </xf>
    <xf numFmtId="1" fontId="14" fillId="2" borderId="0" xfId="0" applyNumberFormat="1" applyFont="1" applyFill="1" applyBorder="1" applyAlignment="1">
      <alignment horizontal="center"/>
    </xf>
    <xf numFmtId="1" fontId="6" fillId="5" borderId="0" xfId="0" applyNumberFormat="1" applyFont="1" applyFill="1" applyBorder="1" applyAlignment="1">
      <alignment horizontal="center"/>
    </xf>
    <xf numFmtId="164" fontId="0" fillId="17" borderId="0" xfId="0" applyNumberFormat="1" applyFill="1" applyBorder="1" applyAlignment="1">
      <alignment horizontal="center"/>
    </xf>
    <xf numFmtId="2" fontId="0" fillId="17" borderId="0" xfId="0" applyNumberFormat="1" applyFill="1" applyBorder="1" applyAlignment="1">
      <alignment horizontal="center"/>
    </xf>
    <xf numFmtId="1" fontId="14" fillId="5" borderId="0" xfId="0" applyNumberFormat="1" applyFont="1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29" fillId="0" borderId="1" xfId="0" applyFont="1" applyFill="1" applyBorder="1"/>
    <xf numFmtId="1" fontId="29" fillId="6" borderId="1" xfId="0" applyNumberFormat="1" applyFont="1" applyFill="1" applyBorder="1" applyAlignment="1">
      <alignment horizontal="center"/>
    </xf>
    <xf numFmtId="0" fontId="29" fillId="24" borderId="1" xfId="0" applyFont="1" applyFill="1" applyBorder="1" applyAlignment="1">
      <alignment horizontal="center"/>
    </xf>
    <xf numFmtId="0" fontId="29" fillId="0" borderId="1" xfId="0" applyFont="1" applyBorder="1"/>
    <xf numFmtId="0" fontId="29" fillId="0" borderId="0" xfId="0" applyFont="1"/>
    <xf numFmtId="1" fontId="29" fillId="9" borderId="1" xfId="0" applyNumberFormat="1" applyFont="1" applyFill="1" applyBorder="1" applyAlignment="1">
      <alignment horizontal="center"/>
    </xf>
    <xf numFmtId="1" fontId="30" fillId="0" borderId="1" xfId="0" applyNumberFormat="1" applyFont="1" applyBorder="1" applyAlignment="1">
      <alignment horizontal="center"/>
    </xf>
    <xf numFmtId="0" fontId="29" fillId="3" borderId="1" xfId="0" applyFont="1" applyFill="1" applyBorder="1" applyAlignment="1">
      <alignment horizontal="center"/>
    </xf>
    <xf numFmtId="1" fontId="29" fillId="3" borderId="1" xfId="0" applyNumberFormat="1" applyFont="1" applyFill="1" applyBorder="1" applyAlignment="1">
      <alignment horizontal="center"/>
    </xf>
    <xf numFmtId="1" fontId="0" fillId="15" borderId="1" xfId="3" applyNumberFormat="1" applyFont="1" applyFill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0" fillId="0" borderId="31" xfId="0" applyFill="1" applyBorder="1" applyAlignment="1">
      <alignment horizontal="center" vertical="center"/>
    </xf>
    <xf numFmtId="1" fontId="0" fillId="12" borderId="1" xfId="0" applyNumberFormat="1" applyFill="1" applyBorder="1" applyAlignment="1">
      <alignment horizontal="center"/>
    </xf>
    <xf numFmtId="0" fontId="0" fillId="2" borderId="0" xfId="0" applyFill="1" applyBorder="1"/>
    <xf numFmtId="1" fontId="0" fillId="20" borderId="0" xfId="0" applyNumberFormat="1" applyFill="1" applyBorder="1" applyAlignment="1">
      <alignment horizontal="center"/>
    </xf>
    <xf numFmtId="164" fontId="0" fillId="20" borderId="0" xfId="0" applyNumberFormat="1" applyFill="1" applyBorder="1" applyAlignment="1">
      <alignment horizontal="center"/>
    </xf>
    <xf numFmtId="0" fontId="0" fillId="20" borderId="0" xfId="0" applyFill="1" applyBorder="1" applyAlignment="1">
      <alignment horizontal="center"/>
    </xf>
    <xf numFmtId="1" fontId="31" fillId="0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14" fillId="20" borderId="1" xfId="0" applyNumberFormat="1" applyFont="1" applyFill="1" applyBorder="1" applyAlignment="1">
      <alignment horizontal="center"/>
    </xf>
    <xf numFmtId="1" fontId="14" fillId="20" borderId="0" xfId="0" applyNumberFormat="1" applyFont="1" applyFill="1" applyBorder="1" applyAlignment="1">
      <alignment horizontal="center"/>
    </xf>
    <xf numFmtId="2" fontId="0" fillId="20" borderId="0" xfId="0" applyNumberFormat="1" applyFill="1" applyBorder="1" applyAlignment="1">
      <alignment horizontal="center"/>
    </xf>
    <xf numFmtId="0" fontId="0" fillId="17" borderId="1" xfId="0" applyFont="1" applyFill="1" applyBorder="1"/>
    <xf numFmtId="1" fontId="0" fillId="7" borderId="1" xfId="3" applyNumberFormat="1" applyFont="1" applyFill="1" applyBorder="1" applyAlignment="1">
      <alignment horizontal="center"/>
    </xf>
    <xf numFmtId="1" fontId="0" fillId="2" borderId="7" xfId="0" applyNumberFormat="1" applyFont="1" applyFill="1" applyBorder="1" applyAlignment="1">
      <alignment horizontal="center"/>
    </xf>
    <xf numFmtId="1" fontId="0" fillId="15" borderId="0" xfId="0" applyNumberFormat="1" applyFill="1" applyBorder="1" applyAlignment="1">
      <alignment horizontal="center"/>
    </xf>
    <xf numFmtId="0" fontId="16" fillId="0" borderId="0" xfId="0" applyFont="1" applyAlignment="1">
      <alignment horizontal="left" wrapText="1"/>
    </xf>
    <xf numFmtId="0" fontId="0" fillId="0" borderId="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6" fillId="0" borderId="0" xfId="0" applyFont="1" applyAlignment="1">
      <alignment wrapText="1"/>
    </xf>
    <xf numFmtId="0" fontId="0" fillId="0" borderId="1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30" xfId="0" applyBorder="1" applyAlignment="1">
      <alignment wrapText="1"/>
    </xf>
    <xf numFmtId="0" fontId="0" fillId="0" borderId="3" xfId="0" applyBorder="1" applyAlignment="1">
      <alignment horizontal="left" wrapText="1"/>
    </xf>
    <xf numFmtId="0" fontId="0" fillId="10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7" borderId="4" xfId="0" applyFill="1" applyBorder="1" applyAlignment="1">
      <alignment horizontal="left"/>
    </xf>
    <xf numFmtId="0" fontId="0" fillId="7" borderId="6" xfId="0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0" fillId="10" borderId="6" xfId="0" applyFill="1" applyBorder="1" applyAlignment="1">
      <alignment horizontal="left"/>
    </xf>
    <xf numFmtId="0" fontId="0" fillId="9" borderId="4" xfId="0" applyFill="1" applyBorder="1" applyAlignment="1">
      <alignment horizontal="left"/>
    </xf>
    <xf numFmtId="0" fontId="0" fillId="9" borderId="6" xfId="0" applyFill="1" applyBorder="1" applyAlignment="1">
      <alignment horizontal="left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/>
    </xf>
    <xf numFmtId="0" fontId="7" fillId="0" borderId="4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Alignment="1">
      <alignment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  <color rgb="FFFFFF66"/>
      <color rgb="FFFFFFCC"/>
      <color rgb="FFCCCCFF"/>
      <color rgb="FF00660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arles Alpers" id="{7C12155D-4BAF-46F2-9805-A73290B52038}" userId="S::cnalpers@usgs.gov::7bdd0d94-12e0-46b0-b265-9cc1f403ec5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8" dT="2019-11-05T19:13:28.62" personId="{7C12155D-4BAF-46F2-9805-A73290B52038}" id="{8B5199CD-3D56-4BD5-A1DB-8D78312DCA32}">
    <text>XLS interpolation method</text>
  </threadedComment>
  <threadedComment ref="D8" dT="2019-11-05T19:12:02.56" personId="{7C12155D-4BAF-46F2-9805-A73290B52038}" id="{6C6EB1EE-A549-4A7A-A6FD-EB2BFD777020}">
    <text>fTHg = wwTHg - pTHg</text>
  </threadedComment>
  <threadedComment ref="F8" dT="2019-11-05T19:13:48.31" personId="{7C12155D-4BAF-46F2-9805-A73290B52038}" id="{CEF466E6-0FF4-4A8F-927B-F82ED8FC5C38}">
    <text>XLS interpolation metho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en.wikipedia.org/wiki/Propagation_of_uncertainty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6A328-AD21-4D58-94C1-14EEE2327127}">
  <sheetPr>
    <pageSetUpPr fitToPage="1"/>
  </sheetPr>
  <dimension ref="A1:M31"/>
  <sheetViews>
    <sheetView view="pageLayout" topLeftCell="A13" zoomScaleNormal="100" workbookViewId="0">
      <selection activeCell="C22" sqref="C22"/>
    </sheetView>
  </sheetViews>
  <sheetFormatPr baseColWidth="10" defaultColWidth="8.83203125" defaultRowHeight="15"/>
  <cols>
    <col min="1" max="1" width="14.6640625" customWidth="1"/>
    <col min="2" max="2" width="10.1640625" customWidth="1"/>
    <col min="3" max="4" width="7.1640625" customWidth="1"/>
    <col min="5" max="5" width="9.5" bestFit="1" customWidth="1"/>
    <col min="8" max="8" width="10.33203125" customWidth="1"/>
    <col min="11" max="11" width="9.5" bestFit="1" customWidth="1"/>
  </cols>
  <sheetData>
    <row r="1" spans="1:13" ht="39" customHeight="1">
      <c r="A1" s="591" t="s">
        <v>208</v>
      </c>
      <c r="B1" s="591"/>
      <c r="C1" s="591"/>
      <c r="D1" s="591"/>
      <c r="E1" s="591"/>
      <c r="F1" s="591"/>
      <c r="G1" s="591"/>
      <c r="H1" s="591"/>
      <c r="I1" s="591"/>
      <c r="J1" s="591"/>
      <c r="K1" s="591"/>
      <c r="L1" s="591"/>
      <c r="M1" s="591"/>
    </row>
    <row r="2" spans="1:13" ht="31" customHeight="1">
      <c r="A2" s="603" t="s">
        <v>210</v>
      </c>
      <c r="B2" s="604"/>
      <c r="C2" s="604"/>
      <c r="D2" s="604"/>
      <c r="E2" s="604"/>
      <c r="F2" s="604"/>
      <c r="G2" s="604"/>
      <c r="H2" s="604"/>
      <c r="I2" s="604"/>
      <c r="J2" s="604"/>
      <c r="K2" s="604"/>
      <c r="L2" s="604"/>
      <c r="M2" s="604"/>
    </row>
    <row r="3" spans="1:13" ht="16" thickBot="1"/>
    <row r="4" spans="1:13">
      <c r="A4" s="592" t="s">
        <v>189</v>
      </c>
      <c r="B4" s="599" t="s">
        <v>143</v>
      </c>
      <c r="C4" s="595"/>
      <c r="D4" s="596"/>
      <c r="E4" s="594" t="s">
        <v>147</v>
      </c>
      <c r="F4" s="595"/>
      <c r="G4" s="596"/>
      <c r="H4" s="594" t="s">
        <v>149</v>
      </c>
      <c r="I4" s="595"/>
      <c r="J4" s="596"/>
      <c r="K4" s="594" t="s">
        <v>190</v>
      </c>
      <c r="L4" s="595"/>
      <c r="M4" s="596"/>
    </row>
    <row r="5" spans="1:13">
      <c r="A5" s="593"/>
      <c r="B5" s="600">
        <v>11451800</v>
      </c>
      <c r="C5" s="601"/>
      <c r="D5" s="602"/>
      <c r="E5" s="600">
        <v>11452500</v>
      </c>
      <c r="F5" s="601"/>
      <c r="G5" s="602"/>
      <c r="H5" s="600">
        <v>11452600</v>
      </c>
      <c r="I5" s="601"/>
      <c r="J5" s="602"/>
      <c r="K5" s="600">
        <v>11452800</v>
      </c>
      <c r="L5" s="601"/>
      <c r="M5" s="602"/>
    </row>
    <row r="6" spans="1:13" ht="16" thickBot="1">
      <c r="A6" s="598"/>
      <c r="B6" s="200" t="s">
        <v>191</v>
      </c>
      <c r="C6" s="201" t="s">
        <v>192</v>
      </c>
      <c r="D6" s="202" t="s">
        <v>193</v>
      </c>
      <c r="E6" s="203" t="s">
        <v>191</v>
      </c>
      <c r="F6" s="201" t="s">
        <v>192</v>
      </c>
      <c r="G6" s="202" t="s">
        <v>193</v>
      </c>
      <c r="H6" s="203" t="s">
        <v>191</v>
      </c>
      <c r="I6" s="201" t="s">
        <v>192</v>
      </c>
      <c r="J6" s="202" t="s">
        <v>193</v>
      </c>
      <c r="K6" s="203" t="s">
        <v>191</v>
      </c>
      <c r="L6" s="201" t="s">
        <v>192</v>
      </c>
      <c r="M6" s="202" t="s">
        <v>193</v>
      </c>
    </row>
    <row r="7" spans="1:13">
      <c r="A7" s="204">
        <v>1</v>
      </c>
      <c r="B7" s="205">
        <v>42743</v>
      </c>
      <c r="C7" s="206">
        <v>0.64583333333333337</v>
      </c>
      <c r="D7" s="207">
        <v>21468</v>
      </c>
      <c r="E7" s="208">
        <v>42744</v>
      </c>
      <c r="F7" s="206">
        <v>0.23958333333333334</v>
      </c>
      <c r="G7" s="207">
        <v>18766</v>
      </c>
      <c r="H7" s="208">
        <v>42744</v>
      </c>
      <c r="I7" s="206">
        <v>0.32291666666666669</v>
      </c>
      <c r="J7" s="207">
        <v>18766</v>
      </c>
      <c r="K7" s="209">
        <v>42744</v>
      </c>
      <c r="L7" s="206">
        <v>0.54166666666666663</v>
      </c>
      <c r="M7" s="207">
        <v>14674</v>
      </c>
    </row>
    <row r="8" spans="1:13">
      <c r="A8" s="210">
        <v>2</v>
      </c>
      <c r="B8" s="211">
        <v>42745</v>
      </c>
      <c r="C8" s="212">
        <v>0.90625</v>
      </c>
      <c r="D8" s="213">
        <v>16516</v>
      </c>
      <c r="E8" s="214">
        <v>42746</v>
      </c>
      <c r="F8" s="212">
        <v>0.4375</v>
      </c>
      <c r="G8" s="213">
        <v>16290</v>
      </c>
      <c r="H8" s="214">
        <v>42746</v>
      </c>
      <c r="I8" s="212">
        <v>0.52083333333333337</v>
      </c>
      <c r="J8" s="213">
        <v>16290</v>
      </c>
      <c r="K8" s="215">
        <v>42746</v>
      </c>
      <c r="L8" s="212">
        <v>0.67708333333333337</v>
      </c>
      <c r="M8" s="213">
        <v>13847</v>
      </c>
    </row>
    <row r="9" spans="1:13">
      <c r="A9" s="210">
        <v>3</v>
      </c>
      <c r="B9" s="211">
        <v>42754</v>
      </c>
      <c r="C9" s="212">
        <v>9.375E-2</v>
      </c>
      <c r="D9" s="213">
        <v>10064</v>
      </c>
      <c r="E9" s="214">
        <v>42754</v>
      </c>
      <c r="F9" s="212">
        <v>0.58333333333333337</v>
      </c>
      <c r="G9" s="213">
        <v>9532</v>
      </c>
      <c r="H9" s="214">
        <v>42754</v>
      </c>
      <c r="I9" s="212">
        <v>0.66666666666666663</v>
      </c>
      <c r="J9" s="213">
        <v>9532</v>
      </c>
      <c r="K9" s="215">
        <v>42754</v>
      </c>
      <c r="L9" s="212">
        <v>0.84375</v>
      </c>
      <c r="M9" s="213">
        <v>9569</v>
      </c>
    </row>
    <row r="10" spans="1:13">
      <c r="A10" s="210">
        <v>4</v>
      </c>
      <c r="B10" s="211">
        <v>42755</v>
      </c>
      <c r="C10" s="212">
        <v>0.42708333333333331</v>
      </c>
      <c r="D10" s="213">
        <v>10434</v>
      </c>
      <c r="E10" s="214">
        <v>42756</v>
      </c>
      <c r="F10" s="212">
        <v>0</v>
      </c>
      <c r="G10" s="213">
        <v>10354</v>
      </c>
      <c r="H10" s="214">
        <v>42756</v>
      </c>
      <c r="I10" s="212">
        <v>8.3333333333333329E-2</v>
      </c>
      <c r="J10" s="213">
        <v>10354</v>
      </c>
      <c r="K10" s="216" t="s">
        <v>194</v>
      </c>
      <c r="L10" s="212">
        <v>0.20833333333333334</v>
      </c>
      <c r="M10" s="213">
        <v>10738</v>
      </c>
    </row>
    <row r="11" spans="1:13">
      <c r="A11" s="210">
        <v>5</v>
      </c>
      <c r="B11" s="211">
        <v>42757</v>
      </c>
      <c r="C11" s="212">
        <v>0.4375</v>
      </c>
      <c r="D11" s="213">
        <v>12820</v>
      </c>
      <c r="E11" s="214">
        <v>42757</v>
      </c>
      <c r="F11" s="212">
        <v>0.92708333333333337</v>
      </c>
      <c r="G11" s="213">
        <v>11801</v>
      </c>
      <c r="H11" s="214">
        <v>42758</v>
      </c>
      <c r="I11" s="212">
        <v>1.0416666666666666E-2</v>
      </c>
      <c r="J11" s="213">
        <v>11801</v>
      </c>
      <c r="K11" s="215">
        <v>42758</v>
      </c>
      <c r="L11" s="212">
        <v>0.14583333333333334</v>
      </c>
      <c r="M11" s="213">
        <v>11709</v>
      </c>
    </row>
    <row r="12" spans="1:13">
      <c r="A12" s="210">
        <v>6</v>
      </c>
      <c r="B12" s="211">
        <v>42773</v>
      </c>
      <c r="C12" s="212">
        <v>0.44791666666666669</v>
      </c>
      <c r="D12" s="213">
        <v>17048</v>
      </c>
      <c r="E12" s="214">
        <v>42773</v>
      </c>
      <c r="F12" s="212">
        <v>0.96875</v>
      </c>
      <c r="G12" s="213">
        <v>15933</v>
      </c>
      <c r="H12" s="214">
        <v>42774</v>
      </c>
      <c r="I12" s="212">
        <v>5.2083333333333336E-2</v>
      </c>
      <c r="J12" s="213">
        <v>15933</v>
      </c>
      <c r="K12" s="215">
        <v>42774</v>
      </c>
      <c r="L12" s="212">
        <v>0.22916666666666666</v>
      </c>
      <c r="M12" s="213">
        <v>14317</v>
      </c>
    </row>
    <row r="13" spans="1:13">
      <c r="A13" s="210">
        <v>7</v>
      </c>
      <c r="B13" s="211">
        <v>42775</v>
      </c>
      <c r="C13" s="212">
        <v>0.82291666666666663</v>
      </c>
      <c r="D13" s="213">
        <v>13714</v>
      </c>
      <c r="E13" s="214">
        <v>42776</v>
      </c>
      <c r="F13" s="212">
        <v>0.30208333333333331</v>
      </c>
      <c r="G13" s="213">
        <v>12089</v>
      </c>
      <c r="H13" s="214">
        <v>42776</v>
      </c>
      <c r="I13" s="212">
        <v>0.38541666666666669</v>
      </c>
      <c r="J13" s="213">
        <v>12089</v>
      </c>
      <c r="K13" s="215">
        <v>42776</v>
      </c>
      <c r="L13" s="212">
        <v>0.53125</v>
      </c>
      <c r="M13" s="213">
        <v>11956</v>
      </c>
    </row>
    <row r="14" spans="1:13">
      <c r="A14" s="210">
        <v>8</v>
      </c>
      <c r="B14" s="211">
        <v>42784</v>
      </c>
      <c r="C14" s="212">
        <v>7.2916666666666671E-2</v>
      </c>
      <c r="D14" s="213">
        <v>21202</v>
      </c>
      <c r="E14" s="214">
        <v>42784</v>
      </c>
      <c r="F14" s="212">
        <v>0.57291666666666663</v>
      </c>
      <c r="G14" s="213">
        <v>18752</v>
      </c>
      <c r="H14" s="214">
        <v>42784</v>
      </c>
      <c r="I14" s="212">
        <v>0.65625</v>
      </c>
      <c r="J14" s="213">
        <v>18752</v>
      </c>
      <c r="K14" s="214">
        <v>42784</v>
      </c>
      <c r="L14" s="212">
        <v>0.85416666666666663</v>
      </c>
      <c r="M14" s="213">
        <v>16507</v>
      </c>
    </row>
    <row r="15" spans="1:13" ht="16" thickBot="1">
      <c r="A15" s="217">
        <v>9</v>
      </c>
      <c r="B15" s="218">
        <v>42786</v>
      </c>
      <c r="C15" s="219">
        <v>4.1666666666666664E-2</v>
      </c>
      <c r="D15" s="202">
        <v>14340</v>
      </c>
      <c r="E15" s="220">
        <v>42787</v>
      </c>
      <c r="F15" s="219">
        <v>0.47916666666666669</v>
      </c>
      <c r="G15" s="202">
        <v>14114</v>
      </c>
      <c r="H15" s="220">
        <v>42787</v>
      </c>
      <c r="I15" s="219">
        <v>0.5625</v>
      </c>
      <c r="J15" s="202">
        <v>14114</v>
      </c>
      <c r="K15" s="220">
        <v>42787</v>
      </c>
      <c r="L15" s="219">
        <v>0.6875</v>
      </c>
      <c r="M15" s="202">
        <v>13963</v>
      </c>
    </row>
    <row r="17" spans="1:13" ht="40" customHeight="1">
      <c r="A17" s="597" t="s">
        <v>209</v>
      </c>
      <c r="B17" s="597"/>
      <c r="C17" s="597"/>
      <c r="D17" s="597"/>
      <c r="E17" s="597"/>
      <c r="F17" s="597"/>
      <c r="G17" s="597"/>
      <c r="H17" s="597"/>
      <c r="I17" s="597"/>
      <c r="J17" s="597"/>
      <c r="K17" s="597"/>
      <c r="L17" s="597"/>
      <c r="M17" s="597"/>
    </row>
    <row r="18" spans="1:13">
      <c r="A18" t="s">
        <v>195</v>
      </c>
    </row>
    <row r="19" spans="1:13" ht="47" customHeight="1" thickBot="1">
      <c r="A19" s="605" t="s">
        <v>211</v>
      </c>
      <c r="B19" s="605"/>
      <c r="C19" s="605"/>
      <c r="D19" s="605"/>
      <c r="E19" s="605"/>
      <c r="F19" s="605"/>
      <c r="G19" s="605"/>
      <c r="H19" s="605"/>
      <c r="I19" s="605"/>
      <c r="J19" s="605"/>
      <c r="K19" s="605"/>
      <c r="L19" s="605"/>
      <c r="M19" s="605"/>
    </row>
    <row r="20" spans="1:13">
      <c r="A20" s="592" t="s">
        <v>189</v>
      </c>
      <c r="B20" s="594" t="s">
        <v>143</v>
      </c>
      <c r="C20" s="595"/>
      <c r="D20" s="596"/>
      <c r="E20" s="594" t="s">
        <v>147</v>
      </c>
      <c r="F20" s="595"/>
      <c r="G20" s="596"/>
      <c r="H20" s="594" t="s">
        <v>149</v>
      </c>
      <c r="I20" s="595"/>
      <c r="J20" s="596"/>
      <c r="K20" s="594" t="s">
        <v>190</v>
      </c>
      <c r="L20" s="595"/>
      <c r="M20" s="596"/>
    </row>
    <row r="21" spans="1:13">
      <c r="A21" s="593"/>
      <c r="B21" s="600">
        <v>11451800</v>
      </c>
      <c r="C21" s="601"/>
      <c r="D21" s="602"/>
      <c r="E21" s="600">
        <v>11452500</v>
      </c>
      <c r="F21" s="601"/>
      <c r="G21" s="602"/>
      <c r="H21" s="600">
        <v>11452600</v>
      </c>
      <c r="I21" s="601"/>
      <c r="J21" s="602"/>
      <c r="K21" s="600">
        <v>11452800</v>
      </c>
      <c r="L21" s="601"/>
      <c r="M21" s="602"/>
    </row>
    <row r="22" spans="1:13" ht="16" thickBot="1">
      <c r="A22" s="593"/>
      <c r="B22" s="203" t="s">
        <v>196</v>
      </c>
      <c r="C22" s="201" t="s">
        <v>197</v>
      </c>
      <c r="D22" s="202" t="s">
        <v>198</v>
      </c>
      <c r="E22" s="203" t="s">
        <v>196</v>
      </c>
      <c r="F22" s="201" t="s">
        <v>197</v>
      </c>
      <c r="G22" s="202" t="s">
        <v>198</v>
      </c>
      <c r="H22" s="203" t="s">
        <v>196</v>
      </c>
      <c r="I22" s="201" t="s">
        <v>197</v>
      </c>
      <c r="J22" s="202" t="s">
        <v>198</v>
      </c>
      <c r="K22" s="203" t="s">
        <v>196</v>
      </c>
      <c r="L22" s="201" t="s">
        <v>197</v>
      </c>
      <c r="M22" s="202" t="s">
        <v>198</v>
      </c>
    </row>
    <row r="23" spans="1:13">
      <c r="A23" s="204">
        <v>1</v>
      </c>
      <c r="B23" s="221">
        <v>49</v>
      </c>
      <c r="C23" s="222">
        <v>98</v>
      </c>
      <c r="D23" s="223" t="s">
        <v>199</v>
      </c>
      <c r="E23" s="224">
        <v>20</v>
      </c>
      <c r="F23" s="225" t="s">
        <v>200</v>
      </c>
      <c r="G23" s="207">
        <v>65</v>
      </c>
      <c r="H23" s="224">
        <v>20</v>
      </c>
      <c r="I23" s="225" t="s">
        <v>200</v>
      </c>
      <c r="J23" s="207">
        <v>66</v>
      </c>
      <c r="K23" s="226" t="s">
        <v>200</v>
      </c>
      <c r="L23" s="225" t="s">
        <v>200</v>
      </c>
      <c r="M23" s="227">
        <v>86</v>
      </c>
    </row>
    <row r="24" spans="1:13">
      <c r="A24" s="210">
        <v>2</v>
      </c>
      <c r="B24" s="228" t="s">
        <v>200</v>
      </c>
      <c r="C24" s="196">
        <v>99</v>
      </c>
      <c r="D24" s="213">
        <v>42</v>
      </c>
      <c r="E24" s="229" t="s">
        <v>200</v>
      </c>
      <c r="F24" s="195">
        <v>98</v>
      </c>
      <c r="G24" s="230" t="s">
        <v>200</v>
      </c>
      <c r="H24" s="229" t="s">
        <v>200</v>
      </c>
      <c r="I24" s="195">
        <v>97</v>
      </c>
      <c r="J24" s="230" t="s">
        <v>200</v>
      </c>
      <c r="K24" s="229" t="s">
        <v>200</v>
      </c>
      <c r="L24" s="195">
        <v>99</v>
      </c>
      <c r="M24" s="230" t="s">
        <v>200</v>
      </c>
    </row>
    <row r="25" spans="1:13">
      <c r="A25" s="210">
        <v>3</v>
      </c>
      <c r="B25" s="231">
        <v>76</v>
      </c>
      <c r="C25" s="195">
        <v>94</v>
      </c>
      <c r="D25" s="213">
        <v>71</v>
      </c>
      <c r="E25" s="232">
        <v>88</v>
      </c>
      <c r="F25" s="195">
        <v>100</v>
      </c>
      <c r="G25" s="230" t="s">
        <v>200</v>
      </c>
      <c r="H25" s="232">
        <v>81</v>
      </c>
      <c r="I25" s="195">
        <v>100</v>
      </c>
      <c r="J25" s="230" t="s">
        <v>200</v>
      </c>
      <c r="K25" s="232">
        <v>70</v>
      </c>
      <c r="L25" s="233" t="s">
        <v>200</v>
      </c>
      <c r="M25" s="213">
        <v>70</v>
      </c>
    </row>
    <row r="26" spans="1:13">
      <c r="A26" s="210">
        <v>4</v>
      </c>
      <c r="B26" s="228" t="s">
        <v>200</v>
      </c>
      <c r="C26" s="195">
        <v>93</v>
      </c>
      <c r="D26" s="230" t="s">
        <v>200</v>
      </c>
      <c r="E26" s="232">
        <v>65</v>
      </c>
      <c r="F26" s="233" t="s">
        <v>200</v>
      </c>
      <c r="G26" s="213">
        <v>65</v>
      </c>
      <c r="H26" s="232">
        <v>63</v>
      </c>
      <c r="I26" s="233" t="s">
        <v>200</v>
      </c>
      <c r="J26" s="213">
        <v>65</v>
      </c>
      <c r="K26" s="229" t="s">
        <v>200</v>
      </c>
      <c r="L26" s="195">
        <v>94</v>
      </c>
      <c r="M26" s="230" t="s">
        <v>200</v>
      </c>
    </row>
    <row r="27" spans="1:13">
      <c r="A27" s="210">
        <v>5</v>
      </c>
      <c r="B27" s="228" t="s">
        <v>200</v>
      </c>
      <c r="C27" s="196">
        <v>100</v>
      </c>
      <c r="D27" s="213">
        <v>33</v>
      </c>
      <c r="E27" s="229" t="s">
        <v>200</v>
      </c>
      <c r="F27" s="233" t="s">
        <v>200</v>
      </c>
      <c r="G27" s="213">
        <v>41</v>
      </c>
      <c r="H27" s="229" t="s">
        <v>200</v>
      </c>
      <c r="I27" s="233" t="s">
        <v>200</v>
      </c>
      <c r="J27" s="213">
        <v>41</v>
      </c>
      <c r="K27" s="229" t="s">
        <v>200</v>
      </c>
      <c r="L27" s="233" t="s">
        <v>200</v>
      </c>
      <c r="M27" s="234">
        <v>85</v>
      </c>
    </row>
    <row r="28" spans="1:13">
      <c r="A28" s="210">
        <v>6</v>
      </c>
      <c r="B28" s="228" t="s">
        <v>200</v>
      </c>
      <c r="C28" s="195">
        <v>98</v>
      </c>
      <c r="D28" s="230" t="s">
        <v>200</v>
      </c>
      <c r="E28" s="229" t="s">
        <v>200</v>
      </c>
      <c r="F28" s="233" t="s">
        <v>200</v>
      </c>
      <c r="G28" s="213">
        <v>54</v>
      </c>
      <c r="H28" s="229" t="s">
        <v>200</v>
      </c>
      <c r="I28" s="233" t="s">
        <v>200</v>
      </c>
      <c r="J28" s="213">
        <v>53</v>
      </c>
      <c r="K28" s="229" t="s">
        <v>200</v>
      </c>
      <c r="L28" s="233" t="s">
        <v>200</v>
      </c>
      <c r="M28" s="213">
        <v>79</v>
      </c>
    </row>
    <row r="29" spans="1:13">
      <c r="A29" s="210">
        <v>7</v>
      </c>
      <c r="B29" s="228" t="s">
        <v>200</v>
      </c>
      <c r="C29" s="233" t="s">
        <v>200</v>
      </c>
      <c r="D29" s="213">
        <v>88</v>
      </c>
      <c r="E29" s="229" t="s">
        <v>200</v>
      </c>
      <c r="F29" s="233" t="s">
        <v>200</v>
      </c>
      <c r="G29" s="213">
        <v>89</v>
      </c>
      <c r="H29" s="229" t="s">
        <v>200</v>
      </c>
      <c r="I29" s="233" t="s">
        <v>200</v>
      </c>
      <c r="J29" s="213">
        <v>89</v>
      </c>
      <c r="K29" s="229" t="s">
        <v>200</v>
      </c>
      <c r="L29" s="195">
        <v>96</v>
      </c>
      <c r="M29" s="230" t="s">
        <v>200</v>
      </c>
    </row>
    <row r="30" spans="1:13">
      <c r="A30" s="210">
        <v>8</v>
      </c>
      <c r="B30" s="228" t="s">
        <v>200</v>
      </c>
      <c r="C30" s="233" t="s">
        <v>200</v>
      </c>
      <c r="D30" s="230" t="s">
        <v>200</v>
      </c>
      <c r="E30" s="229" t="s">
        <v>200</v>
      </c>
      <c r="F30" s="233" t="s">
        <v>200</v>
      </c>
      <c r="G30" s="230" t="s">
        <v>200</v>
      </c>
      <c r="H30" s="229" t="s">
        <v>200</v>
      </c>
      <c r="I30" s="233" t="s">
        <v>200</v>
      </c>
      <c r="J30" s="230" t="s">
        <v>200</v>
      </c>
      <c r="K30" s="229" t="s">
        <v>200</v>
      </c>
      <c r="L30" s="233" t="s">
        <v>200</v>
      </c>
      <c r="M30" s="230" t="s">
        <v>200</v>
      </c>
    </row>
    <row r="31" spans="1:13" ht="16" thickBot="1">
      <c r="A31" s="217">
        <v>9</v>
      </c>
      <c r="B31" s="200">
        <v>78</v>
      </c>
      <c r="C31" s="235" t="s">
        <v>200</v>
      </c>
      <c r="D31" s="236" t="s">
        <v>200</v>
      </c>
      <c r="E31" s="237" t="s">
        <v>200</v>
      </c>
      <c r="F31" s="201">
        <v>100</v>
      </c>
      <c r="G31" s="236" t="s">
        <v>200</v>
      </c>
      <c r="H31" s="237" t="s">
        <v>200</v>
      </c>
      <c r="I31" s="201">
        <v>99</v>
      </c>
      <c r="J31" s="236" t="s">
        <v>200</v>
      </c>
      <c r="K31" s="237" t="s">
        <v>200</v>
      </c>
      <c r="L31" s="201">
        <v>96</v>
      </c>
      <c r="M31" s="236" t="s">
        <v>200</v>
      </c>
    </row>
  </sheetData>
  <mergeCells count="22">
    <mergeCell ref="A2:M2"/>
    <mergeCell ref="B21:D21"/>
    <mergeCell ref="E21:G21"/>
    <mergeCell ref="H21:J21"/>
    <mergeCell ref="K21:M21"/>
    <mergeCell ref="A19:M19"/>
    <mergeCell ref="A1:M1"/>
    <mergeCell ref="A20:A22"/>
    <mergeCell ref="B20:D20"/>
    <mergeCell ref="E20:G20"/>
    <mergeCell ref="H20:J20"/>
    <mergeCell ref="K20:M20"/>
    <mergeCell ref="A17:M17"/>
    <mergeCell ref="A4:A6"/>
    <mergeCell ref="B4:D4"/>
    <mergeCell ref="E4:G4"/>
    <mergeCell ref="H4:J4"/>
    <mergeCell ref="K4:M4"/>
    <mergeCell ref="B5:D5"/>
    <mergeCell ref="E5:G5"/>
    <mergeCell ref="H5:J5"/>
    <mergeCell ref="K5:M5"/>
  </mergeCells>
  <pageMargins left="0.7" right="0.7" top="0.75" bottom="0.75" header="0.3" footer="0.3"/>
  <pageSetup scale="76" orientation="portrait" horizontalDpi="1200" verticalDpi="1200" r:id="rId1"/>
  <headerFooter>
    <oddHeader>&amp;LDraft Open-File Report&amp;RU.S. Geological Survey</oddHeader>
    <oddFooter>&amp;LPRELIMINARY - SUBJECT TO REVISION&amp;ROctober 27, 2019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Z32"/>
  <sheetViews>
    <sheetView zoomScaleNormal="100" workbookViewId="0">
      <selection activeCell="BW30" activeCellId="1" sqref="BW26 BW30:BW31"/>
    </sheetView>
  </sheetViews>
  <sheetFormatPr baseColWidth="10" defaultColWidth="8.83203125" defaultRowHeight="15"/>
  <cols>
    <col min="1" max="1" width="19.5" customWidth="1"/>
    <col min="6" max="6" width="1.83203125" customWidth="1"/>
    <col min="7" max="7" width="5.1640625" customWidth="1"/>
    <col min="8" max="8" width="2.1640625" customWidth="1"/>
    <col min="13" max="13" width="14.33203125" customWidth="1"/>
    <col min="14" max="14" width="12.5" customWidth="1"/>
    <col min="16" max="16" width="2.5" customWidth="1"/>
    <col min="17" max="17" width="1.5" customWidth="1"/>
    <col min="22" max="22" width="7.5" customWidth="1"/>
    <col min="23" max="23" width="7" customWidth="1"/>
    <col min="24" max="24" width="9" customWidth="1"/>
    <col min="25" max="25" width="2.5" customWidth="1"/>
    <col min="26" max="26" width="8.33203125" customWidth="1"/>
    <col min="27" max="27" width="10.5" customWidth="1"/>
    <col min="28" max="28" width="13.5" customWidth="1"/>
    <col min="29" max="29" width="9.33203125" customWidth="1"/>
    <col min="30" max="30" width="1.5" customWidth="1"/>
    <col min="35" max="35" width="20.83203125" customWidth="1"/>
    <col min="36" max="36" width="22" customWidth="1"/>
    <col min="37" max="37" width="21.1640625" customWidth="1"/>
    <col min="38" max="38" width="3.1640625" customWidth="1"/>
    <col min="43" max="43" width="9" customWidth="1"/>
    <col min="46" max="46" width="2.83203125" customWidth="1"/>
    <col min="53" max="53" width="9.1640625" customWidth="1"/>
    <col min="54" max="54" width="2.5" customWidth="1"/>
    <col min="62" max="62" width="1.83203125" customWidth="1"/>
  </cols>
  <sheetData>
    <row r="1" spans="1:78" ht="16.5" customHeight="1">
      <c r="A1" s="618" t="s">
        <v>204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</row>
    <row r="2" spans="1:78" ht="63.75" customHeight="1">
      <c r="A2" s="626" t="s">
        <v>123</v>
      </c>
      <c r="B2" s="626"/>
      <c r="C2" s="626"/>
      <c r="D2" s="626"/>
      <c r="E2" s="626"/>
      <c r="F2" s="626"/>
      <c r="G2" s="626"/>
      <c r="H2" s="626"/>
      <c r="I2" s="626"/>
      <c r="J2" s="626"/>
      <c r="K2" s="626"/>
      <c r="L2" s="626"/>
      <c r="M2" s="626"/>
      <c r="N2" s="626"/>
      <c r="V2" s="59" t="s">
        <v>50</v>
      </c>
    </row>
    <row r="3" spans="1:78">
      <c r="V3" t="s">
        <v>51</v>
      </c>
    </row>
    <row r="4" spans="1:78">
      <c r="R4" t="s">
        <v>6</v>
      </c>
      <c r="AE4" t="s">
        <v>7</v>
      </c>
      <c r="AM4" t="s">
        <v>10</v>
      </c>
      <c r="AU4" t="s">
        <v>9</v>
      </c>
      <c r="BC4" t="s">
        <v>16</v>
      </c>
      <c r="BK4" t="s">
        <v>18</v>
      </c>
      <c r="BT4" t="s">
        <v>94</v>
      </c>
    </row>
    <row r="5" spans="1:78">
      <c r="V5" t="s">
        <v>46</v>
      </c>
      <c r="W5" t="s">
        <v>49</v>
      </c>
      <c r="X5" t="s">
        <v>47</v>
      </c>
      <c r="Z5" t="s">
        <v>52</v>
      </c>
      <c r="AA5" t="s">
        <v>53</v>
      </c>
      <c r="AB5" t="s">
        <v>54</v>
      </c>
      <c r="AC5" t="s">
        <v>55</v>
      </c>
      <c r="AI5" t="s">
        <v>46</v>
      </c>
      <c r="AJ5" t="s">
        <v>49</v>
      </c>
      <c r="AK5" t="s">
        <v>47</v>
      </c>
      <c r="AQ5" t="s">
        <v>46</v>
      </c>
      <c r="AR5" t="s">
        <v>49</v>
      </c>
      <c r="AS5" t="s">
        <v>47</v>
      </c>
      <c r="BG5" t="s">
        <v>46</v>
      </c>
      <c r="BH5" t="s">
        <v>49</v>
      </c>
      <c r="BI5" t="s">
        <v>47</v>
      </c>
      <c r="BO5" t="s">
        <v>46</v>
      </c>
      <c r="BP5" t="s">
        <v>49</v>
      </c>
      <c r="BQ5" t="s">
        <v>47</v>
      </c>
      <c r="BX5" t="s">
        <v>46</v>
      </c>
      <c r="BY5" t="s">
        <v>49</v>
      </c>
      <c r="BZ5" t="s">
        <v>47</v>
      </c>
    </row>
    <row r="6" spans="1:78">
      <c r="B6" s="55" t="s">
        <v>56</v>
      </c>
      <c r="C6" s="41" t="s">
        <v>57</v>
      </c>
      <c r="D6" s="57" t="s">
        <v>58</v>
      </c>
      <c r="E6" s="57" t="s">
        <v>59</v>
      </c>
      <c r="F6" s="43"/>
      <c r="G6" s="44"/>
      <c r="H6" s="44"/>
      <c r="I6" s="41" t="s">
        <v>16</v>
      </c>
      <c r="J6" s="55" t="s">
        <v>60</v>
      </c>
      <c r="K6" s="41" t="s">
        <v>17</v>
      </c>
      <c r="L6" s="55" t="s">
        <v>61</v>
      </c>
      <c r="M6" s="57" t="s">
        <v>68</v>
      </c>
      <c r="N6" s="40" t="s">
        <v>69</v>
      </c>
      <c r="R6" t="s">
        <v>40</v>
      </c>
      <c r="S6" t="s">
        <v>42</v>
      </c>
      <c r="T6" t="s">
        <v>41</v>
      </c>
      <c r="U6" t="s">
        <v>43</v>
      </c>
      <c r="V6" t="s">
        <v>44</v>
      </c>
      <c r="W6" t="s">
        <v>45</v>
      </c>
      <c r="X6" t="s">
        <v>48</v>
      </c>
      <c r="AE6" t="s">
        <v>40</v>
      </c>
      <c r="AF6" t="s">
        <v>42</v>
      </c>
      <c r="AG6" t="s">
        <v>41</v>
      </c>
      <c r="AH6" t="s">
        <v>43</v>
      </c>
      <c r="AI6" t="s">
        <v>44</v>
      </c>
      <c r="AJ6" t="s">
        <v>45</v>
      </c>
      <c r="AK6" t="s">
        <v>48</v>
      </c>
      <c r="AM6" t="s">
        <v>40</v>
      </c>
      <c r="AN6" t="s">
        <v>42</v>
      </c>
      <c r="AO6" t="s">
        <v>41</v>
      </c>
      <c r="AP6" t="s">
        <v>43</v>
      </c>
      <c r="AQ6" t="s">
        <v>44</v>
      </c>
      <c r="AR6" t="s">
        <v>45</v>
      </c>
      <c r="AS6" t="s">
        <v>48</v>
      </c>
      <c r="AU6" t="s">
        <v>40</v>
      </c>
      <c r="AV6" t="s">
        <v>42</v>
      </c>
      <c r="AW6" t="s">
        <v>41</v>
      </c>
      <c r="AX6" t="s">
        <v>43</v>
      </c>
      <c r="AY6" t="s">
        <v>44</v>
      </c>
      <c r="AZ6" t="s">
        <v>45</v>
      </c>
      <c r="BA6" t="s">
        <v>48</v>
      </c>
      <c r="BC6" t="s">
        <v>40</v>
      </c>
      <c r="BD6" t="s">
        <v>42</v>
      </c>
      <c r="BE6" t="s">
        <v>41</v>
      </c>
      <c r="BF6" t="s">
        <v>43</v>
      </c>
      <c r="BG6" t="s">
        <v>44</v>
      </c>
      <c r="BH6" t="s">
        <v>45</v>
      </c>
      <c r="BI6" t="s">
        <v>48</v>
      </c>
      <c r="BK6" t="s">
        <v>40</v>
      </c>
      <c r="BL6" t="s">
        <v>42</v>
      </c>
      <c r="BM6" t="s">
        <v>41</v>
      </c>
      <c r="BN6" t="s">
        <v>43</v>
      </c>
      <c r="BO6" t="s">
        <v>44</v>
      </c>
      <c r="BP6" t="s">
        <v>45</v>
      </c>
      <c r="BQ6" t="s">
        <v>48</v>
      </c>
      <c r="BT6" t="s">
        <v>40</v>
      </c>
      <c r="BU6" t="s">
        <v>42</v>
      </c>
      <c r="BV6" t="s">
        <v>41</v>
      </c>
      <c r="BW6" t="s">
        <v>43</v>
      </c>
      <c r="BX6" t="s">
        <v>44</v>
      </c>
      <c r="BY6" t="s">
        <v>45</v>
      </c>
      <c r="BZ6" t="s">
        <v>48</v>
      </c>
    </row>
    <row r="7" spans="1:78">
      <c r="B7" s="55" t="s">
        <v>39</v>
      </c>
      <c r="C7" s="41" t="s">
        <v>39</v>
      </c>
      <c r="D7" s="57" t="s">
        <v>39</v>
      </c>
      <c r="E7" s="57" t="s">
        <v>39</v>
      </c>
      <c r="F7" s="43"/>
      <c r="G7" s="44"/>
      <c r="H7" s="44"/>
      <c r="I7" s="41" t="s">
        <v>39</v>
      </c>
      <c r="J7" s="55" t="s">
        <v>39</v>
      </c>
      <c r="K7" s="41" t="s">
        <v>39</v>
      </c>
      <c r="L7" s="55" t="s">
        <v>39</v>
      </c>
      <c r="M7" s="57" t="s">
        <v>39</v>
      </c>
      <c r="N7" s="55" t="s">
        <v>39</v>
      </c>
      <c r="R7">
        <v>1000</v>
      </c>
      <c r="S7">
        <v>200</v>
      </c>
      <c r="T7">
        <v>250</v>
      </c>
      <c r="U7">
        <v>50</v>
      </c>
      <c r="V7">
        <f>((U7^2)*((1/R7)^2))</f>
        <v>2.5000000000000001E-3</v>
      </c>
      <c r="W7">
        <f>((S7*S7)*((-T7/(R7*R7))^2))</f>
        <v>2.5000000000000001E-3</v>
      </c>
      <c r="X7">
        <f>SQRT(V7+W7)</f>
        <v>7.0710678118654752E-2</v>
      </c>
      <c r="Z7">
        <f>(U7/T7)^2</f>
        <v>4.0000000000000008E-2</v>
      </c>
      <c r="AA7">
        <f>(S7/R7)^2</f>
        <v>4.0000000000000008E-2</v>
      </c>
      <c r="AB7">
        <f>SQRT(Z7+AA7)</f>
        <v>0.28284271247461906</v>
      </c>
      <c r="AC7">
        <f>(T7/R7)*AB7</f>
        <v>7.0710678118654766E-2</v>
      </c>
      <c r="AE7">
        <v>1000</v>
      </c>
      <c r="AF7">
        <v>200</v>
      </c>
      <c r="AG7">
        <v>250</v>
      </c>
      <c r="AH7">
        <v>50</v>
      </c>
      <c r="AI7">
        <f>((AH7^2)*((1/AE7)^2))</f>
        <v>2.5000000000000001E-3</v>
      </c>
      <c r="AJ7">
        <f>((AF7*AF7)*((-AG7/(AE7*AE7))^2))</f>
        <v>2.5000000000000001E-3</v>
      </c>
      <c r="AK7">
        <f>SQRT(AI7+AJ7)</f>
        <v>7.0710678118654752E-2</v>
      </c>
      <c r="AM7">
        <v>1000</v>
      </c>
      <c r="AN7">
        <v>200</v>
      </c>
      <c r="AO7">
        <v>250</v>
      </c>
      <c r="AP7">
        <v>50</v>
      </c>
      <c r="AQ7">
        <f>((AP7^2)*((1/AM7)^2))</f>
        <v>2.5000000000000001E-3</v>
      </c>
      <c r="AR7">
        <f>((AN7*AN7)*((-AO7/(AM7*AM7))^2))</f>
        <v>2.5000000000000001E-3</v>
      </c>
      <c r="AS7">
        <f>SQRT(AQ7+AR7)</f>
        <v>7.0710678118654752E-2</v>
      </c>
      <c r="AU7">
        <v>1000</v>
      </c>
      <c r="AV7">
        <v>200</v>
      </c>
      <c r="AW7">
        <v>250</v>
      </c>
      <c r="AX7">
        <v>50</v>
      </c>
      <c r="AY7">
        <f>((AX7^2)*((1/AU7)^2))</f>
        <v>2.5000000000000001E-3</v>
      </c>
      <c r="AZ7">
        <f>((AV7*AV7)*((-AW7/(AU7*AU7))^2))</f>
        <v>2.5000000000000001E-3</v>
      </c>
      <c r="BA7">
        <f>SQRT(AY7+AZ7)</f>
        <v>7.0710678118654752E-2</v>
      </c>
      <c r="BC7">
        <v>1000</v>
      </c>
      <c r="BD7">
        <v>200</v>
      </c>
      <c r="BE7">
        <v>250</v>
      </c>
      <c r="BF7">
        <v>50</v>
      </c>
      <c r="BG7">
        <f>((BF7^2)*((1/BC7)^2))</f>
        <v>2.5000000000000001E-3</v>
      </c>
      <c r="BH7">
        <f>((BD7*BD7)*((-BE7/(BC7*BC7))^2))</f>
        <v>2.5000000000000001E-3</v>
      </c>
      <c r="BI7">
        <f>SQRT(BG7+BH7)</f>
        <v>7.0710678118654752E-2</v>
      </c>
      <c r="BK7">
        <v>1000</v>
      </c>
      <c r="BL7">
        <v>200</v>
      </c>
      <c r="BM7">
        <v>250</v>
      </c>
      <c r="BN7">
        <v>50</v>
      </c>
      <c r="BO7">
        <f>((BN7^2)*((1/BK7)^2))</f>
        <v>2.5000000000000001E-3</v>
      </c>
      <c r="BP7">
        <f>((BL7*BL7)*((-BM7/(BK7*BK7))^2))</f>
        <v>2.5000000000000001E-3</v>
      </c>
      <c r="BQ7">
        <f>SQRT(BO7+BP7)</f>
        <v>7.0710678118654752E-2</v>
      </c>
    </row>
    <row r="8" spans="1:78" ht="16">
      <c r="A8" s="1" t="s">
        <v>36</v>
      </c>
      <c r="B8" s="6"/>
      <c r="C8" s="6"/>
      <c r="D8" s="26"/>
      <c r="E8" s="26"/>
      <c r="F8" s="26"/>
      <c r="G8" s="27"/>
      <c r="H8" s="26"/>
      <c r="I8" s="26"/>
      <c r="J8" s="26"/>
      <c r="K8" s="26"/>
      <c r="L8" s="26"/>
      <c r="M8" s="26"/>
      <c r="N8" s="26"/>
    </row>
    <row r="9" spans="1:78">
      <c r="A9" s="2" t="s">
        <v>1</v>
      </c>
      <c r="B9" s="56">
        <f>X9</f>
        <v>7.8893244143026564E-2</v>
      </c>
      <c r="C9" s="45">
        <f>AK9</f>
        <v>0.20959783689192996</v>
      </c>
      <c r="D9" s="58">
        <f>AS9</f>
        <v>8.2501145287386862E-2</v>
      </c>
      <c r="E9" s="58">
        <f>BA9</f>
        <v>0.27677241063319025</v>
      </c>
      <c r="I9" s="45">
        <f>BI9</f>
        <v>0.10435368398046158</v>
      </c>
      <c r="J9" s="56">
        <f>BQ9</f>
        <v>0.13206503632758446</v>
      </c>
      <c r="K9" s="45" t="s">
        <v>32</v>
      </c>
      <c r="L9" s="56" t="s">
        <v>32</v>
      </c>
      <c r="M9" s="58">
        <f>BZ9</f>
        <v>0.15928692170172423</v>
      </c>
      <c r="N9" s="56" t="s">
        <v>32</v>
      </c>
      <c r="R9" s="37">
        <f>'T4a. THg loads daily calib'!C22</f>
        <v>39.292353551230363</v>
      </c>
      <c r="S9" s="37">
        <f>'T7a. THg SE 2010-19'!C22</f>
        <v>8.2834094085530374</v>
      </c>
      <c r="T9" s="37">
        <f>'T4a. THg loads daily calib'!C72</f>
        <v>13.362154578254858</v>
      </c>
      <c r="U9" s="37">
        <f>'T7a. THg SE 2010-19'!C72</f>
        <v>1.2939233081865409</v>
      </c>
      <c r="V9" s="51">
        <f>((U9^2)*((1/R9)^2))</f>
        <v>1.0844286576658973E-3</v>
      </c>
      <c r="W9" s="51">
        <f>((S9*S9)*((-T9/(R9*R9))^2))</f>
        <v>5.1397153137452967E-3</v>
      </c>
      <c r="X9" s="51">
        <f>SQRT(V9+W9)</f>
        <v>7.8893244143026564E-2</v>
      </c>
      <c r="AE9" s="35">
        <f>'T4a. THg loads daily calib'!D22</f>
        <v>0.7913352987181641</v>
      </c>
      <c r="AF9" s="35">
        <f>'T7a. THg SE 2010-19'!D22</f>
        <v>9.6783629973036966E-2</v>
      </c>
      <c r="AG9" s="35">
        <f>'T4a. THg loads daily calib'!D72</f>
        <v>0.93697197250840136</v>
      </c>
      <c r="AH9" s="35">
        <f>'T7a. THg SE 2010-19'!D72</f>
        <v>0.11990873744855704</v>
      </c>
      <c r="AI9">
        <f>((AH9^2)*((1/AE9)^2))</f>
        <v>2.2960459930458272E-2</v>
      </c>
      <c r="AJ9">
        <f>((AF9*AF9)*((-AG9/(AE9*AE9))^2))</f>
        <v>2.0970793299317798E-2</v>
      </c>
      <c r="AK9">
        <f>SQRT(AI9+AJ9)</f>
        <v>0.20959783689192996</v>
      </c>
      <c r="AM9" s="37">
        <f>'T4a. THg loads daily calib'!E22</f>
        <v>40.08368884994853</v>
      </c>
      <c r="AN9" s="52">
        <f>'T7a. THg SE 2010-19'!E22</f>
        <v>8.380193038526075</v>
      </c>
      <c r="AO9" s="52">
        <f>'T4a. THg loads daily calib'!E72</f>
        <v>14.299126550763258</v>
      </c>
      <c r="AP9" s="52">
        <f>'T7a. THg SE 2010-19'!E72</f>
        <v>1.4138320456350977</v>
      </c>
      <c r="AQ9">
        <f>((AP9^2)*((1/AM9)^2))</f>
        <v>1.2441142876205432E-3</v>
      </c>
      <c r="AR9">
        <f>((AN9*AN9)*((-AO9/(AM9*AM9))^2))</f>
        <v>5.5623246861099722E-3</v>
      </c>
      <c r="AS9">
        <f>SQRT(AQ9+AR9)</f>
        <v>8.2501145287386862E-2</v>
      </c>
      <c r="AU9" s="37">
        <f>'T4a. THg loads daily calib'!F22</f>
        <v>15.219324413787039</v>
      </c>
      <c r="AV9" s="52">
        <f>'T7a. THg SE 2010-19'!F22</f>
        <v>3.1470249427831245</v>
      </c>
      <c r="AW9" s="37">
        <f>'T4a. THg loads daily calib'!F72</f>
        <v>12.546315355993109</v>
      </c>
      <c r="AX9" s="37">
        <f>'T7a. THg SE 2010-19'!F72</f>
        <v>3.318578277350281</v>
      </c>
      <c r="AY9">
        <f>((AX9^2)*((1/AU9)^2))</f>
        <v>4.7545933992771502E-2</v>
      </c>
      <c r="AZ9">
        <f>((AV9*AV9)*((-AW9/(AU9*AU9))^2))</f>
        <v>2.905703329493577E-2</v>
      </c>
      <c r="BA9">
        <f>SQRT(AY9+AZ9)</f>
        <v>0.27677241063319025</v>
      </c>
      <c r="BC9" s="37">
        <f>'T4a. THg loads daily calib'!K22</f>
        <v>164.26473846867469</v>
      </c>
      <c r="BD9">
        <f>'T7a. THg SE 2010-19'!J22</f>
        <v>22.327058892311701</v>
      </c>
      <c r="BE9" s="37">
        <f>'T4a. THg loads daily calib'!K72</f>
        <v>47.671597299689054</v>
      </c>
      <c r="BF9" s="37">
        <f>'T7a. THg SE 2010-19'!J72</f>
        <v>15.869799596929466</v>
      </c>
      <c r="BG9">
        <f>((BF9^2)*((1/BC9)^2))</f>
        <v>9.3337076101058635E-3</v>
      </c>
      <c r="BH9">
        <f>((BD9*BD9)*((-BE9/(BC9*BC9))^2))</f>
        <v>1.5559837501881793E-3</v>
      </c>
      <c r="BI9">
        <f>SQRT(BG9+BH9)</f>
        <v>0.10435368398046158</v>
      </c>
      <c r="BK9" s="37">
        <f>'T4a. THg loads daily calib'!L22</f>
        <v>41.389994719395411</v>
      </c>
      <c r="BL9">
        <f>'T7a. THg SE 2010-19'!K22</f>
        <v>5.6040917819702374</v>
      </c>
      <c r="BM9" s="37">
        <f>'T4a. THg loads daily calib'!L72</f>
        <v>15.511485875858916</v>
      </c>
      <c r="BN9">
        <f>'T7a. THg SE 2010-19'!K72</f>
        <v>5.0465962718235708</v>
      </c>
      <c r="BO9">
        <f>((BN9^2)*((1/BK9)^2))</f>
        <v>1.4866419483540134E-2</v>
      </c>
      <c r="BP9">
        <f>((BL9*BL9)*((-BM9/(BK9*BK9))^2))</f>
        <v>2.5747543366660664E-3</v>
      </c>
      <c r="BQ9">
        <f>SQRT(BO9+BP9)</f>
        <v>0.13206503632758446</v>
      </c>
      <c r="BT9" s="37">
        <f>'T4a. THg loads daily calib'!T22</f>
        <v>42.181330018113577</v>
      </c>
      <c r="BU9" s="35">
        <f>'T7a. THg SE 2010-19'!D22+'T7a. THg SE 2010-19'!K22</f>
        <v>5.7008754119432741</v>
      </c>
      <c r="BV9" s="37">
        <f>'T4a. THg loads daily calib'!T72</f>
        <v>16.448457848367319</v>
      </c>
      <c r="BW9" s="37">
        <f>'T7a. THg SE 2010-19'!C72+'T7a. THg SE 2010-19'!K72</f>
        <v>6.3405195800101115</v>
      </c>
      <c r="BX9">
        <f>((BW9^2)*((1/BT9)^2))</f>
        <v>2.2594834122541426E-2</v>
      </c>
      <c r="BY9">
        <f>((BU9*BU9)*((-BV9/(BT9*BT9))^2))</f>
        <v>2.7774893026697991E-3</v>
      </c>
      <c r="BZ9">
        <f>SQRT(BX9+BY9)</f>
        <v>0.15928692170172423</v>
      </c>
    </row>
    <row r="10" spans="1:78">
      <c r="A10" s="2" t="s">
        <v>2</v>
      </c>
      <c r="B10" s="56">
        <f>X10</f>
        <v>0.11120683516604569</v>
      </c>
      <c r="C10" s="45">
        <f>AK10</f>
        <v>0.11290802590636503</v>
      </c>
      <c r="D10" s="58">
        <f>AS10</f>
        <v>0.1123836444039443</v>
      </c>
      <c r="E10" s="58">
        <f>BA10</f>
        <v>0.23141444518102969</v>
      </c>
      <c r="I10" s="45">
        <f t="shared" ref="I10:I19" si="0">BI10</f>
        <v>5.8601046182453972E-2</v>
      </c>
      <c r="J10" s="56">
        <f>BQ10</f>
        <v>5.9969298663277833E-2</v>
      </c>
      <c r="K10" s="45" t="s">
        <v>32</v>
      </c>
      <c r="L10" s="56" t="s">
        <v>32</v>
      </c>
      <c r="M10" s="58">
        <f t="shared" ref="M10:M19" si="1">BZ10</f>
        <v>0.13226864966316362</v>
      </c>
      <c r="N10" s="56" t="s">
        <v>32</v>
      </c>
      <c r="R10" s="37">
        <f>'T4a. THg loads daily calib'!C23</f>
        <v>176.80408073086417</v>
      </c>
      <c r="S10" s="37">
        <f>'T7a. THg SE 2010-19'!C23</f>
        <v>42.639300735187376</v>
      </c>
      <c r="T10" s="37">
        <f>'T4a. THg loads daily calib'!C73</f>
        <v>64.374585639694118</v>
      </c>
      <c r="U10" s="37">
        <f>'T7a. THg SE 2010-19'!C73</f>
        <v>12.064863597625934</v>
      </c>
      <c r="V10" s="51">
        <f t="shared" ref="V10:V18" si="2">((U10^2)*((1/R10)^2))</f>
        <v>4.6565070349948836E-3</v>
      </c>
      <c r="W10" s="51">
        <f t="shared" ref="W10:W18" si="3">((S10*S10)*((-T10/(R10*R10))^2))</f>
        <v>7.7104531526531721E-3</v>
      </c>
      <c r="X10" s="51">
        <f>SQRT(V10+W10)</f>
        <v>0.11120683516604569</v>
      </c>
      <c r="AE10" s="35">
        <f>'T4a. THg loads daily calib'!D23</f>
        <v>3.046870174781827</v>
      </c>
      <c r="AF10" s="35">
        <f>'T7a. THg SE 2010-19'!D23</f>
        <v>0.30334243257367577</v>
      </c>
      <c r="AG10" s="35">
        <f>'T4a. THg loads daily calib'!D73</f>
        <v>3.0118429351306539</v>
      </c>
      <c r="AH10" s="35">
        <f>'T7a. THg SE 2010-19'!D73</f>
        <v>0.16862370556013082</v>
      </c>
      <c r="AI10">
        <f t="shared" ref="AI10:AI18" si="4">((AH10^2)*((1/AE10)^2))</f>
        <v>3.0628756024540719E-3</v>
      </c>
      <c r="AJ10">
        <f t="shared" ref="AJ10:AJ18" si="5">((AF10*AF10)*((-AG10/(AE10*AE10))^2))</f>
        <v>9.6853467116183242E-3</v>
      </c>
      <c r="AK10">
        <f t="shared" ref="AK10:AK18" si="6">SQRT(AI10+AJ10)</f>
        <v>0.11290802590636503</v>
      </c>
      <c r="AM10" s="37">
        <f>'T4a. THg loads daily calib'!E23</f>
        <v>179.85095090564599</v>
      </c>
      <c r="AN10" s="52">
        <f>'T7a. THg SE 2010-19'!E23</f>
        <v>42.942643167761055</v>
      </c>
      <c r="AO10" s="52">
        <f>'T4a. THg loads daily calib'!E73</f>
        <v>67.386428574824762</v>
      </c>
      <c r="AP10" s="52">
        <f>'T7a. THg SE 2010-19'!E73</f>
        <v>12.233487303186063</v>
      </c>
      <c r="AQ10">
        <f t="shared" ref="AQ10:AQ18" si="7">((AP10^2)*((1/AM10)^2))</f>
        <v>4.6267397810483809E-3</v>
      </c>
      <c r="AR10">
        <f t="shared" ref="AR10:AR18" si="8">((AN10*AN10)*((-AO10/(AM10*AM10))^2))</f>
        <v>8.00334374846382E-3</v>
      </c>
      <c r="AS10">
        <f t="shared" ref="AS10:AS18" si="9">SQRT(AQ10+AR10)</f>
        <v>0.1123836444039443</v>
      </c>
      <c r="AU10" s="37">
        <f>'T4a. THg loads daily calib'!F23</f>
        <v>91.09936481578778</v>
      </c>
      <c r="AV10" s="52">
        <f>'T7a. THg SE 2010-19'!F23</f>
        <v>17.283509638691385</v>
      </c>
      <c r="AW10" s="37">
        <f>'T4a. THg loads daily calib'!F73</f>
        <v>63.659579588029281</v>
      </c>
      <c r="AX10" s="37">
        <f>'T7a. THg SE 2010-19'!F73</f>
        <v>17.279184731468479</v>
      </c>
      <c r="AY10">
        <f t="shared" ref="AY10:AY18" si="10">((AX10^2)*((1/AU10)^2))</f>
        <v>3.5976242138766538E-2</v>
      </c>
      <c r="AZ10">
        <f t="shared" ref="AZ10:AZ18" si="11">((AV10*AV10)*((-AW10/(AU10*AU10))^2))</f>
        <v>1.757640329967726E-2</v>
      </c>
      <c r="BA10">
        <f t="shared" ref="BA10:BA18" si="12">SQRT(AY10+AZ10)</f>
        <v>0.23141444518102969</v>
      </c>
      <c r="BC10" s="37">
        <f>'T4a. THg loads daily calib'!K23</f>
        <v>742.02202341103066</v>
      </c>
      <c r="BD10">
        <f>'T7a. THg SE 2010-19'!J23</f>
        <v>107.27957389764838</v>
      </c>
      <c r="BE10" s="37">
        <f>'T4a. THg loads daily calib'!K73</f>
        <v>141.88693961661494</v>
      </c>
      <c r="BF10" s="37">
        <f>'T7a. THg SE 2010-19'!J73</f>
        <v>38.340385947902114</v>
      </c>
      <c r="BG10">
        <f t="shared" ref="BG10:BG18" si="13">((BF10^2)*((1/BC10)^2))</f>
        <v>2.6698039407332284E-3</v>
      </c>
      <c r="BH10">
        <f t="shared" ref="BH10:BH18" si="14">((BD10*BD10)*((-BE10/(BC10*BC10))^2))</f>
        <v>7.6427867294487492E-4</v>
      </c>
      <c r="BI10">
        <f t="shared" ref="BI10:BI18" si="15">SQRT(BG10+BH10)</f>
        <v>5.8601046182453972E-2</v>
      </c>
      <c r="BK10" s="37">
        <f>'T4a. THg loads daily calib'!L23</f>
        <v>155.24643128752211</v>
      </c>
      <c r="BL10">
        <f>'T7a. THg SE 2010-19'!K23</f>
        <v>18.988484579883764</v>
      </c>
      <c r="BM10" s="37">
        <f>'T4a. THg loads daily calib'!L73</f>
        <v>32.454353911911305</v>
      </c>
      <c r="BN10">
        <f>'T7a. THg SE 2010-19'!K73</f>
        <v>8.4213485175856011</v>
      </c>
      <c r="BO10">
        <f t="shared" ref="BO10:BO19" si="16">((BN10^2)*((1/BK10)^2))</f>
        <v>2.9425241147973402E-3</v>
      </c>
      <c r="BP10">
        <f t="shared" ref="BP10:BP19" si="17">((BL10*BL10)*((-BM10/(BK10*BK10))^2))</f>
        <v>6.5379266736807578E-4</v>
      </c>
      <c r="BQ10">
        <f t="shared" ref="BQ10:BQ19" si="18">SQRT(BO10+BP10)</f>
        <v>5.9969298663277833E-2</v>
      </c>
      <c r="BT10" s="37">
        <f>'T4a. THg loads daily calib'!T23</f>
        <v>158.29330146230393</v>
      </c>
      <c r="BU10" s="35">
        <f>'T7a. THg SE 2010-19'!D23+'T7a. THg SE 2010-19'!K23</f>
        <v>19.291827012457439</v>
      </c>
      <c r="BV10" s="37">
        <f>'T4a. THg loads daily calib'!T73</f>
        <v>35.466196847041957</v>
      </c>
      <c r="BW10" s="37">
        <f>'T7a. THg SE 2010-19'!C73+'T7a. THg SE 2010-19'!K73</f>
        <v>20.486212115211536</v>
      </c>
      <c r="BX10">
        <f>((BW10^2)*((1/BT10)^2))</f>
        <v>1.6749361500214714E-2</v>
      </c>
      <c r="BY10">
        <f>((BU10*BU10)*((-BV10/(BT10*BT10))^2))</f>
        <v>7.4563418350199735E-4</v>
      </c>
      <c r="BZ10">
        <f>SQRT(BX10+BY10)</f>
        <v>0.13226864966316362</v>
      </c>
    </row>
    <row r="11" spans="1:78">
      <c r="A11" s="2" t="s">
        <v>3</v>
      </c>
      <c r="B11" s="56">
        <f>X11</f>
        <v>0.11348257361115427</v>
      </c>
      <c r="C11" s="45">
        <f>AK11</f>
        <v>8.2029879616485071E-2</v>
      </c>
      <c r="D11" s="58">
        <f>AS11</f>
        <v>0.1101869427619909</v>
      </c>
      <c r="E11" s="58">
        <f>BA11</f>
        <v>0.10371305705294252</v>
      </c>
      <c r="I11" s="45">
        <f t="shared" si="0"/>
        <v>8.0312342631622902E-2</v>
      </c>
      <c r="J11" s="56">
        <f>BQ11</f>
        <v>9.8539693440087547E-2</v>
      </c>
      <c r="K11" s="45" t="s">
        <v>32</v>
      </c>
      <c r="L11" s="56" t="s">
        <v>32</v>
      </c>
      <c r="M11" s="58">
        <f t="shared" si="1"/>
        <v>0.15184657543399979</v>
      </c>
      <c r="N11" s="56" t="s">
        <v>32</v>
      </c>
      <c r="R11" s="37">
        <f>'T4a. THg loads daily calib'!C24</f>
        <v>1.2368493338049833</v>
      </c>
      <c r="S11" s="37">
        <f>'T7a. THg SE 2010-19'!C24</f>
        <v>0.19179409876991632</v>
      </c>
      <c r="T11" s="37">
        <f>'T4a. THg loads daily calib'!C74</f>
        <v>0.62212504082702591</v>
      </c>
      <c r="U11" s="37">
        <f>'T7a. THg SE 2010-19'!C74</f>
        <v>0.10195362324803349</v>
      </c>
      <c r="V11" s="51">
        <f t="shared" si="2"/>
        <v>6.7947225826324132E-3</v>
      </c>
      <c r="W11" s="51">
        <f t="shared" si="3"/>
        <v>6.0835719307786341E-3</v>
      </c>
      <c r="X11" s="51">
        <f>SQRT(V11+W11)</f>
        <v>0.11348257361115427</v>
      </c>
      <c r="AE11" s="35">
        <f>'T4a. THg loads daily calib'!D24</f>
        <v>0.14042262325678961</v>
      </c>
      <c r="AF11" s="35">
        <f>'T7a. THg SE 2010-19'!D24</f>
        <v>1.3148749015942596E-2</v>
      </c>
      <c r="AG11" s="35">
        <f>'T4a. THg loads daily calib'!D74</f>
        <v>7.0466802784000471E-2</v>
      </c>
      <c r="AH11" s="35">
        <f>'T7a. THg SE 2010-19'!D74</f>
        <v>9.4417366043602208E-3</v>
      </c>
      <c r="AI11">
        <f t="shared" si="4"/>
        <v>4.5209488947326312E-3</v>
      </c>
      <c r="AJ11">
        <f t="shared" si="5"/>
        <v>2.2079522551624021E-3</v>
      </c>
      <c r="AK11">
        <f t="shared" si="6"/>
        <v>8.2029879616485071E-2</v>
      </c>
      <c r="AM11" s="37">
        <f>'T4a. THg loads daily calib'!E24</f>
        <v>1.3772719570617729</v>
      </c>
      <c r="AN11" s="52">
        <f>'T7a. THg SE 2010-19'!E24</f>
        <v>0.20494284778585892</v>
      </c>
      <c r="AO11" s="52">
        <f>'T4a. THg loads daily calib'!E74</f>
        <v>0.69259184361102633</v>
      </c>
      <c r="AP11" s="52">
        <f>'T7a. THg SE 2010-19'!E74</f>
        <v>0.11139535985239371</v>
      </c>
      <c r="AQ11">
        <f t="shared" si="7"/>
        <v>6.5417627863847373E-3</v>
      </c>
      <c r="AR11">
        <f t="shared" si="8"/>
        <v>5.5993995688495219E-3</v>
      </c>
      <c r="AS11">
        <f t="shared" si="9"/>
        <v>0.1101869427619909</v>
      </c>
      <c r="AU11" s="37">
        <f>'T4a. THg loads daily calib'!F24</f>
        <v>1.1673468877004438</v>
      </c>
      <c r="AV11" s="52">
        <f>'T7a. THg SE 2010-19'!F24</f>
        <v>0.11856821988601675</v>
      </c>
      <c r="AW11" s="37">
        <f>'T4a. THg loads daily calib'!F74</f>
        <v>0.74576417015135588</v>
      </c>
      <c r="AX11" s="37">
        <f>'T7a. THg SE 2010-19'!F74</f>
        <v>9.4445777793617069E-2</v>
      </c>
      <c r="AY11">
        <f t="shared" si="10"/>
        <v>6.5458377372846115E-3</v>
      </c>
      <c r="AZ11">
        <f t="shared" si="11"/>
        <v>4.2105604659822991E-3</v>
      </c>
      <c r="BA11">
        <f t="shared" si="12"/>
        <v>0.10371305705294252</v>
      </c>
      <c r="BC11" s="37">
        <f>'T4a. THg loads daily calib'!K24</f>
        <v>5.1046671737027536</v>
      </c>
      <c r="BD11">
        <f>'T7a. THg SE 2010-19'!J24</f>
        <v>0.51232322347670534</v>
      </c>
      <c r="BE11" s="37">
        <f>'T4a. THg loads daily calib'!K74</f>
        <v>2.0603539177425971</v>
      </c>
      <c r="BF11" s="37">
        <f>'T7a. THg SE 2010-19'!J74</f>
        <v>0.35399669545231066</v>
      </c>
      <c r="BG11">
        <f t="shared" si="13"/>
        <v>4.8090971833711239E-3</v>
      </c>
      <c r="BH11">
        <f t="shared" si="14"/>
        <v>1.6409751956080693E-3</v>
      </c>
      <c r="BI11">
        <f t="shared" si="15"/>
        <v>8.0312342631622902E-2</v>
      </c>
      <c r="BK11" s="37">
        <f>'T4a. THg loads daily calib'!L24</f>
        <v>1.416869818571304</v>
      </c>
      <c r="BL11">
        <f>'T7a. THg SE 2010-19'!K24</f>
        <v>0.13269171488046669</v>
      </c>
      <c r="BM11" s="37">
        <f>'T4a. THg loads daily calib'!L74</f>
        <v>0.70159435934601844</v>
      </c>
      <c r="BN11">
        <f>'T7a. THg SE 2010-19'!K74</f>
        <v>0.12319085001740411</v>
      </c>
      <c r="BO11">
        <f t="shared" si="16"/>
        <v>7.5595684736602777E-3</v>
      </c>
      <c r="BP11">
        <f t="shared" si="17"/>
        <v>2.1505027096061563E-3</v>
      </c>
      <c r="BQ11">
        <f t="shared" si="18"/>
        <v>9.8539693440087547E-2</v>
      </c>
      <c r="BT11" s="37">
        <f>'T4a. THg loads daily calib'!T24</f>
        <v>1.5572924418280936</v>
      </c>
      <c r="BU11" s="35">
        <f>'T7a. THg SE 2010-19'!D24+'T7a. THg SE 2010-19'!K24</f>
        <v>0.14584046389640928</v>
      </c>
      <c r="BV11" s="37">
        <f>'T4a. THg loads daily calib'!T74</f>
        <v>0.77206116213001885</v>
      </c>
      <c r="BW11" s="37">
        <f>'T7a. THg SE 2010-19'!C74+'T7a. THg SE 2010-19'!K74</f>
        <v>0.2251444732654376</v>
      </c>
      <c r="BX11">
        <f>((BW11^2)*((1/BT11)^2))</f>
        <v>2.0901729815958264E-2</v>
      </c>
      <c r="BY11">
        <f>((BU11*BU11)*((-BV11/(BT11*BT11))^2))</f>
        <v>2.155652655075124E-3</v>
      </c>
      <c r="BZ11">
        <f>SQRT(BX11+BY11)</f>
        <v>0.15184657543399979</v>
      </c>
    </row>
    <row r="12" spans="1:78">
      <c r="A12" s="2" t="s">
        <v>4</v>
      </c>
      <c r="B12" s="56">
        <f>X12</f>
        <v>9.5037662717278107E-2</v>
      </c>
      <c r="C12" s="45">
        <f>AK12</f>
        <v>0.16199719213765879</v>
      </c>
      <c r="D12" s="58">
        <f>AS12</f>
        <v>9.8433866470390832E-2</v>
      </c>
      <c r="E12" s="58">
        <f>BA12</f>
        <v>0.19874800208064072</v>
      </c>
      <c r="I12" s="45">
        <f t="shared" si="0"/>
        <v>0.15687038540677584</v>
      </c>
      <c r="J12" s="56">
        <f>BQ12</f>
        <v>0.15879549419303113</v>
      </c>
      <c r="K12" s="45" t="s">
        <v>32</v>
      </c>
      <c r="L12" s="56" t="s">
        <v>32</v>
      </c>
      <c r="M12" s="58">
        <f t="shared" si="1"/>
        <v>0.21563247288467982</v>
      </c>
      <c r="N12" s="56" t="s">
        <v>32</v>
      </c>
      <c r="R12" s="37">
        <f>'T4a. THg loads daily calib'!C25</f>
        <v>21.59902834267379</v>
      </c>
      <c r="S12" s="37">
        <f>'T7a. THg SE 2010-19'!C25</f>
        <v>4.4829155921054129</v>
      </c>
      <c r="T12" s="37">
        <f>'T4a. THg loads daily calib'!C75</f>
        <v>6.4242862805122707</v>
      </c>
      <c r="U12" s="37">
        <f>'T7a. THg SE 2010-19'!C75</f>
        <v>1.5606998797478959</v>
      </c>
      <c r="V12" s="51">
        <f t="shared" si="2"/>
        <v>5.2212004302086149E-3</v>
      </c>
      <c r="W12" s="51">
        <f t="shared" si="3"/>
        <v>3.8109569045544985E-3</v>
      </c>
      <c r="X12" s="51">
        <f>SQRT(V12+W12)</f>
        <v>9.5037662717278107E-2</v>
      </c>
      <c r="AE12" s="35">
        <f>'T4a. THg loads daily calib'!D25</f>
        <v>0.89471313092169136</v>
      </c>
      <c r="AF12" s="35">
        <f>'T7a. THg SE 2010-19'!D25</f>
        <v>0.13235482492964201</v>
      </c>
      <c r="AG12" s="35">
        <f>'T4a. THg loads daily calib'!D75</f>
        <v>0.7496168340516618</v>
      </c>
      <c r="AH12" s="35">
        <f>'T7a. THg SE 2010-19'!D75</f>
        <v>9.3333491834209886E-2</v>
      </c>
      <c r="AI12">
        <f t="shared" si="4"/>
        <v>1.0881967036217076E-2</v>
      </c>
      <c r="AJ12">
        <f t="shared" si="5"/>
        <v>1.5361123224268461E-2</v>
      </c>
      <c r="AK12">
        <f t="shared" si="6"/>
        <v>0.16199719213765879</v>
      </c>
      <c r="AM12" s="37">
        <f>'T4a. THg loads daily calib'!E25</f>
        <v>22.493741473595481</v>
      </c>
      <c r="AN12" s="52">
        <f>'T7a. THg SE 2010-19'!E25</f>
        <v>4.6152704170350551</v>
      </c>
      <c r="AO12" s="52">
        <f>'T4a. THg loads daily calib'!E75</f>
        <v>7.1739031145639327</v>
      </c>
      <c r="AP12" s="52">
        <f>'T7a. THg SE 2010-19'!E75</f>
        <v>1.6540333715821056</v>
      </c>
      <c r="AQ12">
        <f t="shared" si="7"/>
        <v>5.4071091488543093E-3</v>
      </c>
      <c r="AR12">
        <f t="shared" si="8"/>
        <v>4.2821169194564232E-3</v>
      </c>
      <c r="AS12">
        <f t="shared" si="9"/>
        <v>9.8433866470390832E-2</v>
      </c>
      <c r="AU12" s="37">
        <f>'T4a. THg loads daily calib'!F25</f>
        <v>21.086881901209175</v>
      </c>
      <c r="AV12" s="52">
        <f>'T7a. THg SE 2010-19'!F25</f>
        <v>3.1526127315406898</v>
      </c>
      <c r="AW12" s="37">
        <f>'T4a. THg loads daily calib'!F75</f>
        <v>6.6511678283620315</v>
      </c>
      <c r="AX12" s="37">
        <f>'T7a. THg SE 2010-19'!F75</f>
        <v>4.0712980806832553</v>
      </c>
      <c r="AY12">
        <f t="shared" si="10"/>
        <v>3.727700993831369E-2</v>
      </c>
      <c r="AZ12">
        <f t="shared" si="11"/>
        <v>2.2237583927326781E-3</v>
      </c>
      <c r="BA12">
        <f t="shared" si="12"/>
        <v>0.19874800208064072</v>
      </c>
      <c r="BC12" s="37">
        <f>'T4a. THg loads daily calib'!K25</f>
        <v>90.254843187279519</v>
      </c>
      <c r="BD12">
        <f>'T7a. THg SE 2010-19'!J25</f>
        <v>25.351281027735499</v>
      </c>
      <c r="BE12" s="37">
        <f>'T4a. THg loads daily calib'!K75</f>
        <v>24.137200663094525</v>
      </c>
      <c r="BF12" s="37">
        <f>'T7a. THg SE 2010-19'!J75</f>
        <v>12.429490582692964</v>
      </c>
      <c r="BG12">
        <f t="shared" si="13"/>
        <v>1.8965558103275132E-2</v>
      </c>
      <c r="BH12">
        <f t="shared" si="14"/>
        <v>5.6427597143952589E-3</v>
      </c>
      <c r="BI12">
        <f t="shared" si="15"/>
        <v>0.15687038540677584</v>
      </c>
      <c r="BK12" s="37">
        <f>'T4a. THg loads daily calib'!L25</f>
        <v>22.643608892531979</v>
      </c>
      <c r="BL12">
        <f>'T7a. THg SE 2010-19'!K25</f>
        <v>6.4645766620725524</v>
      </c>
      <c r="BM12" s="37">
        <f>'T4a. THg loads daily calib'!L75</f>
        <v>6.2771191664037493</v>
      </c>
      <c r="BN12">
        <f>'T7a. THg SE 2010-19'!K75</f>
        <v>3.1173013773805271</v>
      </c>
      <c r="BO12">
        <f t="shared" si="16"/>
        <v>1.8952490728434374E-2</v>
      </c>
      <c r="BP12">
        <f t="shared" si="17"/>
        <v>6.2635182475746076E-3</v>
      </c>
      <c r="BQ12">
        <f t="shared" si="18"/>
        <v>0.15879549419303113</v>
      </c>
      <c r="BT12" s="37">
        <f>'T4a. THg loads daily calib'!T25</f>
        <v>23.53832202345367</v>
      </c>
      <c r="BU12" s="35">
        <f>'T7a. THg SE 2010-19'!D25+'T7a. THg SE 2010-19'!K25</f>
        <v>6.5969314870021947</v>
      </c>
      <c r="BV12" s="37">
        <f>'T4a. THg loads daily calib'!T75</f>
        <v>7.0267360004554114</v>
      </c>
      <c r="BW12" s="37">
        <f>'T7a. THg SE 2010-19'!C75+'T7a. THg SE 2010-19'!K75</f>
        <v>4.6780012571284235</v>
      </c>
      <c r="BX12">
        <f>((BW12^2)*((1/BT12)^2))</f>
        <v>3.9497505501015662E-2</v>
      </c>
      <c r="BY12">
        <f>((BU12*BU12)*((-BV12/(BT12*BT12))^2))</f>
        <v>6.9998578613465201E-3</v>
      </c>
      <c r="BZ12">
        <f>SQRT(BX12+BY12)</f>
        <v>0.21563247288467982</v>
      </c>
    </row>
    <row r="13" spans="1:78">
      <c r="A13" s="2" t="s">
        <v>5</v>
      </c>
      <c r="B13" s="56" t="s">
        <v>32</v>
      </c>
      <c r="C13" s="45" t="s">
        <v>32</v>
      </c>
      <c r="D13" s="58" t="s">
        <v>32</v>
      </c>
      <c r="E13" s="58" t="s">
        <v>32</v>
      </c>
      <c r="I13" s="45" t="s">
        <v>32</v>
      </c>
      <c r="J13" s="56" t="s">
        <v>32</v>
      </c>
      <c r="K13" s="45" t="s">
        <v>32</v>
      </c>
      <c r="L13" s="56" t="s">
        <v>32</v>
      </c>
      <c r="M13" s="58" t="s">
        <v>32</v>
      </c>
      <c r="N13" s="56" t="s">
        <v>32</v>
      </c>
      <c r="R13" s="37"/>
      <c r="S13" s="37"/>
      <c r="T13" s="37"/>
      <c r="U13" s="37"/>
      <c r="V13" s="51"/>
      <c r="W13" s="51"/>
      <c r="X13" s="51"/>
      <c r="AE13" s="35"/>
      <c r="AF13" s="35"/>
      <c r="AG13" s="35"/>
      <c r="AH13" s="35"/>
      <c r="AM13" s="37"/>
      <c r="AN13" s="52"/>
      <c r="AO13" s="52"/>
      <c r="AP13" s="52"/>
      <c r="AU13" s="37"/>
      <c r="AV13" s="52"/>
      <c r="AW13" s="37"/>
      <c r="AX13" s="37"/>
      <c r="BC13" s="37"/>
      <c r="BE13" s="37"/>
      <c r="BF13" s="37"/>
      <c r="BK13" s="37"/>
      <c r="BM13" s="37"/>
      <c r="BT13" s="37"/>
      <c r="BU13" s="35"/>
      <c r="BV13" s="37"/>
      <c r="BW13" s="37"/>
    </row>
    <row r="14" spans="1:78">
      <c r="A14" s="2" t="s">
        <v>88</v>
      </c>
      <c r="B14" s="56">
        <f>X14</f>
        <v>0.53340642375180702</v>
      </c>
      <c r="C14" s="45">
        <f>AK14</f>
        <v>0.14138457081399713</v>
      </c>
      <c r="D14" s="58">
        <f>AS14</f>
        <v>0.51411103278246806</v>
      </c>
      <c r="E14" s="58">
        <f>BA14</f>
        <v>0.16675908205903561</v>
      </c>
      <c r="I14" s="45">
        <f>BI14</f>
        <v>0.12830685770839664</v>
      </c>
      <c r="J14" s="56">
        <f t="shared" ref="J14:J19" si="19">BQ14</f>
        <v>0.15563679819058043</v>
      </c>
      <c r="K14" s="45" t="s">
        <v>32</v>
      </c>
      <c r="L14" s="56" t="s">
        <v>32</v>
      </c>
      <c r="M14" s="58">
        <f t="shared" si="1"/>
        <v>0.53604476097650888</v>
      </c>
      <c r="N14" s="56" t="s">
        <v>32</v>
      </c>
      <c r="R14" s="37">
        <f>'T4a. THg loads daily calib'!C27</f>
        <v>23.238391051154732</v>
      </c>
      <c r="S14" s="37">
        <f>'T7a. THg SE 2010-19'!C27</f>
        <v>5.5402330959457595</v>
      </c>
      <c r="T14" s="37">
        <f>'T4a. THg loads daily calib'!C77</f>
        <v>5.4614319495516517</v>
      </c>
      <c r="U14" s="37">
        <f>'T7a. THg SE 2010-19'!C77</f>
        <v>12.326932082698562</v>
      </c>
      <c r="V14" s="51">
        <f>((U14^2)*((1/R14)^2))</f>
        <v>0.2813830255401919</v>
      </c>
      <c r="W14" s="51">
        <f>((S14*S14)*((-T14/(R14*R14))^2))</f>
        <v>3.1393873595003787E-3</v>
      </c>
      <c r="X14" s="51">
        <f>SQRT(V14+W14)</f>
        <v>0.53340642375180702</v>
      </c>
      <c r="AE14" s="35">
        <f>'T4a. THg loads daily calib'!D27</f>
        <v>1.1406631442657094</v>
      </c>
      <c r="AF14" s="35">
        <f>'T7a. THg SE 2010-19'!D27</f>
        <v>0.19181892763576536</v>
      </c>
      <c r="AG14" s="35">
        <f>'T4a. THg loads daily calib'!D77</f>
        <v>0.60452913117649465</v>
      </c>
      <c r="AH14" s="35">
        <f>'T7a. THg SE 2010-19'!D77</f>
        <v>0.12519545071614627</v>
      </c>
      <c r="AI14">
        <f>((AH14^2)*((1/AE14)^2))</f>
        <v>1.2046538619861864E-2</v>
      </c>
      <c r="AJ14">
        <f>((AF14*AF14)*((-AG14/(AE14*AE14))^2))</f>
        <v>7.9430582443963046E-3</v>
      </c>
      <c r="AK14">
        <f>SQRT(AI14+AJ14)</f>
        <v>0.14138457081399713</v>
      </c>
      <c r="AM14" s="37">
        <f>'T4a. THg loads daily calib'!E27</f>
        <v>24.379054195420441</v>
      </c>
      <c r="AN14" s="52">
        <f>'T7a. THg SE 2010-19'!E27</f>
        <v>5.7320520235815247</v>
      </c>
      <c r="AO14" s="52">
        <f>'T4a. THg loads daily calib'!E77</f>
        <v>6.0659610807281457</v>
      </c>
      <c r="AP14" s="52">
        <f>'T7a. THg SE 2010-19'!E77</f>
        <v>12.452127533414709</v>
      </c>
      <c r="AQ14">
        <f>((AP14^2)*((1/AM14)^2))</f>
        <v>0.26088758611494201</v>
      </c>
      <c r="AR14">
        <f>((AN14*AN14)*((-AO14/(AM14*AM14))^2))</f>
        <v>3.4225679137139249E-3</v>
      </c>
      <c r="AS14">
        <f>SQRT(AQ14+AR14)</f>
        <v>0.51411103278246806</v>
      </c>
      <c r="AU14" s="37">
        <f>'T4a. THg loads daily calib'!F27</f>
        <v>40.088695549888776</v>
      </c>
      <c r="AV14" s="52">
        <f>'T7a. THg SE 2010-19'!F27</f>
        <v>9.037203422501479</v>
      </c>
      <c r="AW14" s="37">
        <f>'T4a. THg loads daily calib'!F77</f>
        <v>5.466970376665822</v>
      </c>
      <c r="AX14" s="37">
        <f>'T7a. THg SE 2010-19'!F77</f>
        <v>6.5705726600600292</v>
      </c>
      <c r="AY14">
        <f>((AX14^2)*((1/AU14)^2))</f>
        <v>2.6863499947912435E-2</v>
      </c>
      <c r="AZ14">
        <f>((AV14*AV14)*((-AW14/(AU14*AU14))^2))</f>
        <v>9.4509150125973457E-4</v>
      </c>
      <c r="BA14">
        <f>SQRT(AY14+AZ14)</f>
        <v>0.16675908205903561</v>
      </c>
      <c r="BC14" s="37">
        <f>'T4a. THg loads daily calib'!K27</f>
        <v>97.488949720917674</v>
      </c>
      <c r="BD14">
        <f>'T7a. THg SE 2010-19'!J27</f>
        <v>31.892775586674372</v>
      </c>
      <c r="BE14" s="37">
        <f>'T4a. THg loads daily calib'!K77</f>
        <v>20.317975179827485</v>
      </c>
      <c r="BF14" s="37">
        <f>'T7a. THg SE 2010-19'!J77</f>
        <v>10.596304908286474</v>
      </c>
      <c r="BG14">
        <f>((BF14^2)*((1/BC14)^2))</f>
        <v>1.1814031105139908E-2</v>
      </c>
      <c r="BH14">
        <f>((BD14*BD14)*((-BE14/(BC14*BC14))^2))</f>
        <v>4.6486186298628322E-3</v>
      </c>
      <c r="BI14">
        <f>SQRT(BG14+BH14)</f>
        <v>0.12830685770839664</v>
      </c>
      <c r="BK14" s="37">
        <f>'T4a. THg loads daily calib'!L27</f>
        <v>29.282471955914176</v>
      </c>
      <c r="BL14">
        <f>'T7a. THg SE 2010-19'!K27</f>
        <v>10.141902636562451</v>
      </c>
      <c r="BM14" s="37">
        <f>'T4a. THg loads daily calib'!L77</f>
        <v>7.4860805292555463</v>
      </c>
      <c r="BN14">
        <f>'T7a. THg SE 2010-19'!K77</f>
        <v>3.7480188594773933</v>
      </c>
      <c r="BO14">
        <f>((BN14^2)*((1/BK14)^2))</f>
        <v>1.6382797492947063E-2</v>
      </c>
      <c r="BP14">
        <f>((BL14*BL14)*((-BM14/(BK14*BK14))^2))</f>
        <v>7.8400154580684032E-3</v>
      </c>
      <c r="BQ14">
        <f>SQRT(BO14+BP14)</f>
        <v>0.15563679819058043</v>
      </c>
      <c r="BT14" s="37">
        <f>'T4a. THg loads daily calib'!T27</f>
        <v>30.423135100179884</v>
      </c>
      <c r="BU14" s="35">
        <f>'T7a. THg SE 2010-19'!D27+'T7a. THg SE 2010-19'!K27</f>
        <v>10.333721564198216</v>
      </c>
      <c r="BV14" s="37">
        <f>'T4a. THg loads daily calib'!T77</f>
        <v>8.0906096604320403</v>
      </c>
      <c r="BW14" s="37">
        <f>'T7a. THg SE 2010-19'!C77+'T7a. THg SE 2010-19'!K77</f>
        <v>16.074950942175956</v>
      </c>
      <c r="BX14">
        <f t="shared" ref="BX14:BX19" si="20">((BW14^2)*((1/BT14)^2))</f>
        <v>0.27918454969166639</v>
      </c>
      <c r="BY14">
        <f t="shared" ref="BY14:BY19" si="21">((BU14*BU14)*((-BV14/(BT14*BT14))^2))</f>
        <v>8.159436078696139E-3</v>
      </c>
      <c r="BZ14">
        <f t="shared" ref="BZ14:BZ19" si="22">SQRT(BX14+BY14)</f>
        <v>0.53604476097650888</v>
      </c>
    </row>
    <row r="15" spans="1:78">
      <c r="A15" s="2" t="s">
        <v>95</v>
      </c>
      <c r="B15" s="56">
        <f>X15</f>
        <v>6.5300392612051783E-2</v>
      </c>
      <c r="C15" s="45">
        <f>AK15</f>
        <v>0.15821014743205353</v>
      </c>
      <c r="D15" s="58">
        <f>AS15</f>
        <v>6.8340209596078408E-2</v>
      </c>
      <c r="E15" s="58">
        <f>BA15</f>
        <v>5.615670912412353E-2</v>
      </c>
      <c r="I15" s="45">
        <f>BI15</f>
        <v>6.5899284243963102E-2</v>
      </c>
      <c r="J15" s="56">
        <f t="shared" si="19"/>
        <v>8.7452385136346067E-2</v>
      </c>
      <c r="K15" s="45" t="s">
        <v>32</v>
      </c>
      <c r="L15" s="56" t="s">
        <v>32</v>
      </c>
      <c r="M15" s="58">
        <f>BZ15</f>
        <v>0</v>
      </c>
      <c r="N15" s="56" t="s">
        <v>32</v>
      </c>
      <c r="R15" s="37">
        <f>'T4a. THg loads daily calib'!C28</f>
        <v>38.651208351036843</v>
      </c>
      <c r="S15" s="37">
        <f>'T7a. THg SE 2010-19'!C28</f>
        <v>9.304236606461167</v>
      </c>
      <c r="T15" s="37">
        <f>'T4a. THg loads daily calib'!C78</f>
        <v>8.0173889506929115</v>
      </c>
      <c r="U15" s="37">
        <f>'T7a. THg SE 2010-19'!C78</f>
        <v>1.626494132551467</v>
      </c>
      <c r="V15" s="51">
        <f>((U15^2)*((1/R15)^2))</f>
        <v>1.7708380711637627E-3</v>
      </c>
      <c r="W15" s="51">
        <f>((S15*S15)*((-T15/(R15*R15))^2))</f>
        <v>2.4933032041243438E-3</v>
      </c>
      <c r="X15" s="51">
        <f>SQRT(V15+W15)</f>
        <v>6.5300392612051783E-2</v>
      </c>
      <c r="AE15" s="35">
        <f>'T4a. THg loads daily calib'!D28</f>
        <v>0.95602310907468624</v>
      </c>
      <c r="AF15" s="35">
        <f>'T7a. THg SE 2010-19'!D28</f>
        <v>0.14000000000000001</v>
      </c>
      <c r="AG15" s="35">
        <f>'T4a. THg loads daily calib'!D78</f>
        <v>0.67425585086336737</v>
      </c>
      <c r="AH15" s="35">
        <f>'T7a. THg SE 2010-19'!D78</f>
        <v>0.11457810187269613</v>
      </c>
      <c r="AI15">
        <f>((AH15^2)*((1/AE15)^2))</f>
        <v>1.4363704643696915E-2</v>
      </c>
      <c r="AJ15">
        <f>((AF15*AF15)*((-AG15/(AE15*AE15))^2))</f>
        <v>1.0666746106775199E-2</v>
      </c>
      <c r="AK15">
        <f>SQRT(AI15+AJ15)</f>
        <v>0.15821014743205353</v>
      </c>
      <c r="AM15" s="37">
        <f>'T4a. THg loads daily calib'!E28</f>
        <v>39.607231460111528</v>
      </c>
      <c r="AN15" s="52">
        <f>'T7a. THg SE 2010-19'!E28</f>
        <v>9.4442366064611676</v>
      </c>
      <c r="AO15" s="52">
        <f>'T4a. THg loads daily calib'!E78</f>
        <v>8.6916448015562793</v>
      </c>
      <c r="AP15" s="52">
        <f>'T7a. THg SE 2010-19'!E78</f>
        <v>1.7410722344241631</v>
      </c>
      <c r="AQ15">
        <f>((AP15^2)*((1/AM15)^2))</f>
        <v>1.9323447285134597E-3</v>
      </c>
      <c r="AR15">
        <f>((AN15*AN15)*((-AO15/(AM15*AM15))^2))</f>
        <v>2.7380395191224684E-3</v>
      </c>
      <c r="AS15">
        <f>SQRT(AQ15+AR15)</f>
        <v>6.8340209596078408E-2</v>
      </c>
      <c r="AU15" s="37">
        <f>'T4a. THg loads daily calib'!F28</f>
        <v>39.764729007114646</v>
      </c>
      <c r="AV15" s="52">
        <f>'T7a. THg SE 2010-19'!F28</f>
        <v>7.2</v>
      </c>
      <c r="AW15" s="37">
        <f>'T4a. THg loads daily calib'!F78</f>
        <v>8.1961222304577959</v>
      </c>
      <c r="AX15" s="37">
        <f>'T7a. THg SE 2010-19'!F78</f>
        <v>1.6685902144399347</v>
      </c>
      <c r="AY15">
        <f>((AX15^2)*((1/AU15)^2))</f>
        <v>1.760772839112435E-3</v>
      </c>
      <c r="AZ15">
        <f>((AV15*AV15)*((-AW15/(AU15*AU15))^2))</f>
        <v>1.3928031405389836E-3</v>
      </c>
      <c r="BA15">
        <f>SQRT(AY15+AZ15)</f>
        <v>5.615670912412353E-2</v>
      </c>
      <c r="BC15" s="37">
        <f>'T4a. THg loads daily calib'!K28</f>
        <v>180.16586134755283</v>
      </c>
      <c r="BD15">
        <f>'T7a. THg SE 2010-19'!J28</f>
        <v>37</v>
      </c>
      <c r="BE15" s="37">
        <f>'T4a. THg loads daily calib'!K78</f>
        <v>31.347875581289742</v>
      </c>
      <c r="BF15" s="37">
        <f>'T7a. THg SE 2010-19'!J78</f>
        <v>9.975879390894077</v>
      </c>
      <c r="BG15">
        <f>((BF15^2)*((1/BC15)^2))</f>
        <v>3.0658956909334597E-3</v>
      </c>
      <c r="BH15">
        <f>((BD15*BD15)*((-BE15/(BC15*BC15))^2))</f>
        <v>1.2768199729331841E-3</v>
      </c>
      <c r="BI15">
        <f>SQRT(BG15+BH15)</f>
        <v>6.5899284243963102E-2</v>
      </c>
      <c r="BK15" s="37">
        <f>'T4a. THg loads daily calib'!L28</f>
        <v>29.018710580932865</v>
      </c>
      <c r="BL15">
        <f>'T7a. THg SE 2010-19'!K28</f>
        <v>6.4749999999999996</v>
      </c>
      <c r="BM15" s="37">
        <f>'T4a. THg loads daily calib'!L78</f>
        <v>6.5109293613162356</v>
      </c>
      <c r="BN15">
        <f>'T7a. THg SE 2010-19'!K78</f>
        <v>2.0807658278240146</v>
      </c>
      <c r="BO15">
        <f>((BN15^2)*((1/BK15)^2))</f>
        <v>5.1415041611752076E-3</v>
      </c>
      <c r="BP15">
        <f>((BL15*BL15)*((-BM15/(BK15*BK15))^2))</f>
        <v>2.5064155048605957E-3</v>
      </c>
      <c r="BQ15">
        <f>SQRT(BO15+BP15)</f>
        <v>8.7452385136346067E-2</v>
      </c>
      <c r="BT15" s="37"/>
      <c r="BU15" s="35"/>
      <c r="BV15" s="37"/>
      <c r="BW15" s="37"/>
    </row>
    <row r="16" spans="1:78">
      <c r="A16" s="2" t="s">
        <v>125</v>
      </c>
      <c r="B16" s="56">
        <f>X16</f>
        <v>0.13447213391957488</v>
      </c>
      <c r="C16" s="45">
        <f>AK16</f>
        <v>0.27701385221914504</v>
      </c>
      <c r="D16" s="58">
        <f>AS16</f>
        <v>0.13665629076735197</v>
      </c>
      <c r="E16" s="58">
        <f>BA16</f>
        <v>0.11965635205740793</v>
      </c>
      <c r="I16" s="45">
        <f>BI16</f>
        <v>0.11289901725784769</v>
      </c>
      <c r="J16" s="56">
        <f t="shared" si="19"/>
        <v>0.11171869126307929</v>
      </c>
      <c r="K16" s="45" t="s">
        <v>32</v>
      </c>
      <c r="L16" s="56" t="s">
        <v>32</v>
      </c>
      <c r="M16" s="58">
        <f>BZ16</f>
        <v>0</v>
      </c>
      <c r="N16" s="56" t="s">
        <v>32</v>
      </c>
      <c r="R16" s="37">
        <f>'T4a. THg loads daily calib'!C29</f>
        <v>333.2243781677584</v>
      </c>
      <c r="S16" s="37">
        <f>'T7a. THg SE 2010-19'!C29</f>
        <v>73.846890915676056</v>
      </c>
      <c r="T16" s="37">
        <f>'T4a. THg loads daily calib'!C79</f>
        <v>153.6274527035601</v>
      </c>
      <c r="U16" s="37">
        <f>'T7a. THg SE 2010-19'!C79</f>
        <v>29.133508148393208</v>
      </c>
      <c r="V16" s="51">
        <f>((U16^2)*((1/R16)^2))</f>
        <v>7.6438478768820171E-3</v>
      </c>
      <c r="W16" s="51">
        <f>((S16*S16)*((-T16/(R16*R16))^2))</f>
        <v>1.0438906924002067E-2</v>
      </c>
      <c r="X16" s="51">
        <f>SQRT(V16+W16)</f>
        <v>0.13447213391957488</v>
      </c>
      <c r="AE16" s="35">
        <f>'T4a. THg loads daily calib'!D29</f>
        <v>5.7911508492750494</v>
      </c>
      <c r="AF16" s="35">
        <f>'T7a. THg SE 2010-19'!D29</f>
        <v>1.21</v>
      </c>
      <c r="AG16" s="35">
        <f>'T4a. THg loads daily calib'!D79</f>
        <v>7.34456115640221</v>
      </c>
      <c r="AH16" s="35">
        <f>'T7a. THg SE 2010-19'!D79</f>
        <v>0.46759974085346667</v>
      </c>
      <c r="AI16">
        <f>((AH16^2)*((1/AE16)^2))</f>
        <v>6.5195672312507854E-3</v>
      </c>
      <c r="AJ16">
        <f>((AF16*AF16)*((-AG16/(AE16*AE16))^2))</f>
        <v>7.0217107090039532E-2</v>
      </c>
      <c r="AK16">
        <f>SQRT(AI16+AJ16)</f>
        <v>0.27701385221914504</v>
      </c>
      <c r="AM16" s="37">
        <f>'T4a. THg loads daily calib'!E29</f>
        <v>339.01552901703343</v>
      </c>
      <c r="AN16" s="52">
        <f>'T7a. THg SE 2010-19'!E29</f>
        <v>75.05689091567605</v>
      </c>
      <c r="AO16" s="52">
        <f>'T4a. THg loads daily calib'!E79</f>
        <v>160.97201385996232</v>
      </c>
      <c r="AP16" s="52">
        <f>'T7a. THg SE 2010-19'!E79</f>
        <v>29.601107889246673</v>
      </c>
      <c r="AQ16">
        <f>((AP16^2)*((1/AM16)^2))</f>
        <v>7.6238922125637697E-3</v>
      </c>
      <c r="AR16">
        <f>((AN16*AN16)*((-AO16/(AM16*AM16))^2))</f>
        <v>1.1051049593727279E-2</v>
      </c>
      <c r="AS16">
        <f>SQRT(AQ16+AR16)</f>
        <v>0.13665629076735197</v>
      </c>
      <c r="AU16" s="37">
        <f>'T4a. THg loads daily calib'!F29</f>
        <v>338.11760179896532</v>
      </c>
      <c r="AV16" s="52">
        <f>'T7a. THg SE 2010-19'!F29</f>
        <v>60.9</v>
      </c>
      <c r="AW16" s="37">
        <f>'T4a. THg loads daily calib'!F79</f>
        <v>161.33661887250497</v>
      </c>
      <c r="AX16" s="37">
        <f>'T7a. THg SE 2010-19'!F79</f>
        <v>28.14979070714033</v>
      </c>
      <c r="AY16">
        <f>((AX16^2)*((1/AU16)^2))</f>
        <v>6.9313013439983992E-3</v>
      </c>
      <c r="AZ16">
        <f>((AV16*AV16)*((-AW16/(AU16*AU16))^2))</f>
        <v>7.386341243687952E-3</v>
      </c>
      <c r="BA16">
        <f>SQRT(AY16+AZ16)</f>
        <v>0.11965635205740793</v>
      </c>
      <c r="BC16" s="37">
        <f>'T4a. THg loads daily calib'!K29</f>
        <v>1223.8914557569726</v>
      </c>
      <c r="BD16">
        <f>'T7a. THg SE 2010-19'!J29</f>
        <v>237</v>
      </c>
      <c r="BE16" s="37">
        <f>'T4a. THg loads daily calib'!K79</f>
        <v>602.3386016961307</v>
      </c>
      <c r="BF16" s="37">
        <f>'T7a. THg SE 2010-19'!J79</f>
        <v>74.079975053467066</v>
      </c>
      <c r="BG16">
        <f>((BF16^2)*((1/BC16)^2))</f>
        <v>3.6636657885994084E-3</v>
      </c>
      <c r="BH16">
        <f>((BD16*BD16)*((-BE16/(BC16*BC16))^2))</f>
        <v>9.0825223091883841E-3</v>
      </c>
      <c r="BI16">
        <f>SQRT(BG16+BH16)</f>
        <v>0.11289901725784769</v>
      </c>
      <c r="BK16" s="37">
        <f>'T4a. THg loads daily calib'!L29</f>
        <v>321.28920075409144</v>
      </c>
      <c r="BL16">
        <f>'T7a. THg SE 2010-19'!K29</f>
        <v>62.805</v>
      </c>
      <c r="BM16" s="37">
        <f>'T4a. THg loads daily calib'!L79</f>
        <v>160.00808831065552</v>
      </c>
      <c r="BN16">
        <f>'T7a. THg SE 2010-19'!K79</f>
        <v>17.608573364222238</v>
      </c>
      <c r="BO16">
        <f>((BN16^2)*((1/BK16)^2))</f>
        <v>3.003696758424163E-3</v>
      </c>
      <c r="BP16">
        <f>((BL16*BL16)*((-BM16/(BK16*BK16))^2))</f>
        <v>9.4773692191110672E-3</v>
      </c>
      <c r="BQ16">
        <f>SQRT(BO16+BP16)</f>
        <v>0.11171869126307929</v>
      </c>
      <c r="BT16" s="37"/>
      <c r="BU16" s="35"/>
      <c r="BV16" s="37"/>
      <c r="BW16" s="37"/>
    </row>
    <row r="17" spans="1:78">
      <c r="A17" s="62" t="s">
        <v>128</v>
      </c>
      <c r="B17" s="56" t="e">
        <f>X17</f>
        <v>#REF!</v>
      </c>
      <c r="C17" s="45" t="e">
        <f>AK17</f>
        <v>#REF!</v>
      </c>
      <c r="D17" s="58" t="e">
        <f>AS17</f>
        <v>#REF!</v>
      </c>
      <c r="E17" s="58" t="e">
        <f>BA17</f>
        <v>#REF!</v>
      </c>
      <c r="I17" s="45" t="e">
        <f>BI17</f>
        <v>#REF!</v>
      </c>
      <c r="J17" s="56" t="e">
        <f t="shared" si="19"/>
        <v>#REF!</v>
      </c>
      <c r="K17" s="45" t="s">
        <v>32</v>
      </c>
      <c r="L17" s="56" t="s">
        <v>32</v>
      </c>
      <c r="M17" s="58">
        <f>BZ17</f>
        <v>0</v>
      </c>
      <c r="N17" s="56" t="s">
        <v>32</v>
      </c>
      <c r="R17" s="37" t="e">
        <f>'T4a. THg loads daily calib'!#REF!</f>
        <v>#REF!</v>
      </c>
      <c r="S17" s="37" t="e">
        <f>'T7a. THg SE 2010-19'!#REF!</f>
        <v>#REF!</v>
      </c>
      <c r="T17" s="37">
        <f>'T4a. THg loads daily calib'!C80</f>
        <v>0.20967853121621055</v>
      </c>
      <c r="U17" s="37">
        <f>'T7a. THg SE 2010-19'!C80</f>
        <v>4.1737907153218505E-2</v>
      </c>
      <c r="V17" s="51" t="e">
        <f>((U17^2)*((1/R17)^2))</f>
        <v>#REF!</v>
      </c>
      <c r="W17" s="51" t="e">
        <f>((S17*S17)*((-T17/(R17*R17))^2))</f>
        <v>#REF!</v>
      </c>
      <c r="X17" s="51" t="e">
        <f>SQRT(V17+W17)</f>
        <v>#REF!</v>
      </c>
      <c r="AE17" s="35" t="e">
        <f>'T4a. THg loads daily calib'!#REF!</f>
        <v>#REF!</v>
      </c>
      <c r="AF17" s="35" t="e">
        <f>'T7a. THg SE 2010-19'!#REF!</f>
        <v>#REF!</v>
      </c>
      <c r="AG17" s="35">
        <f>'T4a. THg loads daily calib'!D80</f>
        <v>3.0549289525538519E-2</v>
      </c>
      <c r="AH17" s="35">
        <f>'T7a. THg SE 2010-19'!D80</f>
        <v>3.7708053338479028E-3</v>
      </c>
      <c r="AI17" t="e">
        <f>((AH17^2)*((1/AE17)^2))</f>
        <v>#REF!</v>
      </c>
      <c r="AJ17" t="e">
        <f>((AF17*AF17)*((-AG17/(AE17*AE17))^2))</f>
        <v>#REF!</v>
      </c>
      <c r="AK17" t="e">
        <f>SQRT(AI17+AJ17)</f>
        <v>#REF!</v>
      </c>
      <c r="AM17" s="37" t="e">
        <f>'T4a. THg loads daily calib'!#REF!</f>
        <v>#REF!</v>
      </c>
      <c r="AN17" s="52" t="e">
        <f>'T7a. THg SE 2010-19'!#REF!</f>
        <v>#REF!</v>
      </c>
      <c r="AO17" s="52">
        <f>'T4a. THg loads daily calib'!E80</f>
        <v>0.24022782074174906</v>
      </c>
      <c r="AP17" s="52">
        <f>'T7a. THg SE 2010-19'!E80</f>
        <v>4.5508712487066408E-2</v>
      </c>
      <c r="AQ17" t="e">
        <f>((AP17^2)*((1/AM17)^2))</f>
        <v>#REF!</v>
      </c>
      <c r="AR17" t="e">
        <f>((AN17*AN17)*((-AO17/(AM17*AM17))^2))</f>
        <v>#REF!</v>
      </c>
      <c r="AS17" t="e">
        <f>SQRT(AQ17+AR17)</f>
        <v>#REF!</v>
      </c>
      <c r="AU17" s="37" t="e">
        <f>'T4a. THg loads daily calib'!#REF!</f>
        <v>#REF!</v>
      </c>
      <c r="AV17" s="52" t="e">
        <f>'T7a. THg SE 2010-19'!#REF!</f>
        <v>#REF!</v>
      </c>
      <c r="AW17" s="37">
        <f>'T4a. THg loads daily calib'!F80</f>
        <v>0.25382816986131712</v>
      </c>
      <c r="AX17" s="37">
        <f>'T7a. THg SE 2010-19'!F80</f>
        <v>5.0779750131318607E-2</v>
      </c>
      <c r="AY17" t="e">
        <f>((AX17^2)*((1/AU17)^2))</f>
        <v>#REF!</v>
      </c>
      <c r="AZ17" t="e">
        <f>((AV17*AV17)*((-AW17/(AU17*AU17))^2))</f>
        <v>#REF!</v>
      </c>
      <c r="BA17" t="e">
        <f>SQRT(AY17+AZ17)</f>
        <v>#REF!</v>
      </c>
      <c r="BC17" s="37" t="e">
        <f>'T4a. THg loads daily calib'!#REF!</f>
        <v>#REF!</v>
      </c>
      <c r="BD17" t="e">
        <f>'T7a. THg SE 2010-19'!#REF!</f>
        <v>#REF!</v>
      </c>
      <c r="BE17" s="37">
        <f>'T4a. THg loads daily calib'!K80</f>
        <v>0.61223333743979325</v>
      </c>
      <c r="BF17" s="37">
        <f>'T7a. THg SE 2010-19'!J80</f>
        <v>0.11335127653661574</v>
      </c>
      <c r="BG17" t="e">
        <f>((BF17^2)*((1/BC17)^2))</f>
        <v>#REF!</v>
      </c>
      <c r="BH17" t="e">
        <f>((BD17*BD17)*((-BE17/(BC17*BC17))^2))</f>
        <v>#REF!</v>
      </c>
      <c r="BI17" t="e">
        <f>SQRT(BG17+BH17)</f>
        <v>#REF!</v>
      </c>
      <c r="BK17" s="37" t="e">
        <f>'T4a. THg loads daily calib'!#REF!</f>
        <v>#REF!</v>
      </c>
      <c r="BL17" t="e">
        <f>'T7a. THg SE 2010-19'!#REF!</f>
        <v>#REF!</v>
      </c>
      <c r="BM17" s="37">
        <f>'T4a. THg loads daily calib'!L80</f>
        <v>0.19543952789528912</v>
      </c>
      <c r="BN17">
        <f>'T7a. THg SE 2010-19'!K80</f>
        <v>3.5819003385570578E-2</v>
      </c>
      <c r="BO17" t="e">
        <f>((BN17^2)*((1/BK17)^2))</f>
        <v>#REF!</v>
      </c>
      <c r="BP17" t="e">
        <f>((BL17*BL17)*((-BM17/(BK17*BK17))^2))</f>
        <v>#REF!</v>
      </c>
      <c r="BQ17" t="e">
        <f>SQRT(BO17+BP17)</f>
        <v>#REF!</v>
      </c>
      <c r="BT17" s="37"/>
      <c r="BU17" s="35"/>
      <c r="BV17" s="37"/>
      <c r="BW17" s="37"/>
    </row>
    <row r="18" spans="1:78">
      <c r="A18" s="2" t="s">
        <v>129</v>
      </c>
      <c r="B18" s="56">
        <f>X18</f>
        <v>0.15830327547130973</v>
      </c>
      <c r="C18" s="45">
        <f>AK18</f>
        <v>0.25643193382325052</v>
      </c>
      <c r="D18" s="58">
        <f>AS18</f>
        <v>0.16098384019386167</v>
      </c>
      <c r="E18" s="58">
        <f>BA18</f>
        <v>0.16775117081473256</v>
      </c>
      <c r="G18" s="3" t="s">
        <v>26</v>
      </c>
      <c r="I18" s="45">
        <f t="shared" si="0"/>
        <v>0.11493853489476073</v>
      </c>
      <c r="J18" s="56">
        <f t="shared" si="19"/>
        <v>0.12257316276340176</v>
      </c>
      <c r="K18" s="45" t="s">
        <v>32</v>
      </c>
      <c r="L18" s="56" t="s">
        <v>32</v>
      </c>
      <c r="M18" s="58">
        <f t="shared" si="1"/>
        <v>0.19223422748573624</v>
      </c>
      <c r="N18" s="56" t="s">
        <v>32</v>
      </c>
      <c r="R18" s="37">
        <f>'T4a. THg loads daily calib'!C30</f>
        <v>634.08467537487604</v>
      </c>
      <c r="S18" s="37">
        <f>'T7a. THg SE 2010-19'!C30</f>
        <v>144.29566194276754</v>
      </c>
      <c r="T18" s="37">
        <f>'T4a. THg loads daily calib'!C82</f>
        <v>359.52482747307192</v>
      </c>
      <c r="U18" s="37">
        <f>'T7a. THg SE 2010-19'!C82</f>
        <v>58.154311256342424</v>
      </c>
      <c r="V18" s="51">
        <f t="shared" si="2"/>
        <v>8.4114199984346456E-3</v>
      </c>
      <c r="W18" s="51">
        <f t="shared" si="3"/>
        <v>1.6648507026510731E-2</v>
      </c>
      <c r="X18" s="51">
        <f>SQRT(V18+W18)</f>
        <v>0.15830327547130973</v>
      </c>
      <c r="AE18" s="35">
        <f>'T4a. THg loads daily calib'!D30</f>
        <v>12.777440535160224</v>
      </c>
      <c r="AF18" s="35">
        <f>'T7a. THg SE 2010-19'!D30</f>
        <v>2.0894654890386777</v>
      </c>
      <c r="AG18" s="35">
        <f>'T4a. THg loads daily calib'!D82</f>
        <v>18.867593477231729</v>
      </c>
      <c r="AH18" s="35">
        <f>'T7a. THg SE 2010-19'!D82</f>
        <v>1.1028169365756066</v>
      </c>
      <c r="AI18">
        <f t="shared" si="4"/>
        <v>7.4493626553431879E-3</v>
      </c>
      <c r="AJ18">
        <f t="shared" si="5"/>
        <v>5.8307974028988734E-2</v>
      </c>
      <c r="AK18">
        <f t="shared" si="6"/>
        <v>0.25643193382325052</v>
      </c>
      <c r="AM18" s="37">
        <f>'T4a. THg loads daily calib'!E30</f>
        <v>646.86211591003621</v>
      </c>
      <c r="AN18" s="52">
        <f>'T7a. THg SE 2010-19'!E30</f>
        <v>146.38512743180621</v>
      </c>
      <c r="AO18" s="52">
        <f>'T4a. THg loads daily calib'!E82</f>
        <v>378.39242095030357</v>
      </c>
      <c r="AP18" s="52">
        <f>'T7a. THg SE 2010-19'!E82</f>
        <v>59.257128192918032</v>
      </c>
      <c r="AQ18">
        <f t="shared" si="7"/>
        <v>8.3918510425641767E-3</v>
      </c>
      <c r="AR18">
        <f t="shared" si="8"/>
        <v>1.752394576099861E-2</v>
      </c>
      <c r="AS18">
        <f t="shared" si="9"/>
        <v>0.16098384019386167</v>
      </c>
      <c r="AU18" s="37">
        <f>'T4a. THg loads daily calib'!F30</f>
        <v>546.62452336694525</v>
      </c>
      <c r="AV18" s="52">
        <f>'T7a. THg SE 2010-19'!F30</f>
        <v>100.85027819104396</v>
      </c>
      <c r="AW18" s="37">
        <f>'T4a. THg loads daily calib'!F82</f>
        <v>370.07733277418362</v>
      </c>
      <c r="AX18" s="37">
        <f>'T7a. THg SE 2010-19'!F82</f>
        <v>61.208199506507917</v>
      </c>
      <c r="AY18">
        <f t="shared" si="10"/>
        <v>1.2538367235802319E-2</v>
      </c>
      <c r="AZ18">
        <f t="shared" si="11"/>
        <v>1.5602088073911263E-2</v>
      </c>
      <c r="BA18">
        <f t="shared" si="12"/>
        <v>0.16775117081473256</v>
      </c>
      <c r="BC18" s="37">
        <f>'T4a. THg loads daily calib'!K30</f>
        <v>2503.3492564463045</v>
      </c>
      <c r="BD18">
        <f>'T7a. THg SE 2010-19'!J30</f>
        <v>461.37996725490893</v>
      </c>
      <c r="BE18" s="37">
        <f>'T4a. THg loads daily calib'!K82</f>
        <v>1291.0883508782322</v>
      </c>
      <c r="BF18" s="37">
        <f>'T7a. THg SE 2010-19'!J82</f>
        <v>161.76257098850641</v>
      </c>
      <c r="BG18">
        <f t="shared" si="13"/>
        <v>4.1755452279515128E-3</v>
      </c>
      <c r="BH18">
        <f t="shared" si="14"/>
        <v>9.0353215758026181E-3</v>
      </c>
      <c r="BI18">
        <f t="shared" si="15"/>
        <v>0.11493853489476073</v>
      </c>
      <c r="BK18" s="37">
        <f>'T4a. THg loads daily calib'!L30</f>
        <v>600.32455588690573</v>
      </c>
      <c r="BL18">
        <f>'T7a. THg SE 2010-19'!K30</f>
        <v>110.61585039511854</v>
      </c>
      <c r="BM18" s="37">
        <f>'T4a. THg loads daily calib'!L82</f>
        <v>334.54943665275005</v>
      </c>
      <c r="BN18">
        <f>'T7a. THg SE 2010-19'!K82</f>
        <v>40.181614071716318</v>
      </c>
      <c r="BO18">
        <f t="shared" si="16"/>
        <v>4.4800466857367917E-3</v>
      </c>
      <c r="BP18">
        <f t="shared" si="17"/>
        <v>1.0544133544086589E-2</v>
      </c>
      <c r="BQ18">
        <f t="shared" si="18"/>
        <v>0.12257316276340176</v>
      </c>
      <c r="BT18" s="37">
        <f>'T4a. THg loads daily calib'!T30</f>
        <v>613.10199642206589</v>
      </c>
      <c r="BU18" s="35">
        <f>'T7a. THg SE 2010-19'!D30+'T7a. THg SE 2010-19'!K30</f>
        <v>112.70531588415722</v>
      </c>
      <c r="BV18" s="37">
        <f>'T4a. THg loads daily calib'!T82</f>
        <v>353.41703012998175</v>
      </c>
      <c r="BW18" s="37">
        <f>'T7a. THg SE 2010-19'!C82+'T7a. THg SE 2010-19'!K82</f>
        <v>98.33592532805875</v>
      </c>
      <c r="BX18">
        <f t="shared" si="20"/>
        <v>2.5725211675719936E-2</v>
      </c>
      <c r="BY18">
        <f t="shared" si="21"/>
        <v>1.1228786541317851E-2</v>
      </c>
      <c r="BZ18">
        <f t="shared" si="22"/>
        <v>0.19223422748573624</v>
      </c>
    </row>
    <row r="19" spans="1:78">
      <c r="A19" s="2" t="s">
        <v>129</v>
      </c>
      <c r="B19" s="26"/>
      <c r="C19" s="26"/>
      <c r="D19" s="26"/>
      <c r="E19" s="26"/>
      <c r="G19" s="69" t="s">
        <v>130</v>
      </c>
      <c r="I19" s="45">
        <f t="shared" si="0"/>
        <v>0.11493853489476073</v>
      </c>
      <c r="J19" s="56">
        <f t="shared" si="19"/>
        <v>0.10905760833048733</v>
      </c>
      <c r="K19" s="45" t="s">
        <v>32</v>
      </c>
      <c r="L19" s="56" t="s">
        <v>32</v>
      </c>
      <c r="M19" s="58">
        <f t="shared" si="1"/>
        <v>0.10935735275208056</v>
      </c>
      <c r="N19" s="56" t="s">
        <v>32</v>
      </c>
      <c r="R19" s="37"/>
      <c r="T19" s="37"/>
      <c r="BC19" s="37">
        <f>'T4a. THg loads daily calib'!K31</f>
        <v>2503.3492564463045</v>
      </c>
      <c r="BD19">
        <f>'T7a. THg SE 2010-19'!J31</f>
        <v>461.37996725490893</v>
      </c>
      <c r="BE19" s="37">
        <f>'T4a. THg loads daily calib'!K83</f>
        <v>1291.0883508782319</v>
      </c>
      <c r="BF19" s="37">
        <f>'T7a. THg SE 2010-19'!J83</f>
        <v>161.76257098850641</v>
      </c>
      <c r="BG19">
        <f>((BF19^2)*((1/BC19)^2))</f>
        <v>4.1755452279515128E-3</v>
      </c>
      <c r="BH19">
        <f>((BD19*BD19)*((-BE19/(BC19*BC19))^2))</f>
        <v>9.0353215758026163E-3</v>
      </c>
      <c r="BI19">
        <f>SQRT(BG19+BH19)</f>
        <v>0.11493853489476073</v>
      </c>
      <c r="BK19" s="37">
        <f>'T4a. THg loads daily calib'!L31</f>
        <v>610.81721857289835</v>
      </c>
      <c r="BL19">
        <f>'T7a. THg SE 2010-19'!K31</f>
        <v>101.04221282882506</v>
      </c>
      <c r="BM19" s="37">
        <f>'T4a. THg loads daily calib'!L83</f>
        <v>321.18557340754506</v>
      </c>
      <c r="BN19">
        <f>'T7a. THg SE 2010-19'!K83</f>
        <v>40.181614071716318</v>
      </c>
      <c r="BO19">
        <f t="shared" si="16"/>
        <v>4.3274515488467419E-3</v>
      </c>
      <c r="BP19">
        <f t="shared" si="17"/>
        <v>7.5661103859192367E-3</v>
      </c>
      <c r="BQ19">
        <f t="shared" si="18"/>
        <v>0.10905760833048733</v>
      </c>
      <c r="BT19" s="37">
        <f>'T4a. THg loads daily calib'!T31</f>
        <v>623.59465910805852</v>
      </c>
      <c r="BU19" s="35">
        <f>'T7a. THg SE 2010-19'!D31+'T7a. THg SE 2010-19'!K31</f>
        <v>101.04221282882506</v>
      </c>
      <c r="BV19" s="37">
        <f>'T4a. THg loads daily calib'!T83</f>
        <v>340.05316688477677</v>
      </c>
      <c r="BW19" s="37">
        <f>'T7a. THg SE 2010-19'!C83+'T7a. THg SE 2010-19'!K83</f>
        <v>40.181614071716318</v>
      </c>
      <c r="BX19">
        <f t="shared" si="20"/>
        <v>4.15192961279876E-3</v>
      </c>
      <c r="BY19">
        <f t="shared" si="21"/>
        <v>7.8071009881442218E-3</v>
      </c>
      <c r="BZ19">
        <f t="shared" si="22"/>
        <v>0.10935735275208056</v>
      </c>
    </row>
    <row r="20" spans="1:78" ht="16">
      <c r="A20" s="1" t="s">
        <v>38</v>
      </c>
      <c r="B20" s="6"/>
      <c r="C20" s="6"/>
      <c r="D20" s="26"/>
      <c r="E20" s="26"/>
      <c r="G20" s="10"/>
      <c r="J20" s="26"/>
      <c r="L20" s="26"/>
      <c r="M20" s="26"/>
      <c r="N20" s="26"/>
    </row>
    <row r="21" spans="1:78">
      <c r="A21" s="2" t="s">
        <v>1</v>
      </c>
      <c r="B21" s="56">
        <f>X21</f>
        <v>0.12599148464365484</v>
      </c>
      <c r="C21" s="45">
        <f>AK21</f>
        <v>0.21210670948980956</v>
      </c>
      <c r="D21" s="58">
        <f>AS21</f>
        <v>0.12858273955242008</v>
      </c>
      <c r="E21" s="58">
        <f>BA21</f>
        <v>0.27551859074272705</v>
      </c>
      <c r="G21" s="10"/>
      <c r="I21" s="45">
        <f>BI21</f>
        <v>7.6224497240061681E-2</v>
      </c>
      <c r="J21" s="56">
        <f>BQ21</f>
        <v>9.841528457823305E-2</v>
      </c>
      <c r="K21" s="45" t="s">
        <v>32</v>
      </c>
      <c r="L21" s="56" t="s">
        <v>32</v>
      </c>
      <c r="M21" s="58">
        <f t="shared" ref="M21:M31" si="23">BZ21</f>
        <v>0.18257652098258326</v>
      </c>
      <c r="N21" s="56" t="s">
        <v>32</v>
      </c>
      <c r="R21" s="37">
        <f t="shared" ref="R21:S24" si="24">R9</f>
        <v>39.292353551230363</v>
      </c>
      <c r="S21" s="37">
        <f t="shared" si="24"/>
        <v>8.2834094085530374</v>
      </c>
      <c r="T21" s="52">
        <f>'T4a. THg loads daily calib'!C85</f>
        <v>13.890036050469952</v>
      </c>
      <c r="U21" s="52">
        <f>'T7a. THg SE 2010-19'!C85</f>
        <v>3.9916121429844327</v>
      </c>
      <c r="V21" s="51">
        <f>((U21^2)*((1/R21)^2))</f>
        <v>1.032002106941662E-2</v>
      </c>
      <c r="W21" s="51">
        <f>((S21*S21)*((-T21/(R21*R21))^2))</f>
        <v>5.5538331332956898E-3</v>
      </c>
      <c r="X21" s="51">
        <f>SQRT(V21+W21)</f>
        <v>0.12599148464365484</v>
      </c>
      <c r="AE21" s="35">
        <f t="shared" ref="AE21:AF24" si="25">AE9</f>
        <v>0.7913352987181641</v>
      </c>
      <c r="AF21" s="35">
        <f t="shared" si="25"/>
        <v>9.6783629973036966E-2</v>
      </c>
      <c r="AG21" s="35">
        <f>'T4a. THg loads daily calib'!D85</f>
        <v>1.058467154480448</v>
      </c>
      <c r="AH21" s="35">
        <f>'T7a. THg SE 2010-19'!D85</f>
        <v>0.106837263389815</v>
      </c>
      <c r="AI21">
        <f>((AH21^2)*((1/AE21)^2))</f>
        <v>1.8227387785383034E-2</v>
      </c>
      <c r="AJ21">
        <f>((AF21*AF21)*((-AG21/(AE21*AE21))^2))</f>
        <v>2.6761868425211433E-2</v>
      </c>
      <c r="AK21">
        <f>SQRT(AI21+AJ21)</f>
        <v>0.21210670948980956</v>
      </c>
      <c r="AM21" s="37">
        <f t="shared" ref="AM21:AN24" si="26">AM9</f>
        <v>40.08368884994853</v>
      </c>
      <c r="AN21" s="52">
        <f t="shared" si="26"/>
        <v>8.380193038526075</v>
      </c>
      <c r="AO21" s="52">
        <f>'T4a. THg loads daily calib'!E85</f>
        <v>14.9485032049504</v>
      </c>
      <c r="AP21" s="52">
        <f>'T7a. THg SE 2010-19'!E85</f>
        <v>4.0984494063742476</v>
      </c>
      <c r="AQ21">
        <f>((AP21^2)*((1/AM21)^2))</f>
        <v>1.0454512639923998E-2</v>
      </c>
      <c r="AR21">
        <f>((AN21*AN21)*((-AO21/(AM21*AM21))^2))</f>
        <v>6.0790082708814972E-3</v>
      </c>
      <c r="AS21">
        <f>SQRT(AQ21+AR21)</f>
        <v>0.12858273955242008</v>
      </c>
      <c r="AU21" s="37">
        <f t="shared" ref="AU21:AV24" si="27">AU9</f>
        <v>15.219324413787039</v>
      </c>
      <c r="AV21" s="52">
        <f t="shared" si="27"/>
        <v>3.1470249427831245</v>
      </c>
      <c r="AW21" s="37">
        <f>'T4a. THg loads daily calib'!F85</f>
        <v>14.746041705665361</v>
      </c>
      <c r="AX21" s="37">
        <f>'T7a. THg SE 2010-19'!F85</f>
        <v>2.8784725723330191</v>
      </c>
      <c r="AY21">
        <f>((AX21^2)*((1/AU21)^2))</f>
        <v>3.5771194458464495E-2</v>
      </c>
      <c r="AZ21">
        <f>((AV21*AV21)*((-AW21/(AU21*AU21))^2))</f>
        <v>4.0139299386393816E-2</v>
      </c>
      <c r="BA21">
        <f>SQRT(AY21+AZ21)</f>
        <v>0.27551859074272705</v>
      </c>
      <c r="BC21" s="37">
        <f t="shared" ref="BC21:BD24" si="28">BC9</f>
        <v>164.26473846867469</v>
      </c>
      <c r="BD21">
        <f t="shared" si="28"/>
        <v>22.327058892311701</v>
      </c>
      <c r="BE21" s="37">
        <f>'T4a. THg loads daily calib'!K85</f>
        <v>52.616460331655674</v>
      </c>
      <c r="BF21" s="37">
        <f>'T7a. THg SE 2010-19'!J85</f>
        <v>10.277580973463635</v>
      </c>
      <c r="BG21">
        <f>((BF21^2)*((1/BC21)^2))</f>
        <v>3.914651642956399E-3</v>
      </c>
      <c r="BH21">
        <f>((BD21*BD21)*((-BE21/(BC21*BC21))^2))</f>
        <v>1.8955223365437713E-3</v>
      </c>
      <c r="BI21">
        <f>SQRT(BG21+BH21)</f>
        <v>7.6224497240061681E-2</v>
      </c>
      <c r="BK21" s="37">
        <f t="shared" ref="BK21:BL24" si="29">BK9</f>
        <v>41.389994719395411</v>
      </c>
      <c r="BL21">
        <f t="shared" si="29"/>
        <v>5.6040917819702374</v>
      </c>
      <c r="BM21" s="37">
        <f>'T4a. THg loads daily calib'!L85</f>
        <v>17.956546431663842</v>
      </c>
      <c r="BN21">
        <f>'T7a. THg SE 2010-19'!K85</f>
        <v>3.2682707495614358</v>
      </c>
      <c r="BO21">
        <f>((BN21^2)*((1/BK21)^2))</f>
        <v>6.2351271206640378E-3</v>
      </c>
      <c r="BP21">
        <f>((BL21*BL21)*((-BM21/(BK21*BK21))^2))</f>
        <v>3.4504411179505589E-3</v>
      </c>
      <c r="BQ21">
        <f>SQRT(BO21+BP21)</f>
        <v>9.841528457823305E-2</v>
      </c>
      <c r="BT21" s="37">
        <f t="shared" ref="BT21:BU24" si="30">BT9</f>
        <v>42.181330018113577</v>
      </c>
      <c r="BU21" s="37">
        <f t="shared" si="30"/>
        <v>5.7008754119432741</v>
      </c>
      <c r="BV21" s="37">
        <f>'T4a. THg loads daily calib'!T85</f>
        <v>19.015013586144288</v>
      </c>
      <c r="BW21" s="37">
        <f>'T7a. THg SE 2010-19'!C85+'T7a. THg SE 2010-19'!K85</f>
        <v>7.2598828925458685</v>
      </c>
      <c r="BX21">
        <f>((BW21^2)*((1/BT21)^2))</f>
        <v>2.9622294262113647E-2</v>
      </c>
      <c r="BY21">
        <f>((BU21*BU21)*((-BV21/(BT21*BT21))^2))</f>
        <v>3.711891751990016E-3</v>
      </c>
      <c r="BZ21">
        <f>SQRT(BX21+BY21)</f>
        <v>0.18257652098258326</v>
      </c>
    </row>
    <row r="22" spans="1:78">
      <c r="A22" s="2" t="s">
        <v>2</v>
      </c>
      <c r="B22" s="56">
        <f>X22</f>
        <v>0.1188625000645057</v>
      </c>
      <c r="C22" s="45">
        <f>AK22</f>
        <v>0.14551969647911178</v>
      </c>
      <c r="D22" s="58">
        <f>AS22</f>
        <v>0.12046433306195854</v>
      </c>
      <c r="E22" s="58">
        <f>BA22</f>
        <v>0.18915700460728968</v>
      </c>
      <c r="G22" s="10"/>
      <c r="I22" s="45">
        <f>BI22</f>
        <v>8.4055642980158135E-2</v>
      </c>
      <c r="J22" s="56">
        <f>BQ22</f>
        <v>8.6775226895945606E-2</v>
      </c>
      <c r="K22" s="45" t="s">
        <v>32</v>
      </c>
      <c r="L22" s="56" t="s">
        <v>32</v>
      </c>
      <c r="M22" s="58">
        <f t="shared" si="23"/>
        <v>0.1703558667237848</v>
      </c>
      <c r="N22" s="56" t="s">
        <v>32</v>
      </c>
      <c r="R22" s="37">
        <f t="shared" si="24"/>
        <v>176.80408073086417</v>
      </c>
      <c r="S22" s="37">
        <f t="shared" si="24"/>
        <v>42.639300735187376</v>
      </c>
      <c r="T22" s="52">
        <f>'T4a. THg loads daily calib'!C86</f>
        <v>63.111029000731577</v>
      </c>
      <c r="U22" s="52">
        <f>'T7a. THg SE 2010-19'!C86</f>
        <v>14.490984427736143</v>
      </c>
      <c r="V22" s="51">
        <f>((U22^2)*((1/R22)^2))</f>
        <v>6.7175546832277094E-3</v>
      </c>
      <c r="W22" s="51">
        <f>((S22*S22)*((-T22/(R22*R22))^2))</f>
        <v>7.4107392383569101E-3</v>
      </c>
      <c r="X22" s="51">
        <f>SQRT(V22+W22)</f>
        <v>0.1188625000645057</v>
      </c>
      <c r="AE22" s="35">
        <f t="shared" si="25"/>
        <v>3.046870174781827</v>
      </c>
      <c r="AF22" s="35">
        <f t="shared" si="25"/>
        <v>0.30334243257367577</v>
      </c>
      <c r="AG22" s="35">
        <f>'T4a. THg loads daily calib'!D86</f>
        <v>3.1336442992565612</v>
      </c>
      <c r="AH22" s="35">
        <f>'T7a. THg SE 2010-19'!D86</f>
        <v>0.31504444386896624</v>
      </c>
      <c r="AI22">
        <f>((AH22^2)*((1/AE22)^2))</f>
        <v>1.0691428856094842E-2</v>
      </c>
      <c r="AJ22">
        <f>((AF22*AF22)*((-AG22/(AE22*AE22))^2))</f>
        <v>1.0484553207277975E-2</v>
      </c>
      <c r="AK22">
        <f>SQRT(AI22+AJ22)</f>
        <v>0.14551969647911178</v>
      </c>
      <c r="AM22" s="37">
        <f t="shared" si="26"/>
        <v>179.85095090564599</v>
      </c>
      <c r="AN22" s="52">
        <f t="shared" si="26"/>
        <v>42.942643167761055</v>
      </c>
      <c r="AO22" s="52">
        <f>'T4a. THg loads daily calib'!E86</f>
        <v>66.244673299988136</v>
      </c>
      <c r="AP22" s="52">
        <f>'T7a. THg SE 2010-19'!E86</f>
        <v>14.806028871605109</v>
      </c>
      <c r="AQ22">
        <f>((AP22^2)*((1/AM22)^2))</f>
        <v>6.7772219244122654E-3</v>
      </c>
      <c r="AR22">
        <f>((AN22*AN22)*((-AO22/(AM22*AM22))^2))</f>
        <v>7.7344336156502129E-3</v>
      </c>
      <c r="AS22">
        <f>SQRT(AQ22+AR22)</f>
        <v>0.12046433306195854</v>
      </c>
      <c r="AU22" s="37">
        <f t="shared" si="27"/>
        <v>91.09936481578778</v>
      </c>
      <c r="AV22" s="52">
        <f t="shared" si="27"/>
        <v>17.283509638691385</v>
      </c>
      <c r="AW22" s="37">
        <f>'T4a. THg loads daily calib'!F86</f>
        <v>64.149891891476571</v>
      </c>
      <c r="AX22" s="37">
        <f>'T7a. THg SE 2010-19'!F86</f>
        <v>12.199213894679856</v>
      </c>
      <c r="AY22">
        <f>((AX22^2)*((1/AU22)^2))</f>
        <v>1.7932176067572171E-2</v>
      </c>
      <c r="AZ22">
        <f>((AV22*AV22)*((-AW22/(AU22*AU22))^2))</f>
        <v>1.7848196324430035E-2</v>
      </c>
      <c r="BA22">
        <f>SQRT(AY22+AZ22)</f>
        <v>0.18915700460728968</v>
      </c>
      <c r="BC22" s="37">
        <f t="shared" si="28"/>
        <v>742.02202341103066</v>
      </c>
      <c r="BD22">
        <f t="shared" si="28"/>
        <v>107.27957389764838</v>
      </c>
      <c r="BE22" s="37">
        <f>'T4a. THg loads daily calib'!K86</f>
        <v>257.78737910328528</v>
      </c>
      <c r="BF22" s="37">
        <f>'T7a. THg SE 2010-19'!J86</f>
        <v>50.010898619829646</v>
      </c>
      <c r="BG22">
        <f>((BF22^2)*((1/BC22)^2))</f>
        <v>4.5425082586843862E-3</v>
      </c>
      <c r="BH22">
        <f>((BD22*BD22)*((-BE22/(BC22*BC22))^2))</f>
        <v>2.5228428581234204E-3</v>
      </c>
      <c r="BI22">
        <f>SQRT(BG22+BH22)</f>
        <v>8.4055642980158135E-2</v>
      </c>
      <c r="BK22" s="37">
        <f t="shared" si="29"/>
        <v>155.24643128752211</v>
      </c>
      <c r="BL22">
        <f t="shared" si="29"/>
        <v>18.988484579883764</v>
      </c>
      <c r="BM22" s="37">
        <f>'T4a. THg loads daily calib'!L86</f>
        <v>58.653086395974114</v>
      </c>
      <c r="BN22">
        <f>'T7a. THg SE 2010-19'!K86</f>
        <v>11.402484885321158</v>
      </c>
      <c r="BO22">
        <f>((BN22^2)*((1/BK22)^2))</f>
        <v>5.3945566625873851E-3</v>
      </c>
      <c r="BP22">
        <f>((BL22*BL22)*((-BM22/(BK22*BK22))^2))</f>
        <v>2.1353833402554564E-3</v>
      </c>
      <c r="BQ22">
        <f>SQRT(BO22+BP22)</f>
        <v>8.6775226895945606E-2</v>
      </c>
      <c r="BT22" s="37">
        <f t="shared" si="30"/>
        <v>158.29330146230393</v>
      </c>
      <c r="BU22" s="37">
        <f t="shared" si="30"/>
        <v>19.291827012457439</v>
      </c>
      <c r="BV22" s="37">
        <f>'T4a. THg loads daily calib'!T86</f>
        <v>61.786730695230673</v>
      </c>
      <c r="BW22" s="37">
        <f>'T7a. THg SE 2010-19'!C86+'T7a. THg SE 2010-19'!K86</f>
        <v>25.893469313057302</v>
      </c>
      <c r="BX22">
        <f>((BW22^2)*((1/BT22)^2))</f>
        <v>2.6758108571951069E-2</v>
      </c>
      <c r="BY22">
        <f>((BU22*BU22)*((-BV22/(BT22*BT22))^2))</f>
        <v>2.2630127552608651E-3</v>
      </c>
      <c r="BZ22">
        <f>SQRT(BX22+BY22)</f>
        <v>0.1703558667237848</v>
      </c>
    </row>
    <row r="23" spans="1:78">
      <c r="A23" s="2" t="s">
        <v>3</v>
      </c>
      <c r="B23" s="56">
        <f>X23</f>
        <v>0.1607443476620421</v>
      </c>
      <c r="C23" s="45">
        <f>AK23</f>
        <v>0.10015351261739376</v>
      </c>
      <c r="D23" s="58">
        <f>AS23</f>
        <v>0.15488838912933769</v>
      </c>
      <c r="E23" s="58">
        <f>BA23</f>
        <v>0.11792516788395797</v>
      </c>
      <c r="G23" s="10"/>
      <c r="I23" s="45">
        <f>BI23</f>
        <v>9.8066348419644608E-2</v>
      </c>
      <c r="J23" s="56">
        <f>BQ23</f>
        <v>0.12121877365381573</v>
      </c>
      <c r="K23" s="45" t="s">
        <v>32</v>
      </c>
      <c r="L23" s="56" t="s">
        <v>32</v>
      </c>
      <c r="M23" s="58">
        <f t="shared" si="23"/>
        <v>0.21773054124875502</v>
      </c>
      <c r="N23" s="56" t="s">
        <v>32</v>
      </c>
      <c r="R23" s="37">
        <f t="shared" si="24"/>
        <v>1.2368493338049833</v>
      </c>
      <c r="S23" s="37">
        <f t="shared" si="24"/>
        <v>0.19179409876991632</v>
      </c>
      <c r="T23" s="52">
        <f>'T4a. THg loads daily calib'!C87</f>
        <v>0.64788061377320338</v>
      </c>
      <c r="U23" s="52">
        <f>'T7a. THg SE 2010-19'!C87</f>
        <v>0.17156591567285223</v>
      </c>
      <c r="V23" s="51">
        <f>((U23^2)*((1/R23)^2))</f>
        <v>1.9241034842782459E-2</v>
      </c>
      <c r="W23" s="51">
        <f>((S23*S23)*((-T23/(R23*R23))^2))</f>
        <v>6.5977104625129989E-3</v>
      </c>
      <c r="X23" s="51">
        <f>SQRT(V23+W23)</f>
        <v>0.1607443476620421</v>
      </c>
      <c r="AE23" s="35">
        <f t="shared" si="25"/>
        <v>0.14042262325678961</v>
      </c>
      <c r="AF23" s="35">
        <f t="shared" si="25"/>
        <v>1.3148749015942596E-2</v>
      </c>
      <c r="AG23" s="35">
        <f>'T4a. THg loads daily calib'!D87</f>
        <v>0.11507937363764556</v>
      </c>
      <c r="AH23" s="35">
        <f>'T7a. THg SE 2010-19'!D87</f>
        <v>9.0374576332739251E-3</v>
      </c>
      <c r="AI23">
        <f>((AH23^2)*((1/AE23)^2))</f>
        <v>4.1420790688714302E-3</v>
      </c>
      <c r="AJ23">
        <f>((AF23*AF23)*((-AG23/(AE23*AE23))^2))</f>
        <v>5.8886470207310197E-3</v>
      </c>
      <c r="AK23">
        <f>SQRT(AI23+AJ23)</f>
        <v>0.10015351261739376</v>
      </c>
      <c r="AM23" s="37">
        <f t="shared" si="26"/>
        <v>1.3772719570617729</v>
      </c>
      <c r="AN23" s="52">
        <f t="shared" si="26"/>
        <v>0.20494284778585892</v>
      </c>
      <c r="AO23" s="52">
        <f>'T4a. THg loads daily calib'!E87</f>
        <v>0.76295998741084892</v>
      </c>
      <c r="AP23" s="52">
        <f>'T7a. THg SE 2010-19'!E87</f>
        <v>0.18060337330612616</v>
      </c>
      <c r="AQ23">
        <f>((AP23^2)*((1/AM23)^2))</f>
        <v>1.7195400915589833E-2</v>
      </c>
      <c r="AR23">
        <f>((AN23*AN23)*((-AO23/(AM23*AM23))^2))</f>
        <v>6.7950121714913008E-3</v>
      </c>
      <c r="AS23">
        <f>SQRT(AQ23+AR23)</f>
        <v>0.15488838912933769</v>
      </c>
      <c r="AU23" s="37">
        <f t="shared" si="27"/>
        <v>1.1673468877004438</v>
      </c>
      <c r="AV23" s="52">
        <f t="shared" si="27"/>
        <v>0.11856821988601675</v>
      </c>
      <c r="AW23" s="37">
        <f>'T4a. THg loads daily calib'!F87</f>
        <v>0.76106336034754041</v>
      </c>
      <c r="AX23" s="37">
        <f>'T7a. THg SE 2010-19'!F87</f>
        <v>0.1139061134390404</v>
      </c>
      <c r="AY23">
        <f>((AX23^2)*((1/AU23)^2))</f>
        <v>9.5212552440721628E-3</v>
      </c>
      <c r="AZ23">
        <f>((AV23*AV23)*((-AW23/(AU23*AU23))^2))</f>
        <v>4.385089976387509E-3</v>
      </c>
      <c r="BA23">
        <f>SQRT(AY23+AZ23)</f>
        <v>0.11792516788395797</v>
      </c>
      <c r="BC23" s="37">
        <f t="shared" si="28"/>
        <v>5.1046671737027536</v>
      </c>
      <c r="BD23">
        <f t="shared" si="28"/>
        <v>0.51232322347670534</v>
      </c>
      <c r="BE23" s="37">
        <f>'T4a. THg loads daily calib'!K87</f>
        <v>2.0465844895796867</v>
      </c>
      <c r="BF23" s="37">
        <f>'T7a. THg SE 2010-19'!J87</f>
        <v>0.45651520037337995</v>
      </c>
      <c r="BG23">
        <f>((BF23^2)*((1/BC23)^2))</f>
        <v>7.9978936124008252E-3</v>
      </c>
      <c r="BH23">
        <f>((BD23*BD23)*((-BE23/(BC23*BC23))^2))</f>
        <v>1.6191150799623069E-3</v>
      </c>
      <c r="BI23">
        <f>SQRT(BG23+BH23)</f>
        <v>9.8066348419644608E-2</v>
      </c>
      <c r="BK23" s="37">
        <f t="shared" si="29"/>
        <v>1.416869818571304</v>
      </c>
      <c r="BL23">
        <f t="shared" si="29"/>
        <v>0.13269171488046669</v>
      </c>
      <c r="BM23" s="37">
        <f>'T4a. THg loads daily calib'!L87</f>
        <v>0.69690557600286218</v>
      </c>
      <c r="BN23">
        <f>'T7a. THg SE 2010-19'!K87</f>
        <v>0.15886728972993625</v>
      </c>
      <c r="BO23">
        <f>((BN23^2)*((1/BK23)^2))</f>
        <v>1.2572136120903256E-2</v>
      </c>
      <c r="BP23">
        <f>((BL23*BL23)*((-BM23/(BK23*BK23))^2))</f>
        <v>2.1218549652317529E-3</v>
      </c>
      <c r="BQ23">
        <f>SQRT(BO23+BP23)</f>
        <v>0.12121877365381573</v>
      </c>
      <c r="BT23" s="37">
        <f t="shared" si="30"/>
        <v>1.5572924418280936</v>
      </c>
      <c r="BU23" s="37">
        <f t="shared" si="30"/>
        <v>0.14584046389640928</v>
      </c>
      <c r="BV23" s="37">
        <f>'T4a. THg loads daily calib'!T87</f>
        <v>0.81198494964050771</v>
      </c>
      <c r="BW23" s="37">
        <f>'T7a. THg SE 2010-19'!C87+'T7a. THg SE 2010-19'!K87</f>
        <v>0.33043320540278848</v>
      </c>
      <c r="BX23">
        <f>((BW23^2)*((1/BT23)^2))</f>
        <v>4.5022231323484783E-2</v>
      </c>
      <c r="BY23">
        <f>((BU23*BU23)*((-BV23/(BT23*BT23))^2))</f>
        <v>2.3843572689910232E-3</v>
      </c>
      <c r="BZ23">
        <f>SQRT(BX23+BY23)</f>
        <v>0.21773054124875502</v>
      </c>
    </row>
    <row r="24" spans="1:78">
      <c r="A24" s="2" t="s">
        <v>4</v>
      </c>
      <c r="B24" s="56">
        <f>X24</f>
        <v>0.1994933679310619</v>
      </c>
      <c r="C24" s="45">
        <f>AK24</f>
        <v>0.1907152711603004</v>
      </c>
      <c r="D24" s="58">
        <f>AS24</f>
        <v>0.19929583786028382</v>
      </c>
      <c r="E24" s="58">
        <f>BA24</f>
        <v>0.17734047370506439</v>
      </c>
      <c r="G24" s="10"/>
      <c r="I24" s="45">
        <f>BI24</f>
        <v>0.22034463118800512</v>
      </c>
      <c r="J24" s="56">
        <f>BQ24</f>
        <v>0.2293379281211147</v>
      </c>
      <c r="K24" s="45" t="s">
        <v>32</v>
      </c>
      <c r="L24" s="56" t="s">
        <v>32</v>
      </c>
      <c r="M24" s="58">
        <f t="shared" si="23"/>
        <v>0.38383109127995713</v>
      </c>
      <c r="N24" s="56" t="s">
        <v>32</v>
      </c>
      <c r="R24" s="37">
        <f t="shared" si="24"/>
        <v>21.59902834267379</v>
      </c>
      <c r="S24" s="37">
        <f t="shared" si="24"/>
        <v>4.4829155921054129</v>
      </c>
      <c r="T24" s="52">
        <f>'T4a. THg loads daily calib'!C88</f>
        <v>7.5342690370457568</v>
      </c>
      <c r="U24" s="52">
        <f>'T7a. THg SE 2010-19'!C88</f>
        <v>4.0150944974036502</v>
      </c>
      <c r="V24" s="51">
        <f>((U24^2)*((1/R24)^2))</f>
        <v>3.4555972003586621E-2</v>
      </c>
      <c r="W24" s="51">
        <f>((S24*S24)*((-T24/(R24*R24))^2))</f>
        <v>5.2416318448914164E-3</v>
      </c>
      <c r="X24" s="51">
        <f>SQRT(V24+W24)</f>
        <v>0.1994933679310619</v>
      </c>
      <c r="AE24" s="35">
        <f t="shared" si="25"/>
        <v>0.89471313092169136</v>
      </c>
      <c r="AF24" s="35">
        <f t="shared" si="25"/>
        <v>0.13235482492964201</v>
      </c>
      <c r="AG24" s="35">
        <f>'T4a. THg loads daily calib'!D88</f>
        <v>0.61927715213228363</v>
      </c>
      <c r="AH24" s="35">
        <f>'T7a. THg SE 2010-19'!D88</f>
        <v>0.1439588103059419</v>
      </c>
      <c r="AI24">
        <f>((AH24^2)*((1/AE24)^2))</f>
        <v>2.5888618491572684E-2</v>
      </c>
      <c r="AJ24">
        <f>((AF24*AF24)*((-AG24/(AE24*AE24))^2))</f>
        <v>1.0483696162174221E-2</v>
      </c>
      <c r="AK24">
        <f>SQRT(AI24+AJ24)</f>
        <v>0.1907152711603004</v>
      </c>
      <c r="AM24" s="37">
        <f t="shared" si="26"/>
        <v>22.493741473595481</v>
      </c>
      <c r="AN24" s="52">
        <f t="shared" si="26"/>
        <v>4.6152704170350551</v>
      </c>
      <c r="AO24" s="52">
        <f>'T4a. THg loads daily calib'!E88</f>
        <v>8.1535461891780407</v>
      </c>
      <c r="AP24" s="52">
        <f>'T7a. THg SE 2010-19'!E88</f>
        <v>4.1590533077095921</v>
      </c>
      <c r="AQ24">
        <f>((AP24^2)*((1/AM24)^2))</f>
        <v>3.4187360769943151E-2</v>
      </c>
      <c r="AR24">
        <f>((AN24*AN24)*((-AO24/(AM24*AM24))^2))</f>
        <v>5.5314702184893873E-3</v>
      </c>
      <c r="AS24">
        <f>SQRT(AQ24+AR24)</f>
        <v>0.19929583786028382</v>
      </c>
      <c r="AU24" s="37">
        <f t="shared" si="27"/>
        <v>21.086881901209175</v>
      </c>
      <c r="AV24" s="52">
        <f t="shared" si="27"/>
        <v>3.1526127315406898</v>
      </c>
      <c r="AW24" s="37">
        <f>'T4a. THg loads daily calib'!F88</f>
        <v>8.0579844763740631</v>
      </c>
      <c r="AX24" s="37">
        <f>'T7a. THg SE 2010-19'!F88</f>
        <v>3.5401907494985858</v>
      </c>
      <c r="AY24">
        <f>((AX24^2)*((1/AU24)^2))</f>
        <v>2.818568502563502E-2</v>
      </c>
      <c r="AZ24">
        <f>((AV24*AV24)*((-AW24/(AU24*AU24))^2))</f>
        <v>3.2639585883016192E-3</v>
      </c>
      <c r="BA24">
        <f>SQRT(AY24+AZ24)</f>
        <v>0.17734047370506439</v>
      </c>
      <c r="BC24" s="37">
        <f t="shared" si="28"/>
        <v>90.254843187279519</v>
      </c>
      <c r="BD24">
        <f t="shared" si="28"/>
        <v>25.351281027735499</v>
      </c>
      <c r="BE24" s="37">
        <f>'T4a. THg loads daily calib'!K88</f>
        <v>28.189322851323972</v>
      </c>
      <c r="BF24" s="37">
        <f>'T7a. THg SE 2010-19'!J88</f>
        <v>18.242950242935695</v>
      </c>
      <c r="BG24">
        <f>((BF24^2)*((1/BC24)^2))</f>
        <v>4.0855366921739494E-2</v>
      </c>
      <c r="BH24">
        <f>((BD24*BD24)*((-BE24/(BC24*BC24))^2))</f>
        <v>7.6963895716385096E-3</v>
      </c>
      <c r="BI24">
        <f>SQRT(BG24+BH24)</f>
        <v>0.22034463118800512</v>
      </c>
      <c r="BK24" s="37">
        <f t="shared" si="29"/>
        <v>22.643608892531979</v>
      </c>
      <c r="BL24">
        <f t="shared" si="29"/>
        <v>6.4645766620725524</v>
      </c>
      <c r="BM24" s="37">
        <f>'T4a. THg loads daily calib'!L88</f>
        <v>7.5473190483271129</v>
      </c>
      <c r="BN24">
        <f>'T7a. THg SE 2010-19'!K88</f>
        <v>4.7249241129203448</v>
      </c>
      <c r="BO24">
        <f>((BN24^2)*((1/BK24)^2))</f>
        <v>4.3540998613107354E-2</v>
      </c>
      <c r="BP24">
        <f>((BL24*BL24)*((-BM24/(BK24*BK24))^2))</f>
        <v>9.0548866617782137E-3</v>
      </c>
      <c r="BQ24">
        <f>SQRT(BO24+BP24)</f>
        <v>0.2293379281211147</v>
      </c>
      <c r="BT24" s="37">
        <f t="shared" si="30"/>
        <v>23.53832202345367</v>
      </c>
      <c r="BU24" s="37">
        <f t="shared" si="30"/>
        <v>6.5969314870021947</v>
      </c>
      <c r="BV24" s="37">
        <f>'T4a. THg loads daily calib'!T88</f>
        <v>8.1665962004593968</v>
      </c>
      <c r="BW24" s="37">
        <f>'T7a. THg SE 2010-19'!C88+'T7a. THg SE 2010-19'!K88</f>
        <v>8.740018610323995</v>
      </c>
      <c r="BX24">
        <f>((BW24^2)*((1/BT24)^2))</f>
        <v>0.13787125049403356</v>
      </c>
      <c r="BY24">
        <f>((BU24*BU24)*((-BV24/(BT24*BT24))^2))</f>
        <v>9.4550561391292219E-3</v>
      </c>
      <c r="BZ24">
        <f>SQRT(BX24+BY24)</f>
        <v>0.38383109127995713</v>
      </c>
    </row>
    <row r="25" spans="1:78">
      <c r="A25" s="2" t="s">
        <v>5</v>
      </c>
      <c r="B25" s="56" t="s">
        <v>32</v>
      </c>
      <c r="C25" s="45" t="s">
        <v>32</v>
      </c>
      <c r="D25" s="58" t="s">
        <v>32</v>
      </c>
      <c r="E25" s="58" t="s">
        <v>32</v>
      </c>
      <c r="G25" s="10"/>
      <c r="I25" s="45" t="s">
        <v>32</v>
      </c>
      <c r="J25" s="56" t="s">
        <v>32</v>
      </c>
      <c r="K25" s="45" t="s">
        <v>32</v>
      </c>
      <c r="L25" s="56" t="s">
        <v>32</v>
      </c>
      <c r="M25" s="58" t="s">
        <v>32</v>
      </c>
      <c r="N25" s="56" t="s">
        <v>32</v>
      </c>
      <c r="R25" s="37"/>
      <c r="S25" s="37"/>
      <c r="T25" s="52"/>
      <c r="U25" s="52"/>
      <c r="V25" s="51"/>
      <c r="W25" s="51"/>
      <c r="X25" s="51"/>
      <c r="AE25" s="35"/>
      <c r="AF25" s="35"/>
      <c r="AG25" s="35"/>
      <c r="AH25" s="35"/>
      <c r="AM25" s="37"/>
      <c r="AN25" s="52"/>
      <c r="AO25" s="52"/>
      <c r="AP25" s="52"/>
      <c r="AU25" s="37"/>
      <c r="AV25" s="52"/>
      <c r="AW25" s="37"/>
      <c r="AX25" s="37"/>
      <c r="BC25" s="37"/>
      <c r="BE25" s="37"/>
      <c r="BF25" s="37"/>
      <c r="BK25" s="37"/>
      <c r="BM25" s="37"/>
      <c r="BT25" s="37"/>
      <c r="BU25" s="37"/>
      <c r="BV25" s="37"/>
      <c r="BW25" s="35"/>
    </row>
    <row r="26" spans="1:78">
      <c r="A26" s="2" t="s">
        <v>88</v>
      </c>
      <c r="B26" s="56">
        <f>X26</f>
        <v>0.38716831639273808</v>
      </c>
      <c r="C26" s="45">
        <f>AK26</f>
        <v>0.21379774489000478</v>
      </c>
      <c r="D26" s="58">
        <f>AS26</f>
        <v>0.37896869837271302</v>
      </c>
      <c r="E26" s="58">
        <f>BA26</f>
        <v>0.19473229974839587</v>
      </c>
      <c r="G26" s="10"/>
      <c r="I26" s="45">
        <f t="shared" ref="I26:I31" si="31">BI26</f>
        <v>0.28253141062901638</v>
      </c>
      <c r="J26" s="56">
        <f t="shared" ref="J26:J31" si="32">BQ26</f>
        <v>0.32833296281482122</v>
      </c>
      <c r="K26" s="45" t="s">
        <v>32</v>
      </c>
      <c r="L26" s="56" t="s">
        <v>32</v>
      </c>
      <c r="M26" s="58">
        <f t="shared" si="23"/>
        <v>0.60120586681747401</v>
      </c>
      <c r="N26" s="56" t="s">
        <v>32</v>
      </c>
      <c r="R26" s="37">
        <f t="shared" ref="R26:S29" si="33">R14</f>
        <v>23.238391051154732</v>
      </c>
      <c r="S26" s="37">
        <f t="shared" si="33"/>
        <v>5.5402330959457595</v>
      </c>
      <c r="T26" s="52">
        <f>'T4a. THg loads daily calib'!C90</f>
        <v>6.236824833262169</v>
      </c>
      <c r="U26" s="52">
        <f>'T7a. THg SE 2010-19'!C90</f>
        <v>8.8734511524263837</v>
      </c>
      <c r="V26" s="51">
        <f>((U26^2)*((1/R26)^2))</f>
        <v>0.14580520051330559</v>
      </c>
      <c r="W26" s="51">
        <f>((S26*S26)*((-T26/(R26*R26))^2))</f>
        <v>4.0941047050817268E-3</v>
      </c>
      <c r="X26" s="51">
        <f>SQRT(V26+W26)</f>
        <v>0.38716831639273808</v>
      </c>
      <c r="AE26" s="35">
        <f t="shared" ref="AE26:AF29" si="34">AE14</f>
        <v>1.1406631442657094</v>
      </c>
      <c r="AF26" s="35">
        <f t="shared" si="34"/>
        <v>0.19181892763576536</v>
      </c>
      <c r="AG26" s="35">
        <f>'T4a. THg loads daily calib'!D90</f>
        <v>0.51230281409236567</v>
      </c>
      <c r="AH26" s="35">
        <f>'T7a. THg SE 2010-19'!D90</f>
        <v>0.22814722277273278</v>
      </c>
      <c r="AI26">
        <f>((AH26^2)*((1/AE26)^2))</f>
        <v>4.0005117860241073E-2</v>
      </c>
      <c r="AJ26">
        <f>((AF26*AF26)*((-AG26/(AE26*AE26))^2))</f>
        <v>5.7043578598104938E-3</v>
      </c>
      <c r="AK26">
        <f>SQRT(AI26+AJ26)</f>
        <v>0.21379774489000478</v>
      </c>
      <c r="AM26" s="37">
        <f t="shared" ref="AM26:AN29" si="35">AM14</f>
        <v>24.379054195420441</v>
      </c>
      <c r="AN26" s="52">
        <f t="shared" si="35"/>
        <v>5.7320520235815247</v>
      </c>
      <c r="AO26" s="52">
        <f>'T4a. THg loads daily calib'!E90</f>
        <v>6.749127647354535</v>
      </c>
      <c r="AP26" s="52">
        <f>'T7a. THg SE 2010-19'!E90</f>
        <v>9.1015983751991172</v>
      </c>
      <c r="AQ26">
        <f>((AP26^2)*((1/AM26)^2))</f>
        <v>0.13938037526493924</v>
      </c>
      <c r="AR26">
        <f>((AN26*AN26)*((-AO26/(AM26*AM26))^2))</f>
        <v>4.2368990813691281E-3</v>
      </c>
      <c r="AS26">
        <f>SQRT(AQ26+AR26)</f>
        <v>0.37896869837271302</v>
      </c>
      <c r="AU26" s="37">
        <f t="shared" ref="AU26:AV29" si="36">AU14</f>
        <v>40.088695549888776</v>
      </c>
      <c r="AV26" s="52">
        <f t="shared" si="36"/>
        <v>9.037203422501479</v>
      </c>
      <c r="AW26" s="37">
        <f>'T4a. THg loads daily calib'!F90</f>
        <v>6.7038013383913011</v>
      </c>
      <c r="AX26" s="37">
        <f>'T7a. THg SE 2010-19'!F90</f>
        <v>7.6588899357709295</v>
      </c>
      <c r="AY26">
        <f>((AX26^2)*((1/AU26)^2))</f>
        <v>3.6499574950033919E-2</v>
      </c>
      <c r="AZ26">
        <f>((AV26*AV26)*((-AW26/(AU26*AU26))^2))</f>
        <v>1.4210936152651815E-3</v>
      </c>
      <c r="BA26">
        <f>SQRT(AY26+AZ26)</f>
        <v>0.19473229974839587</v>
      </c>
      <c r="BC26" s="37">
        <f t="shared" ref="BC26:BD29" si="37">BC14</f>
        <v>97.488949720917674</v>
      </c>
      <c r="BD26">
        <f t="shared" si="37"/>
        <v>31.892775586674372</v>
      </c>
      <c r="BE26" s="37">
        <f>'T4a. THg loads daily calib'!K90</f>
        <v>23.045453104271306</v>
      </c>
      <c r="BF26" s="37">
        <f>'T7a. THg SE 2010-19'!J90</f>
        <v>26.491813021051662</v>
      </c>
      <c r="BG26">
        <f t="shared" ref="BG26:BG31" si="38">((BF26^2)*((1/BC26)^2))</f>
        <v>7.3843552035536317E-2</v>
      </c>
      <c r="BH26">
        <f t="shared" ref="BH26:BH31" si="39">((BD26*BD26)*((-BE26/(BC26*BC26))^2))</f>
        <v>5.9804459564855401E-3</v>
      </c>
      <c r="BI26">
        <f t="shared" ref="BI26:BI31" si="40">SQRT(BG26+BH26)</f>
        <v>0.28253141062901638</v>
      </c>
      <c r="BK26" s="37">
        <f t="shared" ref="BK26:BL29" si="41">BK14</f>
        <v>29.282471955914176</v>
      </c>
      <c r="BL26">
        <f t="shared" si="41"/>
        <v>10.141902636562451</v>
      </c>
      <c r="BM26" s="37">
        <f>'T4a. THg loads daily calib'!L90</f>
        <v>8.3771212807060103</v>
      </c>
      <c r="BN26">
        <f>'T7a. THg SE 2010-19'!K90</f>
        <v>9.1661673052838761</v>
      </c>
      <c r="BO26">
        <f t="shared" ref="BO26:BO31" si="42">((BN26^2)*((1/BK26)^2))</f>
        <v>9.798511074379003E-2</v>
      </c>
      <c r="BP26">
        <f t="shared" ref="BP26:BP31" si="43">((BL26*BL26)*((-BM26/(BK26*BK26))^2))</f>
        <v>9.8174237269687409E-3</v>
      </c>
      <c r="BQ26">
        <f t="shared" ref="BQ26:BQ31" si="44">SQRT(BO26+BP26)</f>
        <v>0.32833296281482122</v>
      </c>
      <c r="BT26" s="37">
        <f>BT14</f>
        <v>30.423135100179884</v>
      </c>
      <c r="BU26" s="37">
        <f>BU14</f>
        <v>10.333721564198216</v>
      </c>
      <c r="BV26" s="37">
        <f>'T4a. THg loads daily calib'!T90</f>
        <v>8.8894240947983754</v>
      </c>
      <c r="BW26" s="37">
        <f>'T7a. THg SE 2010-19'!C90+'T7a. THg SE 2010-19'!K90</f>
        <v>18.039618457710262</v>
      </c>
      <c r="BX26">
        <f t="shared" ref="BX26:BX31" si="45">((BW26^2)*((1/BT26)^2))</f>
        <v>0.35159829768970569</v>
      </c>
      <c r="BY26">
        <f t="shared" ref="BY26:BY31" si="46">((BU26*BU26)*((-BV26/(BT26*BT26))^2))</f>
        <v>9.8501966060446054E-3</v>
      </c>
      <c r="BZ26">
        <f t="shared" ref="BZ26:BZ31" si="47">SQRT(BX26+BY26)</f>
        <v>0.60120586681747401</v>
      </c>
    </row>
    <row r="27" spans="1:78">
      <c r="A27" s="2" t="s">
        <v>95</v>
      </c>
      <c r="B27" s="56">
        <f>X27</f>
        <v>8.8615563739891878E-2</v>
      </c>
      <c r="C27" s="45">
        <f>AK27</f>
        <v>0.13880569849436902</v>
      </c>
      <c r="D27" s="58">
        <f>AS27</f>
        <v>9.0540651363383823E-2</v>
      </c>
      <c r="E27" s="58">
        <f>BA27</f>
        <v>7.7777265459432768E-2</v>
      </c>
      <c r="G27" s="10"/>
      <c r="I27" s="45">
        <f t="shared" si="31"/>
        <v>7.3299058414938292E-2</v>
      </c>
      <c r="J27" s="56">
        <f t="shared" si="32"/>
        <v>9.7620230985434125E-2</v>
      </c>
      <c r="K27" s="45" t="s">
        <v>32</v>
      </c>
      <c r="L27" s="56" t="s">
        <v>32</v>
      </c>
      <c r="M27" s="58">
        <f>BZ27</f>
        <v>0</v>
      </c>
      <c r="N27" s="56" t="s">
        <v>32</v>
      </c>
      <c r="R27" s="37">
        <f t="shared" si="33"/>
        <v>38.651208351036843</v>
      </c>
      <c r="S27" s="37">
        <f t="shared" si="33"/>
        <v>9.304236606461167</v>
      </c>
      <c r="T27" s="52">
        <f>'T4a. THg loads daily calib'!C91</f>
        <v>9.6676499786302479</v>
      </c>
      <c r="U27" s="52">
        <f>'T7a. THg SE 2010-19'!C91</f>
        <v>2.5130298409587333</v>
      </c>
      <c r="V27" s="51">
        <f>((U27^2)*((1/R27)^2))</f>
        <v>4.227359084924125E-3</v>
      </c>
      <c r="W27" s="51">
        <f>((S27*S27)*((-T27/(R27*R27))^2))</f>
        <v>3.6253590520147145E-3</v>
      </c>
      <c r="X27" s="51">
        <f>SQRT(V27+W27)</f>
        <v>8.8615563739891878E-2</v>
      </c>
      <c r="AE27" s="35">
        <f t="shared" si="34"/>
        <v>0.95602310907468624</v>
      </c>
      <c r="AF27" s="35">
        <f t="shared" si="34"/>
        <v>0.14000000000000001</v>
      </c>
      <c r="AG27" s="35">
        <f>'T4a. THg loads daily calib'!D91</f>
        <v>0.71016931209099321</v>
      </c>
      <c r="AH27" s="35">
        <f>'T7a. THg SE 2010-19'!D91</f>
        <v>8.2427323281400053E-2</v>
      </c>
      <c r="AI27">
        <f>((AH27^2)*((1/AE27)^2))</f>
        <v>7.4337099799443003E-3</v>
      </c>
      <c r="AJ27">
        <f>((AF27*AF27)*((-AG27/(AE27*AE27))^2))</f>
        <v>1.1833311954565381E-2</v>
      </c>
      <c r="AK27">
        <f>SQRT(AI27+AJ27)</f>
        <v>0.13880569849436902</v>
      </c>
      <c r="AM27" s="37">
        <f t="shared" si="35"/>
        <v>39.607231460111528</v>
      </c>
      <c r="AN27" s="52">
        <f t="shared" si="35"/>
        <v>9.4442366064611676</v>
      </c>
      <c r="AO27" s="52">
        <f>'T4a. THg loads daily calib'!E91</f>
        <v>10.377819290721241</v>
      </c>
      <c r="AP27" s="52">
        <f>'T7a. THg SE 2010-19'!E91</f>
        <v>2.5954571642401332</v>
      </c>
      <c r="AQ27">
        <f>((AP27^2)*((1/AM27)^2))</f>
        <v>4.2941653036080146E-3</v>
      </c>
      <c r="AR27">
        <f>((AN27*AN27)*((-AO27/(AM27*AM27))^2))</f>
        <v>3.9034442456978022E-3</v>
      </c>
      <c r="AS27">
        <f>SQRT(AQ27+AR27)</f>
        <v>9.0540651363383823E-2</v>
      </c>
      <c r="AU27" s="37">
        <f t="shared" si="36"/>
        <v>39.764729007114646</v>
      </c>
      <c r="AV27" s="52">
        <f t="shared" si="36"/>
        <v>7.2</v>
      </c>
      <c r="AW27" s="37">
        <f>'T4a. THg loads daily calib'!F91</f>
        <v>10.249529533482482</v>
      </c>
      <c r="AX27" s="37">
        <f>'T7a. THg SE 2010-19'!F91</f>
        <v>2.4741166756280815</v>
      </c>
      <c r="AY27">
        <f>((AX27^2)*((1/AU27)^2))</f>
        <v>3.8711883190366905E-3</v>
      </c>
      <c r="AZ27">
        <f>((AV27*AV27)*((-AW27/(AU27*AU27))^2))</f>
        <v>2.1781147033103844E-3</v>
      </c>
      <c r="BA27">
        <f>SQRT(AY27+AZ27)</f>
        <v>7.7777265459432768E-2</v>
      </c>
      <c r="BC27" s="37">
        <f t="shared" si="37"/>
        <v>180.16586134755283</v>
      </c>
      <c r="BD27">
        <f t="shared" si="37"/>
        <v>37</v>
      </c>
      <c r="BE27" s="37">
        <f>'T4a. THg loads daily calib'!K91</f>
        <v>36.648240999820146</v>
      </c>
      <c r="BF27" s="37">
        <f>'T7a. THg SE 2010-19'!J91</f>
        <v>10.85139209757603</v>
      </c>
      <c r="BG27">
        <f t="shared" si="38"/>
        <v>3.6276544168086736E-3</v>
      </c>
      <c r="BH27">
        <f t="shared" si="39"/>
        <v>1.7450975477078631E-3</v>
      </c>
      <c r="BI27">
        <f t="shared" si="40"/>
        <v>7.3299058414938292E-2</v>
      </c>
      <c r="BK27" s="37">
        <f t="shared" si="41"/>
        <v>29.018710580932865</v>
      </c>
      <c r="BL27">
        <f t="shared" si="41"/>
        <v>6.4749999999999996</v>
      </c>
      <c r="BM27" s="37">
        <f>'T4a. THg loads daily calib'!L91</f>
        <v>7.6073021730305461</v>
      </c>
      <c r="BN27">
        <f>'T7a. THg SE 2010-19'!K91</f>
        <v>2.2679409483933899</v>
      </c>
      <c r="BO27">
        <f t="shared" si="42"/>
        <v>6.1081158098841735E-3</v>
      </c>
      <c r="BP27">
        <f t="shared" si="43"/>
        <v>3.4215936877653392E-3</v>
      </c>
      <c r="BQ27">
        <f t="shared" si="44"/>
        <v>9.7620230985434125E-2</v>
      </c>
      <c r="BT27" s="37"/>
      <c r="BU27" s="37"/>
      <c r="BV27" s="37"/>
      <c r="BW27" s="35"/>
    </row>
    <row r="28" spans="1:78">
      <c r="A28" s="2" t="s">
        <v>125</v>
      </c>
      <c r="B28" s="56">
        <f>X28</f>
        <v>0.14632775069895501</v>
      </c>
      <c r="C28" s="45">
        <f>AK28</f>
        <v>0.2825012816438669</v>
      </c>
      <c r="D28" s="58">
        <f>AS28</f>
        <v>0.14845376342021496</v>
      </c>
      <c r="E28" s="58">
        <f>BA28</f>
        <v>0.12244758087451967</v>
      </c>
      <c r="G28" s="10"/>
      <c r="I28" s="45">
        <f t="shared" si="31"/>
        <v>0.14842251856414287</v>
      </c>
      <c r="J28" s="56">
        <f t="shared" si="32"/>
        <v>0.14485637620118932</v>
      </c>
      <c r="K28" s="45" t="s">
        <v>32</v>
      </c>
      <c r="L28" s="56" t="s">
        <v>32</v>
      </c>
      <c r="M28" s="58">
        <f>BZ28</f>
        <v>0</v>
      </c>
      <c r="N28" s="56" t="s">
        <v>32</v>
      </c>
      <c r="R28" s="37">
        <f t="shared" si="33"/>
        <v>333.2243781677584</v>
      </c>
      <c r="S28" s="37">
        <f t="shared" si="33"/>
        <v>73.846890915676056</v>
      </c>
      <c r="T28" s="52">
        <f>'T4a. THg loads daily calib'!C92</f>
        <v>172.1241478906326</v>
      </c>
      <c r="U28" s="52">
        <f>'T7a. THg SE 2010-19'!C92</f>
        <v>30.372626997035407</v>
      </c>
      <c r="V28" s="51">
        <f>((U28^2)*((1/R28)^2))</f>
        <v>8.3078984794111993E-3</v>
      </c>
      <c r="W28" s="51">
        <f>((S28*S28)*((-T28/(R28*R28))^2))</f>
        <v>1.310391214520433E-2</v>
      </c>
      <c r="X28" s="51">
        <f>SQRT(V28+W28)</f>
        <v>0.14632775069895501</v>
      </c>
      <c r="AE28" s="35">
        <f t="shared" si="34"/>
        <v>5.7911508492750494</v>
      </c>
      <c r="AF28" s="35">
        <f t="shared" si="34"/>
        <v>1.21</v>
      </c>
      <c r="AG28" s="35">
        <f>'T4a. THg loads daily calib'!D92</f>
        <v>7.4942008414834751</v>
      </c>
      <c r="AH28" s="35">
        <f>'T7a. THg SE 2010-19'!D92</f>
        <v>0.47400780573876172</v>
      </c>
      <c r="AI28">
        <f>((AH28^2)*((1/AE28)^2))</f>
        <v>6.6994821080394694E-3</v>
      </c>
      <c r="AJ28">
        <f>((AF28*AF28)*((-AG28/(AE28*AE28))^2))</f>
        <v>7.3107492022387949E-2</v>
      </c>
      <c r="AK28">
        <f>SQRT(AI28+AJ28)</f>
        <v>0.2825012816438669</v>
      </c>
      <c r="AM28" s="37">
        <f t="shared" si="35"/>
        <v>339.01552901703343</v>
      </c>
      <c r="AN28" s="52">
        <f t="shared" si="35"/>
        <v>75.05689091567605</v>
      </c>
      <c r="AO28" s="52">
        <f>'T4a. THg loads daily calib'!E92</f>
        <v>179.61834873211606</v>
      </c>
      <c r="AP28" s="52">
        <f>'T7a. THg SE 2010-19'!E92</f>
        <v>30.846634802774169</v>
      </c>
      <c r="AQ28">
        <f>((AP28^2)*((1/AM28)^2))</f>
        <v>8.2789717290015601E-3</v>
      </c>
      <c r="AR28">
        <f>((AN28*AN28)*((-AO28/(AM28*AM28))^2))</f>
        <v>1.3759548144623598E-2</v>
      </c>
      <c r="AS28">
        <f>SQRT(AQ28+AR28)</f>
        <v>0.14845376342021496</v>
      </c>
      <c r="AU28" s="37">
        <f t="shared" si="36"/>
        <v>338.11760179896532</v>
      </c>
      <c r="AV28" s="52">
        <f t="shared" si="36"/>
        <v>60.9</v>
      </c>
      <c r="AW28" s="37">
        <f>'T4a. THg loads daily calib'!F92</f>
        <v>172.85811230596573</v>
      </c>
      <c r="AX28" s="37">
        <f>'T7a. THg SE 2010-19'!F92</f>
        <v>27.290179492858535</v>
      </c>
      <c r="AY28">
        <f>((AX28^2)*((1/AU28)^2))</f>
        <v>6.5144420383294287E-3</v>
      </c>
      <c r="AZ28">
        <f>((AV28*AV28)*((-AW28/(AU28*AU28))^2))</f>
        <v>8.4789680236926051E-3</v>
      </c>
      <c r="BA28">
        <f>SQRT(AY28+AZ28)</f>
        <v>0.12244758087451967</v>
      </c>
      <c r="BC28" s="37">
        <f t="shared" si="37"/>
        <v>1223.8914557569726</v>
      </c>
      <c r="BD28">
        <f t="shared" si="37"/>
        <v>237</v>
      </c>
      <c r="BE28" s="37">
        <f>'T4a. THg loads daily calib'!K92</f>
        <v>717.81468992877888</v>
      </c>
      <c r="BF28" s="37">
        <f>'T7a. THg SE 2010-19'!J92</f>
        <v>116.94685051273001</v>
      </c>
      <c r="BG28">
        <f t="shared" si="38"/>
        <v>9.1304304978493903E-3</v>
      </c>
      <c r="BH28">
        <f t="shared" si="39"/>
        <v>1.2898813519073946E-2</v>
      </c>
      <c r="BI28">
        <f t="shared" si="40"/>
        <v>0.14842251856414287</v>
      </c>
      <c r="BK28" s="37">
        <f t="shared" si="41"/>
        <v>321.28920075409144</v>
      </c>
      <c r="BL28">
        <f t="shared" si="41"/>
        <v>62.805</v>
      </c>
      <c r="BM28" s="37">
        <f>'T4a. THg loads daily calib'!L92</f>
        <v>190.81831382742095</v>
      </c>
      <c r="BN28">
        <f>'T7a. THg SE 2010-19'!K92</f>
        <v>27.833350422029742</v>
      </c>
      <c r="BO28">
        <f t="shared" si="42"/>
        <v>7.5047930096024873E-3</v>
      </c>
      <c r="BP28">
        <f t="shared" si="43"/>
        <v>1.3478576716537998E-2</v>
      </c>
      <c r="BQ28">
        <f t="shared" si="44"/>
        <v>0.14485637620118932</v>
      </c>
      <c r="BT28" s="37"/>
      <c r="BU28" s="37"/>
      <c r="BV28" s="37"/>
      <c r="BW28" s="35"/>
    </row>
    <row r="29" spans="1:78">
      <c r="A29" s="62" t="s">
        <v>128</v>
      </c>
      <c r="B29" s="56" t="e">
        <f>X29</f>
        <v>#REF!</v>
      </c>
      <c r="C29" s="45" t="e">
        <f>AK29</f>
        <v>#REF!</v>
      </c>
      <c r="D29" s="58" t="e">
        <f>AS29</f>
        <v>#REF!</v>
      </c>
      <c r="E29" s="58" t="e">
        <f>BA29</f>
        <v>#REF!</v>
      </c>
      <c r="G29" s="10"/>
      <c r="I29" s="45" t="e">
        <f t="shared" si="31"/>
        <v>#REF!</v>
      </c>
      <c r="J29" s="56" t="e">
        <f t="shared" si="32"/>
        <v>#REF!</v>
      </c>
      <c r="K29" s="45" t="s">
        <v>32</v>
      </c>
      <c r="L29" s="56" t="s">
        <v>32</v>
      </c>
      <c r="M29" s="58">
        <f>BZ29</f>
        <v>0</v>
      </c>
      <c r="N29" s="56" t="s">
        <v>32</v>
      </c>
      <c r="R29" s="37" t="e">
        <f t="shared" si="33"/>
        <v>#REF!</v>
      </c>
      <c r="S29" s="37" t="e">
        <f t="shared" si="33"/>
        <v>#REF!</v>
      </c>
      <c r="T29" s="52">
        <f>'T4a. THg loads daily calib'!C93</f>
        <v>0.19815966336360993</v>
      </c>
      <c r="U29" s="52">
        <f>'T7a. THg SE 2010-19'!C93</f>
        <v>3.9532554756231214E-2</v>
      </c>
      <c r="V29" s="51" t="e">
        <f>((U29^2)*((1/R29)^2))</f>
        <v>#REF!</v>
      </c>
      <c r="W29" s="51" t="e">
        <f>((S29*S29)*((-T29/(R29*R29))^2))</f>
        <v>#REF!</v>
      </c>
      <c r="X29" s="51" t="e">
        <f>SQRT(V29+W29)</f>
        <v>#REF!</v>
      </c>
      <c r="AE29" s="35" t="e">
        <f t="shared" si="34"/>
        <v>#REF!</v>
      </c>
      <c r="AF29" s="35" t="e">
        <f t="shared" si="34"/>
        <v>#REF!</v>
      </c>
      <c r="AG29" s="35">
        <f>'T4a. THg loads daily calib'!D93</f>
        <v>4.1363240313494642E-2</v>
      </c>
      <c r="AH29" s="35">
        <f>'T7a. THg SE 2010-19'!D93</f>
        <v>2.9018608340339739E-3</v>
      </c>
      <c r="AI29" t="e">
        <f>((AH29^2)*((1/AE29)^2))</f>
        <v>#REF!</v>
      </c>
      <c r="AJ29" t="e">
        <f>((AF29*AF29)*((-AG29/(AE29*AE29))^2))</f>
        <v>#REF!</v>
      </c>
      <c r="AK29" t="e">
        <f>SQRT(AI29+AJ29)</f>
        <v>#REF!</v>
      </c>
      <c r="AM29" s="37" t="e">
        <f t="shared" si="35"/>
        <v>#REF!</v>
      </c>
      <c r="AN29" s="52" t="e">
        <f t="shared" si="35"/>
        <v>#REF!</v>
      </c>
      <c r="AO29" s="52">
        <f>'T4a. THg loads daily calib'!E93</f>
        <v>0.23952290367710458</v>
      </c>
      <c r="AP29" s="52">
        <f>'T7a. THg SE 2010-19'!E93</f>
        <v>4.2434415590265187E-2</v>
      </c>
      <c r="AQ29" t="e">
        <f>((AP29^2)*((1/AM29)^2))</f>
        <v>#REF!</v>
      </c>
      <c r="AR29" t="e">
        <f>((AN29*AN29)*((-AO29/(AM29*AM29))^2))</f>
        <v>#REF!</v>
      </c>
      <c r="AS29" t="e">
        <f>SQRT(AQ29+AR29)</f>
        <v>#REF!</v>
      </c>
      <c r="AU29" s="37" t="e">
        <f t="shared" si="36"/>
        <v>#REF!</v>
      </c>
      <c r="AV29" s="52" t="e">
        <f t="shared" si="36"/>
        <v>#REF!</v>
      </c>
      <c r="AW29" s="37">
        <f>'T4a. THg loads daily calib'!F93</f>
        <v>0.23587245095232362</v>
      </c>
      <c r="AX29" s="37">
        <f>'T7a. THg SE 2010-19'!F93</f>
        <v>4.4668349243091321E-2</v>
      </c>
      <c r="AY29" t="e">
        <f>((AX29^2)*((1/AU29)^2))</f>
        <v>#REF!</v>
      </c>
      <c r="AZ29" t="e">
        <f>((AV29*AV29)*((-AW29/(AU29*AU29))^2))</f>
        <v>#REF!</v>
      </c>
      <c r="BA29" t="e">
        <f>SQRT(AY29+AZ29)</f>
        <v>#REF!</v>
      </c>
      <c r="BC29" s="37" t="e">
        <f t="shared" si="37"/>
        <v>#REF!</v>
      </c>
      <c r="BD29" t="e">
        <f t="shared" si="37"/>
        <v>#REF!</v>
      </c>
      <c r="BE29" s="37">
        <f>'T4a. THg loads daily calib'!K93</f>
        <v>0.61366400388278586</v>
      </c>
      <c r="BF29" s="37">
        <f>'T7a. THg SE 2010-19'!J93</f>
        <v>0.12254612075933179</v>
      </c>
      <c r="BG29" t="e">
        <f t="shared" si="38"/>
        <v>#REF!</v>
      </c>
      <c r="BH29" t="e">
        <f t="shared" si="39"/>
        <v>#REF!</v>
      </c>
      <c r="BI29" t="e">
        <f t="shared" si="40"/>
        <v>#REF!</v>
      </c>
      <c r="BK29" s="37" t="e">
        <f t="shared" si="41"/>
        <v>#REF!</v>
      </c>
      <c r="BL29" t="e">
        <f t="shared" si="41"/>
        <v>#REF!</v>
      </c>
      <c r="BM29" s="37">
        <f>'T4a. THg loads daily calib'!L93</f>
        <v>0.195896230850021</v>
      </c>
      <c r="BN29">
        <f>'T7a. THg SE 2010-19'!K93</f>
        <v>3.8724574159948844E-2</v>
      </c>
      <c r="BO29" t="e">
        <f t="shared" si="42"/>
        <v>#REF!</v>
      </c>
      <c r="BP29" t="e">
        <f t="shared" si="43"/>
        <v>#REF!</v>
      </c>
      <c r="BQ29" t="e">
        <f t="shared" si="44"/>
        <v>#REF!</v>
      </c>
      <c r="BT29" s="37"/>
      <c r="BU29" s="37"/>
      <c r="BV29" s="37"/>
      <c r="BW29" s="35"/>
    </row>
    <row r="30" spans="1:78">
      <c r="A30" s="2" t="s">
        <v>129</v>
      </c>
      <c r="B30" s="56">
        <f>X30</f>
        <v>0.17466931404489108</v>
      </c>
      <c r="C30" s="45">
        <f>AK30</f>
        <v>0.26896496933159469</v>
      </c>
      <c r="D30" s="58">
        <f>AS30</f>
        <v>0.15360766781787841</v>
      </c>
      <c r="E30" s="58">
        <f>BA30</f>
        <v>0.17000126861702616</v>
      </c>
      <c r="G30" s="10"/>
      <c r="I30" s="45">
        <f t="shared" si="31"/>
        <v>0.15168316211792102</v>
      </c>
      <c r="J30" s="56">
        <f t="shared" si="32"/>
        <v>0.16144747676549165</v>
      </c>
      <c r="K30" s="45" t="s">
        <v>32</v>
      </c>
      <c r="L30" s="56" t="s">
        <v>32</v>
      </c>
      <c r="M30" s="58">
        <f t="shared" si="23"/>
        <v>0.24002868216007614</v>
      </c>
      <c r="N30" s="56" t="s">
        <v>32</v>
      </c>
      <c r="R30" s="37">
        <f>R18</f>
        <v>634.08467537487604</v>
      </c>
      <c r="S30" s="37">
        <f>S18</f>
        <v>144.29566194276754</v>
      </c>
      <c r="T30" s="52">
        <f>'T4a. THg loads daily calib'!C95</f>
        <v>395.84456908751883</v>
      </c>
      <c r="U30" s="52">
        <f>'T7a. THg SE 2010-19'!C95</f>
        <v>64.437617046415738</v>
      </c>
      <c r="V30" s="51">
        <f>((U30^2)*((1/R30)^2))</f>
        <v>1.0327243770934061E-2</v>
      </c>
      <c r="W30" s="51">
        <f>((S30*S30)*((-T30/(R30*R30))^2))</f>
        <v>2.0182125497978719E-2</v>
      </c>
      <c r="X30" s="51">
        <f>SQRT(V30+W30)</f>
        <v>0.17466931404489108</v>
      </c>
      <c r="AE30" s="35">
        <f>AE18</f>
        <v>12.777440535160224</v>
      </c>
      <c r="AF30" s="35">
        <f>AF18</f>
        <v>2.0894654890386777</v>
      </c>
      <c r="AG30" s="35">
        <f>'T4a. THg loads daily calib'!D95</f>
        <v>19.300392032220486</v>
      </c>
      <c r="AH30" s="35">
        <f>'T7a. THg SE 2010-19'!D95</f>
        <v>1.3599710500697237</v>
      </c>
      <c r="AI30">
        <f>((AH30^2)*((1/AE30)^2))</f>
        <v>1.1328478641789879E-2</v>
      </c>
      <c r="AJ30">
        <f>((AF30*AF30)*((-AG30/(AE30*AE30))^2))</f>
        <v>6.1013676085755794E-2</v>
      </c>
      <c r="AK30">
        <f>SQRT(AI30+AJ30)</f>
        <v>0.26896496933159469</v>
      </c>
      <c r="AM30" s="37">
        <f>AM18</f>
        <v>646.86211591003621</v>
      </c>
      <c r="AN30" s="52">
        <f>AN18</f>
        <v>146.38512743180621</v>
      </c>
      <c r="AO30" s="52">
        <f>'T4a. THg loads daily calib'!E95</f>
        <v>415.14496111973938</v>
      </c>
      <c r="AP30" s="52">
        <f>'T7a. THg SE 2010-19'!E95</f>
        <v>32.355496129471163</v>
      </c>
      <c r="AQ30">
        <f>((AP30^2)*((1/AM30)^2))</f>
        <v>2.5019158189935171E-3</v>
      </c>
      <c r="AR30">
        <f>((AN30*AN30)*((-AO30/(AM30*AM30))^2))</f>
        <v>2.1093399793454162E-2</v>
      </c>
      <c r="AS30">
        <f>SQRT(AQ30+AR30)</f>
        <v>0.15360766781787841</v>
      </c>
      <c r="AU30" s="37">
        <f>AU18</f>
        <v>546.62452336694525</v>
      </c>
      <c r="AV30" s="52">
        <f>AV18</f>
        <v>100.85027819104396</v>
      </c>
      <c r="AW30" s="37">
        <f>'T4a. THg loads daily calib'!F95</f>
        <v>401.28137273581569</v>
      </c>
      <c r="AX30" s="37">
        <f>'T7a. THg SE 2010-19'!F95</f>
        <v>56.162468271332912</v>
      </c>
      <c r="AY30">
        <f>((AX30^2)*((1/AU30)^2))</f>
        <v>1.055635894907855E-2</v>
      </c>
      <c r="AZ30">
        <f>((AV30*AV30)*((-AW30/(AU30*AU30))^2))</f>
        <v>1.8344072382319738E-2</v>
      </c>
      <c r="BA30">
        <f>SQRT(AY30+AZ30)</f>
        <v>0.17000126861702616</v>
      </c>
      <c r="BC30" s="37">
        <f>BC18</f>
        <v>2503.3492564463045</v>
      </c>
      <c r="BD30">
        <f>BD18</f>
        <v>461.37996725490893</v>
      </c>
      <c r="BE30" s="37">
        <f>'T4a. THg loads daily calib'!K95</f>
        <v>1625.5915177849977</v>
      </c>
      <c r="BF30" s="37">
        <f>'T7a. THg SE 2010-19'!J95</f>
        <v>233.28346316644766</v>
      </c>
      <c r="BG30">
        <f t="shared" si="38"/>
        <v>8.684104050475875E-3</v>
      </c>
      <c r="BH30">
        <f t="shared" si="39"/>
        <v>1.4323677619615637E-2</v>
      </c>
      <c r="BI30">
        <f t="shared" si="40"/>
        <v>0.15168316211792102</v>
      </c>
      <c r="BK30" s="37">
        <f>BK18</f>
        <v>600.32455588690573</v>
      </c>
      <c r="BL30">
        <f>BL18</f>
        <v>110.61585039511854</v>
      </c>
      <c r="BM30" s="37">
        <f>'T4a. THg loads daily calib'!L95</f>
        <v>418.05070511180992</v>
      </c>
      <c r="BN30">
        <f>'T7a. THg SE 2010-19'!K95</f>
        <v>58.822005713239889</v>
      </c>
      <c r="BO30">
        <f t="shared" si="42"/>
        <v>9.60080041461445E-3</v>
      </c>
      <c r="BP30">
        <f t="shared" si="43"/>
        <v>1.6464487339329512E-2</v>
      </c>
      <c r="BQ30">
        <f t="shared" si="44"/>
        <v>0.16144747676549165</v>
      </c>
      <c r="BT30" s="37">
        <f>BT18</f>
        <v>613.10199642206589</v>
      </c>
      <c r="BU30" s="37">
        <f>BU18</f>
        <v>112.70531588415722</v>
      </c>
      <c r="BV30" s="37">
        <f>'T4a. THg loads daily calib'!T95</f>
        <v>437.3510971440304</v>
      </c>
      <c r="BW30" s="37">
        <f>'T7a. THg SE 2010-19'!C95+'T7a. THg SE 2010-19'!K95</f>
        <v>123.25962275965563</v>
      </c>
      <c r="BX30">
        <f t="shared" si="45"/>
        <v>4.0418129201118445E-2</v>
      </c>
      <c r="BY30">
        <f t="shared" si="46"/>
        <v>1.7195639058384414E-2</v>
      </c>
      <c r="BZ30">
        <f t="shared" si="47"/>
        <v>0.24002868216007614</v>
      </c>
    </row>
    <row r="31" spans="1:78">
      <c r="A31" s="2" t="s">
        <v>129</v>
      </c>
      <c r="G31" s="3" t="s">
        <v>26</v>
      </c>
      <c r="I31" s="45">
        <f t="shared" si="31"/>
        <v>0.15168316211792102</v>
      </c>
      <c r="J31" s="56">
        <f t="shared" si="32"/>
        <v>0.14890908275015066</v>
      </c>
      <c r="K31" s="45" t="s">
        <v>32</v>
      </c>
      <c r="L31" s="56" t="s">
        <v>32</v>
      </c>
      <c r="M31" s="58">
        <f t="shared" si="23"/>
        <v>0.14795817099088335</v>
      </c>
      <c r="N31" s="56" t="s">
        <v>32</v>
      </c>
      <c r="R31" s="37"/>
      <c r="S31" s="37"/>
      <c r="AE31" s="35"/>
      <c r="AF31" s="35"/>
      <c r="AM31" s="37"/>
      <c r="AN31" s="52"/>
      <c r="AU31" s="37"/>
      <c r="AV31" s="52"/>
      <c r="BC31" s="37">
        <f>BC19</f>
        <v>2503.3492564463045</v>
      </c>
      <c r="BD31">
        <f>BD19</f>
        <v>461.37996725490893</v>
      </c>
      <c r="BE31" s="37">
        <f>'T4a. THg loads daily calib'!K96</f>
        <v>1625.5915177849977</v>
      </c>
      <c r="BF31" s="37">
        <f>'T7a. THg SE 2010-19'!J96</f>
        <v>233.28346316644766</v>
      </c>
      <c r="BG31">
        <f t="shared" si="38"/>
        <v>8.684104050475875E-3</v>
      </c>
      <c r="BH31">
        <f t="shared" si="39"/>
        <v>1.4323677619615637E-2</v>
      </c>
      <c r="BI31">
        <f t="shared" si="40"/>
        <v>0.15168316211792102</v>
      </c>
      <c r="BK31" s="37">
        <f>BK19</f>
        <v>610.81721857289835</v>
      </c>
      <c r="BL31">
        <f>BL19</f>
        <v>101.04221282882506</v>
      </c>
      <c r="BM31" s="37">
        <f>'T4a. THg loads daily calib'!L96</f>
        <v>424.2793861418844</v>
      </c>
      <c r="BN31">
        <f>'T7a. THg SE 2010-19'!K96</f>
        <v>57.85429886527902</v>
      </c>
      <c r="BO31">
        <f t="shared" si="42"/>
        <v>8.9711625826469354E-3</v>
      </c>
      <c r="BP31">
        <f t="shared" si="43"/>
        <v>1.3202752342844279E-2</v>
      </c>
      <c r="BQ31">
        <f t="shared" si="44"/>
        <v>0.14890908275015066</v>
      </c>
      <c r="BT31" s="37">
        <f>BT19</f>
        <v>623.59465910805852</v>
      </c>
      <c r="BU31" s="37">
        <f>BU19</f>
        <v>101.04221282882506</v>
      </c>
      <c r="BV31" s="37">
        <f>'T4a. THg loads daily calib'!T96</f>
        <v>443.57977817410489</v>
      </c>
      <c r="BW31" s="37">
        <f>'T7a. THg SE 2010-19'!C96+'T7a. THg SE 2010-19'!K96</f>
        <v>57.85429886527902</v>
      </c>
      <c r="BX31">
        <f t="shared" si="45"/>
        <v>8.6072911892105287E-3</v>
      </c>
      <c r="BY31">
        <f t="shared" si="46"/>
        <v>1.3284329173756949E-2</v>
      </c>
      <c r="BZ31">
        <f t="shared" si="47"/>
        <v>0.14795817099088335</v>
      </c>
    </row>
    <row r="32" spans="1:78">
      <c r="G32" s="69" t="s">
        <v>130</v>
      </c>
      <c r="L32" s="127" t="s">
        <v>120</v>
      </c>
    </row>
  </sheetData>
  <mergeCells count="2">
    <mergeCell ref="A2:N2"/>
    <mergeCell ref="A1:N1"/>
  </mergeCells>
  <hyperlinks>
    <hyperlink ref="V2" r:id="rId1" xr:uid="{00000000-0004-0000-0400-000000000000}"/>
  </hyperlinks>
  <pageMargins left="0.7" right="0.7" top="0.75" bottom="0.75" header="0.3" footer="0.3"/>
  <pageSetup scale="97" orientation="landscape" r:id="rId2"/>
  <headerFooter>
    <oddHeader>&amp;LDraft
&amp;RU.S. GEOLOGICAL SURVEY</oddHeader>
    <oddFooter>&amp;LPRELIMINARY - SUBJECT TO REVISION&amp;ROctober 21, 2019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  <pageSetUpPr fitToPage="1"/>
  </sheetPr>
  <dimension ref="A1:Z108"/>
  <sheetViews>
    <sheetView zoomScaleNormal="100" workbookViewId="0">
      <pane xSplit="1" ySplit="6" topLeftCell="B67" activePane="bottomRight" state="frozen"/>
      <selection pane="topRight" activeCell="B1" sqref="B1"/>
      <selection pane="bottomLeft" activeCell="A7" sqref="A7"/>
      <selection pane="bottomRight" activeCell="D20" sqref="D20"/>
    </sheetView>
  </sheetViews>
  <sheetFormatPr baseColWidth="10" defaultColWidth="8.83203125" defaultRowHeight="15"/>
  <cols>
    <col min="1" max="1" width="18.5" customWidth="1"/>
    <col min="2" max="2" width="12" customWidth="1"/>
    <col min="5" max="5" width="10" bestFit="1" customWidth="1"/>
    <col min="6" max="6" width="10.5" customWidth="1"/>
    <col min="7" max="7" width="2.1640625" customWidth="1"/>
    <col min="8" max="8" width="11" customWidth="1"/>
    <col min="9" max="9" width="11.5" bestFit="1" customWidth="1"/>
    <col min="10" max="10" width="4.5" customWidth="1"/>
    <col min="12" max="12" width="9.5" bestFit="1" customWidth="1"/>
    <col min="13" max="13" width="6.33203125" bestFit="1" customWidth="1"/>
    <col min="14" max="14" width="10.1640625" bestFit="1" customWidth="1"/>
    <col min="15" max="15" width="2.1640625" customWidth="1"/>
    <col min="16" max="16" width="17" bestFit="1" customWidth="1"/>
    <col min="17" max="17" width="17.5" bestFit="1" customWidth="1"/>
    <col min="18" max="18" width="5" customWidth="1"/>
    <col min="19" max="19" width="8.5" customWidth="1"/>
    <col min="20" max="20" width="13.1640625" customWidth="1"/>
    <col min="21" max="21" width="10.5" customWidth="1"/>
    <col min="22" max="22" width="11.5" customWidth="1"/>
    <col min="23" max="23" width="13.83203125" customWidth="1"/>
  </cols>
  <sheetData>
    <row r="1" spans="1:26" ht="16">
      <c r="A1" s="627" t="s">
        <v>274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  <c r="R1" s="627"/>
      <c r="S1" s="627"/>
      <c r="T1" s="627"/>
      <c r="U1" s="627"/>
      <c r="V1" s="627"/>
    </row>
    <row r="2" spans="1:26" ht="56.5" customHeight="1">
      <c r="A2" s="619" t="s">
        <v>141</v>
      </c>
      <c r="B2" s="619"/>
      <c r="C2" s="619"/>
      <c r="D2" s="619"/>
      <c r="E2" s="619"/>
      <c r="F2" s="619"/>
      <c r="G2" s="619"/>
      <c r="H2" s="619"/>
      <c r="I2" s="619"/>
      <c r="J2" s="619"/>
      <c r="K2" s="619"/>
      <c r="L2" s="619"/>
      <c r="M2" s="619"/>
      <c r="N2" s="619"/>
      <c r="O2" s="619"/>
      <c r="P2" s="619"/>
      <c r="Q2" s="619"/>
      <c r="R2" s="619"/>
      <c r="S2" s="619"/>
      <c r="T2" s="619"/>
      <c r="U2" s="619"/>
      <c r="V2" s="619"/>
    </row>
    <row r="4" spans="1:26">
      <c r="B4" s="42" t="s">
        <v>27</v>
      </c>
      <c r="C4" s="40" t="s">
        <v>62</v>
      </c>
      <c r="D4" s="40" t="s">
        <v>63</v>
      </c>
      <c r="E4" s="41" t="s">
        <v>64</v>
      </c>
      <c r="F4" s="41" t="s">
        <v>65</v>
      </c>
      <c r="G4" s="43"/>
      <c r="H4" s="40" t="s">
        <v>62</v>
      </c>
      <c r="I4" s="40" t="s">
        <v>56</v>
      </c>
      <c r="J4" s="44"/>
      <c r="K4" s="40" t="s">
        <v>16</v>
      </c>
      <c r="L4" s="40" t="s">
        <v>66</v>
      </c>
      <c r="M4" s="40" t="s">
        <v>17</v>
      </c>
      <c r="N4" s="40" t="s">
        <v>67</v>
      </c>
      <c r="P4" s="40" t="s">
        <v>73</v>
      </c>
      <c r="Q4" s="40" t="s">
        <v>74</v>
      </c>
      <c r="S4" s="617" t="s">
        <v>70</v>
      </c>
      <c r="T4" s="617"/>
      <c r="U4" s="630" t="s">
        <v>70</v>
      </c>
      <c r="V4" s="629"/>
      <c r="W4" s="40" t="s">
        <v>62</v>
      </c>
      <c r="X4" s="40" t="s">
        <v>63</v>
      </c>
      <c r="Y4" s="141" t="s">
        <v>64</v>
      </c>
      <c r="Z4" s="141" t="s">
        <v>65</v>
      </c>
    </row>
    <row r="5" spans="1:26">
      <c r="B5" s="41" t="s">
        <v>30</v>
      </c>
      <c r="C5" s="41" t="s">
        <v>31</v>
      </c>
      <c r="D5" s="41" t="s">
        <v>31</v>
      </c>
      <c r="E5" s="41" t="s">
        <v>31</v>
      </c>
      <c r="F5" s="41" t="s">
        <v>31</v>
      </c>
      <c r="G5" s="43"/>
      <c r="H5" s="40" t="s">
        <v>29</v>
      </c>
      <c r="I5" s="40" t="s">
        <v>29</v>
      </c>
      <c r="J5" s="44"/>
      <c r="K5" s="41" t="s">
        <v>31</v>
      </c>
      <c r="L5" s="41" t="s">
        <v>31</v>
      </c>
      <c r="M5" s="41" t="s">
        <v>31</v>
      </c>
      <c r="N5" s="41" t="s">
        <v>31</v>
      </c>
      <c r="P5" s="41" t="s">
        <v>31</v>
      </c>
      <c r="Q5" s="41" t="s">
        <v>31</v>
      </c>
      <c r="S5" s="628" t="s">
        <v>329</v>
      </c>
      <c r="T5" s="629"/>
      <c r="U5" s="630" t="s">
        <v>75</v>
      </c>
      <c r="V5" s="629"/>
    </row>
    <row r="6" spans="1:26" ht="58.5" customHeight="1">
      <c r="A6" s="17"/>
      <c r="B6" s="19" t="s">
        <v>28</v>
      </c>
      <c r="C6" s="18" t="s">
        <v>8</v>
      </c>
      <c r="D6" s="18" t="s">
        <v>8</v>
      </c>
      <c r="E6" s="19" t="s">
        <v>8</v>
      </c>
      <c r="F6" s="19" t="s">
        <v>8</v>
      </c>
      <c r="G6" s="20"/>
      <c r="H6" s="21" t="s">
        <v>136</v>
      </c>
      <c r="I6" s="21" t="s">
        <v>254</v>
      </c>
      <c r="J6" s="22"/>
      <c r="K6" s="18" t="s">
        <v>13</v>
      </c>
      <c r="L6" s="18" t="s">
        <v>8</v>
      </c>
      <c r="M6" s="18" t="s">
        <v>13</v>
      </c>
      <c r="N6" s="18" t="s">
        <v>8</v>
      </c>
      <c r="P6" s="18" t="s">
        <v>8</v>
      </c>
      <c r="Q6" s="18" t="s">
        <v>8</v>
      </c>
      <c r="S6" s="153" t="s">
        <v>289</v>
      </c>
      <c r="T6" s="18" t="s">
        <v>72</v>
      </c>
      <c r="U6" s="153" t="s">
        <v>289</v>
      </c>
      <c r="V6" s="455" t="s">
        <v>72</v>
      </c>
      <c r="W6" s="518" t="s">
        <v>126</v>
      </c>
      <c r="X6" s="518" t="s">
        <v>126</v>
      </c>
      <c r="Y6" s="518" t="s">
        <v>126</v>
      </c>
      <c r="Z6" s="518" t="s">
        <v>126</v>
      </c>
    </row>
    <row r="7" spans="1:26" ht="16">
      <c r="A7" s="1" t="s">
        <v>257</v>
      </c>
      <c r="C7" s="6"/>
      <c r="D7" s="6"/>
      <c r="H7" s="10"/>
      <c r="S7" s="192"/>
      <c r="T7" s="192"/>
    </row>
    <row r="8" spans="1:26">
      <c r="A8" s="62" t="s">
        <v>88</v>
      </c>
      <c r="B8" s="72">
        <v>328</v>
      </c>
      <c r="C8" s="453">
        <v>0.17</v>
      </c>
      <c r="D8" s="5"/>
      <c r="E8" s="2"/>
      <c r="F8" s="453">
        <v>0.17</v>
      </c>
      <c r="H8" s="301"/>
      <c r="I8" s="2"/>
      <c r="K8" s="453">
        <v>357</v>
      </c>
      <c r="L8" s="2"/>
      <c r="M8" s="2"/>
      <c r="N8" s="2"/>
      <c r="P8" s="2"/>
      <c r="Q8" s="2"/>
      <c r="S8" s="192"/>
      <c r="T8" s="192"/>
    </row>
    <row r="9" spans="1:26">
      <c r="A9" s="62" t="s">
        <v>95</v>
      </c>
      <c r="B9" s="72">
        <v>390.47352960000006</v>
      </c>
      <c r="C9" s="5"/>
      <c r="D9" s="5"/>
      <c r="E9" s="2"/>
      <c r="F9" s="2"/>
      <c r="H9" s="301"/>
      <c r="I9" s="2"/>
      <c r="K9" s="2"/>
      <c r="L9" s="2"/>
      <c r="M9" s="2"/>
      <c r="N9" s="2"/>
      <c r="P9" s="2"/>
      <c r="Q9" s="2"/>
      <c r="S9" s="192"/>
      <c r="T9" s="192"/>
    </row>
    <row r="10" spans="1:26">
      <c r="A10" s="62" t="s">
        <v>125</v>
      </c>
      <c r="B10" s="72">
        <v>1254.6041728</v>
      </c>
      <c r="C10" s="5"/>
      <c r="D10" s="5"/>
      <c r="E10" s="2"/>
      <c r="F10" s="2"/>
      <c r="H10" s="301"/>
      <c r="I10" s="2"/>
      <c r="K10" s="2"/>
      <c r="L10" s="2"/>
      <c r="M10" s="2"/>
      <c r="N10" s="2"/>
      <c r="P10" s="2"/>
      <c r="Q10" s="2"/>
      <c r="S10" s="192"/>
      <c r="T10" s="192"/>
    </row>
    <row r="11" spans="1:26">
      <c r="A11" s="62" t="s">
        <v>128</v>
      </c>
      <c r="B11" s="72">
        <v>250.5293824</v>
      </c>
      <c r="C11" s="5"/>
      <c r="D11" s="5"/>
      <c r="E11" s="2"/>
      <c r="F11" s="2"/>
      <c r="H11" s="301"/>
      <c r="I11" s="2"/>
      <c r="K11" s="2"/>
      <c r="L11" s="2"/>
      <c r="M11" s="2"/>
      <c r="N11" s="2"/>
      <c r="P11" s="2"/>
      <c r="Q11" s="2"/>
      <c r="S11" s="192"/>
      <c r="T11" s="192"/>
    </row>
    <row r="12" spans="1:26">
      <c r="A12" s="62" t="s">
        <v>247</v>
      </c>
      <c r="B12" s="72">
        <v>877.58681120000017</v>
      </c>
      <c r="C12" s="5"/>
      <c r="D12" s="5"/>
      <c r="E12" s="2"/>
      <c r="F12" s="2"/>
      <c r="H12" s="301"/>
      <c r="I12" s="2"/>
      <c r="K12" s="2"/>
      <c r="L12" s="2"/>
      <c r="M12" s="2"/>
      <c r="N12" s="2"/>
      <c r="P12" s="2"/>
      <c r="Q12" s="2"/>
      <c r="S12" s="192"/>
      <c r="T12" s="192"/>
    </row>
    <row r="13" spans="1:26">
      <c r="A13" s="2" t="s">
        <v>258</v>
      </c>
      <c r="B13" s="146">
        <f>SUM(B8:B12)</f>
        <v>3101.1938960000002</v>
      </c>
      <c r="C13" s="5"/>
      <c r="D13" s="5"/>
      <c r="E13" s="2"/>
      <c r="F13" s="2"/>
      <c r="H13" s="301"/>
      <c r="I13" s="2"/>
      <c r="J13" s="10" t="s">
        <v>26</v>
      </c>
      <c r="K13" s="2"/>
      <c r="L13" s="2"/>
      <c r="M13" s="2"/>
      <c r="N13" s="2"/>
      <c r="P13" s="2"/>
      <c r="Q13" s="2"/>
      <c r="S13" s="192"/>
      <c r="T13" s="192"/>
    </row>
    <row r="14" spans="1:26">
      <c r="A14" s="2" t="s">
        <v>258</v>
      </c>
      <c r="B14" s="2"/>
      <c r="C14" s="5"/>
      <c r="D14" s="5"/>
      <c r="E14" s="2"/>
      <c r="F14" s="2"/>
      <c r="H14" s="301"/>
      <c r="I14" s="2"/>
      <c r="J14" s="87" t="s">
        <v>265</v>
      </c>
      <c r="K14" s="2"/>
      <c r="L14" s="2"/>
      <c r="M14" s="2"/>
      <c r="N14" s="2"/>
      <c r="P14" s="2"/>
      <c r="Q14" s="2"/>
      <c r="S14" s="192"/>
      <c r="T14" s="192"/>
    </row>
    <row r="15" spans="1:26" ht="16">
      <c r="A15" s="1" t="s">
        <v>255</v>
      </c>
      <c r="C15" s="6"/>
      <c r="D15" s="6"/>
      <c r="H15" s="10"/>
      <c r="S15" s="192"/>
      <c r="T15" s="192"/>
    </row>
    <row r="16" spans="1:26">
      <c r="A16" s="62" t="s">
        <v>125</v>
      </c>
      <c r="B16" s="72">
        <v>1055.6975440000001</v>
      </c>
      <c r="C16" s="307">
        <v>2.1172332277110848</v>
      </c>
      <c r="D16" s="314">
        <v>4.7897744065190477E-2</v>
      </c>
      <c r="E16" s="310">
        <f>C16+D16</f>
        <v>2.1651309717762754</v>
      </c>
      <c r="F16" s="310">
        <v>1.9681950909719756</v>
      </c>
      <c r="H16" s="105">
        <v>1.0592276945949488</v>
      </c>
      <c r="I16" s="156">
        <f>1000*C16/K16</f>
        <v>1.2037012104480469</v>
      </c>
      <c r="K16" s="299">
        <v>1758.9358632637739</v>
      </c>
      <c r="L16" s="307">
        <f>K16*H16/1000</f>
        <v>1.8631135793852633</v>
      </c>
      <c r="M16" s="299">
        <v>1064.1900528000001</v>
      </c>
      <c r="N16" s="307">
        <f>M16*H16/1000</f>
        <v>1.1272195762382209</v>
      </c>
      <c r="P16" s="310">
        <f t="shared" ref="P16:P18" si="0">D16+L16</f>
        <v>1.9110113234504538</v>
      </c>
      <c r="Q16" s="310">
        <f t="shared" ref="Q16:Q18" si="1">D16+N16</f>
        <v>1.1751173203034113</v>
      </c>
      <c r="S16" s="192"/>
      <c r="T16" s="192"/>
    </row>
    <row r="17" spans="1:26">
      <c r="A17" s="62" t="s">
        <v>128</v>
      </c>
      <c r="B17" s="72">
        <v>17.287506015999998</v>
      </c>
      <c r="C17" s="312">
        <v>9.6442966773481343E-3</v>
      </c>
      <c r="D17" s="315">
        <v>4.1309035971094409E-3</v>
      </c>
      <c r="E17" s="311">
        <f t="shared" ref="E17:E18" si="2">C17+D17</f>
        <v>1.3775200274457576E-2</v>
      </c>
      <c r="F17" s="317">
        <v>1.0422673834854542E-2</v>
      </c>
      <c r="H17" s="105">
        <v>3.8529556752279079</v>
      </c>
      <c r="I17" s="156">
        <f t="shared" ref="I17:I18" si="3">1000*C17/K17</f>
        <v>1.2337908863646871</v>
      </c>
      <c r="K17" s="15">
        <v>7.8168000622574283</v>
      </c>
      <c r="L17" s="312">
        <f t="shared" ref="L17:L18" si="4">K17*H17/1000</f>
        <v>3.0117784161996623E-2</v>
      </c>
      <c r="M17" s="36">
        <v>2.8213919999999999</v>
      </c>
      <c r="N17" s="312">
        <f t="shared" ref="N17:N18" si="5">M17*H17/1000</f>
        <v>1.0870698318442618E-2</v>
      </c>
      <c r="P17" s="317">
        <f t="shared" si="0"/>
        <v>3.4248687759106063E-2</v>
      </c>
      <c r="Q17" s="317">
        <f t="shared" si="1"/>
        <v>1.5001601915552058E-2</v>
      </c>
      <c r="S17" s="192"/>
      <c r="T17" s="192"/>
    </row>
    <row r="18" spans="1:26">
      <c r="A18" s="62" t="s">
        <v>247</v>
      </c>
      <c r="B18" s="340">
        <v>828.16597600000011</v>
      </c>
      <c r="C18" s="307">
        <v>1.6435932989099735</v>
      </c>
      <c r="D18" s="314">
        <v>4.1767465971990582E-2</v>
      </c>
      <c r="E18" s="310">
        <f t="shared" si="2"/>
        <v>1.6853607648819642</v>
      </c>
      <c r="F18" s="310">
        <v>1.5430917064891181</v>
      </c>
      <c r="H18" s="105">
        <v>1.2131889267295133</v>
      </c>
      <c r="I18" s="156">
        <f t="shared" si="3"/>
        <v>1.1892809467210974</v>
      </c>
      <c r="K18" s="299">
        <v>1382.0059115900547</v>
      </c>
      <c r="L18" s="307">
        <f t="shared" si="4"/>
        <v>1.6766342686157811</v>
      </c>
      <c r="M18" s="299">
        <v>733.9248</v>
      </c>
      <c r="N18" s="308">
        <f t="shared" si="5"/>
        <v>0.89038944041217272</v>
      </c>
      <c r="P18" s="310">
        <f t="shared" si="0"/>
        <v>1.7184017345877718</v>
      </c>
      <c r="Q18" s="310">
        <f t="shared" si="1"/>
        <v>0.93215690638416326</v>
      </c>
      <c r="S18" s="192"/>
      <c r="T18" s="192"/>
    </row>
    <row r="19" spans="1:26">
      <c r="A19" s="2" t="s">
        <v>256</v>
      </c>
      <c r="B19" s="146">
        <f>SUM(B16:B18)</f>
        <v>1901.1510260160003</v>
      </c>
      <c r="C19" s="416">
        <f>SUM(C16:C18)</f>
        <v>3.7704708232984068</v>
      </c>
      <c r="D19" s="494">
        <f t="shared" ref="D19:F19" si="6">SUM(D16:D18)</f>
        <v>9.3796113634290496E-2</v>
      </c>
      <c r="E19" s="416">
        <f t="shared" si="6"/>
        <v>3.8642669369326974</v>
      </c>
      <c r="F19" s="433">
        <f t="shared" si="6"/>
        <v>3.5217094712959485</v>
      </c>
      <c r="I19" s="157">
        <f>1000*C19/K19</f>
        <v>1.1974467821493393</v>
      </c>
      <c r="J19" s="10" t="s">
        <v>26</v>
      </c>
      <c r="K19" s="415">
        <f t="shared" ref="K19:N19" si="7">SUM(K16:K18)</f>
        <v>3148.7585749160862</v>
      </c>
      <c r="L19" s="416">
        <f>SUM(L16:L18)</f>
        <v>3.5698656321630411</v>
      </c>
      <c r="M19" s="415">
        <f>SUM(M16:M18)</f>
        <v>1800.9362448000002</v>
      </c>
      <c r="N19" s="416">
        <f t="shared" si="7"/>
        <v>2.0284797149688361</v>
      </c>
      <c r="P19" s="416">
        <f>SUM(P16:P18)</f>
        <v>3.6636617457973317</v>
      </c>
      <c r="Q19" s="416">
        <f>SUM(Q16:Q18)</f>
        <v>2.1222758286031267</v>
      </c>
      <c r="S19" s="192"/>
      <c r="T19" s="192"/>
    </row>
    <row r="20" spans="1:26">
      <c r="A20" s="2" t="s">
        <v>256</v>
      </c>
      <c r="B20" s="2"/>
      <c r="C20" s="5"/>
      <c r="D20" s="53">
        <f>D19/F19</f>
        <v>2.6633688667047996E-2</v>
      </c>
      <c r="E20" s="2"/>
      <c r="F20" s="2"/>
      <c r="H20" s="151">
        <v>1.1499999999999999</v>
      </c>
      <c r="I20" s="503">
        <f>1000*C19/M19</f>
        <v>2.0936170473470201</v>
      </c>
      <c r="J20" s="87" t="s">
        <v>242</v>
      </c>
      <c r="K20" s="415">
        <f>SUM(K16:K18)</f>
        <v>3148.7585749160862</v>
      </c>
      <c r="L20" s="416">
        <f>H20*K20/1000</f>
        <v>3.621072361153499</v>
      </c>
      <c r="M20" s="415">
        <f>SUM(M16:M18)</f>
        <v>1800.9362448000002</v>
      </c>
      <c r="N20" s="416">
        <f>H20*M20/1000</f>
        <v>2.0710766815200001</v>
      </c>
      <c r="P20" s="416">
        <f>D19+L20</f>
        <v>3.7148684747877896</v>
      </c>
      <c r="Q20" s="416">
        <f>D19+N20</f>
        <v>2.1648727951542908</v>
      </c>
      <c r="S20" s="192"/>
      <c r="T20" s="192"/>
    </row>
    <row r="21" spans="1:26" ht="16">
      <c r="A21" s="1" t="s">
        <v>159</v>
      </c>
      <c r="C21" s="6"/>
      <c r="D21" s="6"/>
      <c r="H21" s="479">
        <f>1000*(F19-D19)/K19</f>
        <v>1.0886555053694489</v>
      </c>
      <c r="I21" s="504">
        <f>1000*(F19-D19)/M19</f>
        <v>1.9034062796833426</v>
      </c>
      <c r="S21" s="192"/>
      <c r="T21" s="192"/>
    </row>
    <row r="22" spans="1:26">
      <c r="A22" s="2" t="s">
        <v>1</v>
      </c>
      <c r="B22" s="72">
        <v>204.980803196007</v>
      </c>
      <c r="C22" s="308">
        <v>0.19671196304996197</v>
      </c>
      <c r="D22" s="314">
        <v>2.1832013545905447E-2</v>
      </c>
      <c r="E22" s="311">
        <f>C22+D22</f>
        <v>0.21854397659586741</v>
      </c>
      <c r="F22" s="311">
        <v>0.21740883296666297</v>
      </c>
      <c r="G22" s="26"/>
      <c r="H22" s="105">
        <v>3.672585830602368</v>
      </c>
      <c r="I22" s="156">
        <f>1000*C22/K22</f>
        <v>1.1975300656962053</v>
      </c>
      <c r="J22" s="10"/>
      <c r="K22" s="16">
        <v>164.26473846867469</v>
      </c>
      <c r="L22" s="308">
        <f>K22*H22/1000</f>
        <v>0.6032763509676583</v>
      </c>
      <c r="M22" s="143">
        <v>180.9888007335</v>
      </c>
      <c r="N22" s="308">
        <f>M22*H22/1000</f>
        <v>0.66469690507156753</v>
      </c>
      <c r="P22" s="311">
        <f t="shared" ref="P22:P29" si="8">D22+L22</f>
        <v>0.62510836451356377</v>
      </c>
      <c r="Q22" s="311">
        <f t="shared" ref="Q22:Q29" si="9">D22+N22</f>
        <v>0.68652891861747301</v>
      </c>
      <c r="R22" s="51"/>
      <c r="S22" s="51"/>
      <c r="T22" s="51"/>
      <c r="U22" s="51"/>
      <c r="V22" s="51"/>
      <c r="W22" s="9">
        <f t="shared" ref="W22:Z27" si="10">1000*C22/$B22</f>
        <v>0.95966041689212145</v>
      </c>
      <c r="X22" s="71">
        <f t="shared" si="10"/>
        <v>0.1065076007387346</v>
      </c>
      <c r="Y22" s="71">
        <f t="shared" si="10"/>
        <v>1.0661680176308559</v>
      </c>
      <c r="Z22" s="71">
        <f t="shared" si="10"/>
        <v>1.0606302130584004</v>
      </c>
    </row>
    <row r="23" spans="1:26">
      <c r="A23" s="2" t="s">
        <v>2</v>
      </c>
      <c r="B23" s="72">
        <v>485</v>
      </c>
      <c r="C23" s="308">
        <v>0.71830172551149296</v>
      </c>
      <c r="D23" s="314">
        <v>4.0659015901341362E-2</v>
      </c>
      <c r="E23" s="311">
        <f t="shared" ref="E23:E29" si="11">C23+D23</f>
        <v>0.75896074141283432</v>
      </c>
      <c r="F23" s="311">
        <v>0.7987738911958473</v>
      </c>
      <c r="G23" s="26"/>
      <c r="H23" s="105">
        <v>2.6452590687557636</v>
      </c>
      <c r="I23" s="156">
        <f t="shared" ref="I23:I29" si="12">1000*C23/K23</f>
        <v>0.96803289235203971</v>
      </c>
      <c r="J23" s="10"/>
      <c r="K23" s="299">
        <v>742.02202341103066</v>
      </c>
      <c r="L23" s="307">
        <f t="shared" ref="L23:L31" si="13">K23*H23/1000</f>
        <v>1.9628404866445304</v>
      </c>
      <c r="M23" s="299">
        <v>377</v>
      </c>
      <c r="N23" s="307">
        <f t="shared" ref="N23:N29" si="14">M23*H23/1000</f>
        <v>0.99726266892092286</v>
      </c>
      <c r="P23" s="310">
        <f t="shared" si="8"/>
        <v>2.0034995025458717</v>
      </c>
      <c r="Q23" s="310">
        <f t="shared" si="9"/>
        <v>1.0379216848222643</v>
      </c>
      <c r="U23" s="51"/>
      <c r="V23" s="51"/>
      <c r="W23" s="9">
        <f t="shared" si="10"/>
        <v>1.4810344855907069</v>
      </c>
      <c r="X23" s="71">
        <f t="shared" si="10"/>
        <v>8.3833022476992494E-2</v>
      </c>
      <c r="Y23" s="71">
        <f t="shared" si="10"/>
        <v>1.5648675080676995</v>
      </c>
      <c r="Z23" s="71">
        <f t="shared" si="10"/>
        <v>1.6469564766924687</v>
      </c>
    </row>
    <row r="24" spans="1:26">
      <c r="A24" s="2" t="s">
        <v>3</v>
      </c>
      <c r="B24" s="72">
        <v>36.921198227783513</v>
      </c>
      <c r="C24" s="312">
        <v>1.1956451156477399E-2</v>
      </c>
      <c r="D24" s="315">
        <v>3.8530005774709626E-3</v>
      </c>
      <c r="E24" s="317">
        <f t="shared" si="11"/>
        <v>1.5809451733948363E-2</v>
      </c>
      <c r="F24" s="317">
        <v>1.4988337242504436E-2</v>
      </c>
      <c r="G24" s="26"/>
      <c r="H24" s="105">
        <v>5.0486068989917996</v>
      </c>
      <c r="I24" s="156">
        <f t="shared" si="12"/>
        <v>2.3422587114145959</v>
      </c>
      <c r="J24" s="10"/>
      <c r="K24" s="15">
        <v>5.1046671737027536</v>
      </c>
      <c r="L24" s="312">
        <f t="shared" si="13"/>
        <v>2.5771457910212691E-2</v>
      </c>
      <c r="M24" s="36">
        <v>4.6901451574999999</v>
      </c>
      <c r="N24" s="312">
        <f t="shared" si="14"/>
        <v>2.3678699199427479E-2</v>
      </c>
      <c r="P24" s="317">
        <f t="shared" si="8"/>
        <v>2.9624458487683653E-2</v>
      </c>
      <c r="Q24" s="317">
        <f t="shared" si="9"/>
        <v>2.7531699776898441E-2</v>
      </c>
      <c r="R24" s="51"/>
      <c r="S24" s="51"/>
      <c r="T24" s="51"/>
      <c r="U24" s="51"/>
      <c r="V24" s="51"/>
      <c r="W24" s="9">
        <f t="shared" si="10"/>
        <v>0.32383702941363557</v>
      </c>
      <c r="X24" s="71">
        <f t="shared" si="10"/>
        <v>0.10435740881701795</v>
      </c>
      <c r="Y24" s="71">
        <f t="shared" si="10"/>
        <v>0.42819443823065356</v>
      </c>
      <c r="Z24" s="71">
        <f t="shared" si="10"/>
        <v>0.40595478917110511</v>
      </c>
    </row>
    <row r="25" spans="1:26">
      <c r="A25" s="2" t="s">
        <v>4</v>
      </c>
      <c r="B25" s="72">
        <v>117.21609517589853</v>
      </c>
      <c r="C25" s="308">
        <v>0.11067140985297311</v>
      </c>
      <c r="D25" s="314">
        <v>9.819969958490422E-3</v>
      </c>
      <c r="E25" s="311">
        <f t="shared" si="11"/>
        <v>0.12049137981146353</v>
      </c>
      <c r="F25" s="311">
        <v>0.1223466955750377</v>
      </c>
      <c r="G25" s="26"/>
      <c r="H25" s="105">
        <v>4.0493251534086854</v>
      </c>
      <c r="I25" s="156">
        <f t="shared" si="12"/>
        <v>1.2262102059534805</v>
      </c>
      <c r="J25" s="10"/>
      <c r="K25" s="16">
        <v>90.254843187279519</v>
      </c>
      <c r="L25" s="308">
        <f t="shared" si="13"/>
        <v>0.3654712067352075</v>
      </c>
      <c r="M25" s="143">
        <v>81.510549787499997</v>
      </c>
      <c r="N25" s="308">
        <f t="shared" si="14"/>
        <v>0.33006271952269467</v>
      </c>
      <c r="P25" s="311">
        <f t="shared" si="8"/>
        <v>0.37529117669369794</v>
      </c>
      <c r="Q25" s="311">
        <f t="shared" si="9"/>
        <v>0.33988268948118511</v>
      </c>
      <c r="R25" s="51"/>
      <c r="S25" s="51"/>
      <c r="T25" s="51"/>
      <c r="U25" s="51"/>
      <c r="V25" s="51"/>
      <c r="W25" s="9">
        <f t="shared" si="10"/>
        <v>0.94416564284022397</v>
      </c>
      <c r="X25" s="71">
        <f t="shared" si="10"/>
        <v>8.3776634460943564E-2</v>
      </c>
      <c r="Y25" s="71">
        <f t="shared" si="10"/>
        <v>1.0279422773011675</v>
      </c>
      <c r="Z25" s="71">
        <f t="shared" si="10"/>
        <v>1.0437704428853394</v>
      </c>
    </row>
    <row r="26" spans="1:26">
      <c r="A26" s="2" t="s">
        <v>5</v>
      </c>
      <c r="B26" s="72">
        <v>3</v>
      </c>
      <c r="C26" s="313">
        <v>6.076328991049592E-4</v>
      </c>
      <c r="D26" s="315">
        <v>2.967997982299583E-4</v>
      </c>
      <c r="E26" s="316">
        <f t="shared" si="11"/>
        <v>9.044326973349175E-4</v>
      </c>
      <c r="F26" s="316">
        <v>9.1551866564614371E-4</v>
      </c>
      <c r="G26" s="26"/>
      <c r="H26" s="105">
        <v>3.6854513697053712</v>
      </c>
      <c r="I26" s="156">
        <f t="shared" si="12"/>
        <v>3.8772527873561047</v>
      </c>
      <c r="J26" s="10"/>
      <c r="K26" s="15">
        <v>0.15671738017352838</v>
      </c>
      <c r="L26" s="313">
        <f t="shared" si="13"/>
        <v>5.7757428341716753E-4</v>
      </c>
      <c r="M26" s="39">
        <v>0.12</v>
      </c>
      <c r="N26" s="313">
        <f t="shared" si="14"/>
        <v>4.4225416436464456E-4</v>
      </c>
      <c r="P26" s="316">
        <f t="shared" si="8"/>
        <v>8.7437408164712583E-4</v>
      </c>
      <c r="Q26" s="316">
        <f t="shared" si="9"/>
        <v>7.3905396259460292E-4</v>
      </c>
      <c r="R26" s="75" t="s">
        <v>84</v>
      </c>
      <c r="S26" s="33"/>
      <c r="T26" s="33"/>
      <c r="U26" s="51"/>
      <c r="V26" s="51"/>
      <c r="W26" s="9">
        <f t="shared" si="10"/>
        <v>0.20254429970165308</v>
      </c>
      <c r="X26" s="71">
        <f t="shared" si="10"/>
        <v>9.8933266076652759E-2</v>
      </c>
      <c r="Y26" s="71">
        <f t="shared" si="10"/>
        <v>0.30147756577830581</v>
      </c>
      <c r="Z26" s="71">
        <f t="shared" si="10"/>
        <v>0.30517288854871455</v>
      </c>
    </row>
    <row r="27" spans="1:26">
      <c r="A27" s="2" t="s">
        <v>88</v>
      </c>
      <c r="B27" s="72">
        <v>86</v>
      </c>
      <c r="C27" s="308">
        <v>9.9063187088182209E-2</v>
      </c>
      <c r="D27" s="315">
        <v>5.4995433058262324E-3</v>
      </c>
      <c r="E27" s="311">
        <f t="shared" si="11"/>
        <v>0.10456273039400844</v>
      </c>
      <c r="F27" s="311">
        <v>0.11121819295025021</v>
      </c>
      <c r="G27" s="26"/>
      <c r="H27" s="105">
        <v>0.88713910838562482</v>
      </c>
      <c r="I27" s="156">
        <f t="shared" si="12"/>
        <v>1.0161478544160247</v>
      </c>
      <c r="J27" s="10"/>
      <c r="K27" s="16">
        <v>97.488949720917674</v>
      </c>
      <c r="L27" s="308">
        <f t="shared" si="13"/>
        <v>8.6486259932865905E-2</v>
      </c>
      <c r="M27" s="143">
        <v>102</v>
      </c>
      <c r="N27" s="308">
        <f t="shared" si="14"/>
        <v>9.0488189055333734E-2</v>
      </c>
      <c r="P27" s="311">
        <f t="shared" si="8"/>
        <v>9.198580323869214E-2</v>
      </c>
      <c r="Q27" s="311">
        <f t="shared" si="9"/>
        <v>9.5987732361159969E-2</v>
      </c>
      <c r="R27" s="33"/>
      <c r="S27" s="33"/>
      <c r="T27" s="33"/>
      <c r="U27" s="51"/>
      <c r="V27" s="51"/>
      <c r="W27" s="9">
        <f t="shared" si="10"/>
        <v>1.1518975242811884</v>
      </c>
      <c r="X27" s="71">
        <f t="shared" si="10"/>
        <v>6.394817797472363E-2</v>
      </c>
      <c r="Y27" s="71">
        <f t="shared" si="10"/>
        <v>1.2158457022559122</v>
      </c>
      <c r="Z27" s="71">
        <f t="shared" si="10"/>
        <v>1.2932348017470954</v>
      </c>
    </row>
    <row r="28" spans="1:26">
      <c r="A28" s="62" t="s">
        <v>95</v>
      </c>
      <c r="B28" s="72">
        <v>140.84107579462102</v>
      </c>
      <c r="C28" s="308">
        <v>0.19558343112243343</v>
      </c>
      <c r="D28" s="315">
        <v>9.3366044478843668E-3</v>
      </c>
      <c r="E28" s="311">
        <f t="shared" si="11"/>
        <v>0.20492003557031779</v>
      </c>
      <c r="F28" s="311">
        <v>0.20554775470414788</v>
      </c>
      <c r="G28" s="26"/>
      <c r="H28" s="105">
        <v>0.9235407814376515</v>
      </c>
      <c r="I28" s="156">
        <f t="shared" si="12"/>
        <v>1.0855743128002424</v>
      </c>
      <c r="J28" s="10"/>
      <c r="K28" s="16">
        <v>180.16586134755283</v>
      </c>
      <c r="L28" s="308">
        <f t="shared" si="13"/>
        <v>0.16639052037730653</v>
      </c>
      <c r="M28" s="143">
        <v>151</v>
      </c>
      <c r="N28" s="308">
        <f t="shared" si="14"/>
        <v>0.13945465799708537</v>
      </c>
      <c r="P28" s="311">
        <f t="shared" si="8"/>
        <v>0.1757271248251909</v>
      </c>
      <c r="Q28" s="311">
        <f t="shared" si="9"/>
        <v>0.14879126244496974</v>
      </c>
      <c r="R28" s="33"/>
      <c r="S28" s="33"/>
      <c r="T28" s="33"/>
      <c r="U28" s="51"/>
      <c r="V28" s="51"/>
      <c r="W28" s="9">
        <f t="shared" ref="W28:Z29" si="15">1000*C28/$B28</f>
        <v>1.3886817465640455</v>
      </c>
      <c r="X28" s="71">
        <f t="shared" si="15"/>
        <v>6.6291771737808244E-2</v>
      </c>
      <c r="Y28" s="71">
        <f t="shared" si="15"/>
        <v>1.4549735183018537</v>
      </c>
      <c r="Z28" s="71">
        <f t="shared" si="15"/>
        <v>1.4594304505589279</v>
      </c>
    </row>
    <row r="29" spans="1:26">
      <c r="A29" s="62" t="s">
        <v>125</v>
      </c>
      <c r="B29" s="72">
        <v>1043</v>
      </c>
      <c r="C29" s="308">
        <v>1.1649063950279102</v>
      </c>
      <c r="D29" s="314">
        <v>4.3208553867884601E-2</v>
      </c>
      <c r="E29" s="311">
        <f t="shared" si="11"/>
        <v>1.2081149488957947</v>
      </c>
      <c r="F29" s="311">
        <v>1.2056663052283245</v>
      </c>
      <c r="G29" s="26"/>
      <c r="H29" s="105">
        <v>1.1702002116087709</v>
      </c>
      <c r="I29" s="156">
        <f t="shared" si="12"/>
        <v>0.95180531700617155</v>
      </c>
      <c r="J29" s="10"/>
      <c r="K29" s="299">
        <v>1223.8914557569726</v>
      </c>
      <c r="L29" s="308">
        <f>K29*H29/1000</f>
        <v>1.4321980405129759</v>
      </c>
      <c r="M29" s="299">
        <v>1065</v>
      </c>
      <c r="N29" s="308">
        <f t="shared" si="14"/>
        <v>1.246263225363341</v>
      </c>
      <c r="P29" s="310">
        <f t="shared" si="8"/>
        <v>1.4754065943808605</v>
      </c>
      <c r="Q29" s="310">
        <f t="shared" si="9"/>
        <v>1.2894717792312256</v>
      </c>
      <c r="R29" s="75" t="s">
        <v>85</v>
      </c>
      <c r="S29" s="33"/>
      <c r="T29" s="33"/>
      <c r="U29" s="51"/>
      <c r="V29" s="51"/>
      <c r="W29" s="9">
        <f>1000*C29/$B29</f>
        <v>1.1168805321456472</v>
      </c>
      <c r="X29" s="71">
        <f t="shared" si="15"/>
        <v>4.142718491647613E-2</v>
      </c>
      <c r="Y29" s="71">
        <f t="shared" si="15"/>
        <v>1.1583077170621234</v>
      </c>
      <c r="Z29" s="71">
        <f t="shared" si="15"/>
        <v>1.1559600241882306</v>
      </c>
    </row>
    <row r="30" spans="1:26">
      <c r="A30" s="2" t="s">
        <v>261</v>
      </c>
      <c r="B30" s="146">
        <f>SUM(B22:B29)</f>
        <v>2116.9591723943099</v>
      </c>
      <c r="C30" s="416">
        <f>SUM(C22:C29)</f>
        <v>2.4978021957085361</v>
      </c>
      <c r="D30" s="422">
        <f>SUM(D22:D29)</f>
        <v>0.13450550140303336</v>
      </c>
      <c r="E30" s="416">
        <f>SUM(E22:E29)</f>
        <v>2.6323076971115693</v>
      </c>
      <c r="F30" s="416">
        <f>SUM(F22:F29)</f>
        <v>2.6768655285284213</v>
      </c>
      <c r="G30" s="26"/>
      <c r="H30" s="152"/>
      <c r="I30" s="157">
        <f>1000*C30/K30</f>
        <v>0.99778414429249762</v>
      </c>
      <c r="J30" s="10" t="s">
        <v>26</v>
      </c>
      <c r="K30" s="415">
        <f>SUM(K22:K29)</f>
        <v>2503.3492564463045</v>
      </c>
      <c r="L30" s="416">
        <f>SUM(L22:L29)</f>
        <v>4.6430118973641736</v>
      </c>
      <c r="M30" s="415">
        <f>SUM(M22:M29)</f>
        <v>1962.3094956784998</v>
      </c>
      <c r="N30" s="416">
        <f>SUM(N22:N29)</f>
        <v>3.4923493192947372</v>
      </c>
      <c r="P30" s="490">
        <f>L30+$D$30</f>
        <v>4.7775173987672073</v>
      </c>
      <c r="Q30" s="490">
        <f>N30+$D$30</f>
        <v>3.6268548206977704</v>
      </c>
      <c r="R30" s="51"/>
      <c r="S30" s="51"/>
      <c r="T30" s="51"/>
      <c r="W30" s="149" t="s">
        <v>133</v>
      </c>
      <c r="X30" s="120">
        <f>D30/E30</f>
        <v>5.1097940241038774E-2</v>
      </c>
      <c r="Y30" s="120">
        <f>D30/P30</f>
        <v>2.8153848573684151E-2</v>
      </c>
      <c r="Z30" s="120">
        <f>D30/Q30</f>
        <v>3.7085989942425061E-2</v>
      </c>
    </row>
    <row r="31" spans="1:26">
      <c r="A31" s="2" t="s">
        <v>261</v>
      </c>
      <c r="C31" s="33"/>
      <c r="D31" s="66">
        <f>D30/F30</f>
        <v>5.0247388211904817E-2</v>
      </c>
      <c r="E31" s="33"/>
      <c r="F31" s="33"/>
      <c r="G31" s="26"/>
      <c r="H31" s="151">
        <v>2</v>
      </c>
      <c r="I31" s="503">
        <f>1000*C30/M30</f>
        <v>1.2728890122630125</v>
      </c>
      <c r="J31" s="87" t="s">
        <v>264</v>
      </c>
      <c r="K31" s="415">
        <f>SUM(K22:K29)</f>
        <v>2503.3492564463045</v>
      </c>
      <c r="L31" s="416">
        <f t="shared" si="13"/>
        <v>5.0066985128926094</v>
      </c>
      <c r="M31" s="415">
        <f>SUM(M22:M29)</f>
        <v>1962.3094956784998</v>
      </c>
      <c r="N31" s="416">
        <f>M31*H31/1000</f>
        <v>3.9246189913569998</v>
      </c>
      <c r="P31" s="490">
        <f>L31+$D$30</f>
        <v>5.141204014295643</v>
      </c>
      <c r="Q31" s="490">
        <f>N31+$D$30</f>
        <v>4.0591244927600334</v>
      </c>
      <c r="R31" s="51"/>
      <c r="S31" s="32"/>
      <c r="T31" s="6"/>
      <c r="U31" s="32"/>
      <c r="V31" s="6"/>
    </row>
    <row r="32" spans="1:26">
      <c r="A32" s="331" t="s">
        <v>288</v>
      </c>
      <c r="C32" s="33"/>
      <c r="D32" s="33"/>
      <c r="E32" s="33"/>
      <c r="F32" s="33"/>
      <c r="G32" s="26"/>
      <c r="H32" s="493">
        <f>1000*(F30-D30)/K30</f>
        <v>1.0155834311087948</v>
      </c>
      <c r="I32" s="504">
        <f>1000*(F30-D30)/M30</f>
        <v>1.2955958439401662</v>
      </c>
      <c r="J32" s="6"/>
      <c r="K32" s="250"/>
      <c r="L32" s="31"/>
      <c r="M32" s="250"/>
      <c r="N32" s="31"/>
      <c r="O32" s="26"/>
      <c r="P32" s="31"/>
      <c r="Q32" s="31"/>
      <c r="R32" s="28"/>
      <c r="S32" s="32"/>
      <c r="T32" s="6"/>
      <c r="U32" s="32"/>
      <c r="V32" s="6"/>
    </row>
    <row r="33" spans="1:24">
      <c r="A33" s="54" t="s">
        <v>291</v>
      </c>
      <c r="B33" s="72">
        <v>204.980803196007</v>
      </c>
      <c r="C33" s="308">
        <v>0.19671196304996197</v>
      </c>
      <c r="D33" s="314">
        <v>2.1832013545905447E-2</v>
      </c>
      <c r="E33" s="311">
        <f>C33+D33</f>
        <v>0.21854397659586741</v>
      </c>
      <c r="F33" s="311">
        <v>0.21740883296666297</v>
      </c>
      <c r="G33" s="26"/>
      <c r="H33" s="105">
        <v>3.672585830602368</v>
      </c>
      <c r="I33" s="156">
        <f t="shared" ref="I33:I41" si="16">1000*C33/K33</f>
        <v>1.1975300656962053</v>
      </c>
      <c r="J33" s="27"/>
      <c r="K33" s="16">
        <v>164.26473846867469</v>
      </c>
      <c r="L33" s="308">
        <f>K33*H33/1000</f>
        <v>0.6032763509676583</v>
      </c>
      <c r="M33" s="143">
        <v>180.9888007335</v>
      </c>
      <c r="N33" s="308">
        <f>M33*H33/1000</f>
        <v>0.66469690507156753</v>
      </c>
      <c r="O33" s="26"/>
      <c r="P33" s="311">
        <f t="shared" ref="P33:P42" si="17">D33+L33</f>
        <v>0.62510836451356377</v>
      </c>
      <c r="Q33" s="311">
        <f t="shared" ref="Q33:Q42" si="18">D33+N33</f>
        <v>0.68652891861747301</v>
      </c>
      <c r="R33" s="28"/>
      <c r="S33" s="32"/>
      <c r="T33" s="6"/>
      <c r="U33" s="32"/>
      <c r="V33" s="6"/>
    </row>
    <row r="34" spans="1:24">
      <c r="A34" s="54" t="s">
        <v>292</v>
      </c>
      <c r="B34" s="72">
        <v>485</v>
      </c>
      <c r="C34" s="308">
        <v>0.71830172551149296</v>
      </c>
      <c r="D34" s="314">
        <v>4.0659015901341362E-2</v>
      </c>
      <c r="E34" s="311">
        <f t="shared" ref="E34:E42" si="19">C34+D34</f>
        <v>0.75896074141283432</v>
      </c>
      <c r="F34" s="311">
        <v>0.7987738911958473</v>
      </c>
      <c r="G34" s="26"/>
      <c r="H34" s="105">
        <v>2.6452590687557636</v>
      </c>
      <c r="I34" s="156">
        <f t="shared" si="16"/>
        <v>0.96803289235203971</v>
      </c>
      <c r="J34" s="27"/>
      <c r="K34" s="299">
        <v>742.02202341103066</v>
      </c>
      <c r="L34" s="307">
        <f t="shared" ref="L34:L39" si="20">K34*H34/1000</f>
        <v>1.9628404866445304</v>
      </c>
      <c r="M34" s="299">
        <v>377</v>
      </c>
      <c r="N34" s="307">
        <f t="shared" ref="N34:N42" si="21">M34*H34/1000</f>
        <v>0.99726266892092286</v>
      </c>
      <c r="O34" s="26"/>
      <c r="P34" s="310">
        <f t="shared" si="17"/>
        <v>2.0034995025458717</v>
      </c>
      <c r="Q34" s="310">
        <f t="shared" si="18"/>
        <v>1.0379216848222643</v>
      </c>
      <c r="R34" s="28"/>
      <c r="S34" s="32"/>
      <c r="T34" s="6"/>
      <c r="U34" s="32"/>
      <c r="V34" s="6"/>
    </row>
    <row r="35" spans="1:24">
      <c r="A35" s="54" t="s">
        <v>293</v>
      </c>
      <c r="B35" s="72">
        <v>36.921198227783513</v>
      </c>
      <c r="C35" s="312">
        <v>1.1956451156477399E-2</v>
      </c>
      <c r="D35" s="315">
        <v>3.8530005774709626E-3</v>
      </c>
      <c r="E35" s="317">
        <f t="shared" si="19"/>
        <v>1.5809451733948363E-2</v>
      </c>
      <c r="F35" s="317">
        <v>1.4988337242504436E-2</v>
      </c>
      <c r="G35" s="26"/>
      <c r="H35" s="105">
        <v>5.0486068989917996</v>
      </c>
      <c r="I35" s="156">
        <f t="shared" si="16"/>
        <v>2.3422587114145959</v>
      </c>
      <c r="J35" s="27"/>
      <c r="K35" s="15">
        <v>5.1046671737027536</v>
      </c>
      <c r="L35" s="312">
        <f t="shared" si="20"/>
        <v>2.5771457910212691E-2</v>
      </c>
      <c r="M35" s="36">
        <v>4.6901451574999999</v>
      </c>
      <c r="N35" s="312">
        <f t="shared" si="21"/>
        <v>2.3678699199427479E-2</v>
      </c>
      <c r="O35" s="26"/>
      <c r="P35" s="317">
        <f t="shared" si="17"/>
        <v>2.9624458487683653E-2</v>
      </c>
      <c r="Q35" s="317">
        <f t="shared" si="18"/>
        <v>2.7531699776898441E-2</v>
      </c>
      <c r="R35" s="28"/>
      <c r="S35" s="32"/>
      <c r="T35" s="6"/>
      <c r="U35" s="32"/>
      <c r="V35" s="6"/>
    </row>
    <row r="36" spans="1:24">
      <c r="A36" s="54" t="s">
        <v>294</v>
      </c>
      <c r="B36" s="72">
        <v>117.21609517589853</v>
      </c>
      <c r="C36" s="308">
        <v>0.11067140985297311</v>
      </c>
      <c r="D36" s="314">
        <v>9.819969958490422E-3</v>
      </c>
      <c r="E36" s="311">
        <f t="shared" si="19"/>
        <v>0.12049137981146353</v>
      </c>
      <c r="F36" s="311">
        <v>0.1223466955750377</v>
      </c>
      <c r="G36" s="26"/>
      <c r="H36" s="105">
        <v>4.0493251534086854</v>
      </c>
      <c r="I36" s="156">
        <f t="shared" si="16"/>
        <v>1.2262102059534805</v>
      </c>
      <c r="J36" s="27"/>
      <c r="K36" s="16">
        <v>90.254843187279519</v>
      </c>
      <c r="L36" s="308">
        <f t="shared" si="20"/>
        <v>0.3654712067352075</v>
      </c>
      <c r="M36" s="143">
        <v>81.510549787499997</v>
      </c>
      <c r="N36" s="308">
        <f t="shared" si="21"/>
        <v>0.33006271952269467</v>
      </c>
      <c r="O36" s="26"/>
      <c r="P36" s="311">
        <f t="shared" si="17"/>
        <v>0.37529117669369794</v>
      </c>
      <c r="Q36" s="311">
        <f t="shared" si="18"/>
        <v>0.33988268948118511</v>
      </c>
      <c r="R36" s="28"/>
      <c r="S36" s="32"/>
      <c r="T36" s="6"/>
      <c r="U36" s="32"/>
      <c r="V36" s="6"/>
    </row>
    <row r="37" spans="1:24">
      <c r="A37" s="54" t="s">
        <v>295</v>
      </c>
      <c r="B37" s="72">
        <v>3</v>
      </c>
      <c r="C37" s="313">
        <v>6.076328991049592E-4</v>
      </c>
      <c r="D37" s="315">
        <v>2.967997982299583E-4</v>
      </c>
      <c r="E37" s="316">
        <f t="shared" si="19"/>
        <v>9.044326973349175E-4</v>
      </c>
      <c r="F37" s="316">
        <v>9.1551866564614371E-4</v>
      </c>
      <c r="G37" s="26"/>
      <c r="H37" s="105">
        <v>3.6854513697053712</v>
      </c>
      <c r="I37" s="156">
        <f t="shared" si="16"/>
        <v>3.8772527873561047</v>
      </c>
      <c r="J37" s="27"/>
      <c r="K37" s="15">
        <v>0.15671738017352838</v>
      </c>
      <c r="L37" s="313">
        <f t="shared" si="20"/>
        <v>5.7757428341716753E-4</v>
      </c>
      <c r="M37" s="39">
        <v>0.12</v>
      </c>
      <c r="N37" s="313">
        <f t="shared" si="21"/>
        <v>4.4225416436464456E-4</v>
      </c>
      <c r="O37" s="26"/>
      <c r="P37" s="316">
        <f t="shared" si="17"/>
        <v>8.7437408164712583E-4</v>
      </c>
      <c r="Q37" s="316">
        <f t="shared" si="18"/>
        <v>7.3905396259460292E-4</v>
      </c>
      <c r="R37" s="28"/>
      <c r="S37" s="32"/>
      <c r="T37" s="6"/>
      <c r="U37" s="32"/>
      <c r="V37" s="6"/>
    </row>
    <row r="38" spans="1:24">
      <c r="A38" s="54" t="s">
        <v>296</v>
      </c>
      <c r="B38" s="72">
        <v>86</v>
      </c>
      <c r="C38" s="308">
        <v>9.9063187088182209E-2</v>
      </c>
      <c r="D38" s="315">
        <v>5.4995433058262324E-3</v>
      </c>
      <c r="E38" s="311">
        <f t="shared" si="19"/>
        <v>0.10456273039400844</v>
      </c>
      <c r="F38" s="311">
        <v>0.11121819295025021</v>
      </c>
      <c r="G38" s="26"/>
      <c r="H38" s="105">
        <v>0.88713910838562482</v>
      </c>
      <c r="I38" s="156">
        <f t="shared" si="16"/>
        <v>1.0161478544160247</v>
      </c>
      <c r="J38" s="27"/>
      <c r="K38" s="16">
        <v>97.488949720917674</v>
      </c>
      <c r="L38" s="308">
        <f t="shared" si="20"/>
        <v>8.6486259932865905E-2</v>
      </c>
      <c r="M38" s="143">
        <v>102</v>
      </c>
      <c r="N38" s="308">
        <f t="shared" si="21"/>
        <v>9.0488189055333734E-2</v>
      </c>
      <c r="O38" s="26"/>
      <c r="P38" s="311">
        <f t="shared" si="17"/>
        <v>9.198580323869214E-2</v>
      </c>
      <c r="Q38" s="311">
        <f t="shared" si="18"/>
        <v>9.5987732361159969E-2</v>
      </c>
      <c r="R38" s="28"/>
      <c r="S38" s="32"/>
      <c r="T38" s="6"/>
      <c r="U38" s="32"/>
      <c r="V38" s="6"/>
    </row>
    <row r="39" spans="1:24">
      <c r="A39" s="54" t="s">
        <v>297</v>
      </c>
      <c r="B39" s="72">
        <v>140.84107579462102</v>
      </c>
      <c r="C39" s="308">
        <v>0.19558343112243343</v>
      </c>
      <c r="D39" s="315">
        <v>9.3366044478843668E-3</v>
      </c>
      <c r="E39" s="311">
        <f t="shared" si="19"/>
        <v>0.20492003557031779</v>
      </c>
      <c r="F39" s="311">
        <v>0.20554775470414788</v>
      </c>
      <c r="G39" s="26"/>
      <c r="H39" s="105">
        <v>0.9235407814376515</v>
      </c>
      <c r="I39" s="156">
        <f t="shared" si="16"/>
        <v>1.0855743128002424</v>
      </c>
      <c r="J39" s="27"/>
      <c r="K39" s="16">
        <v>180.16586134755283</v>
      </c>
      <c r="L39" s="308">
        <f t="shared" si="20"/>
        <v>0.16639052037730653</v>
      </c>
      <c r="M39" s="143">
        <v>151</v>
      </c>
      <c r="N39" s="308">
        <f t="shared" si="21"/>
        <v>0.13945465799708537</v>
      </c>
      <c r="O39" s="26"/>
      <c r="P39" s="311">
        <f t="shared" si="17"/>
        <v>0.1757271248251909</v>
      </c>
      <c r="Q39" s="311">
        <f t="shared" si="18"/>
        <v>0.14879126244496974</v>
      </c>
      <c r="R39" s="28"/>
      <c r="S39" s="32"/>
      <c r="T39" s="6"/>
      <c r="U39" s="32"/>
      <c r="V39" s="6"/>
    </row>
    <row r="40" spans="1:24">
      <c r="A40" s="54" t="s">
        <v>298</v>
      </c>
      <c r="B40" s="72">
        <f>AVERAGE(B16,B29)</f>
        <v>1049.3487720000001</v>
      </c>
      <c r="C40" s="307">
        <f t="shared" ref="C40:F40" si="22">AVERAGE(C16,C29)</f>
        <v>1.6410698113694975</v>
      </c>
      <c r="D40" s="314">
        <f t="shared" si="22"/>
        <v>4.5553148966537539E-2</v>
      </c>
      <c r="E40" s="310">
        <f t="shared" si="22"/>
        <v>1.686622960336035</v>
      </c>
      <c r="F40" s="310">
        <f t="shared" si="22"/>
        <v>1.5869306981001501</v>
      </c>
      <c r="G40" s="26"/>
      <c r="H40" s="105">
        <f>AVERAGE(H16,H29)</f>
        <v>1.1147139531018597</v>
      </c>
      <c r="I40" s="156">
        <f t="shared" si="16"/>
        <v>1.1003451664163086</v>
      </c>
      <c r="J40" s="27"/>
      <c r="K40" s="299">
        <f>AVERAGE(K16,K29)</f>
        <v>1491.4136595103732</v>
      </c>
      <c r="L40" s="308">
        <f>K40*H40/1000</f>
        <v>1.6624996161029191</v>
      </c>
      <c r="M40" s="299">
        <f>AVERAGE(M16,M29)</f>
        <v>1064.5950264000001</v>
      </c>
      <c r="N40" s="308">
        <f t="shared" si="21"/>
        <v>1.1867189303309229</v>
      </c>
      <c r="O40" s="26"/>
      <c r="P40" s="310">
        <f t="shared" si="17"/>
        <v>1.7080527650694566</v>
      </c>
      <c r="Q40" s="310">
        <f t="shared" si="18"/>
        <v>1.2322720792974604</v>
      </c>
      <c r="R40" s="28"/>
      <c r="S40" s="32"/>
      <c r="T40" s="6"/>
      <c r="U40" s="32"/>
      <c r="V40" s="6"/>
    </row>
    <row r="41" spans="1:24">
      <c r="A41" s="328" t="s">
        <v>299</v>
      </c>
      <c r="B41" s="72">
        <v>17.287506015999998</v>
      </c>
      <c r="C41" s="312">
        <v>9.6442966773481343E-3</v>
      </c>
      <c r="D41" s="315">
        <v>4.1309035971094409E-3</v>
      </c>
      <c r="E41" s="311">
        <f t="shared" si="19"/>
        <v>1.3775200274457576E-2</v>
      </c>
      <c r="F41" s="317">
        <v>1.0422673834854542E-2</v>
      </c>
      <c r="G41" s="26"/>
      <c r="H41" s="105">
        <v>3.8529556752279079</v>
      </c>
      <c r="I41" s="156">
        <f t="shared" si="16"/>
        <v>1.2337908863646871</v>
      </c>
      <c r="J41" s="27"/>
      <c r="K41" s="15">
        <v>7.8168000622574283</v>
      </c>
      <c r="L41" s="312">
        <f t="shared" ref="L41:L42" si="23">K41*H41/1000</f>
        <v>3.0117784161996623E-2</v>
      </c>
      <c r="M41" s="36">
        <v>2.8213919999999999</v>
      </c>
      <c r="N41" s="312">
        <f t="shared" si="21"/>
        <v>1.0870698318442618E-2</v>
      </c>
      <c r="O41" s="26"/>
      <c r="P41" s="317">
        <f t="shared" si="17"/>
        <v>3.4248687759106063E-2</v>
      </c>
      <c r="Q41" s="317">
        <f t="shared" si="18"/>
        <v>1.5001601915552058E-2</v>
      </c>
      <c r="R41" s="28"/>
      <c r="S41" s="32"/>
      <c r="T41" s="6"/>
      <c r="U41" s="32"/>
      <c r="V41" s="6"/>
    </row>
    <row r="42" spans="1:24">
      <c r="A42" s="328" t="s">
        <v>300</v>
      </c>
      <c r="B42" s="72">
        <v>828.16597600000011</v>
      </c>
      <c r="C42" s="307">
        <v>1.6435932989099735</v>
      </c>
      <c r="D42" s="314">
        <v>4.1767465971990582E-2</v>
      </c>
      <c r="E42" s="310">
        <f t="shared" si="19"/>
        <v>1.6853607648819642</v>
      </c>
      <c r="F42" s="310">
        <v>1.5430917064891181</v>
      </c>
      <c r="G42" s="26"/>
      <c r="H42" s="105">
        <v>1.2131889267295133</v>
      </c>
      <c r="I42" s="157">
        <f>1000*C42/K42</f>
        <v>1.1892809467210974</v>
      </c>
      <c r="J42" s="27"/>
      <c r="K42" s="299">
        <v>1382.0059115900547</v>
      </c>
      <c r="L42" s="307">
        <f t="shared" si="23"/>
        <v>1.6766342686157811</v>
      </c>
      <c r="M42" s="299">
        <v>733.9248</v>
      </c>
      <c r="N42" s="308">
        <f t="shared" si="21"/>
        <v>0.89038944041217272</v>
      </c>
      <c r="O42" s="26"/>
      <c r="P42" s="310">
        <f t="shared" si="17"/>
        <v>1.7184017345877718</v>
      </c>
      <c r="Q42" s="310">
        <f t="shared" si="18"/>
        <v>0.93215690638416326</v>
      </c>
      <c r="R42" s="28"/>
      <c r="S42" s="32"/>
      <c r="T42" s="6"/>
      <c r="U42" s="32"/>
      <c r="V42" s="6"/>
    </row>
    <row r="43" spans="1:24">
      <c r="A43" s="2" t="s">
        <v>253</v>
      </c>
      <c r="B43" s="146">
        <f>SUM(B33:B42)</f>
        <v>2968.7614264103099</v>
      </c>
      <c r="C43" s="416">
        <f>SUM(C33:C42)</f>
        <v>4.6272032076374447</v>
      </c>
      <c r="D43" s="422">
        <f>SUM(D33:D42)</f>
        <v>0.18274846607078632</v>
      </c>
      <c r="E43" s="416">
        <f>SUM(E33:E42)</f>
        <v>4.8099516737082322</v>
      </c>
      <c r="F43" s="416">
        <f t="shared" ref="F43" si="24">SUM(F33:F42)</f>
        <v>4.6116443017242199</v>
      </c>
      <c r="G43" s="26"/>
      <c r="H43" s="265"/>
      <c r="I43" s="157">
        <f>1000*C43/K43</f>
        <v>1.1121228853928895</v>
      </c>
      <c r="J43" s="10" t="s">
        <v>26</v>
      </c>
      <c r="K43" s="415">
        <f>SUM(K33:K42)</f>
        <v>4160.6941718520175</v>
      </c>
      <c r="L43" s="416">
        <f>SUM(L33:L42)</f>
        <v>6.5800655257318947</v>
      </c>
      <c r="M43" s="415">
        <f>SUM(M33:M42)</f>
        <v>2698.6507140785002</v>
      </c>
      <c r="N43" s="416">
        <f>SUM(N33:N42)</f>
        <v>4.3340651629929345</v>
      </c>
      <c r="O43" s="26"/>
      <c r="P43" s="416">
        <f>SUM(P33:P42)</f>
        <v>6.7628139918026822</v>
      </c>
      <c r="Q43" s="416">
        <f>SUM(Q33:Q42)</f>
        <v>4.5168136290637211</v>
      </c>
      <c r="R43" s="28"/>
      <c r="S43" s="32"/>
      <c r="T43" s="6"/>
      <c r="U43" s="32"/>
      <c r="V43" s="6"/>
    </row>
    <row r="44" spans="1:24">
      <c r="A44" s="2" t="s">
        <v>253</v>
      </c>
      <c r="B44" s="2"/>
      <c r="C44" s="33"/>
      <c r="D44" s="66">
        <f>D43/F43</f>
        <v>3.9627615252646346E-2</v>
      </c>
      <c r="E44" s="33"/>
      <c r="F44" s="33"/>
      <c r="G44" s="26"/>
      <c r="H44" s="151">
        <v>1.59</v>
      </c>
      <c r="I44" s="503">
        <f>1000*C43/M43</f>
        <v>1.7146358302309905</v>
      </c>
      <c r="J44" s="87" t="s">
        <v>263</v>
      </c>
      <c r="K44" s="415">
        <f>SUM(K33:K42)</f>
        <v>4160.6941718520175</v>
      </c>
      <c r="L44" s="416">
        <f>H44*K44/1000</f>
        <v>6.615503733244708</v>
      </c>
      <c r="M44" s="415">
        <f>SUM(M33:M42)</f>
        <v>2698.6507140785002</v>
      </c>
      <c r="N44" s="416">
        <f>H44*M44/1000</f>
        <v>4.2908546353848154</v>
      </c>
      <c r="O44" s="26"/>
      <c r="P44" s="423">
        <f>D43+L44</f>
        <v>6.7982521993154945</v>
      </c>
      <c r="Q44" s="423">
        <f>D43+N44</f>
        <v>4.4736031014556019</v>
      </c>
      <c r="R44" s="28"/>
      <c r="S44" s="24" t="s">
        <v>214</v>
      </c>
      <c r="T44" s="456" t="s">
        <v>286</v>
      </c>
      <c r="U44" s="24" t="s">
        <v>81</v>
      </c>
      <c r="V44" s="456" t="s">
        <v>286</v>
      </c>
    </row>
    <row r="45" spans="1:24">
      <c r="A45" s="495" t="s">
        <v>269</v>
      </c>
      <c r="C45" s="26"/>
      <c r="D45" s="26"/>
      <c r="E45" s="26"/>
      <c r="F45" s="26"/>
      <c r="G45" s="26"/>
      <c r="H45" s="493">
        <f>1000*(F43-D43)/K43</f>
        <v>1.064460797339025</v>
      </c>
      <c r="I45" s="504">
        <f>1000*(F43-D43)/M43</f>
        <v>1.6411519329079807</v>
      </c>
      <c r="K45" s="26"/>
      <c r="L45" s="26"/>
      <c r="M45" s="26"/>
      <c r="N45" s="26"/>
      <c r="O45" s="26"/>
      <c r="P45" s="335"/>
      <c r="Q45" s="335"/>
      <c r="R45" s="335"/>
      <c r="S45" s="139">
        <f>AVERAGE(C43,L43,L44,N43,N44)</f>
        <v>5.2895384529983591</v>
      </c>
      <c r="T45" s="242">
        <f>S45/10</f>
        <v>0.52895384529983591</v>
      </c>
      <c r="U45" s="490">
        <f>AVERAGE(E43,F43,P43,P44,Q43,Q44)</f>
        <v>5.328846482844992</v>
      </c>
      <c r="V45" s="519">
        <f>U45/10</f>
        <v>0.53288464828449922</v>
      </c>
      <c r="X45" s="119"/>
    </row>
    <row r="46" spans="1:24">
      <c r="A46" s="2" t="s">
        <v>301</v>
      </c>
      <c r="B46" s="72">
        <v>86.403555712866023</v>
      </c>
      <c r="C46" s="398">
        <v>4.3912659269587526E-2</v>
      </c>
      <c r="D46" s="401">
        <v>9.574340330687733E-3</v>
      </c>
      <c r="E46" s="387">
        <f>C46+D46</f>
        <v>5.348699960027526E-2</v>
      </c>
      <c r="F46" s="403">
        <v>7.452456211786633E-2</v>
      </c>
      <c r="G46" s="26"/>
      <c r="H46" s="484">
        <v>8.1</v>
      </c>
      <c r="I46" s="156">
        <f>1000*C46/K46</f>
        <v>0.85084631671583566</v>
      </c>
      <c r="K46" s="407">
        <v>51.610565159505079</v>
      </c>
      <c r="L46" s="483">
        <f>K46*H46/1000</f>
        <v>0.41804557779199109</v>
      </c>
      <c r="M46" s="143">
        <v>36.182764800000001</v>
      </c>
      <c r="N46" s="483">
        <f>M46*H46/1000</f>
        <v>0.29308039487999998</v>
      </c>
      <c r="P46" s="311">
        <f t="shared" ref="P46:P55" si="25">D46+L46</f>
        <v>0.4276199181226788</v>
      </c>
      <c r="Q46" s="311">
        <f t="shared" ref="Q46:Q55" si="26">D46+N46</f>
        <v>0.3026547352106877</v>
      </c>
      <c r="R46" s="35"/>
      <c r="S46" s="35"/>
      <c r="T46" s="35"/>
      <c r="V46" s="35"/>
    </row>
    <row r="47" spans="1:24">
      <c r="A47" s="2" t="s">
        <v>302</v>
      </c>
      <c r="B47" s="72">
        <v>360</v>
      </c>
      <c r="C47" s="380">
        <v>0.2278415804468808</v>
      </c>
      <c r="D47" s="400">
        <v>3.1587682065817579E-2</v>
      </c>
      <c r="E47" s="387">
        <f t="shared" ref="E47:E54" si="27">C47+D47</f>
        <v>0.25942926251269838</v>
      </c>
      <c r="F47" s="387">
        <v>0.34615166372805278</v>
      </c>
      <c r="G47" s="26"/>
      <c r="H47" s="105">
        <v>2.9</v>
      </c>
      <c r="I47" s="156">
        <f t="shared" ref="I47:I55" si="28">1000*C47/K47</f>
        <v>0.98872002736704712</v>
      </c>
      <c r="K47" s="299">
        <v>230.44094803421851</v>
      </c>
      <c r="L47" s="380">
        <f t="shared" ref="L47" si="29">K47*H47/1000</f>
        <v>0.66827874929923359</v>
      </c>
      <c r="M47" s="299">
        <v>67.6716768</v>
      </c>
      <c r="N47" s="380">
        <f t="shared" ref="N47" si="30">M47*H47/1000</f>
        <v>0.19624786272</v>
      </c>
      <c r="P47" s="310">
        <f t="shared" si="25"/>
        <v>0.69986643136505111</v>
      </c>
      <c r="Q47" s="310">
        <f t="shared" si="26"/>
        <v>0.22783554478581758</v>
      </c>
      <c r="R47" s="35"/>
      <c r="S47" s="246"/>
      <c r="T47" s="35"/>
      <c r="U47" s="35"/>
      <c r="V47" s="35"/>
    </row>
    <row r="48" spans="1:24">
      <c r="A48" s="2" t="s">
        <v>303</v>
      </c>
      <c r="B48" s="72">
        <v>0</v>
      </c>
      <c r="C48" s="379">
        <v>0</v>
      </c>
      <c r="D48" s="413">
        <v>0</v>
      </c>
      <c r="E48" s="386">
        <f t="shared" si="27"/>
        <v>0</v>
      </c>
      <c r="F48" s="386">
        <v>0</v>
      </c>
      <c r="G48" s="26"/>
      <c r="H48" s="105" t="s">
        <v>19</v>
      </c>
      <c r="I48" s="135" t="s">
        <v>32</v>
      </c>
      <c r="K48" s="407">
        <v>0</v>
      </c>
      <c r="L48" s="379">
        <v>0</v>
      </c>
      <c r="M48" s="144">
        <v>0</v>
      </c>
      <c r="N48" s="379">
        <v>0</v>
      </c>
      <c r="P48" s="317">
        <f t="shared" si="25"/>
        <v>0</v>
      </c>
      <c r="Q48" s="317">
        <f t="shared" si="26"/>
        <v>0</v>
      </c>
      <c r="R48" s="35"/>
      <c r="S48" s="35"/>
      <c r="T48" s="35"/>
      <c r="U48" s="35"/>
      <c r="V48" s="35"/>
    </row>
    <row r="49" spans="1:26">
      <c r="A49" s="2" t="s">
        <v>304</v>
      </c>
      <c r="B49" s="72">
        <v>63.341694194967005</v>
      </c>
      <c r="C49" s="352">
        <v>2.2179887820672213E-2</v>
      </c>
      <c r="D49" s="320">
        <v>7.78275751423739E-3</v>
      </c>
      <c r="E49" s="460">
        <f t="shared" si="27"/>
        <v>2.9962645334909603E-2</v>
      </c>
      <c r="F49" s="460">
        <v>2.8190782121101873E-2</v>
      </c>
      <c r="G49" s="26"/>
      <c r="H49" s="105">
        <v>1.8</v>
      </c>
      <c r="I49" s="156">
        <f t="shared" si="28"/>
        <v>1.2717901215606713</v>
      </c>
      <c r="K49" s="16">
        <v>17.439896288433399</v>
      </c>
      <c r="L49" s="312">
        <f>K49*H49/1000</f>
        <v>3.1391813319180117E-2</v>
      </c>
      <c r="M49" s="144">
        <v>33.765076800000003</v>
      </c>
      <c r="N49" s="312">
        <f t="shared" ref="N49:N55" si="31">M49*H49/1000</f>
        <v>6.0777138240000007E-2</v>
      </c>
      <c r="P49" s="311">
        <f t="shared" si="25"/>
        <v>3.9174570833417507E-2</v>
      </c>
      <c r="Q49" s="311">
        <f t="shared" si="26"/>
        <v>6.8559895754237404E-2</v>
      </c>
      <c r="R49" s="35"/>
      <c r="S49" s="35"/>
      <c r="T49" s="35"/>
      <c r="U49" s="35"/>
      <c r="V49" s="35"/>
    </row>
    <row r="50" spans="1:26">
      <c r="A50" s="2" t="s">
        <v>305</v>
      </c>
      <c r="B50" s="72">
        <v>0</v>
      </c>
      <c r="C50" s="344">
        <v>0</v>
      </c>
      <c r="D50" s="354">
        <v>0</v>
      </c>
      <c r="E50" s="349">
        <f t="shared" si="27"/>
        <v>0</v>
      </c>
      <c r="F50" s="349">
        <v>0</v>
      </c>
      <c r="G50" s="26"/>
      <c r="H50" s="105" t="s">
        <v>19</v>
      </c>
      <c r="I50" s="135" t="s">
        <v>32</v>
      </c>
      <c r="K50" s="16">
        <v>0</v>
      </c>
      <c r="L50" s="306">
        <v>0</v>
      </c>
      <c r="M50" s="143">
        <v>0</v>
      </c>
      <c r="N50" s="306">
        <v>0</v>
      </c>
      <c r="P50" s="316">
        <f t="shared" si="25"/>
        <v>0</v>
      </c>
      <c r="Q50" s="316">
        <f t="shared" si="26"/>
        <v>0</v>
      </c>
      <c r="R50" s="35"/>
      <c r="S50" s="35"/>
      <c r="T50" s="35"/>
      <c r="U50" s="35"/>
      <c r="V50" s="35"/>
    </row>
    <row r="51" spans="1:26">
      <c r="A51" s="2" t="s">
        <v>306</v>
      </c>
      <c r="B51" s="72">
        <v>66.400000000000006</v>
      </c>
      <c r="C51" s="352">
        <v>2.0887964888401327E-2</v>
      </c>
      <c r="D51" s="355">
        <v>6.5382972313958463E-3</v>
      </c>
      <c r="E51" s="460">
        <f t="shared" si="27"/>
        <v>2.7426262119797172E-2</v>
      </c>
      <c r="F51" s="460">
        <v>2.7182451686494694E-2</v>
      </c>
      <c r="G51" s="26"/>
      <c r="H51" s="105">
        <v>1.1000000000000001</v>
      </c>
      <c r="I51" s="156">
        <f t="shared" si="28"/>
        <v>1.190814763057273</v>
      </c>
      <c r="K51" s="16">
        <v>17.540901856787535</v>
      </c>
      <c r="L51" s="312">
        <f t="shared" ref="L51:L55" si="32">K51*H51/1000</f>
        <v>1.9294992042466291E-2</v>
      </c>
      <c r="M51" s="143">
        <v>23.184403200000002</v>
      </c>
      <c r="N51" s="312">
        <f t="shared" si="31"/>
        <v>2.5502843520000002E-2</v>
      </c>
      <c r="P51" s="311">
        <f t="shared" si="25"/>
        <v>2.5833289273862137E-2</v>
      </c>
      <c r="Q51" s="311">
        <f t="shared" si="26"/>
        <v>3.2041140751395851E-2</v>
      </c>
      <c r="R51" s="35"/>
      <c r="S51" s="35"/>
      <c r="T51" s="35"/>
      <c r="U51" s="35"/>
      <c r="V51" s="35"/>
    </row>
    <row r="52" spans="1:26">
      <c r="A52" s="2" t="s">
        <v>307</v>
      </c>
      <c r="B52" s="72">
        <v>61.2</v>
      </c>
      <c r="C52" s="352">
        <v>2.1624242339203327E-2</v>
      </c>
      <c r="D52" s="355">
        <v>5.2780266141304192E-3</v>
      </c>
      <c r="E52" s="460">
        <f t="shared" si="27"/>
        <v>2.6902268953333745E-2</v>
      </c>
      <c r="F52" s="460">
        <v>2.7478535045402663E-2</v>
      </c>
      <c r="G52" s="26"/>
      <c r="H52" s="105">
        <v>1</v>
      </c>
      <c r="I52" s="156">
        <f t="shared" si="28"/>
        <v>1.221071823211511</v>
      </c>
      <c r="K52" s="16">
        <v>17.709230471251018</v>
      </c>
      <c r="L52" s="312">
        <f t="shared" si="32"/>
        <v>1.7709230471251017E-2</v>
      </c>
      <c r="M52" s="145">
        <v>13.529073600000002</v>
      </c>
      <c r="N52" s="312">
        <f t="shared" si="31"/>
        <v>1.3529073600000002E-2</v>
      </c>
      <c r="P52" s="311">
        <f t="shared" si="25"/>
        <v>2.2987257085381435E-2</v>
      </c>
      <c r="Q52" s="311">
        <f t="shared" si="26"/>
        <v>1.8807100214130422E-2</v>
      </c>
      <c r="R52" s="35"/>
      <c r="S52" s="35"/>
      <c r="T52" s="35"/>
      <c r="U52" s="35"/>
      <c r="V52" s="35"/>
    </row>
    <row r="53" spans="1:26">
      <c r="A53" s="2" t="s">
        <v>308</v>
      </c>
      <c r="B53" s="72">
        <v>1026.16425</v>
      </c>
      <c r="C53" s="353">
        <v>0.6647577417348689</v>
      </c>
      <c r="D53" s="320">
        <v>7.1968944252595035E-2</v>
      </c>
      <c r="E53" s="404">
        <f t="shared" si="27"/>
        <v>0.73672668598746394</v>
      </c>
      <c r="F53" s="404">
        <v>0.73402094565546272</v>
      </c>
      <c r="G53" s="26"/>
      <c r="H53" s="105">
        <v>1.7</v>
      </c>
      <c r="I53" s="156">
        <f t="shared" si="28"/>
        <v>1.4326282542851154</v>
      </c>
      <c r="K53" s="299">
        <v>464.0127260833512</v>
      </c>
      <c r="L53" s="308">
        <f t="shared" si="32"/>
        <v>0.78882163434169705</v>
      </c>
      <c r="M53" s="406">
        <v>277.60320000000002</v>
      </c>
      <c r="N53" s="308">
        <f t="shared" si="31"/>
        <v>0.47192544000000003</v>
      </c>
      <c r="P53" s="310">
        <f t="shared" si="25"/>
        <v>0.86079057859429209</v>
      </c>
      <c r="Q53" s="310">
        <f t="shared" si="26"/>
        <v>0.54389438425259506</v>
      </c>
      <c r="R53" s="35"/>
      <c r="S53" s="35"/>
      <c r="T53" s="35"/>
      <c r="U53" s="35"/>
      <c r="V53" s="35"/>
    </row>
    <row r="54" spans="1:26">
      <c r="A54" s="62" t="s">
        <v>309</v>
      </c>
      <c r="B54" s="72">
        <v>0</v>
      </c>
      <c r="C54" s="344">
        <v>0</v>
      </c>
      <c r="D54" s="354">
        <v>0</v>
      </c>
      <c r="E54" s="349">
        <f t="shared" si="27"/>
        <v>0</v>
      </c>
      <c r="F54" s="349">
        <v>0</v>
      </c>
      <c r="G54" s="26"/>
      <c r="H54" s="105" t="s">
        <v>19</v>
      </c>
      <c r="I54" s="135" t="s">
        <v>32</v>
      </c>
      <c r="K54" s="16">
        <v>0</v>
      </c>
      <c r="L54" s="306">
        <v>0</v>
      </c>
      <c r="M54" s="143">
        <v>0</v>
      </c>
      <c r="N54" s="306">
        <v>0</v>
      </c>
      <c r="P54" s="317">
        <f t="shared" si="25"/>
        <v>0</v>
      </c>
      <c r="Q54" s="317">
        <f t="shared" si="26"/>
        <v>0</v>
      </c>
      <c r="R54" s="35"/>
      <c r="S54" s="35"/>
      <c r="T54" s="35"/>
      <c r="U54" s="35"/>
      <c r="V54" s="35"/>
    </row>
    <row r="55" spans="1:26">
      <c r="A55" s="62" t="s">
        <v>310</v>
      </c>
      <c r="B55" s="72">
        <v>658.12894400000005</v>
      </c>
      <c r="C55" s="353">
        <v>0.38884529196335849</v>
      </c>
      <c r="D55" s="320">
        <v>3.6982325224120031E-2</v>
      </c>
      <c r="E55" s="404">
        <f>C55+D55</f>
        <v>0.42582761718747852</v>
      </c>
      <c r="F55" s="404">
        <v>0.43453612322936563</v>
      </c>
      <c r="G55" s="26"/>
      <c r="H55" s="105">
        <v>1.8</v>
      </c>
      <c r="I55" s="156">
        <f t="shared" si="28"/>
        <v>1.4007858170249439</v>
      </c>
      <c r="K55" s="299">
        <v>277.59082597595597</v>
      </c>
      <c r="L55" s="308">
        <f t="shared" si="32"/>
        <v>0.49966348675672079</v>
      </c>
      <c r="M55" s="368">
        <v>188.69759999999999</v>
      </c>
      <c r="N55" s="308">
        <f t="shared" si="31"/>
        <v>0.33965568000000002</v>
      </c>
      <c r="P55" s="310">
        <f t="shared" si="25"/>
        <v>0.53664581198084083</v>
      </c>
      <c r="Q55" s="310">
        <f t="shared" si="26"/>
        <v>0.37663800522412005</v>
      </c>
      <c r="R55" s="35"/>
      <c r="S55" s="35"/>
      <c r="T55" s="35"/>
      <c r="U55" s="35"/>
      <c r="V55" s="35"/>
    </row>
    <row r="56" spans="1:26">
      <c r="A56" s="2" t="s">
        <v>253</v>
      </c>
      <c r="B56" s="146">
        <f>SUM(B46:B55)</f>
        <v>2321.6384439078329</v>
      </c>
      <c r="C56" s="422">
        <f>SUM(C46:C55)</f>
        <v>1.3900493684629727</v>
      </c>
      <c r="D56" s="422">
        <f>SUM(D46:D55)</f>
        <v>0.16971237323298405</v>
      </c>
      <c r="E56" s="422">
        <f>SUM(E46:E55)</f>
        <v>1.5597617416959566</v>
      </c>
      <c r="F56" s="422">
        <f>SUM(F46:F55)</f>
        <v>1.6720850635837468</v>
      </c>
      <c r="G56" s="26"/>
      <c r="H56" s="337"/>
      <c r="I56" s="157">
        <f>1000*C56/K56</f>
        <v>1.2914532489442496</v>
      </c>
      <c r="J56" s="10" t="s">
        <v>26</v>
      </c>
      <c r="K56" s="130">
        <f>SUM(K46:K55)</f>
        <v>1076.3450938695028</v>
      </c>
      <c r="L56" s="243">
        <f>SUM(L46:L55)</f>
        <v>2.4432054840225397</v>
      </c>
      <c r="M56" s="130">
        <f>SUM(M46:M55)</f>
        <v>640.63379520000001</v>
      </c>
      <c r="N56" s="243">
        <f>SUM(N46:N55)</f>
        <v>1.4007184329599998</v>
      </c>
      <c r="P56" s="416">
        <f>SUM(P46:P55)</f>
        <v>2.6129178572555238</v>
      </c>
      <c r="Q56" s="416">
        <f>SUM(Q46:Q55)</f>
        <v>1.5704308061929839</v>
      </c>
      <c r="R56" s="35"/>
      <c r="S56" s="35"/>
      <c r="T56" s="35"/>
      <c r="U56" s="35"/>
      <c r="V56" s="35"/>
      <c r="X56" s="120">
        <f>D56/E56</f>
        <v>0.10880660083921072</v>
      </c>
      <c r="Y56" s="120"/>
      <c r="Z56" s="120"/>
    </row>
    <row r="57" spans="1:26">
      <c r="A57" s="2" t="s">
        <v>253</v>
      </c>
      <c r="B57" s="37"/>
      <c r="C57" s="33"/>
      <c r="D57" s="66">
        <f>D56/F56</f>
        <v>0.1014974518516677</v>
      </c>
      <c r="E57" s="33"/>
      <c r="F57" s="33"/>
      <c r="G57" s="26"/>
      <c r="H57" s="151">
        <v>1.78</v>
      </c>
      <c r="I57" s="503">
        <f>1000*C56/M56</f>
        <v>2.1698033710959819</v>
      </c>
      <c r="J57" s="87" t="s">
        <v>263</v>
      </c>
      <c r="K57" s="130">
        <f>SUM(K46:K55)</f>
        <v>1076.3450938695028</v>
      </c>
      <c r="L57" s="243">
        <f>K57*H57/1000</f>
        <v>1.915894267087715</v>
      </c>
      <c r="M57" s="130">
        <f>SUM(M46:M55)</f>
        <v>640.63379520000001</v>
      </c>
      <c r="N57" s="243">
        <f>M57*H57/1000</f>
        <v>1.1403281554560001</v>
      </c>
      <c r="P57" s="416">
        <f>D56+L57</f>
        <v>2.085606640320699</v>
      </c>
      <c r="Q57" s="416">
        <f>D56+N57</f>
        <v>1.310040528688984</v>
      </c>
      <c r="R57" s="35"/>
      <c r="S57" s="35"/>
      <c r="T57" s="35"/>
      <c r="U57" s="35"/>
      <c r="V57" s="35"/>
    </row>
    <row r="58" spans="1:26" ht="16">
      <c r="A58" s="12" t="s">
        <v>12</v>
      </c>
      <c r="B58" s="37"/>
      <c r="C58" s="26"/>
      <c r="D58" s="26"/>
      <c r="E58" s="26"/>
      <c r="F58" s="26"/>
      <c r="G58" s="26"/>
      <c r="H58" s="493">
        <f>1000*(F56-D56)/K56</f>
        <v>1.3958094842516298</v>
      </c>
      <c r="I58" s="504">
        <f>1000*(F56-D56)/M56</f>
        <v>2.3451349298263851</v>
      </c>
      <c r="K58" s="9"/>
      <c r="L58" s="26"/>
      <c r="N58" s="26"/>
      <c r="P58" s="35"/>
      <c r="Q58" s="35"/>
      <c r="R58" s="35"/>
      <c r="S58" s="35"/>
      <c r="T58" s="35"/>
      <c r="U58" s="35"/>
      <c r="V58" s="35"/>
    </row>
    <row r="59" spans="1:26">
      <c r="A59" s="2" t="s">
        <v>1</v>
      </c>
      <c r="B59" s="72">
        <v>85.576335327999999</v>
      </c>
      <c r="C59" s="312">
        <v>5.2656960471125849E-2</v>
      </c>
      <c r="D59" s="314">
        <v>1.6451588315102003E-2</v>
      </c>
      <c r="E59" s="317">
        <f>C59+D59</f>
        <v>6.9108548786227852E-2</v>
      </c>
      <c r="F59" s="317">
        <v>7.2232001721014738E-2</v>
      </c>
      <c r="G59" s="26"/>
      <c r="H59" s="484">
        <v>11.292064405625329</v>
      </c>
      <c r="I59" s="156">
        <f>1000*C59/K59</f>
        <v>3.4822169087476751</v>
      </c>
      <c r="K59" s="16">
        <v>15.121677325397602</v>
      </c>
      <c r="L59" s="487">
        <f>K59*H59/1000</f>
        <v>0.17075495427947388</v>
      </c>
      <c r="M59" s="36">
        <v>6.0563653909999999</v>
      </c>
      <c r="N59" s="487">
        <f>M59*H59/1000</f>
        <v>6.8388868059172228E-2</v>
      </c>
      <c r="P59" s="311">
        <f t="shared" ref="P59:P68" si="33">D59+L59</f>
        <v>0.18720654259457586</v>
      </c>
      <c r="Q59" s="317">
        <f t="shared" ref="Q59:Q68" si="34">D59+N59</f>
        <v>8.4840456374274231E-2</v>
      </c>
      <c r="R59" s="35"/>
      <c r="S59" s="35"/>
      <c r="T59" s="35"/>
      <c r="U59" s="35"/>
      <c r="V59" s="35"/>
    </row>
    <row r="60" spans="1:26">
      <c r="A60" s="2" t="s">
        <v>2</v>
      </c>
      <c r="B60" s="72">
        <v>95.922905232000005</v>
      </c>
      <c r="C60" s="312">
        <v>7.7780592887145769E-2</v>
      </c>
      <c r="D60" s="314">
        <v>1.4174971397547097E-2</v>
      </c>
      <c r="E60" s="317">
        <f t="shared" ref="E60:E68" si="35">C60+D60</f>
        <v>9.195556428469287E-2</v>
      </c>
      <c r="F60" s="317">
        <v>9.5223225884899135E-2</v>
      </c>
      <c r="G60" s="26"/>
      <c r="H60" s="105">
        <v>2.9627178724693661</v>
      </c>
      <c r="I60" s="156">
        <f t="shared" ref="I60:I68" si="36">1000*C60/K60</f>
        <v>2.1963582301945741</v>
      </c>
      <c r="K60" s="299">
        <v>35.413436577809641</v>
      </c>
      <c r="L60" s="312">
        <f t="shared" ref="L60:L67" si="37">K60*H60/1000</f>
        <v>0.10492002147463701</v>
      </c>
      <c r="M60" s="299">
        <v>20.282836640500001</v>
      </c>
      <c r="N60" s="312">
        <f>M60*H60/1000</f>
        <v>6.0092322619185873E-2</v>
      </c>
      <c r="P60" s="311">
        <f t="shared" si="33"/>
        <v>0.11909499287218411</v>
      </c>
      <c r="Q60" s="317">
        <f t="shared" si="34"/>
        <v>7.4267294016732974E-2</v>
      </c>
      <c r="R60" s="35"/>
      <c r="S60" s="35"/>
      <c r="T60" s="35"/>
      <c r="U60" s="35"/>
      <c r="V60" s="35"/>
    </row>
    <row r="61" spans="1:26">
      <c r="A61" s="2" t="s">
        <v>3</v>
      </c>
      <c r="B61" s="72">
        <v>22.119493616</v>
      </c>
      <c r="C61" s="313">
        <v>1.206080114931129E-2</v>
      </c>
      <c r="D61" s="315">
        <v>4.4139201607474457E-3</v>
      </c>
      <c r="E61" s="317">
        <f t="shared" si="35"/>
        <v>1.6474721310058737E-2</v>
      </c>
      <c r="F61" s="317">
        <v>1.776147816267945E-2</v>
      </c>
      <c r="G61" s="26"/>
      <c r="H61" s="105">
        <v>6.575454971660271</v>
      </c>
      <c r="I61" s="156">
        <f t="shared" si="36"/>
        <v>5.8537521371695052</v>
      </c>
      <c r="K61" s="15">
        <v>2.0603539177425971</v>
      </c>
      <c r="L61" s="313">
        <f t="shared" si="37"/>
        <v>1.3547764411800278E-2</v>
      </c>
      <c r="M61" s="36">
        <v>1.3417262452499998</v>
      </c>
      <c r="N61" s="308">
        <f>M61*H61/1000</f>
        <v>8.8224605099361791E-3</v>
      </c>
      <c r="P61" s="317">
        <f t="shared" si="33"/>
        <v>1.7961684572547723E-2</v>
      </c>
      <c r="Q61" s="317">
        <f t="shared" si="34"/>
        <v>1.3236380670683626E-2</v>
      </c>
      <c r="R61" s="35"/>
      <c r="S61" s="35"/>
      <c r="T61" s="35"/>
      <c r="U61" s="35"/>
      <c r="V61" s="35"/>
    </row>
    <row r="62" spans="1:26">
      <c r="A62" s="2" t="s">
        <v>4</v>
      </c>
      <c r="B62" s="72">
        <v>39.228399584000002</v>
      </c>
      <c r="C62" s="312">
        <v>2.0093834796848675E-2</v>
      </c>
      <c r="D62" s="315">
        <v>6.4879932740503311E-3</v>
      </c>
      <c r="E62" s="317">
        <f t="shared" si="35"/>
        <v>2.6581828070899007E-2</v>
      </c>
      <c r="F62" s="317">
        <v>2.7883065502970747E-2</v>
      </c>
      <c r="G62" s="26"/>
      <c r="H62" s="105">
        <v>2.7620515637336869</v>
      </c>
      <c r="I62" s="156">
        <f t="shared" si="36"/>
        <v>3.3745197286293958</v>
      </c>
      <c r="K62" s="15">
        <v>5.9545761805369688</v>
      </c>
      <c r="L62" s="312">
        <f t="shared" si="37"/>
        <v>1.6446846450823501E-2</v>
      </c>
      <c r="M62" s="36">
        <v>9.1</v>
      </c>
      <c r="N62" s="312">
        <f>M62*H62/1000</f>
        <v>2.513466922997655E-2</v>
      </c>
      <c r="P62" s="317">
        <f t="shared" si="33"/>
        <v>2.2934839724873833E-2</v>
      </c>
      <c r="Q62" s="317">
        <f t="shared" si="34"/>
        <v>3.1622662504026879E-2</v>
      </c>
      <c r="R62" s="35"/>
      <c r="S62" s="35"/>
      <c r="T62" s="35"/>
      <c r="U62" s="35"/>
      <c r="V62" s="35"/>
    </row>
    <row r="63" spans="1:26">
      <c r="A63" s="2" t="s">
        <v>5</v>
      </c>
      <c r="B63" s="85">
        <v>0.64834263999999997</v>
      </c>
      <c r="C63" s="458">
        <v>1.0170559726197655E-3</v>
      </c>
      <c r="D63" s="485">
        <v>2.203176096262662E-4</v>
      </c>
      <c r="E63" s="316">
        <f t="shared" si="35"/>
        <v>1.2373735822460317E-3</v>
      </c>
      <c r="F63" s="316">
        <v>1.6638208485388463E-3</v>
      </c>
      <c r="G63" s="26"/>
      <c r="H63" s="105" t="s">
        <v>19</v>
      </c>
      <c r="I63" s="156" t="s">
        <v>32</v>
      </c>
      <c r="K63" s="30">
        <v>8.4573557820647634E-3</v>
      </c>
      <c r="L63" s="306" t="s">
        <v>32</v>
      </c>
      <c r="M63" s="39">
        <v>1.0999999999999999E-2</v>
      </c>
      <c r="N63" s="306" t="s">
        <v>32</v>
      </c>
      <c r="P63" s="309" t="s">
        <v>32</v>
      </c>
      <c r="Q63" s="309" t="s">
        <v>32</v>
      </c>
      <c r="R63" s="35"/>
      <c r="S63" s="35"/>
      <c r="T63" s="35"/>
      <c r="U63" s="35"/>
      <c r="V63" s="35"/>
    </row>
    <row r="64" spans="1:26">
      <c r="A64" s="2" t="s">
        <v>88</v>
      </c>
      <c r="B64" s="72">
        <v>17.353563567999998</v>
      </c>
      <c r="C64" s="313">
        <v>7.950286270511581E-3</v>
      </c>
      <c r="D64" s="315">
        <v>2.3541534765279025E-3</v>
      </c>
      <c r="E64" s="317">
        <f t="shared" si="35"/>
        <v>1.0304439747039484E-2</v>
      </c>
      <c r="F64" s="317">
        <v>1.0931755926626627E-2</v>
      </c>
      <c r="G64" s="26"/>
      <c r="H64" s="105">
        <v>0.99416947282115342</v>
      </c>
      <c r="I64" s="156">
        <f t="shared" si="36"/>
        <v>2.8077396448272678</v>
      </c>
      <c r="K64" s="15">
        <v>2.8315610691178179</v>
      </c>
      <c r="L64" s="312">
        <f t="shared" si="37"/>
        <v>2.8150515753457626E-3</v>
      </c>
      <c r="M64" s="36">
        <v>3.8</v>
      </c>
      <c r="N64" s="313">
        <f>M64*H64/1000</f>
        <v>3.7778439967203828E-3</v>
      </c>
      <c r="P64" s="316">
        <f t="shared" si="33"/>
        <v>5.1692050518736647E-3</v>
      </c>
      <c r="Q64" s="316">
        <f t="shared" si="34"/>
        <v>6.1319974732482853E-3</v>
      </c>
      <c r="R64" s="35"/>
      <c r="S64" s="35"/>
      <c r="T64" s="35"/>
      <c r="U64" s="35"/>
      <c r="V64" s="35"/>
    </row>
    <row r="65" spans="1:24">
      <c r="A65" s="2" t="s">
        <v>95</v>
      </c>
      <c r="B65" s="72">
        <v>52.050904399999993</v>
      </c>
      <c r="C65" s="313">
        <v>2.1091405232372306E-2</v>
      </c>
      <c r="D65" s="315">
        <v>5.1504444526480446E-3</v>
      </c>
      <c r="E65" s="317">
        <f t="shared" si="35"/>
        <v>2.6241849685020351E-2</v>
      </c>
      <c r="F65" s="317">
        <v>2.6359900961626478E-2</v>
      </c>
      <c r="G65" s="26"/>
      <c r="H65" s="105">
        <v>1.1101163492093837</v>
      </c>
      <c r="I65" s="156">
        <f t="shared" si="36"/>
        <v>1.6552760147977574</v>
      </c>
      <c r="K65" s="16">
        <v>12.741926448411244</v>
      </c>
      <c r="L65" s="312">
        <f t="shared" si="37"/>
        <v>1.4145020870804778E-2</v>
      </c>
      <c r="M65" s="36">
        <v>8.9</v>
      </c>
      <c r="N65" s="313">
        <f>M65*H65/1000</f>
        <v>9.8800355079635156E-3</v>
      </c>
      <c r="P65" s="317">
        <f t="shared" si="33"/>
        <v>1.9295465323452825E-2</v>
      </c>
      <c r="Q65" s="317">
        <f t="shared" si="34"/>
        <v>1.503047996061156E-2</v>
      </c>
      <c r="R65" s="35"/>
      <c r="S65" s="35"/>
      <c r="T65" s="35"/>
      <c r="U65" s="35"/>
      <c r="V65" s="35"/>
    </row>
    <row r="66" spans="1:24">
      <c r="A66" s="2" t="s">
        <v>125</v>
      </c>
      <c r="B66" s="72">
        <v>31.805487999999997</v>
      </c>
      <c r="C66" s="313">
        <v>1.2286416390612011E-2</v>
      </c>
      <c r="D66" s="315">
        <v>2.7881172111893131E-3</v>
      </c>
      <c r="E66" s="317">
        <f t="shared" si="35"/>
        <v>1.5074533601801325E-2</v>
      </c>
      <c r="F66" s="317">
        <v>1.5097230380153278E-2</v>
      </c>
      <c r="G66" s="26"/>
      <c r="H66" s="105">
        <v>1.86682156450965</v>
      </c>
      <c r="I66" s="156">
        <f t="shared" si="36"/>
        <v>1.4534139679724989</v>
      </c>
      <c r="K66" s="486">
        <v>8.4534872110465997</v>
      </c>
      <c r="L66" s="312">
        <f t="shared" si="37"/>
        <v>1.5781152220888332E-2</v>
      </c>
      <c r="M66" s="486">
        <v>1.3</v>
      </c>
      <c r="N66" s="313">
        <f>M66*H66/1000</f>
        <v>2.4268680338625451E-3</v>
      </c>
      <c r="P66" s="317">
        <f t="shared" si="33"/>
        <v>1.8569269432077644E-2</v>
      </c>
      <c r="Q66" s="316">
        <f t="shared" si="34"/>
        <v>5.2149852450518583E-3</v>
      </c>
      <c r="R66" s="35"/>
      <c r="S66" s="35"/>
      <c r="T66" s="35"/>
      <c r="U66" s="35"/>
      <c r="V66" s="35"/>
    </row>
    <row r="67" spans="1:24">
      <c r="A67" s="62" t="s">
        <v>128</v>
      </c>
      <c r="B67" s="93">
        <v>7.9269062400000001</v>
      </c>
      <c r="C67" s="313">
        <v>3.3837083013691935E-3</v>
      </c>
      <c r="D67" s="485">
        <v>1.1199842480604557E-3</v>
      </c>
      <c r="E67" s="316">
        <f t="shared" si="35"/>
        <v>4.5036925494296495E-3</v>
      </c>
      <c r="F67" s="316">
        <v>4.9602137016326615E-3</v>
      </c>
      <c r="G67" s="26"/>
      <c r="H67" s="105">
        <v>5.72286241232311</v>
      </c>
      <c r="I67" s="156">
        <f t="shared" si="36"/>
        <v>5.5268279174718185</v>
      </c>
      <c r="K67" s="34">
        <v>0.61223333743979325</v>
      </c>
      <c r="L67" s="312">
        <f t="shared" si="37"/>
        <v>3.5037271544053235E-3</v>
      </c>
      <c r="M67" s="36">
        <v>0.5</v>
      </c>
      <c r="N67" s="313">
        <f>M67*H67/1000</f>
        <v>2.8614312061615551E-3</v>
      </c>
      <c r="P67" s="316">
        <f t="shared" si="33"/>
        <v>4.6237114024657794E-3</v>
      </c>
      <c r="Q67" s="316">
        <f t="shared" si="34"/>
        <v>3.981415454222011E-3</v>
      </c>
      <c r="R67" s="35"/>
      <c r="S67" s="35"/>
      <c r="T67" s="35"/>
      <c r="U67" s="35"/>
      <c r="V67" s="35"/>
    </row>
    <row r="68" spans="1:24">
      <c r="A68" s="62" t="s">
        <v>247</v>
      </c>
      <c r="B68" s="72">
        <v>145.32661440000001</v>
      </c>
      <c r="C68" s="313">
        <v>6.9969553822069E-2</v>
      </c>
      <c r="D68" s="485">
        <v>8.1411719489608673E-3</v>
      </c>
      <c r="E68" s="317">
        <f t="shared" si="35"/>
        <v>7.8110725771029871E-2</v>
      </c>
      <c r="F68" s="317">
        <v>7.5119081743315788E-2</v>
      </c>
      <c r="G68" s="26"/>
      <c r="H68" s="105">
        <v>1.32</v>
      </c>
      <c r="I68" s="156">
        <f t="shared" si="36"/>
        <v>0.93602984296890779</v>
      </c>
      <c r="K68" s="299">
        <v>74.751413480727223</v>
      </c>
      <c r="L68" s="312">
        <f>K68*H68/1000</f>
        <v>9.8671865794559929E-2</v>
      </c>
      <c r="M68" s="299">
        <v>26.49024</v>
      </c>
      <c r="N68" s="312">
        <f>M68*H68/1000</f>
        <v>3.4967116799999996E-2</v>
      </c>
      <c r="P68" s="311">
        <f t="shared" si="33"/>
        <v>0.1068130377435208</v>
      </c>
      <c r="Q68" s="311">
        <f t="shared" si="34"/>
        <v>4.310828874896086E-2</v>
      </c>
      <c r="R68" s="35"/>
      <c r="S68" s="35"/>
      <c r="T68" s="35"/>
      <c r="U68" s="35"/>
      <c r="V68" s="35"/>
    </row>
    <row r="69" spans="1:24">
      <c r="A69" s="2" t="s">
        <v>129</v>
      </c>
      <c r="B69" s="146">
        <f>SUM(B59:B68)</f>
        <v>497.95895300800009</v>
      </c>
      <c r="C69" s="422">
        <f>SUM(C59:C68)</f>
        <v>0.27829061529398547</v>
      </c>
      <c r="D69" s="421">
        <f>SUM(D59:D68)</f>
        <v>6.1302662094459739E-2</v>
      </c>
      <c r="E69" s="482">
        <f>SUM(E59:E68)</f>
        <v>0.33959327738844525</v>
      </c>
      <c r="F69" s="482">
        <f>SUM(F59:F68)</f>
        <v>0.34723177483345768</v>
      </c>
      <c r="G69" s="26"/>
      <c r="H69" s="152"/>
      <c r="I69" s="157">
        <f>1000*C69/K69</f>
        <v>1.7619003523248911</v>
      </c>
      <c r="J69" s="10" t="s">
        <v>26</v>
      </c>
      <c r="K69" s="415">
        <f>SUM(K59:K68)</f>
        <v>157.94912290401155</v>
      </c>
      <c r="L69" s="422">
        <f>SUM(L59:L68)</f>
        <v>0.44058640423273882</v>
      </c>
      <c r="M69" s="415">
        <f>SUM(M59:M68)</f>
        <v>77.782168276749999</v>
      </c>
      <c r="N69" s="422">
        <f>SUM(N59:N68)</f>
        <v>0.21635161596297883</v>
      </c>
      <c r="P69" s="422">
        <f>SUM(P59:P68)</f>
        <v>0.50166874871757217</v>
      </c>
      <c r="Q69" s="422">
        <f>SUM(Q59:Q68)</f>
        <v>0.27743396044781221</v>
      </c>
      <c r="R69" s="35"/>
      <c r="S69" s="35"/>
      <c r="T69" s="35"/>
      <c r="U69" s="35"/>
      <c r="V69" s="35"/>
      <c r="X69" s="120">
        <f>D69/E69</f>
        <v>0.18051789059516166</v>
      </c>
    </row>
    <row r="70" spans="1:24">
      <c r="A70" s="2" t="s">
        <v>129</v>
      </c>
      <c r="B70" s="37"/>
      <c r="C70" s="38"/>
      <c r="D70" s="66">
        <f>D69/F69</f>
        <v>0.17654680976089315</v>
      </c>
      <c r="E70" s="33"/>
      <c r="F70" s="33"/>
      <c r="G70" s="26"/>
      <c r="H70" s="151">
        <v>3.7</v>
      </c>
      <c r="I70" s="503">
        <f>1000*C69/M69</f>
        <v>3.5778202312877641</v>
      </c>
      <c r="J70" s="87" t="s">
        <v>263</v>
      </c>
      <c r="K70" s="415">
        <f>SUM(K59:K68)</f>
        <v>157.94912290401155</v>
      </c>
      <c r="L70" s="422">
        <f>K70*H70/1000</f>
        <v>0.58441175474484275</v>
      </c>
      <c r="M70" s="415">
        <f>SUM(M59:M68)</f>
        <v>77.782168276749999</v>
      </c>
      <c r="N70" s="422">
        <f>M70*H70/1000</f>
        <v>0.28779402262397502</v>
      </c>
      <c r="P70" s="422">
        <f>D69+L70</f>
        <v>0.64571441683930253</v>
      </c>
      <c r="Q70" s="422">
        <f>D69+N70</f>
        <v>0.34909668471843475</v>
      </c>
      <c r="R70" s="35"/>
      <c r="S70" s="35"/>
      <c r="T70" s="35"/>
      <c r="U70" s="35"/>
      <c r="V70" s="35"/>
    </row>
    <row r="71" spans="1:24" ht="16">
      <c r="A71" s="14" t="s">
        <v>25</v>
      </c>
      <c r="B71" s="37"/>
      <c r="C71" s="26"/>
      <c r="D71" s="26"/>
      <c r="E71" s="28"/>
      <c r="F71" s="26"/>
      <c r="G71" s="26"/>
      <c r="H71" s="493">
        <f>1000*(F69-D69)/K69</f>
        <v>1.8102608452771345</v>
      </c>
      <c r="I71" s="504">
        <f>1000*(F69-D69)/M69</f>
        <v>3.6760239406242614</v>
      </c>
      <c r="L71" s="26"/>
      <c r="N71" s="26"/>
      <c r="P71" s="35"/>
      <c r="Q71" s="35"/>
      <c r="R71" s="35"/>
      <c r="S71" s="35"/>
      <c r="T71" s="35"/>
      <c r="U71" s="35"/>
      <c r="V71" s="35"/>
    </row>
    <row r="72" spans="1:24">
      <c r="A72" s="2" t="s">
        <v>1</v>
      </c>
      <c r="B72" s="72">
        <f t="shared" ref="B72:B81" si="38">SUM(B46,B59)</f>
        <v>171.97989104086602</v>
      </c>
      <c r="C72" s="312">
        <f>C46+C59</f>
        <v>9.6569619740713375E-2</v>
      </c>
      <c r="D72" s="314">
        <f t="shared" ref="C72:F81" si="39">D46+D59</f>
        <v>2.6025928645789738E-2</v>
      </c>
      <c r="E72" s="311">
        <f t="shared" si="39"/>
        <v>0.12259554838650311</v>
      </c>
      <c r="F72" s="311">
        <f t="shared" si="39"/>
        <v>0.14675656383888108</v>
      </c>
      <c r="G72" s="26"/>
      <c r="H72" s="105">
        <v>5.3989174037152727</v>
      </c>
      <c r="I72" s="156">
        <f>1000*C72/K72</f>
        <v>1.4471208540992913</v>
      </c>
      <c r="K72" s="143">
        <f t="shared" ref="K72:N75" si="40">K46+K59</f>
        <v>66.732242484902685</v>
      </c>
      <c r="L72" s="488">
        <f t="shared" si="40"/>
        <v>0.58880053207146499</v>
      </c>
      <c r="M72" s="143">
        <f t="shared" si="40"/>
        <v>42.239130191000001</v>
      </c>
      <c r="N72" s="488">
        <f t="shared" si="40"/>
        <v>0.3614692629391722</v>
      </c>
      <c r="P72" s="311">
        <f t="shared" ref="P72:P80" si="41">D72+L72</f>
        <v>0.61482646071725477</v>
      </c>
      <c r="Q72" s="311">
        <f t="shared" ref="Q72:Q80" si="42">D72+N72</f>
        <v>0.38749519158496193</v>
      </c>
      <c r="R72" s="51"/>
      <c r="S72" s="51"/>
      <c r="T72" s="51"/>
      <c r="U72" s="51"/>
      <c r="V72" s="51"/>
    </row>
    <row r="73" spans="1:24">
      <c r="A73" s="2" t="s">
        <v>2</v>
      </c>
      <c r="B73" s="72">
        <f t="shared" si="38"/>
        <v>455.92290523200001</v>
      </c>
      <c r="C73" s="308">
        <f t="shared" si="39"/>
        <v>0.30562217333402658</v>
      </c>
      <c r="D73" s="314">
        <f t="shared" si="39"/>
        <v>4.576265346336468E-2</v>
      </c>
      <c r="E73" s="311">
        <f t="shared" si="39"/>
        <v>0.35138482679739125</v>
      </c>
      <c r="F73" s="311">
        <f t="shared" si="39"/>
        <v>0.4413748896129519</v>
      </c>
      <c r="G73" s="26"/>
      <c r="H73" s="105">
        <v>2.9220431159648075</v>
      </c>
      <c r="I73" s="156">
        <f t="shared" ref="I73:I81" si="43">1000*C73/K73</f>
        <v>1.1495848517978484</v>
      </c>
      <c r="K73" s="299">
        <f t="shared" si="40"/>
        <v>265.85438461202813</v>
      </c>
      <c r="L73" s="308">
        <f t="shared" si="40"/>
        <v>0.77319877077387056</v>
      </c>
      <c r="M73" s="299">
        <f t="shared" si="40"/>
        <v>87.954513440499994</v>
      </c>
      <c r="N73" s="308">
        <f t="shared" si="40"/>
        <v>0.2563401853391859</v>
      </c>
      <c r="P73" s="311">
        <f t="shared" si="41"/>
        <v>0.81896142423723528</v>
      </c>
      <c r="Q73" s="317">
        <f t="shared" si="42"/>
        <v>0.30210283880255057</v>
      </c>
      <c r="R73" s="51"/>
      <c r="S73" s="51"/>
      <c r="T73" s="51"/>
      <c r="U73" s="51"/>
      <c r="V73" s="51"/>
    </row>
    <row r="74" spans="1:24">
      <c r="A74" s="2" t="s">
        <v>3</v>
      </c>
      <c r="B74" s="72">
        <f t="shared" si="38"/>
        <v>22.119493616</v>
      </c>
      <c r="C74" s="312">
        <f t="shared" si="39"/>
        <v>1.206080114931129E-2</v>
      </c>
      <c r="D74" s="315">
        <f t="shared" si="39"/>
        <v>4.4139201607474457E-3</v>
      </c>
      <c r="E74" s="317">
        <f t="shared" si="39"/>
        <v>1.6474721310058737E-2</v>
      </c>
      <c r="F74" s="317">
        <f t="shared" si="39"/>
        <v>1.776147816267945E-2</v>
      </c>
      <c r="G74" s="26"/>
      <c r="H74" s="105">
        <v>6.575454971660271</v>
      </c>
      <c r="I74" s="156">
        <f t="shared" si="43"/>
        <v>5.8537521371695052</v>
      </c>
      <c r="K74" s="36">
        <f t="shared" si="40"/>
        <v>2.0603539177425971</v>
      </c>
      <c r="L74" s="312">
        <f t="shared" si="40"/>
        <v>1.3547764411800278E-2</v>
      </c>
      <c r="M74" s="36">
        <f t="shared" si="40"/>
        <v>1.3417262452499998</v>
      </c>
      <c r="N74" s="308">
        <f t="shared" si="40"/>
        <v>8.8224605099361791E-3</v>
      </c>
      <c r="P74" s="317">
        <f t="shared" si="41"/>
        <v>1.7961684572547723E-2</v>
      </c>
      <c r="Q74" s="317">
        <f t="shared" si="42"/>
        <v>1.3236380670683626E-2</v>
      </c>
      <c r="R74" s="51"/>
      <c r="S74" s="51"/>
      <c r="T74" s="51"/>
      <c r="U74" s="51"/>
      <c r="V74" s="51"/>
    </row>
    <row r="75" spans="1:24">
      <c r="A75" s="2" t="s">
        <v>4</v>
      </c>
      <c r="B75" s="72">
        <f t="shared" si="38"/>
        <v>102.57009377896701</v>
      </c>
      <c r="C75" s="312">
        <f t="shared" si="39"/>
        <v>4.2273722617520888E-2</v>
      </c>
      <c r="D75" s="314">
        <f t="shared" si="39"/>
        <v>1.4270750788287722E-2</v>
      </c>
      <c r="E75" s="317">
        <f t="shared" si="39"/>
        <v>5.6544473405808607E-2</v>
      </c>
      <c r="F75" s="317">
        <f t="shared" si="39"/>
        <v>5.6073847624072623E-2</v>
      </c>
      <c r="G75" s="26"/>
      <c r="H75" s="105">
        <v>2.2436968030737985</v>
      </c>
      <c r="I75" s="156">
        <f t="shared" si="43"/>
        <v>1.8069961899586031</v>
      </c>
      <c r="K75" s="143">
        <f t="shared" si="40"/>
        <v>23.394472468970367</v>
      </c>
      <c r="L75" s="312">
        <f t="shared" si="40"/>
        <v>4.7838659770003622E-2</v>
      </c>
      <c r="M75" s="143">
        <v>42.919817707249997</v>
      </c>
      <c r="N75" s="308">
        <f t="shared" si="40"/>
        <v>8.5911807469976564E-2</v>
      </c>
      <c r="P75" s="311">
        <f t="shared" si="41"/>
        <v>6.2109410558291347E-2</v>
      </c>
      <c r="Q75" s="311">
        <f t="shared" si="42"/>
        <v>0.10018255825826429</v>
      </c>
      <c r="R75" s="51"/>
      <c r="S75" s="51"/>
      <c r="T75" s="51"/>
      <c r="U75" s="51"/>
      <c r="V75" s="51"/>
    </row>
    <row r="76" spans="1:24">
      <c r="A76" s="2" t="s">
        <v>5</v>
      </c>
      <c r="B76" s="93">
        <f t="shared" si="38"/>
        <v>0.64834263999999997</v>
      </c>
      <c r="C76" s="313">
        <f t="shared" si="39"/>
        <v>1.0170559726197655E-3</v>
      </c>
      <c r="D76" s="485">
        <f t="shared" si="39"/>
        <v>2.203176096262662E-4</v>
      </c>
      <c r="E76" s="316">
        <f t="shared" si="39"/>
        <v>1.2373735822460317E-3</v>
      </c>
      <c r="F76" s="316">
        <f t="shared" si="39"/>
        <v>1.6638208485388463E-3</v>
      </c>
      <c r="G76" s="26"/>
      <c r="H76" s="103" t="s">
        <v>32</v>
      </c>
      <c r="I76" s="135">
        <f t="shared" si="43"/>
        <v>120.25696906077933</v>
      </c>
      <c r="K76" s="29">
        <f t="shared" ref="K76:K81" si="44">K50+K63</f>
        <v>8.4573557820647634E-3</v>
      </c>
      <c r="L76" s="306">
        <v>0</v>
      </c>
      <c r="M76" s="39">
        <f t="shared" ref="M76:M81" si="45">M50+M63</f>
        <v>1.0999999999999999E-2</v>
      </c>
      <c r="N76" s="306">
        <f>0</f>
        <v>0</v>
      </c>
      <c r="P76" s="316">
        <f t="shared" si="41"/>
        <v>2.203176096262662E-4</v>
      </c>
      <c r="Q76" s="316">
        <f t="shared" si="42"/>
        <v>2.203176096262662E-4</v>
      </c>
      <c r="R76" s="51"/>
      <c r="S76" s="51"/>
      <c r="T76" s="51"/>
      <c r="U76" s="51"/>
      <c r="V76" s="51"/>
    </row>
    <row r="77" spans="1:24">
      <c r="A77" s="2" t="s">
        <v>88</v>
      </c>
      <c r="B77" s="72">
        <f t="shared" si="38"/>
        <v>83.753563568000004</v>
      </c>
      <c r="C77" s="312">
        <f t="shared" si="39"/>
        <v>2.8838251158912906E-2</v>
      </c>
      <c r="D77" s="315">
        <f t="shared" si="39"/>
        <v>8.8924507079237488E-3</v>
      </c>
      <c r="E77" s="317">
        <f t="shared" si="39"/>
        <v>3.7730701866836656E-2</v>
      </c>
      <c r="F77" s="317">
        <f t="shared" si="39"/>
        <v>3.8114207613121322E-2</v>
      </c>
      <c r="G77" s="26"/>
      <c r="H77" s="105">
        <v>0.91882797837020791</v>
      </c>
      <c r="I77" s="156">
        <f t="shared" si="43"/>
        <v>1.4155505529104471</v>
      </c>
      <c r="K77" s="143">
        <f t="shared" si="44"/>
        <v>20.372462925905353</v>
      </c>
      <c r="L77" s="312">
        <f>L51+L64</f>
        <v>2.2110043617812054E-2</v>
      </c>
      <c r="M77" s="143">
        <f t="shared" si="45"/>
        <v>26.984403200000003</v>
      </c>
      <c r="N77" s="308">
        <f>N51+N64</f>
        <v>2.9280687516720385E-2</v>
      </c>
      <c r="P77" s="317">
        <f t="shared" si="41"/>
        <v>3.1002494325735805E-2</v>
      </c>
      <c r="Q77" s="317">
        <f t="shared" si="42"/>
        <v>3.8173138224644132E-2</v>
      </c>
      <c r="R77" s="51"/>
      <c r="S77" s="51"/>
      <c r="T77" s="51"/>
      <c r="U77" s="51"/>
      <c r="V77" s="51"/>
    </row>
    <row r="78" spans="1:24">
      <c r="A78" s="2" t="s">
        <v>95</v>
      </c>
      <c r="B78" s="72">
        <f t="shared" si="38"/>
        <v>113.2509044</v>
      </c>
      <c r="C78" s="312">
        <f t="shared" si="39"/>
        <v>4.271564757157563E-2</v>
      </c>
      <c r="D78" s="314">
        <f t="shared" si="39"/>
        <v>1.0428471066778463E-2</v>
      </c>
      <c r="E78" s="317">
        <f t="shared" si="39"/>
        <v>5.3144118638354096E-2</v>
      </c>
      <c r="F78" s="317">
        <f t="shared" si="39"/>
        <v>5.3838436007029145E-2</v>
      </c>
      <c r="G78" s="26"/>
      <c r="H78" s="105">
        <v>1.0349593120134823</v>
      </c>
      <c r="I78" s="156">
        <f t="shared" si="43"/>
        <v>1.4027594315798955</v>
      </c>
      <c r="K78" s="143">
        <f t="shared" si="44"/>
        <v>30.45115691966226</v>
      </c>
      <c r="L78" s="312">
        <f>L52+L65</f>
        <v>3.1854251342055794E-2</v>
      </c>
      <c r="M78" s="143">
        <f t="shared" si="45"/>
        <v>22.429073600000002</v>
      </c>
      <c r="N78" s="308">
        <f>N52+N65</f>
        <v>2.3409109107963517E-2</v>
      </c>
      <c r="P78" s="317">
        <f t="shared" si="41"/>
        <v>4.2282722408834253E-2</v>
      </c>
      <c r="Q78" s="317">
        <f t="shared" si="42"/>
        <v>3.3837580174741977E-2</v>
      </c>
      <c r="R78" s="51"/>
      <c r="S78" s="51"/>
      <c r="T78" s="51"/>
      <c r="U78" s="51"/>
      <c r="V78" s="51"/>
    </row>
    <row r="79" spans="1:24">
      <c r="A79" s="2" t="s">
        <v>125</v>
      </c>
      <c r="B79" s="72">
        <f t="shared" si="38"/>
        <v>1057.969738</v>
      </c>
      <c r="C79" s="308">
        <f t="shared" si="39"/>
        <v>0.67704415812548091</v>
      </c>
      <c r="D79" s="314">
        <f t="shared" si="39"/>
        <v>7.4757061463784344E-2</v>
      </c>
      <c r="E79" s="311">
        <f t="shared" si="39"/>
        <v>0.75180121958926527</v>
      </c>
      <c r="F79" s="311">
        <f t="shared" si="39"/>
        <v>0.74911817603561603</v>
      </c>
      <c r="G79" s="26"/>
      <c r="H79" s="105">
        <v>1.7882762073126084</v>
      </c>
      <c r="I79" s="156">
        <f t="shared" si="43"/>
        <v>1.4330001576294913</v>
      </c>
      <c r="K79" s="299">
        <f t="shared" si="44"/>
        <v>472.46621329439779</v>
      </c>
      <c r="L79" s="312">
        <f>L53+L66</f>
        <v>0.80460278656258544</v>
      </c>
      <c r="M79" s="299">
        <f t="shared" si="45"/>
        <v>278.90320000000003</v>
      </c>
      <c r="N79" s="308">
        <f>N53+N66</f>
        <v>0.47435230803386258</v>
      </c>
      <c r="P79" s="311">
        <f t="shared" si="41"/>
        <v>0.87935984802636979</v>
      </c>
      <c r="Q79" s="311">
        <f t="shared" si="42"/>
        <v>0.54910936949764688</v>
      </c>
      <c r="R79" s="51"/>
      <c r="S79" s="51"/>
      <c r="T79" s="51"/>
      <c r="U79" s="51"/>
      <c r="V79" s="51"/>
    </row>
    <row r="80" spans="1:24">
      <c r="A80" s="62" t="s">
        <v>128</v>
      </c>
      <c r="B80" s="93">
        <f t="shared" si="38"/>
        <v>7.9269062400000001</v>
      </c>
      <c r="C80" s="313">
        <f t="shared" si="39"/>
        <v>3.3837083013691935E-3</v>
      </c>
      <c r="D80" s="315">
        <f t="shared" si="39"/>
        <v>1.1199842480604557E-3</v>
      </c>
      <c r="E80" s="316">
        <f t="shared" si="39"/>
        <v>4.5036925494296495E-3</v>
      </c>
      <c r="F80" s="316">
        <f t="shared" si="39"/>
        <v>4.9602137016326615E-3</v>
      </c>
      <c r="G80" s="26"/>
      <c r="H80" s="105">
        <v>5.72286241232311</v>
      </c>
      <c r="I80" s="156">
        <f>1000*C80/K80</f>
        <v>5.5268279174718185</v>
      </c>
      <c r="K80" s="39">
        <f t="shared" si="44"/>
        <v>0.61223333743979325</v>
      </c>
      <c r="L80" s="312">
        <f>L54+L67</f>
        <v>3.5037271544053235E-3</v>
      </c>
      <c r="M80" s="36">
        <f t="shared" si="45"/>
        <v>0.5</v>
      </c>
      <c r="N80" s="308">
        <f>N54+N67</f>
        <v>2.8614312061615551E-3</v>
      </c>
      <c r="P80" s="317">
        <f t="shared" si="41"/>
        <v>4.6237114024657794E-3</v>
      </c>
      <c r="Q80" s="317">
        <f t="shared" si="42"/>
        <v>3.981415454222011E-3</v>
      </c>
      <c r="R80" s="51"/>
      <c r="S80" s="51"/>
      <c r="T80" s="51"/>
      <c r="U80" s="51"/>
      <c r="V80" s="51"/>
    </row>
    <row r="81" spans="1:26">
      <c r="A81" s="62" t="s">
        <v>247</v>
      </c>
      <c r="B81" s="72">
        <f t="shared" si="38"/>
        <v>803.45555840000009</v>
      </c>
      <c r="C81" s="308">
        <f t="shared" si="39"/>
        <v>0.45881484578542747</v>
      </c>
      <c r="D81" s="314">
        <f t="shared" si="39"/>
        <v>4.5123497173080895E-2</v>
      </c>
      <c r="E81" s="311">
        <f t="shared" si="39"/>
        <v>0.50393834295850837</v>
      </c>
      <c r="F81" s="311">
        <f t="shared" si="39"/>
        <v>0.50965520497268146</v>
      </c>
      <c r="G81" s="26"/>
      <c r="H81" s="105">
        <v>1.4739525717912387</v>
      </c>
      <c r="I81" s="156">
        <f t="shared" si="43"/>
        <v>1.3021851893003988</v>
      </c>
      <c r="K81" s="299">
        <f t="shared" si="44"/>
        <v>352.34223945668316</v>
      </c>
      <c r="L81" s="308">
        <f>L55+L68</f>
        <v>0.59833535255128067</v>
      </c>
      <c r="M81" s="299">
        <f t="shared" si="45"/>
        <v>215.18783999999999</v>
      </c>
      <c r="N81" s="308">
        <f>N55+N68</f>
        <v>0.37462279679999999</v>
      </c>
      <c r="P81" s="311">
        <f t="shared" ref="P81" si="46">D81+L81</f>
        <v>0.64345884972436163</v>
      </c>
      <c r="Q81" s="311">
        <f t="shared" ref="Q81" si="47">D81+N81</f>
        <v>0.41974629397308089</v>
      </c>
      <c r="R81" s="51"/>
      <c r="S81" s="51"/>
      <c r="T81" s="51"/>
      <c r="U81" s="51"/>
      <c r="V81" s="51"/>
    </row>
    <row r="82" spans="1:26">
      <c r="A82" s="2" t="s">
        <v>253</v>
      </c>
      <c r="B82" s="146">
        <f>SUM(B72:B81)</f>
        <v>2819.5973969158331</v>
      </c>
      <c r="C82" s="422">
        <f>C56+C69</f>
        <v>1.6683399837569581</v>
      </c>
      <c r="D82" s="422">
        <f>D56+D69</f>
        <v>0.23101503532744377</v>
      </c>
      <c r="E82" s="482">
        <f>E56+E69</f>
        <v>1.899355019084402</v>
      </c>
      <c r="F82" s="482">
        <f>F56+F69</f>
        <v>2.0193168384172044</v>
      </c>
      <c r="G82" s="26"/>
      <c r="H82" s="152"/>
      <c r="I82" s="157">
        <f>1000*C82/K82</f>
        <v>1.3516550276951422</v>
      </c>
      <c r="J82" s="10" t="s">
        <v>26</v>
      </c>
      <c r="K82" s="415">
        <f>SUM(K72:K81)</f>
        <v>1234.2942167735141</v>
      </c>
      <c r="L82" s="422">
        <f t="shared" ref="L82:N82" si="48">SUM(L72:L81)</f>
        <v>2.8837918882552787</v>
      </c>
      <c r="M82" s="415">
        <f t="shared" si="48"/>
        <v>718.47070438399999</v>
      </c>
      <c r="N82" s="422">
        <f t="shared" si="48"/>
        <v>1.6170700489229788</v>
      </c>
      <c r="P82" s="482">
        <f>L82+$D$82</f>
        <v>3.1148069235827225</v>
      </c>
      <c r="Q82" s="482">
        <f>N82+$D$82</f>
        <v>1.8480850842504226</v>
      </c>
      <c r="R82" s="51"/>
      <c r="S82" s="51"/>
      <c r="T82" s="51"/>
      <c r="X82" s="120">
        <f>D82/E82</f>
        <v>0.12162814903282604</v>
      </c>
      <c r="Y82" s="120">
        <f>D82/P82</f>
        <v>7.4166727182474912E-2</v>
      </c>
      <c r="Z82" s="120">
        <f>D82/Q82</f>
        <v>0.12500238073245568</v>
      </c>
    </row>
    <row r="83" spans="1:26">
      <c r="A83" s="2" t="s">
        <v>253</v>
      </c>
      <c r="B83" s="37"/>
      <c r="C83" s="33"/>
      <c r="D83" s="66">
        <f>D82/F82</f>
        <v>0.11440256968714214</v>
      </c>
      <c r="E83" s="33"/>
      <c r="F83" s="33"/>
      <c r="G83" s="26"/>
      <c r="H83" s="151">
        <v>2.8</v>
      </c>
      <c r="I83" s="503">
        <f>1000*C82/M82</f>
        <v>2.3220709954866621</v>
      </c>
      <c r="J83" s="87" t="s">
        <v>263</v>
      </c>
      <c r="K83" s="415">
        <f>K57+K70</f>
        <v>1234.2942167735143</v>
      </c>
      <c r="L83" s="422">
        <f>L57+L70</f>
        <v>2.5003060218325577</v>
      </c>
      <c r="M83" s="415">
        <f>M57+M70</f>
        <v>718.41596347674999</v>
      </c>
      <c r="N83" s="422">
        <f>N57+N70</f>
        <v>1.4281221780799751</v>
      </c>
      <c r="P83" s="482">
        <f>L83+$D$82</f>
        <v>2.7313210571600015</v>
      </c>
      <c r="Q83" s="482">
        <f>N83+$D$82</f>
        <v>1.6591372134074189</v>
      </c>
      <c r="R83" s="51"/>
      <c r="S83" s="166" t="s">
        <v>214</v>
      </c>
      <c r="T83" s="238" t="s">
        <v>286</v>
      </c>
      <c r="U83" s="166" t="s">
        <v>81</v>
      </c>
      <c r="V83" s="69" t="s">
        <v>286</v>
      </c>
    </row>
    <row r="84" spans="1:26" ht="16">
      <c r="A84" s="14" t="s">
        <v>15</v>
      </c>
      <c r="B84" s="37"/>
      <c r="C84" s="26"/>
      <c r="D84" s="26"/>
      <c r="E84" s="28"/>
      <c r="F84" s="26"/>
      <c r="G84" s="26"/>
      <c r="H84" s="493">
        <f>1000*(F82-D82)/K82</f>
        <v>1.4488456470001461</v>
      </c>
      <c r="I84" s="504">
        <f>1000*(F82-D82)/M82</f>
        <v>2.4890392777016688</v>
      </c>
      <c r="L84" s="26"/>
      <c r="N84" s="26"/>
      <c r="P84" s="51"/>
      <c r="Q84" s="51"/>
      <c r="R84" s="51"/>
      <c r="S84" s="243">
        <f>AVERAGE(C82,L82,N82,L83,N83)</f>
        <v>2.0195260241695498</v>
      </c>
      <c r="T84" s="242">
        <f>S84/10</f>
        <v>0.20195260241695498</v>
      </c>
      <c r="U84" s="74">
        <f>AVERAGE(E82,F82,P82,P83,Q82,Q83)</f>
        <v>2.2120036893170285</v>
      </c>
      <c r="V84" s="79">
        <f>U84/10</f>
        <v>0.22120036893170286</v>
      </c>
    </row>
    <row r="85" spans="1:26">
      <c r="A85" s="2" t="s">
        <v>1</v>
      </c>
      <c r="B85" s="72">
        <f t="shared" ref="B85:B94" si="49">B72</f>
        <v>171.97989104086602</v>
      </c>
      <c r="C85" s="308">
        <v>8.7369285398788799E-2</v>
      </c>
      <c r="D85" s="314">
        <v>2.9363945950310881E-2</v>
      </c>
      <c r="E85" s="317">
        <f t="shared" ref="E85:E92" si="50">C85+D85</f>
        <v>0.11673323134909969</v>
      </c>
      <c r="F85" s="317">
        <v>0.1670108793821744</v>
      </c>
      <c r="G85" s="26"/>
      <c r="H85" s="105">
        <v>5.3989174037152727</v>
      </c>
      <c r="I85" s="156">
        <f>1000*C85/K85</f>
        <v>1.6604934054491074</v>
      </c>
      <c r="K85" s="143">
        <v>52.616460331655674</v>
      </c>
      <c r="L85" s="308">
        <f>K85*H85/1000</f>
        <v>0.28407192340647008</v>
      </c>
      <c r="M85" s="143">
        <v>42.23852196</v>
      </c>
      <c r="N85" s="308">
        <f>M85*H85/1000</f>
        <v>0.22804229131705372</v>
      </c>
      <c r="P85" s="311">
        <f>D85+L85</f>
        <v>0.31343586935678097</v>
      </c>
      <c r="Q85" s="311">
        <f>D85+N85</f>
        <v>0.25740623726736461</v>
      </c>
      <c r="R85" s="51"/>
      <c r="S85" s="51"/>
      <c r="T85" s="51"/>
      <c r="U85" s="51"/>
      <c r="V85" s="51"/>
    </row>
    <row r="86" spans="1:26">
      <c r="A86" s="2" t="s">
        <v>2</v>
      </c>
      <c r="B86" s="72">
        <f t="shared" si="49"/>
        <v>455.92290523200001</v>
      </c>
      <c r="C86" s="308">
        <v>0.32655358158668812</v>
      </c>
      <c r="D86" s="314">
        <v>5.7505411079106776E-2</v>
      </c>
      <c r="E86" s="317">
        <f t="shared" si="50"/>
        <v>0.38405899266579491</v>
      </c>
      <c r="F86" s="311">
        <v>0.53969783560239548</v>
      </c>
      <c r="G86" s="26"/>
      <c r="H86" s="105">
        <v>2.9220431159648075</v>
      </c>
      <c r="I86" s="156">
        <f t="shared" ref="I86:I94" si="51">1000*C86/K86</f>
        <v>1.2667555049537584</v>
      </c>
      <c r="K86" s="299">
        <v>257.78737910328528</v>
      </c>
      <c r="L86" s="308">
        <f t="shared" ref="L86:L94" si="52">K86*H86/1000</f>
        <v>0.7532658364913648</v>
      </c>
      <c r="M86" s="299">
        <v>87</v>
      </c>
      <c r="N86" s="308">
        <f t="shared" ref="N86:N94" si="53">M86*H86/1000</f>
        <v>0.25421775108893824</v>
      </c>
      <c r="P86" s="311">
        <f>D86+L86</f>
        <v>0.81077124757047159</v>
      </c>
      <c r="Q86" s="311">
        <f>D86+N86</f>
        <v>0.31172316216804502</v>
      </c>
      <c r="U86" s="51"/>
      <c r="V86" s="51"/>
    </row>
    <row r="87" spans="1:26">
      <c r="A87" s="2" t="s">
        <v>3</v>
      </c>
      <c r="B87" s="72">
        <f t="shared" si="49"/>
        <v>22.119493616</v>
      </c>
      <c r="C87" s="312">
        <v>1.0393227733648409E-2</v>
      </c>
      <c r="D87" s="315">
        <v>4.3070019262797851E-3</v>
      </c>
      <c r="E87" s="317">
        <f t="shared" si="50"/>
        <v>1.4700229659928194E-2</v>
      </c>
      <c r="F87" s="317">
        <v>1.4491566212437069E-2</v>
      </c>
      <c r="G87" s="26"/>
      <c r="H87" s="105">
        <v>6.575454971660271</v>
      </c>
      <c r="I87" s="156">
        <f t="shared" si="51"/>
        <v>5.0783282031922843</v>
      </c>
      <c r="K87" s="36">
        <v>2.0465844895796867</v>
      </c>
      <c r="L87" s="312">
        <f t="shared" si="52"/>
        <v>1.3457224156929548E-2</v>
      </c>
      <c r="M87" s="36">
        <v>1.3417262452499998</v>
      </c>
      <c r="N87" s="313">
        <f t="shared" si="53"/>
        <v>8.8224605099361791E-3</v>
      </c>
      <c r="P87" s="317">
        <f>D87+L87</f>
        <v>1.7764226083209333E-2</v>
      </c>
      <c r="Q87" s="317">
        <f>D87+N87</f>
        <v>1.3129462436215964E-2</v>
      </c>
      <c r="R87" s="51"/>
      <c r="S87" s="51"/>
      <c r="T87" s="51"/>
      <c r="U87" s="51"/>
      <c r="V87" s="51"/>
    </row>
    <row r="88" spans="1:26">
      <c r="A88" s="2" t="s">
        <v>4</v>
      </c>
      <c r="B88" s="72">
        <f t="shared" si="49"/>
        <v>102.57009377896701</v>
      </c>
      <c r="C88" s="312">
        <v>5.1301404710955956E-2</v>
      </c>
      <c r="D88" s="314">
        <v>1.4098032731078868E-2</v>
      </c>
      <c r="E88" s="317">
        <f t="shared" si="50"/>
        <v>6.539943744203483E-2</v>
      </c>
      <c r="F88" s="317">
        <v>7.6220554233105323E-2</v>
      </c>
      <c r="G88" s="26"/>
      <c r="H88" s="105">
        <v>2.2436968030737985</v>
      </c>
      <c r="I88" s="156">
        <f t="shared" si="51"/>
        <v>1.8198877987076754</v>
      </c>
      <c r="K88" s="143">
        <v>28.189322851323972</v>
      </c>
      <c r="L88" s="308">
        <f t="shared" si="52"/>
        <v>6.3248293562330776E-2</v>
      </c>
      <c r="M88" s="143">
        <v>42.919817707249997</v>
      </c>
      <c r="N88" s="308">
        <f t="shared" si="53"/>
        <v>9.6299057778267028E-2</v>
      </c>
      <c r="P88" s="317">
        <f>D88+L88</f>
        <v>7.7346326293409651E-2</v>
      </c>
      <c r="Q88" s="311">
        <f>D88+N88</f>
        <v>0.1103970905093459</v>
      </c>
      <c r="R88" s="51"/>
      <c r="S88" s="51"/>
      <c r="T88" s="51"/>
      <c r="U88" s="51"/>
      <c r="V88" s="51"/>
    </row>
    <row r="89" spans="1:26">
      <c r="A89" s="2" t="s">
        <v>5</v>
      </c>
      <c r="B89" s="93">
        <f t="shared" si="49"/>
        <v>0.64834263999999997</v>
      </c>
      <c r="C89" s="313">
        <v>9.8775526055049491E-4</v>
      </c>
      <c r="D89" s="485">
        <v>1.8109736277132591E-4</v>
      </c>
      <c r="E89" s="316">
        <f t="shared" si="50"/>
        <v>1.1688526233218208E-3</v>
      </c>
      <c r="F89" s="316">
        <v>5.5544227832835468E-4</v>
      </c>
      <c r="G89" s="26"/>
      <c r="H89" s="105" t="s">
        <v>32</v>
      </c>
      <c r="I89" s="135">
        <f t="shared" si="51"/>
        <v>103.0432422357095</v>
      </c>
      <c r="K89" s="29">
        <v>9.5858325021549989E-3</v>
      </c>
      <c r="L89" s="457" t="s">
        <v>32</v>
      </c>
      <c r="M89" s="39">
        <v>1.2E-2</v>
      </c>
      <c r="N89" s="457" t="s">
        <v>32</v>
      </c>
      <c r="P89" s="317" t="s">
        <v>32</v>
      </c>
      <c r="Q89" s="317" t="s">
        <v>32</v>
      </c>
      <c r="R89" s="76" t="s">
        <v>84</v>
      </c>
      <c r="S89" s="33"/>
      <c r="T89" s="33"/>
      <c r="U89" s="51"/>
      <c r="V89" s="51"/>
    </row>
    <row r="90" spans="1:26">
      <c r="A90" s="2" t="s">
        <v>88</v>
      </c>
      <c r="B90" s="72">
        <f t="shared" si="49"/>
        <v>83.753563568000004</v>
      </c>
      <c r="C90" s="312">
        <v>4.0765474419816004E-2</v>
      </c>
      <c r="D90" s="314">
        <v>9.1813914717756261E-3</v>
      </c>
      <c r="E90" s="317">
        <f t="shared" si="50"/>
        <v>4.9946865891591627E-2</v>
      </c>
      <c r="F90" s="317">
        <v>5.2003763331952196E-2</v>
      </c>
      <c r="G90" s="26"/>
      <c r="H90" s="105">
        <v>0.91882797837020791</v>
      </c>
      <c r="I90" s="156">
        <f t="shared" si="51"/>
        <v>1.7689161603969688</v>
      </c>
      <c r="K90" s="143">
        <v>23.045453104271306</v>
      </c>
      <c r="L90" s="312">
        <f t="shared" si="52"/>
        <v>2.1174807086423036E-2</v>
      </c>
      <c r="M90" s="143">
        <v>27</v>
      </c>
      <c r="N90" s="308">
        <f t="shared" si="53"/>
        <v>2.4808355415995614E-2</v>
      </c>
      <c r="P90" s="317">
        <f>D90+L90</f>
        <v>3.0356198558198662E-2</v>
      </c>
      <c r="Q90" s="317">
        <f>D90+N90</f>
        <v>3.398974688777124E-2</v>
      </c>
      <c r="R90" s="33"/>
      <c r="S90" s="33"/>
      <c r="T90" s="33"/>
      <c r="U90" s="51"/>
      <c r="V90" s="51"/>
    </row>
    <row r="91" spans="1:26">
      <c r="A91" s="2" t="s">
        <v>95</v>
      </c>
      <c r="B91" s="72">
        <f t="shared" si="49"/>
        <v>113.2509044</v>
      </c>
      <c r="C91" s="312">
        <v>5.799126026846059E-2</v>
      </c>
      <c r="D91" s="314">
        <v>1.0592223896085452E-2</v>
      </c>
      <c r="E91" s="317">
        <f t="shared" si="50"/>
        <v>6.8583484164546044E-2</v>
      </c>
      <c r="F91" s="317">
        <v>6.7041249742309655E-2</v>
      </c>
      <c r="G91" s="26"/>
      <c r="H91" s="105">
        <v>1.0349593120134823</v>
      </c>
      <c r="I91" s="156">
        <f t="shared" si="51"/>
        <v>1.5823749977180404</v>
      </c>
      <c r="K91" s="143">
        <v>36.648240999820146</v>
      </c>
      <c r="L91" s="312">
        <f t="shared" si="52"/>
        <v>3.792943829167815E-2</v>
      </c>
      <c r="M91" s="143">
        <v>22.30949352</v>
      </c>
      <c r="N91" s="308">
        <f t="shared" si="53"/>
        <v>2.3089418064828442E-2</v>
      </c>
      <c r="P91" s="317">
        <f>D91+L91</f>
        <v>4.8521662187763603E-2</v>
      </c>
      <c r="Q91" s="317">
        <f>D91+N91</f>
        <v>3.3681641960913895E-2</v>
      </c>
      <c r="R91" s="33"/>
      <c r="S91" s="33"/>
      <c r="T91" s="33"/>
      <c r="U91" s="51"/>
      <c r="V91" s="51"/>
    </row>
    <row r="92" spans="1:26">
      <c r="A92" s="2" t="s">
        <v>125</v>
      </c>
      <c r="B92" s="72">
        <f t="shared" si="49"/>
        <v>1057.969738</v>
      </c>
      <c r="C92" s="308">
        <v>0.86006471937056062</v>
      </c>
      <c r="D92" s="314">
        <v>6.8847940016509748E-2</v>
      </c>
      <c r="E92" s="317">
        <f t="shared" si="50"/>
        <v>0.92891265938707035</v>
      </c>
      <c r="F92" s="317">
        <v>0.83819050669408746</v>
      </c>
      <c r="G92" s="26"/>
      <c r="H92" s="105">
        <v>1.7882762073126084</v>
      </c>
      <c r="I92" s="156">
        <f t="shared" si="51"/>
        <v>1.1981709645088146</v>
      </c>
      <c r="K92" s="299">
        <v>717.81468992877888</v>
      </c>
      <c r="L92" s="308">
        <f t="shared" si="52"/>
        <v>1.2836509312591127</v>
      </c>
      <c r="M92" s="299">
        <v>278.83782471000001</v>
      </c>
      <c r="N92" s="308">
        <f t="shared" si="53"/>
        <v>0.49863904762769673</v>
      </c>
      <c r="P92" s="311">
        <f>D92+L92</f>
        <v>1.3524988712756225</v>
      </c>
      <c r="Q92" s="311">
        <f>D92+N92</f>
        <v>0.56748698764420646</v>
      </c>
      <c r="R92" s="76" t="s">
        <v>85</v>
      </c>
      <c r="S92" s="33"/>
      <c r="T92" s="33"/>
      <c r="U92" s="51"/>
      <c r="V92" s="51"/>
    </row>
    <row r="93" spans="1:26">
      <c r="A93" s="62" t="s">
        <v>128</v>
      </c>
      <c r="B93" s="93">
        <f t="shared" si="49"/>
        <v>7.9269062400000001</v>
      </c>
      <c r="C93" s="313">
        <v>4.899207246715E-3</v>
      </c>
      <c r="D93" s="315">
        <v>1.0392877869347483E-3</v>
      </c>
      <c r="E93" s="316">
        <f>C93+D93</f>
        <v>5.9384950336497482E-3</v>
      </c>
      <c r="F93" s="316">
        <v>3.4526526505585724E-3</v>
      </c>
      <c r="G93" s="26"/>
      <c r="H93" s="105">
        <v>5.72286241232311</v>
      </c>
      <c r="I93" s="156">
        <f t="shared" si="51"/>
        <v>7.98353368572484</v>
      </c>
      <c r="K93" s="39">
        <v>0.61366400388278586</v>
      </c>
      <c r="L93" s="313">
        <f t="shared" si="52"/>
        <v>3.5119146616164982E-3</v>
      </c>
      <c r="M93" s="39">
        <f>M80</f>
        <v>0.5</v>
      </c>
      <c r="N93" s="313">
        <f t="shared" si="53"/>
        <v>2.8614312061615551E-3</v>
      </c>
      <c r="P93" s="316">
        <f>D93+L93</f>
        <v>4.5512024485512463E-3</v>
      </c>
      <c r="Q93" s="316">
        <f>D93+N93</f>
        <v>3.9007189930963032E-3</v>
      </c>
      <c r="R93" s="33"/>
      <c r="S93" s="33"/>
      <c r="T93" s="33"/>
      <c r="U93" s="51"/>
      <c r="V93" s="51"/>
    </row>
    <row r="94" spans="1:26">
      <c r="A94" s="62" t="s">
        <v>247</v>
      </c>
      <c r="B94" s="93">
        <f t="shared" si="49"/>
        <v>803.45555840000009</v>
      </c>
      <c r="C94" s="308">
        <v>0.62006272494525694</v>
      </c>
      <c r="D94" s="314">
        <v>4.4353996389923135E-2</v>
      </c>
      <c r="E94" s="404">
        <f>C94+D94</f>
        <v>0.66441672133518004</v>
      </c>
      <c r="F94" s="311">
        <v>0.50890069316368269</v>
      </c>
      <c r="G94" s="26"/>
      <c r="H94" s="105">
        <v>1.4739525717912387</v>
      </c>
      <c r="I94" s="156">
        <f t="shared" si="51"/>
        <v>1.2234374278110045</v>
      </c>
      <c r="K94" s="299">
        <v>506.82013713989767</v>
      </c>
      <c r="L94" s="308">
        <f t="shared" si="52"/>
        <v>0.7470288445729405</v>
      </c>
      <c r="M94" s="299">
        <v>215</v>
      </c>
      <c r="N94" s="308">
        <f t="shared" si="53"/>
        <v>0.31689980293511633</v>
      </c>
      <c r="P94" s="317">
        <f>D94+L94</f>
        <v>0.7913828409628636</v>
      </c>
      <c r="Q94" s="311">
        <f>D94+N94</f>
        <v>0.36125379932503948</v>
      </c>
      <c r="R94" s="33"/>
      <c r="S94" s="33"/>
      <c r="T94" s="33"/>
      <c r="U94" s="51"/>
      <c r="V94" s="51"/>
    </row>
    <row r="95" spans="1:26">
      <c r="A95" s="2" t="s">
        <v>253</v>
      </c>
      <c r="B95" s="146">
        <f>SUM(B85:B94)</f>
        <v>2819.5973969158331</v>
      </c>
      <c r="C95" s="422">
        <f>SUM(C85:C94)</f>
        <v>2.0603886409414409</v>
      </c>
      <c r="D95" s="422">
        <f>SUM(D85:D94)</f>
        <v>0.2394703286107763</v>
      </c>
      <c r="E95" s="422">
        <f t="shared" ref="E95:F95" si="54">SUM(E85:E94)</f>
        <v>2.2998589695522171</v>
      </c>
      <c r="F95" s="422">
        <f t="shared" si="54"/>
        <v>2.2675651432910313</v>
      </c>
      <c r="G95" s="26"/>
      <c r="H95" s="152"/>
      <c r="I95" s="157">
        <f>1000*C95/K95</f>
        <v>1.2674700983608047</v>
      </c>
      <c r="J95" s="10" t="s">
        <v>26</v>
      </c>
      <c r="K95" s="415">
        <f>SUM(K85:K94)</f>
        <v>1625.5915177849977</v>
      </c>
      <c r="L95" s="422">
        <f>SUM(L85:L94)</f>
        <v>3.2073392134888659</v>
      </c>
      <c r="M95" s="415">
        <f t="shared" ref="M95" si="55">SUM(M85:M94)</f>
        <v>717.15938414250002</v>
      </c>
      <c r="N95" s="422">
        <f>SUM(N85:N94)</f>
        <v>1.4536796159439938</v>
      </c>
      <c r="P95" s="489">
        <f>L95+$D$95</f>
        <v>3.4468095420996421</v>
      </c>
      <c r="Q95" s="482">
        <f>N95+$D$95</f>
        <v>1.69314994455477</v>
      </c>
      <c r="R95" s="51"/>
      <c r="S95" s="51"/>
      <c r="T95" s="51"/>
      <c r="X95" s="120">
        <f>D95/E95</f>
        <v>0.10412391880594365</v>
      </c>
      <c r="Y95" s="120">
        <f>D95/P95</f>
        <v>6.9475938744471999E-2</v>
      </c>
      <c r="Z95" s="120">
        <f>D95/Q95</f>
        <v>0.14143480285424298</v>
      </c>
    </row>
    <row r="96" spans="1:26">
      <c r="A96" s="2" t="s">
        <v>253</v>
      </c>
      <c r="C96" s="33"/>
      <c r="D96" s="66">
        <f>D95/F95</f>
        <v>0.1056068132460446</v>
      </c>
      <c r="E96" s="33"/>
      <c r="F96" s="33"/>
      <c r="G96" s="26"/>
      <c r="H96" s="151">
        <v>2.8</v>
      </c>
      <c r="I96" s="503">
        <f>1000*C95/M95</f>
        <v>2.872985680031261</v>
      </c>
      <c r="J96" s="87" t="s">
        <v>263</v>
      </c>
      <c r="K96" s="415">
        <f>SUM(K85:K94)</f>
        <v>1625.5915177849977</v>
      </c>
      <c r="L96" s="422">
        <f>K96*H96/1000</f>
        <v>4.5516562497979933</v>
      </c>
      <c r="M96" s="415">
        <f>M95</f>
        <v>717.15938414250002</v>
      </c>
      <c r="N96" s="422">
        <f>M96*H96/1000</f>
        <v>2.0080462755989998</v>
      </c>
      <c r="P96" s="482">
        <f>L96+$D$95</f>
        <v>4.79112657840877</v>
      </c>
      <c r="Q96" s="482">
        <f>N96+$D$95</f>
        <v>2.2475166042097761</v>
      </c>
      <c r="R96" s="51"/>
      <c r="S96" s="166" t="s">
        <v>214</v>
      </c>
      <c r="T96" s="442" t="s">
        <v>286</v>
      </c>
      <c r="U96" s="166" t="s">
        <v>81</v>
      </c>
      <c r="V96" s="442" t="s">
        <v>286</v>
      </c>
    </row>
    <row r="97" spans="1:22">
      <c r="H97" s="493">
        <f>1000*(F95-D95)/K95</f>
        <v>1.2476042059100438</v>
      </c>
      <c r="I97" s="504">
        <f>1000*(F95-D95)/M95</f>
        <v>2.8279554859415619</v>
      </c>
      <c r="P97" s="51"/>
      <c r="Q97" s="51"/>
      <c r="R97" s="51"/>
      <c r="S97" s="243">
        <f>AVERAGE(C95,L95,N95,L96,N96)</f>
        <v>2.6562219991542588</v>
      </c>
      <c r="T97" s="242">
        <f>S97/10</f>
        <v>0.26562219991542591</v>
      </c>
      <c r="U97" s="74">
        <f>AVERAGE(E95,F95,P95,P96,Q95,Q96)</f>
        <v>2.7910044636860345</v>
      </c>
      <c r="V97" s="79">
        <f>U97/10</f>
        <v>0.27910044636860343</v>
      </c>
    </row>
    <row r="98" spans="1:22">
      <c r="P98" s="51"/>
      <c r="Q98" s="51"/>
      <c r="R98" s="51"/>
      <c r="S98" s="51"/>
      <c r="T98" s="51"/>
      <c r="U98" s="51"/>
      <c r="V98" s="51"/>
    </row>
    <row r="99" spans="1:22" ht="80">
      <c r="I99" s="154" t="s">
        <v>135</v>
      </c>
      <c r="P99" s="35"/>
      <c r="Q99" s="35"/>
      <c r="R99" s="35"/>
      <c r="S99" s="67" t="s">
        <v>215</v>
      </c>
      <c r="T99" s="70" t="s">
        <v>287</v>
      </c>
      <c r="U99" s="67" t="s">
        <v>82</v>
      </c>
      <c r="V99" s="70" t="s">
        <v>287</v>
      </c>
    </row>
    <row r="100" spans="1:22">
      <c r="I100" s="157">
        <f>AVERAGE(I82,I95)</f>
        <v>1.3095625630279735</v>
      </c>
      <c r="J100" s="3" t="s">
        <v>83</v>
      </c>
      <c r="S100" s="244">
        <f>AVERAGE(S84,S97)</f>
        <v>2.3378740116619046</v>
      </c>
      <c r="T100" s="245">
        <f>AVERAGE(T84,T97)</f>
        <v>0.23378740116619046</v>
      </c>
      <c r="U100" s="74">
        <f>AVERAGE(U84,U97)</f>
        <v>2.5015040765015315</v>
      </c>
      <c r="V100" s="79">
        <f>AVERAGE(V84,V97)</f>
        <v>0.25015040765015317</v>
      </c>
    </row>
    <row r="101" spans="1:22">
      <c r="H101" s="151">
        <f t="shared" ref="H101:I102" si="56">AVERAGE(H83,H96)</f>
        <v>2.8</v>
      </c>
      <c r="I101" s="544">
        <f t="shared" si="56"/>
        <v>2.5975283377589617</v>
      </c>
    </row>
    <row r="102" spans="1:22">
      <c r="H102" s="493">
        <f t="shared" si="56"/>
        <v>1.348224926455095</v>
      </c>
      <c r="I102" s="504">
        <f t="shared" si="56"/>
        <v>2.6584973818216153</v>
      </c>
    </row>
    <row r="104" spans="1:22">
      <c r="A104" t="s">
        <v>278</v>
      </c>
      <c r="H104" s="151">
        <f>H101</f>
        <v>2.8</v>
      </c>
      <c r="I104" t="s">
        <v>323</v>
      </c>
    </row>
    <row r="105" spans="1:22">
      <c r="C105" s="454"/>
      <c r="H105" s="157">
        <f>I100</f>
        <v>1.3095625630279735</v>
      </c>
      <c r="I105" t="s">
        <v>322</v>
      </c>
    </row>
    <row r="106" spans="1:22">
      <c r="H106" s="493">
        <f>H102</f>
        <v>1.348224926455095</v>
      </c>
      <c r="I106" t="s">
        <v>326</v>
      </c>
    </row>
    <row r="107" spans="1:22">
      <c r="A107" t="s">
        <v>279</v>
      </c>
      <c r="C107" s="308"/>
      <c r="D107" s="314"/>
      <c r="E107" s="311"/>
      <c r="F107" s="32"/>
      <c r="H107" s="544">
        <f>I101</f>
        <v>2.5975283377589617</v>
      </c>
      <c r="I107" t="s">
        <v>324</v>
      </c>
    </row>
    <row r="108" spans="1:22">
      <c r="H108" s="504">
        <f>I102</f>
        <v>2.6584973818216153</v>
      </c>
      <c r="I108" t="s">
        <v>325</v>
      </c>
    </row>
  </sheetData>
  <mergeCells count="6">
    <mergeCell ref="A1:V1"/>
    <mergeCell ref="A2:V2"/>
    <mergeCell ref="S4:T4"/>
    <mergeCell ref="S5:T5"/>
    <mergeCell ref="U5:V5"/>
    <mergeCell ref="U4:V4"/>
  </mergeCells>
  <conditionalFormatting sqref="A39:A40">
    <cfRule type="duplicateValues" dxfId="3" priority="2"/>
  </conditionalFormatting>
  <conditionalFormatting sqref="A52:A53">
    <cfRule type="duplicateValues" dxfId="2" priority="1"/>
  </conditionalFormatting>
  <pageMargins left="0.7" right="0.7" top="0.75" bottom="0.75" header="0.3" footer="0.3"/>
  <pageSetup scale="31" orientation="landscape" horizontalDpi="1200" verticalDpi="1200" r:id="rId1"/>
  <headerFooter>
    <oddHeader>&amp;LDraft Open-File Report&amp;RU.S. GEOLOGICAL SURVEY</oddHeader>
    <oddFooter>&amp;LPRELIMINARY - SUBJECT TO REVISION&amp;ROctober 21, 2019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B38D1-5D82-4EEB-AA00-824C80FE696E}">
  <sheetPr>
    <tabColor rgb="FFFFFF99"/>
  </sheetPr>
  <dimension ref="A1:Z108"/>
  <sheetViews>
    <sheetView workbookViewId="0">
      <pane xSplit="1" ySplit="6" topLeftCell="B85" activePane="bottomRight" state="frozen"/>
      <selection pane="topRight" activeCell="B1" sqref="B1"/>
      <selection pane="bottomLeft" activeCell="A7" sqref="A7"/>
      <selection pane="bottomRight" activeCell="V101" sqref="V101"/>
    </sheetView>
  </sheetViews>
  <sheetFormatPr baseColWidth="10" defaultColWidth="8.83203125" defaultRowHeight="15"/>
  <cols>
    <col min="1" max="1" width="30.6640625" customWidth="1"/>
    <col min="5" max="5" width="10" bestFit="1" customWidth="1"/>
    <col min="6" max="6" width="12.6640625" customWidth="1"/>
    <col min="7" max="7" width="2.1640625" customWidth="1"/>
    <col min="8" max="8" width="11" customWidth="1"/>
    <col min="9" max="9" width="11.5" bestFit="1" customWidth="1"/>
    <col min="10" max="10" width="4.5" customWidth="1"/>
    <col min="11" max="11" width="11.1640625" customWidth="1"/>
    <col min="12" max="12" width="9.5" bestFit="1" customWidth="1"/>
    <col min="13" max="13" width="8.83203125" customWidth="1"/>
    <col min="14" max="14" width="10.1640625" bestFit="1" customWidth="1"/>
    <col min="15" max="15" width="2.1640625" customWidth="1"/>
    <col min="16" max="16" width="17" bestFit="1" customWidth="1"/>
    <col min="17" max="17" width="17.5" bestFit="1" customWidth="1"/>
    <col min="18" max="18" width="5.83203125" customWidth="1"/>
    <col min="19" max="19" width="8.5" customWidth="1"/>
    <col min="20" max="20" width="13.1640625" customWidth="1"/>
    <col min="21" max="21" width="10.5" customWidth="1"/>
    <col min="22" max="22" width="11.5" customWidth="1"/>
    <col min="23" max="23" width="13.83203125" customWidth="1"/>
  </cols>
  <sheetData>
    <row r="1" spans="1:26" ht="16">
      <c r="A1" s="627" t="s">
        <v>275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  <c r="R1" s="627"/>
      <c r="S1" s="627"/>
      <c r="T1" s="627"/>
      <c r="U1" s="627"/>
      <c r="V1" s="627"/>
    </row>
    <row r="2" spans="1:26" ht="56.5" customHeight="1">
      <c r="A2" s="619" t="s">
        <v>141</v>
      </c>
      <c r="B2" s="619"/>
      <c r="C2" s="619"/>
      <c r="D2" s="619"/>
      <c r="E2" s="619"/>
      <c r="F2" s="619"/>
      <c r="G2" s="619"/>
      <c r="H2" s="619"/>
      <c r="I2" s="619"/>
      <c r="J2" s="619"/>
      <c r="K2" s="619"/>
      <c r="L2" s="619"/>
      <c r="M2" s="619"/>
      <c r="N2" s="619"/>
      <c r="O2" s="619"/>
      <c r="P2" s="619"/>
      <c r="Q2" s="619"/>
      <c r="R2" s="619"/>
      <c r="S2" s="619"/>
      <c r="T2" s="619"/>
      <c r="U2" s="619"/>
      <c r="V2" s="619"/>
    </row>
    <row r="4" spans="1:26">
      <c r="B4" s="42" t="s">
        <v>27</v>
      </c>
      <c r="C4" s="40" t="s">
        <v>62</v>
      </c>
      <c r="D4" s="40" t="s">
        <v>63</v>
      </c>
      <c r="E4" s="377" t="s">
        <v>64</v>
      </c>
      <c r="F4" s="377" t="s">
        <v>65</v>
      </c>
      <c r="G4" s="43"/>
      <c r="H4" s="40" t="s">
        <v>62</v>
      </c>
      <c r="I4" s="40" t="s">
        <v>56</v>
      </c>
      <c r="J4" s="378"/>
      <c r="K4" s="40" t="s">
        <v>16</v>
      </c>
      <c r="L4" s="40" t="s">
        <v>66</v>
      </c>
      <c r="M4" s="40" t="s">
        <v>17</v>
      </c>
      <c r="N4" s="40" t="s">
        <v>67</v>
      </c>
      <c r="P4" s="40" t="s">
        <v>73</v>
      </c>
      <c r="Q4" s="40" t="s">
        <v>74</v>
      </c>
      <c r="S4" s="617" t="s">
        <v>70</v>
      </c>
      <c r="T4" s="617"/>
      <c r="U4" s="630" t="s">
        <v>70</v>
      </c>
      <c r="V4" s="629"/>
      <c r="W4" s="40" t="s">
        <v>62</v>
      </c>
      <c r="X4" s="40" t="s">
        <v>63</v>
      </c>
      <c r="Y4" s="377" t="s">
        <v>64</v>
      </c>
      <c r="Z4" s="377" t="s">
        <v>65</v>
      </c>
    </row>
    <row r="5" spans="1:26">
      <c r="B5" s="377" t="s">
        <v>30</v>
      </c>
      <c r="C5" s="377" t="s">
        <v>31</v>
      </c>
      <c r="D5" s="377" t="s">
        <v>31</v>
      </c>
      <c r="E5" s="377" t="s">
        <v>31</v>
      </c>
      <c r="F5" s="377" t="s">
        <v>31</v>
      </c>
      <c r="G5" s="43"/>
      <c r="H5" s="40" t="s">
        <v>29</v>
      </c>
      <c r="I5" s="40" t="s">
        <v>29</v>
      </c>
      <c r="J5" s="378"/>
      <c r="K5" s="377" t="s">
        <v>31</v>
      </c>
      <c r="L5" s="377" t="s">
        <v>31</v>
      </c>
      <c r="M5" s="377" t="s">
        <v>31</v>
      </c>
      <c r="N5" s="377" t="s">
        <v>31</v>
      </c>
      <c r="P5" s="377" t="s">
        <v>31</v>
      </c>
      <c r="Q5" s="377" t="s">
        <v>31</v>
      </c>
      <c r="S5" s="628" t="s">
        <v>329</v>
      </c>
      <c r="T5" s="629"/>
      <c r="U5" s="630" t="s">
        <v>75</v>
      </c>
      <c r="V5" s="629"/>
    </row>
    <row r="6" spans="1:26" ht="58.5" customHeight="1">
      <c r="A6" s="17"/>
      <c r="B6" s="375" t="s">
        <v>28</v>
      </c>
      <c r="C6" s="18" t="s">
        <v>8</v>
      </c>
      <c r="D6" s="18" t="s">
        <v>8</v>
      </c>
      <c r="E6" s="375" t="s">
        <v>8</v>
      </c>
      <c r="F6" s="375" t="s">
        <v>8</v>
      </c>
      <c r="G6" s="20"/>
      <c r="H6" s="21" t="s">
        <v>136</v>
      </c>
      <c r="I6" s="21" t="s">
        <v>254</v>
      </c>
      <c r="J6" s="22"/>
      <c r="K6" s="18" t="s">
        <v>13</v>
      </c>
      <c r="L6" s="18" t="s">
        <v>8</v>
      </c>
      <c r="M6" s="18" t="s">
        <v>13</v>
      </c>
      <c r="N6" s="18" t="s">
        <v>8</v>
      </c>
      <c r="P6" s="18" t="s">
        <v>8</v>
      </c>
      <c r="Q6" s="18" t="s">
        <v>8</v>
      </c>
      <c r="S6" s="153" t="s">
        <v>289</v>
      </c>
      <c r="T6" s="18" t="s">
        <v>72</v>
      </c>
      <c r="U6" s="153" t="s">
        <v>290</v>
      </c>
      <c r="V6" s="375" t="s">
        <v>72</v>
      </c>
      <c r="W6" s="142" t="s">
        <v>126</v>
      </c>
      <c r="X6" s="142" t="s">
        <v>126</v>
      </c>
      <c r="Y6" s="142" t="s">
        <v>126</v>
      </c>
      <c r="Z6" s="142" t="s">
        <v>126</v>
      </c>
    </row>
    <row r="7" spans="1:26" ht="16">
      <c r="A7" s="1" t="s">
        <v>257</v>
      </c>
      <c r="C7" s="6"/>
      <c r="D7" s="6"/>
      <c r="H7" s="10"/>
      <c r="S7" s="18"/>
      <c r="T7" s="18"/>
    </row>
    <row r="8" spans="1:26">
      <c r="A8" s="62" t="s">
        <v>88</v>
      </c>
      <c r="B8" s="72">
        <v>328</v>
      </c>
      <c r="C8" s="5"/>
      <c r="D8" s="5"/>
      <c r="E8" s="2"/>
      <c r="F8" s="2"/>
      <c r="H8" s="374"/>
      <c r="I8" s="2"/>
      <c r="K8" s="2"/>
      <c r="L8" s="2"/>
      <c r="M8" s="2"/>
      <c r="N8" s="2"/>
      <c r="P8" s="2"/>
      <c r="Q8" s="2"/>
      <c r="S8" s="192"/>
      <c r="T8" s="192"/>
    </row>
    <row r="9" spans="1:26">
      <c r="A9" s="62" t="s">
        <v>95</v>
      </c>
      <c r="B9" s="72">
        <v>390.47352960000006</v>
      </c>
      <c r="C9" s="5"/>
      <c r="D9" s="5"/>
      <c r="E9" s="2"/>
      <c r="F9" s="2"/>
      <c r="H9" s="374"/>
      <c r="I9" s="2"/>
      <c r="K9" s="2"/>
      <c r="L9" s="2"/>
      <c r="M9" s="2"/>
      <c r="N9" s="2"/>
      <c r="P9" s="2"/>
      <c r="Q9" s="2"/>
      <c r="S9" s="192"/>
      <c r="T9" s="192"/>
    </row>
    <row r="10" spans="1:26">
      <c r="A10" s="62" t="s">
        <v>125</v>
      </c>
      <c r="B10" s="72">
        <v>1254.6041728</v>
      </c>
      <c r="C10" s="5"/>
      <c r="D10" s="5"/>
      <c r="E10" s="2"/>
      <c r="F10" s="2"/>
      <c r="H10" s="374"/>
      <c r="I10" s="2"/>
      <c r="K10" s="2"/>
      <c r="L10" s="2"/>
      <c r="M10" s="2"/>
      <c r="N10" s="2"/>
      <c r="P10" s="2"/>
      <c r="Q10" s="2"/>
      <c r="S10" s="192"/>
      <c r="T10" s="192"/>
    </row>
    <row r="11" spans="1:26">
      <c r="A11" s="62" t="s">
        <v>128</v>
      </c>
      <c r="B11" s="72">
        <v>250.5293824</v>
      </c>
      <c r="C11" s="5"/>
      <c r="D11" s="5"/>
      <c r="E11" s="2"/>
      <c r="F11" s="2"/>
      <c r="H11" s="374"/>
      <c r="I11" s="2"/>
      <c r="K11" s="2"/>
      <c r="L11" s="2"/>
      <c r="M11" s="2"/>
      <c r="N11" s="2"/>
      <c r="P11" s="2"/>
      <c r="Q11" s="2"/>
      <c r="S11" s="192"/>
      <c r="T11" s="192"/>
    </row>
    <row r="12" spans="1:26">
      <c r="A12" s="62" t="s">
        <v>247</v>
      </c>
      <c r="B12" s="72">
        <v>877.58681120000017</v>
      </c>
      <c r="C12" s="5"/>
      <c r="D12" s="5"/>
      <c r="E12" s="2"/>
      <c r="F12" s="2"/>
      <c r="H12" s="374"/>
      <c r="I12" s="2"/>
      <c r="K12" s="2"/>
      <c r="L12" s="2"/>
      <c r="M12" s="2"/>
      <c r="N12" s="2"/>
      <c r="P12" s="2"/>
      <c r="Q12" s="2"/>
      <c r="S12" s="192"/>
      <c r="T12" s="192"/>
    </row>
    <row r="13" spans="1:26">
      <c r="A13" s="2" t="s">
        <v>258</v>
      </c>
      <c r="B13" s="146">
        <f>SUM(B8:B12)</f>
        <v>3101.1938960000002</v>
      </c>
      <c r="C13" s="5"/>
      <c r="D13" s="5"/>
      <c r="E13" s="2"/>
      <c r="F13" s="2"/>
      <c r="H13" s="374"/>
      <c r="I13" s="2"/>
      <c r="J13" s="10" t="s">
        <v>26</v>
      </c>
      <c r="K13" s="2"/>
      <c r="L13" s="2"/>
      <c r="M13" s="2"/>
      <c r="N13" s="2"/>
      <c r="P13" s="2"/>
      <c r="Q13" s="2"/>
      <c r="S13" s="192"/>
      <c r="T13" s="192"/>
    </row>
    <row r="14" spans="1:26">
      <c r="A14" s="2" t="s">
        <v>258</v>
      </c>
      <c r="B14" s="2"/>
      <c r="C14" s="5"/>
      <c r="D14" s="5"/>
      <c r="E14" s="2"/>
      <c r="F14" s="2"/>
      <c r="H14" s="374"/>
      <c r="I14" s="2"/>
      <c r="J14" s="87" t="s">
        <v>265</v>
      </c>
      <c r="K14" s="2"/>
      <c r="L14" s="2"/>
      <c r="M14" s="2"/>
      <c r="N14" s="2"/>
      <c r="P14" s="2"/>
      <c r="Q14" s="2"/>
      <c r="S14" s="192"/>
      <c r="T14" s="192"/>
    </row>
    <row r="15" spans="1:26" ht="16">
      <c r="A15" s="1" t="s">
        <v>255</v>
      </c>
      <c r="C15" s="6"/>
      <c r="D15" s="6"/>
      <c r="H15" s="10"/>
      <c r="S15" s="192"/>
      <c r="T15" s="192"/>
    </row>
    <row r="16" spans="1:26">
      <c r="A16" s="62" t="s">
        <v>125</v>
      </c>
      <c r="B16" s="72">
        <v>1055.6975440000001</v>
      </c>
      <c r="C16" s="394">
        <v>1.9224630761504831</v>
      </c>
      <c r="D16" s="400">
        <v>4.725172265757132E-2</v>
      </c>
      <c r="E16" s="397">
        <f>C16+D16</f>
        <v>1.9697147988080543</v>
      </c>
      <c r="F16" s="397">
        <v>1.8164645703519211</v>
      </c>
      <c r="H16" s="105">
        <v>1.0592276945949488</v>
      </c>
      <c r="I16" s="156">
        <f>1000*C16/K16</f>
        <v>1.0721394258655215</v>
      </c>
      <c r="K16" s="77">
        <v>1793.1092074134933</v>
      </c>
      <c r="L16" s="394">
        <f>K16*H16/1000</f>
        <v>1.8993109319255705</v>
      </c>
      <c r="M16" s="77">
        <v>1064.1900528000001</v>
      </c>
      <c r="N16" s="394">
        <f>M16*H16/1000</f>
        <v>1.1272195762382209</v>
      </c>
      <c r="P16" s="397">
        <f t="shared" ref="P16:P18" si="0">D16+L16</f>
        <v>1.9465626545831418</v>
      </c>
      <c r="Q16" s="397">
        <f t="shared" ref="Q16:Q18" si="1">D16+N16</f>
        <v>1.1744712988957922</v>
      </c>
      <c r="S16" s="192"/>
      <c r="T16" s="192"/>
    </row>
    <row r="17" spans="1:26">
      <c r="A17" s="62" t="s">
        <v>128</v>
      </c>
      <c r="B17" s="412">
        <v>17.287506015999998</v>
      </c>
      <c r="C17" s="399">
        <v>7.5835011689198645E-3</v>
      </c>
      <c r="D17" s="401">
        <v>1.6717688647468335E-3</v>
      </c>
      <c r="E17" s="402">
        <f t="shared" ref="E17:E18" si="2">C17+D17</f>
        <v>9.2552700336666974E-3</v>
      </c>
      <c r="F17" s="403">
        <v>8.0750301376550059E-3</v>
      </c>
      <c r="H17" s="105">
        <v>3.8529556752279079</v>
      </c>
      <c r="I17" s="156">
        <f t="shared" ref="I17:I18" si="3">1000*C17/K17</f>
        <v>1.6576462050693976</v>
      </c>
      <c r="K17" s="408">
        <v>4.5748611167618725</v>
      </c>
      <c r="L17" s="398">
        <f t="shared" ref="L17" si="4">K17*H17/1000</f>
        <v>1.7626737103207141E-2</v>
      </c>
      <c r="M17" s="36">
        <v>2.8213919999999999</v>
      </c>
      <c r="N17" s="398">
        <f t="shared" ref="N17:N18" si="5">M17*H17/1000</f>
        <v>1.0870698318442618E-2</v>
      </c>
      <c r="P17" s="403">
        <f t="shared" si="0"/>
        <v>1.9298505967953974E-2</v>
      </c>
      <c r="Q17" s="403">
        <f t="shared" si="1"/>
        <v>1.2542467183189451E-2</v>
      </c>
      <c r="S17" s="192"/>
      <c r="T17" s="192"/>
    </row>
    <row r="18" spans="1:26">
      <c r="A18" s="62" t="s">
        <v>247</v>
      </c>
      <c r="B18" s="340">
        <v>828.16597600000011</v>
      </c>
      <c r="C18" s="394">
        <v>1.4856438517154886</v>
      </c>
      <c r="D18" s="400">
        <v>4.1653270531263532E-2</v>
      </c>
      <c r="E18" s="397">
        <f t="shared" si="2"/>
        <v>1.5272971222467522</v>
      </c>
      <c r="F18" s="397">
        <v>1.4273036267416308</v>
      </c>
      <c r="H18" s="105">
        <v>1.2131889267295133</v>
      </c>
      <c r="I18" s="156">
        <f t="shared" si="3"/>
        <v>1.0653757153698815</v>
      </c>
      <c r="K18" s="77">
        <v>1394.4788024379707</v>
      </c>
      <c r="L18" s="394">
        <f>K18*H18/1000</f>
        <v>1.6917662416767787</v>
      </c>
      <c r="M18" s="77">
        <v>733.9248</v>
      </c>
      <c r="N18" s="380">
        <f t="shared" si="5"/>
        <v>0.89038944041217272</v>
      </c>
      <c r="P18" s="397">
        <f t="shared" si="0"/>
        <v>1.7334195122080422</v>
      </c>
      <c r="Q18" s="387">
        <f t="shared" si="1"/>
        <v>0.93204271094343627</v>
      </c>
      <c r="S18" s="192"/>
      <c r="T18" s="192"/>
    </row>
    <row r="19" spans="1:26">
      <c r="A19" s="2" t="s">
        <v>256</v>
      </c>
      <c r="B19" s="146">
        <f>SUM(B16:B18)</f>
        <v>1901.1510260160003</v>
      </c>
      <c r="C19" s="416">
        <f t="shared" ref="C19:F19" si="6">SUM(C16:C18)</f>
        <v>3.4156904290348917</v>
      </c>
      <c r="D19" s="422">
        <f t="shared" si="6"/>
        <v>9.0576762053581686E-2</v>
      </c>
      <c r="E19" s="416">
        <f t="shared" si="6"/>
        <v>3.5062671910884733</v>
      </c>
      <c r="F19" s="416">
        <f t="shared" si="6"/>
        <v>3.2518432272312072</v>
      </c>
      <c r="H19" s="374"/>
      <c r="I19" s="2"/>
      <c r="J19" s="10" t="s">
        <v>26</v>
      </c>
      <c r="K19" s="415">
        <f t="shared" ref="K19:N19" si="7">SUM(K16:K18)</f>
        <v>3192.1628709682259</v>
      </c>
      <c r="L19" s="416">
        <f t="shared" si="7"/>
        <v>3.6087039107055565</v>
      </c>
      <c r="M19" s="415">
        <f t="shared" si="7"/>
        <v>1800.9362448000002</v>
      </c>
      <c r="N19" s="416">
        <f t="shared" si="7"/>
        <v>2.0284797149688361</v>
      </c>
      <c r="P19" s="416">
        <f t="shared" ref="P19" si="8">SUM(P16:P18)</f>
        <v>3.6992806727591381</v>
      </c>
      <c r="Q19" s="416">
        <f t="shared" ref="Q19" si="9">SUM(Q16:Q18)</f>
        <v>2.1190564770224181</v>
      </c>
      <c r="S19" s="192"/>
      <c r="T19" s="192"/>
    </row>
    <row r="20" spans="1:26">
      <c r="A20" s="2" t="s">
        <v>256</v>
      </c>
      <c r="B20" s="2"/>
      <c r="C20" s="5"/>
      <c r="D20" s="53">
        <f>D19/F19</f>
        <v>2.7853975645284589E-2</v>
      </c>
      <c r="E20" s="2"/>
      <c r="F20" s="2"/>
      <c r="H20" s="151">
        <v>1.1499999999999999</v>
      </c>
      <c r="I20" s="503">
        <f>1000*C19/M19</f>
        <v>1.8966192939352027</v>
      </c>
      <c r="J20" s="87" t="s">
        <v>242</v>
      </c>
      <c r="K20" s="415">
        <f>SUM(K16:K18)</f>
        <v>3192.1628709682259</v>
      </c>
      <c r="L20" s="416">
        <f>H20*K20/1000</f>
        <v>3.6709873016134593</v>
      </c>
      <c r="M20" s="415">
        <f>SUM(M16:M18)</f>
        <v>1800.9362448000002</v>
      </c>
      <c r="N20" s="416">
        <f>H20*M20/1000</f>
        <v>2.0710766815200001</v>
      </c>
      <c r="P20" s="416">
        <f>D19+L20</f>
        <v>3.7615640636670409</v>
      </c>
      <c r="Q20" s="416">
        <f>D19+N20</f>
        <v>2.1616534435735817</v>
      </c>
      <c r="S20" s="192"/>
      <c r="T20" s="192"/>
    </row>
    <row r="21" spans="1:26" ht="16">
      <c r="A21" s="1" t="s">
        <v>159</v>
      </c>
      <c r="C21" s="6"/>
      <c r="D21" s="6"/>
      <c r="H21" s="479">
        <f>1000*(F19-D19)/K19</f>
        <v>0.99032116873747467</v>
      </c>
      <c r="I21" s="504">
        <f>1000*(F19-D19)/M19</f>
        <v>1.755346128606954</v>
      </c>
      <c r="S21" s="192"/>
      <c r="T21" s="192"/>
    </row>
    <row r="22" spans="1:26">
      <c r="A22" s="2" t="s">
        <v>1</v>
      </c>
      <c r="B22" s="72">
        <v>204.980803196007</v>
      </c>
      <c r="C22" s="380">
        <v>0.22783854701179901</v>
      </c>
      <c r="D22" s="400">
        <v>2.3133697089485875E-2</v>
      </c>
      <c r="E22" s="387">
        <f>C22+D22</f>
        <v>0.25097224410128488</v>
      </c>
      <c r="F22" s="387">
        <v>0.1781083950998231</v>
      </c>
      <c r="G22" s="26"/>
      <c r="H22" s="105">
        <v>3.672585830602368</v>
      </c>
      <c r="I22" s="156">
        <f>1000*C22/K22</f>
        <v>1.1489296527379811</v>
      </c>
      <c r="J22" s="10"/>
      <c r="K22" s="407">
        <v>198.30504545586717</v>
      </c>
      <c r="L22" s="380">
        <f>K22*H22/1000</f>
        <v>0.72829230007817625</v>
      </c>
      <c r="M22" s="143">
        <v>180.9888007335</v>
      </c>
      <c r="N22" s="380">
        <f>M22*H22/1000</f>
        <v>0.66469690507156753</v>
      </c>
      <c r="P22" s="387">
        <f t="shared" ref="P22:P29" si="10">D22+L22</f>
        <v>0.75142599716766212</v>
      </c>
      <c r="Q22" s="387">
        <f t="shared" ref="Q22:Q29" si="11">D22+N22</f>
        <v>0.68783060216105341</v>
      </c>
      <c r="R22" s="51"/>
      <c r="S22" s="51"/>
      <c r="T22" s="51"/>
      <c r="U22" s="51"/>
      <c r="V22" s="51"/>
      <c r="W22" s="9">
        <f t="shared" ref="W22:Z29" si="12">1000*C22/$B22</f>
        <v>1.1115116316230595</v>
      </c>
      <c r="X22" s="71">
        <f>1000*D22/$B22</f>
        <v>0.11285787121911578</v>
      </c>
      <c r="Y22" s="71">
        <f>1000*E22/$B22</f>
        <v>1.2243695028421753</v>
      </c>
      <c r="Z22" s="71">
        <f>1000*F22/$B22</f>
        <v>0.86890280613015292</v>
      </c>
    </row>
    <row r="23" spans="1:26">
      <c r="A23" s="2" t="s">
        <v>2</v>
      </c>
      <c r="B23" s="72">
        <v>485</v>
      </c>
      <c r="C23" s="380">
        <v>0.63889111044887481</v>
      </c>
      <c r="D23" s="400">
        <v>4.5872866562750851E-2</v>
      </c>
      <c r="E23" s="387">
        <f t="shared" ref="E23:E29" si="13">C23+D23</f>
        <v>0.68476397701162561</v>
      </c>
      <c r="F23" s="387">
        <v>0.52669409488203744</v>
      </c>
      <c r="G23" s="26"/>
      <c r="H23" s="105">
        <v>2.6452590687557636</v>
      </c>
      <c r="I23" s="156">
        <f t="shared" ref="I23:I29" si="14">1000*C23/K23</f>
        <v>0.9690519456462301</v>
      </c>
      <c r="J23" s="10"/>
      <c r="K23" s="77">
        <v>659.29500819774785</v>
      </c>
      <c r="L23" s="394">
        <f t="shared" ref="L23:L31" si="15">K23*H23/1000</f>
        <v>1.744006099420498</v>
      </c>
      <c r="M23" s="77">
        <v>377</v>
      </c>
      <c r="N23" s="394">
        <f t="shared" ref="N23:N29" si="16">M23*H23/1000</f>
        <v>0.99726266892092286</v>
      </c>
      <c r="P23" s="397">
        <f t="shared" si="10"/>
        <v>1.7898789659832488</v>
      </c>
      <c r="Q23" s="397">
        <f t="shared" si="11"/>
        <v>1.0431355354836738</v>
      </c>
      <c r="U23" s="51"/>
      <c r="V23" s="51"/>
      <c r="W23" s="9">
        <f t="shared" si="12"/>
        <v>1.3173012586574737</v>
      </c>
      <c r="X23" s="71">
        <f t="shared" si="12"/>
        <v>9.4583230026290419E-2</v>
      </c>
      <c r="Y23" s="71">
        <f t="shared" si="12"/>
        <v>1.411884488683764</v>
      </c>
      <c r="Z23" s="71">
        <f t="shared" si="12"/>
        <v>1.0859672059423453</v>
      </c>
    </row>
    <row r="24" spans="1:26">
      <c r="A24" s="2" t="s">
        <v>3</v>
      </c>
      <c r="B24" s="72">
        <v>36.921198227783513</v>
      </c>
      <c r="C24" s="398">
        <v>2.1729498654749331E-2</v>
      </c>
      <c r="D24" s="401">
        <v>4.3334013236311624E-3</v>
      </c>
      <c r="E24" s="403">
        <f t="shared" si="13"/>
        <v>2.6062899978380495E-2</v>
      </c>
      <c r="F24" s="403">
        <v>2.5471507914821969E-2</v>
      </c>
      <c r="G24" s="26"/>
      <c r="H24" s="105">
        <v>5.0486068989917996</v>
      </c>
      <c r="I24" s="156">
        <f t="shared" si="14"/>
        <v>1.4446324772833605</v>
      </c>
      <c r="J24" s="10"/>
      <c r="K24" s="408">
        <v>15.04154101229385</v>
      </c>
      <c r="L24" s="398">
        <f t="shared" si="15"/>
        <v>7.5938827726134833E-2</v>
      </c>
      <c r="M24" s="36">
        <v>4.6901451574999999</v>
      </c>
      <c r="N24" s="398">
        <f t="shared" si="16"/>
        <v>2.3678699199427479E-2</v>
      </c>
      <c r="P24" s="403">
        <f t="shared" si="10"/>
        <v>8.0272229049765997E-2</v>
      </c>
      <c r="Q24" s="403">
        <f t="shared" si="11"/>
        <v>2.8012100523058643E-2</v>
      </c>
      <c r="R24" s="51"/>
      <c r="S24" s="51"/>
      <c r="T24" s="51"/>
      <c r="U24" s="51"/>
      <c r="V24" s="51"/>
      <c r="W24" s="9">
        <f t="shared" si="12"/>
        <v>0.58853720078883298</v>
      </c>
      <c r="X24" s="71">
        <f t="shared" si="12"/>
        <v>0.1173689244020862</v>
      </c>
      <c r="Y24" s="71">
        <f t="shared" si="12"/>
        <v>0.70590612519091933</v>
      </c>
      <c r="Z24" s="71">
        <f t="shared" si="12"/>
        <v>0.68988844180182773</v>
      </c>
    </row>
    <row r="25" spans="1:26">
      <c r="A25" s="2" t="s">
        <v>4</v>
      </c>
      <c r="B25" s="72">
        <v>117.21609517589853</v>
      </c>
      <c r="C25" s="380">
        <v>0.13701366599408699</v>
      </c>
      <c r="D25" s="400">
        <v>9.2020583698500195E-3</v>
      </c>
      <c r="E25" s="387">
        <f t="shared" si="13"/>
        <v>0.14621572436393701</v>
      </c>
      <c r="F25" s="387">
        <v>0.11188836446932882</v>
      </c>
      <c r="G25" s="26"/>
      <c r="H25" s="105">
        <v>4.0493251534086854</v>
      </c>
      <c r="I25" s="156">
        <f t="shared" si="14"/>
        <v>1.4422666887952729</v>
      </c>
      <c r="J25" s="10"/>
      <c r="K25" s="407">
        <v>94.998842487677962</v>
      </c>
      <c r="L25" s="380">
        <f t="shared" si="15"/>
        <v>0.3846812024300641</v>
      </c>
      <c r="M25" s="143">
        <v>81.510549787499997</v>
      </c>
      <c r="N25" s="380">
        <f t="shared" si="16"/>
        <v>0.33006271952269467</v>
      </c>
      <c r="P25" s="387">
        <f t="shared" si="10"/>
        <v>0.39388326079991409</v>
      </c>
      <c r="Q25" s="387">
        <f t="shared" si="11"/>
        <v>0.33926477789254467</v>
      </c>
      <c r="R25" s="51"/>
      <c r="S25" s="51"/>
      <c r="T25" s="51"/>
      <c r="U25" s="51"/>
      <c r="V25" s="51"/>
      <c r="W25" s="9">
        <f t="shared" si="12"/>
        <v>1.168898057800676</v>
      </c>
      <c r="X25" s="71">
        <f t="shared" si="12"/>
        <v>7.8505075229140617E-2</v>
      </c>
      <c r="Y25" s="71">
        <f t="shared" si="12"/>
        <v>1.2474031330298165</v>
      </c>
      <c r="Z25" s="71">
        <f t="shared" si="12"/>
        <v>0.95454778886316993</v>
      </c>
    </row>
    <row r="26" spans="1:26">
      <c r="A26" s="2" t="s">
        <v>5</v>
      </c>
      <c r="B26" s="72">
        <v>3</v>
      </c>
      <c r="C26" s="399">
        <v>8.0162205460406703E-4</v>
      </c>
      <c r="D26" s="401">
        <v>2.6180171837084261E-4</v>
      </c>
      <c r="E26" s="402">
        <f t="shared" si="13"/>
        <v>1.0634237729749097E-3</v>
      </c>
      <c r="F26" s="402">
        <v>1.2858252207523131E-3</v>
      </c>
      <c r="G26" s="26"/>
      <c r="H26" s="105">
        <v>3.6854513697053712</v>
      </c>
      <c r="I26" s="156">
        <f t="shared" si="14"/>
        <v>1.5230262104458576</v>
      </c>
      <c r="J26" s="10"/>
      <c r="K26" s="408">
        <v>0.52633503554045635</v>
      </c>
      <c r="L26" s="399">
        <f t="shared" si="15"/>
        <v>1.9397821776565001E-3</v>
      </c>
      <c r="M26" s="39">
        <v>0.12</v>
      </c>
      <c r="N26" s="399">
        <f t="shared" si="16"/>
        <v>4.4225416436464456E-4</v>
      </c>
      <c r="P26" s="402">
        <f t="shared" si="10"/>
        <v>2.2015838960273426E-3</v>
      </c>
      <c r="Q26" s="402">
        <f t="shared" si="11"/>
        <v>7.0405588273548723E-4</v>
      </c>
      <c r="R26" s="75" t="s">
        <v>84</v>
      </c>
      <c r="S26" s="33"/>
      <c r="T26" s="33"/>
      <c r="U26" s="51"/>
      <c r="V26" s="51"/>
      <c r="W26" s="9">
        <f t="shared" si="12"/>
        <v>0.267207351534689</v>
      </c>
      <c r="X26" s="71">
        <f t="shared" si="12"/>
        <v>8.7267239456947532E-2</v>
      </c>
      <c r="Y26" s="71">
        <f t="shared" si="12"/>
        <v>0.35447459099163653</v>
      </c>
      <c r="Z26" s="71">
        <f t="shared" si="12"/>
        <v>0.42860840691743768</v>
      </c>
    </row>
    <row r="27" spans="1:26">
      <c r="A27" s="2" t="s">
        <v>88</v>
      </c>
      <c r="B27" s="72">
        <v>86</v>
      </c>
      <c r="C27" s="398">
        <v>9.4897490613086027E-2</v>
      </c>
      <c r="D27" s="401">
        <v>4.5218730902828481E-3</v>
      </c>
      <c r="E27" s="403">
        <f t="shared" si="13"/>
        <v>9.9419363703368874E-2</v>
      </c>
      <c r="F27" s="403">
        <v>8.8318150378927554E-2</v>
      </c>
      <c r="G27" s="26"/>
      <c r="H27" s="105">
        <v>0.88713910838562482</v>
      </c>
      <c r="I27" s="156">
        <f t="shared" si="14"/>
        <v>1.3462975307758287</v>
      </c>
      <c r="J27" s="10"/>
      <c r="K27" s="407">
        <v>70.487755079220562</v>
      </c>
      <c r="L27" s="380">
        <f t="shared" si="15"/>
        <v>6.2532444193084027E-2</v>
      </c>
      <c r="M27" s="143">
        <v>102</v>
      </c>
      <c r="N27" s="380">
        <f t="shared" si="16"/>
        <v>9.0488189055333734E-2</v>
      </c>
      <c r="P27" s="387">
        <f t="shared" si="10"/>
        <v>6.7054317283366874E-2</v>
      </c>
      <c r="Q27" s="387">
        <f t="shared" si="11"/>
        <v>9.5010062145616581E-2</v>
      </c>
      <c r="R27" s="33"/>
      <c r="S27" s="33"/>
      <c r="T27" s="33"/>
      <c r="U27" s="51"/>
      <c r="V27" s="51"/>
      <c r="W27" s="9">
        <f t="shared" si="12"/>
        <v>1.1034591931754187</v>
      </c>
      <c r="X27" s="71">
        <f t="shared" si="12"/>
        <v>5.2579919654451725E-2</v>
      </c>
      <c r="Y27" s="71">
        <f t="shared" si="12"/>
        <v>1.1560391128298706</v>
      </c>
      <c r="Z27" s="71">
        <f t="shared" si="12"/>
        <v>1.0269552369642738</v>
      </c>
    </row>
    <row r="28" spans="1:26">
      <c r="A28" s="62" t="s">
        <v>95</v>
      </c>
      <c r="B28" s="72">
        <v>140.84107579462102</v>
      </c>
      <c r="C28" s="398">
        <v>9.261095507635661E-2</v>
      </c>
      <c r="D28" s="401">
        <v>8.0565270164747512E-3</v>
      </c>
      <c r="E28" s="403">
        <f t="shared" si="13"/>
        <v>0.10066748209283136</v>
      </c>
      <c r="F28" s="403">
        <v>0.13229472767609299</v>
      </c>
      <c r="G28" s="26"/>
      <c r="H28" s="105">
        <v>0.9235407814376515</v>
      </c>
      <c r="I28" s="156">
        <f t="shared" si="14"/>
        <v>1.0367828996619217</v>
      </c>
      <c r="J28" s="10"/>
      <c r="K28" s="407">
        <v>89.325311120154041</v>
      </c>
      <c r="L28" s="380">
        <f t="shared" si="15"/>
        <v>8.2495567634068415E-2</v>
      </c>
      <c r="M28" s="143">
        <v>151</v>
      </c>
      <c r="N28" s="380">
        <f t="shared" si="16"/>
        <v>0.13945465799708537</v>
      </c>
      <c r="P28" s="387">
        <f t="shared" si="10"/>
        <v>9.0552094650543161E-2</v>
      </c>
      <c r="Q28" s="387">
        <f t="shared" si="11"/>
        <v>0.14751118501356011</v>
      </c>
      <c r="R28" s="33"/>
      <c r="S28" s="33"/>
      <c r="T28" s="33"/>
      <c r="U28" s="51"/>
      <c r="V28" s="51"/>
      <c r="W28" s="9">
        <f t="shared" si="12"/>
        <v>0.65755643056436797</v>
      </c>
      <c r="X28" s="71">
        <f t="shared" si="12"/>
        <v>5.7202964199329444E-2</v>
      </c>
      <c r="Y28" s="71">
        <f t="shared" si="12"/>
        <v>0.71475939476369743</v>
      </c>
      <c r="Z28" s="71">
        <f t="shared" si="12"/>
        <v>0.93931920733841456</v>
      </c>
    </row>
    <row r="29" spans="1:26">
      <c r="A29" s="62" t="s">
        <v>125</v>
      </c>
      <c r="B29" s="72">
        <v>1043</v>
      </c>
      <c r="C29" s="380">
        <v>1.5491014180455767</v>
      </c>
      <c r="D29" s="400">
        <v>5.7226015807424521E-2</v>
      </c>
      <c r="E29" s="387">
        <f t="shared" si="13"/>
        <v>1.6063274338530011</v>
      </c>
      <c r="F29" s="387">
        <v>1.9209083474047528</v>
      </c>
      <c r="G29" s="26"/>
      <c r="H29" s="105">
        <v>1.1702002116087709</v>
      </c>
      <c r="I29" s="156">
        <f t="shared" si="14"/>
        <v>0.81401848800963739</v>
      </c>
      <c r="J29" s="10"/>
      <c r="K29" s="77">
        <v>1903.0297724973002</v>
      </c>
      <c r="L29" s="380">
        <f>K29*H29/1000</f>
        <v>2.2269258424741318</v>
      </c>
      <c r="M29" s="77">
        <v>1065</v>
      </c>
      <c r="N29" s="380">
        <f t="shared" si="16"/>
        <v>1.246263225363341</v>
      </c>
      <c r="P29" s="397">
        <f t="shared" si="10"/>
        <v>2.2841518582815565</v>
      </c>
      <c r="Q29" s="397">
        <f t="shared" si="11"/>
        <v>1.3034892411707655</v>
      </c>
      <c r="R29" s="75" t="s">
        <v>85</v>
      </c>
      <c r="S29" s="33"/>
      <c r="T29" s="33"/>
      <c r="U29" s="51"/>
      <c r="V29" s="51"/>
      <c r="W29" s="9">
        <f t="shared" si="12"/>
        <v>1.4852362589123458</v>
      </c>
      <c r="X29" s="71">
        <f t="shared" si="12"/>
        <v>5.4866745740579599E-2</v>
      </c>
      <c r="Y29" s="71">
        <f t="shared" si="12"/>
        <v>1.5401030046529254</v>
      </c>
      <c r="Z29" s="71">
        <f>1000*F29/$B29</f>
        <v>1.841714618796503</v>
      </c>
    </row>
    <row r="30" spans="1:26">
      <c r="A30" s="2" t="s">
        <v>261</v>
      </c>
      <c r="B30" s="414">
        <f>SUM(B22:B29)</f>
        <v>2116.9591723943099</v>
      </c>
      <c r="C30" s="424">
        <f>SUM(C22:C29)</f>
        <v>2.7628843078991334</v>
      </c>
      <c r="D30" s="517">
        <f>SUM(D22:D29)</f>
        <v>0.15260824097827086</v>
      </c>
      <c r="E30" s="424">
        <f>SUM(E22:E29)</f>
        <v>2.9154925488774044</v>
      </c>
      <c r="F30" s="424">
        <f>SUM(F22:F29)</f>
        <v>2.984969413046537</v>
      </c>
      <c r="G30" s="26"/>
      <c r="H30" s="152"/>
      <c r="I30" s="157">
        <f>1000*C30/K30</f>
        <v>0.91153927654214528</v>
      </c>
      <c r="J30" s="10" t="s">
        <v>26</v>
      </c>
      <c r="K30" s="415">
        <f>SUM(K22:K29)</f>
        <v>3031.0096108858024</v>
      </c>
      <c r="L30" s="416">
        <f>SUM(L22:L29)</f>
        <v>5.3068120661338138</v>
      </c>
      <c r="M30" s="415">
        <f>SUM(M22:M29)</f>
        <v>1962.3094956784998</v>
      </c>
      <c r="N30" s="416">
        <f>SUM(N22:N29)</f>
        <v>3.4923493192947372</v>
      </c>
      <c r="P30" s="416">
        <f>L30+$D$30</f>
        <v>5.4594203071120848</v>
      </c>
      <c r="Q30" s="416">
        <f>N30+$D$30</f>
        <v>3.6449575602730082</v>
      </c>
      <c r="R30" s="51"/>
      <c r="S30" s="51"/>
      <c r="T30" s="51"/>
      <c r="W30" s="149" t="s">
        <v>133</v>
      </c>
      <c r="X30" s="120">
        <f>D30/E30</f>
        <v>5.2343896758382004E-2</v>
      </c>
      <c r="Y30" s="120">
        <f>D30/P30</f>
        <v>2.7953195100121779E-2</v>
      </c>
      <c r="Z30" s="120">
        <f>D30/Q30</f>
        <v>4.1868317656582117E-2</v>
      </c>
    </row>
    <row r="31" spans="1:26">
      <c r="A31" s="2" t="s">
        <v>261</v>
      </c>
      <c r="C31" s="33"/>
      <c r="D31" s="53">
        <f>D30/F30</f>
        <v>5.112556273148372E-2</v>
      </c>
      <c r="E31" s="33"/>
      <c r="F31" s="33"/>
      <c r="G31" s="26"/>
      <c r="H31" s="151">
        <v>2</v>
      </c>
      <c r="I31" s="503">
        <f>1000*C30/M30</f>
        <v>1.4079758131852804</v>
      </c>
      <c r="J31" s="87" t="s">
        <v>264</v>
      </c>
      <c r="K31" s="415">
        <f>SUM(K22:K29)</f>
        <v>3031.0096108858024</v>
      </c>
      <c r="L31" s="416">
        <f t="shared" si="15"/>
        <v>6.0620192217716049</v>
      </c>
      <c r="M31" s="415">
        <f>SUM(M22:M29)</f>
        <v>1962.3094956784998</v>
      </c>
      <c r="N31" s="416">
        <f>M31*H31/1000</f>
        <v>3.9246189913569998</v>
      </c>
      <c r="P31" s="416">
        <f>L31+$D$30</f>
        <v>6.2146274627498759</v>
      </c>
      <c r="Q31" s="416">
        <f>N31+$D$30</f>
        <v>4.0772272323352707</v>
      </c>
      <c r="R31" s="51"/>
      <c r="S31" s="32"/>
      <c r="T31" s="6"/>
      <c r="U31" s="32"/>
      <c r="V31" s="6"/>
    </row>
    <row r="32" spans="1:26">
      <c r="A32" s="331" t="s">
        <v>288</v>
      </c>
      <c r="C32" s="33"/>
      <c r="D32" s="33"/>
      <c r="E32" s="33"/>
      <c r="F32" s="33"/>
      <c r="G32" s="26"/>
      <c r="H32" s="493">
        <f>1000*(F30-D30)/K30</f>
        <v>0.93446129695396052</v>
      </c>
      <c r="I32" s="504">
        <f>1000*(F30-D30)/M30</f>
        <v>1.443381473873433</v>
      </c>
      <c r="J32" s="6"/>
      <c r="K32" s="250"/>
      <c r="L32" s="31"/>
      <c r="M32" s="250"/>
      <c r="N32" s="31"/>
      <c r="O32" s="26"/>
      <c r="P32" s="31"/>
      <c r="Q32" s="31"/>
      <c r="R32" s="28"/>
      <c r="S32" s="32"/>
      <c r="T32" s="6"/>
      <c r="U32" s="32"/>
      <c r="V32" s="6"/>
    </row>
    <row r="33" spans="1:24">
      <c r="A33" s="54" t="s">
        <v>291</v>
      </c>
      <c r="B33" s="72">
        <v>204.980803196007</v>
      </c>
      <c r="C33" s="380">
        <v>0.22783854701179901</v>
      </c>
      <c r="D33" s="400">
        <v>2.3133697089485875E-2</v>
      </c>
      <c r="E33" s="387">
        <f>C33+D33</f>
        <v>0.25097224410128488</v>
      </c>
      <c r="F33" s="387">
        <v>0.1781083950998231</v>
      </c>
      <c r="G33" s="26"/>
      <c r="H33" s="105">
        <v>3.672585830602368</v>
      </c>
      <c r="I33" s="156">
        <f t="shared" ref="I33:I42" si="17">1000*C33/K33</f>
        <v>1.1489296527379811</v>
      </c>
      <c r="J33" s="27"/>
      <c r="K33" s="407">
        <v>198.30504545586717</v>
      </c>
      <c r="L33" s="380">
        <f>K33*H33/1000</f>
        <v>0.72829230007817625</v>
      </c>
      <c r="M33" s="143">
        <v>180.9888007335</v>
      </c>
      <c r="N33" s="380">
        <f>M33*H33/1000</f>
        <v>0.66469690507156753</v>
      </c>
      <c r="O33" s="26"/>
      <c r="P33" s="387">
        <f t="shared" ref="P33:P42" si="18">D33+L33</f>
        <v>0.75142599716766212</v>
      </c>
      <c r="Q33" s="387">
        <f t="shared" ref="Q33:Q42" si="19">D33+N33</f>
        <v>0.68783060216105341</v>
      </c>
      <c r="R33" s="28"/>
      <c r="S33" s="32"/>
      <c r="T33" s="6"/>
      <c r="U33" s="32"/>
      <c r="V33" s="6"/>
    </row>
    <row r="34" spans="1:24">
      <c r="A34" s="54" t="s">
        <v>292</v>
      </c>
      <c r="B34" s="72">
        <v>485</v>
      </c>
      <c r="C34" s="380">
        <v>0.63889111044887481</v>
      </c>
      <c r="D34" s="400">
        <v>4.5872866562750851E-2</v>
      </c>
      <c r="E34" s="387">
        <f t="shared" ref="E34:E39" si="20">C34+D34</f>
        <v>0.68476397701162561</v>
      </c>
      <c r="F34" s="387">
        <v>0.52669409488203744</v>
      </c>
      <c r="G34" s="26"/>
      <c r="H34" s="105">
        <v>2.6452590687557636</v>
      </c>
      <c r="I34" s="156">
        <f t="shared" si="17"/>
        <v>0.9690519456462301</v>
      </c>
      <c r="J34" s="27"/>
      <c r="K34" s="77">
        <v>659.29500819774785</v>
      </c>
      <c r="L34" s="394">
        <f t="shared" ref="L34:L39" si="21">K34*H34/1000</f>
        <v>1.744006099420498</v>
      </c>
      <c r="M34" s="77">
        <v>377</v>
      </c>
      <c r="N34" s="394">
        <f t="shared" ref="N34:N42" si="22">M34*H34/1000</f>
        <v>0.99726266892092286</v>
      </c>
      <c r="O34" s="26"/>
      <c r="P34" s="387">
        <f t="shared" si="18"/>
        <v>1.7898789659832488</v>
      </c>
      <c r="Q34" s="387">
        <f t="shared" si="19"/>
        <v>1.0431355354836738</v>
      </c>
      <c r="R34" s="28"/>
      <c r="S34" s="32"/>
      <c r="T34" s="6"/>
      <c r="U34" s="32"/>
      <c r="V34" s="6"/>
    </row>
    <row r="35" spans="1:24">
      <c r="A35" s="54" t="s">
        <v>293</v>
      </c>
      <c r="B35" s="72">
        <v>36.921198227783513</v>
      </c>
      <c r="C35" s="398">
        <v>2.1729498654749331E-2</v>
      </c>
      <c r="D35" s="401">
        <v>4.3334013236311624E-3</v>
      </c>
      <c r="E35" s="403">
        <f t="shared" si="20"/>
        <v>2.6062899978380495E-2</v>
      </c>
      <c r="F35" s="403">
        <v>2.5471507914821969E-2</v>
      </c>
      <c r="G35" s="26"/>
      <c r="H35" s="105">
        <v>5.0486068989917996</v>
      </c>
      <c r="I35" s="156">
        <f t="shared" si="17"/>
        <v>1.4446324772833605</v>
      </c>
      <c r="J35" s="27"/>
      <c r="K35" s="408">
        <v>15.04154101229385</v>
      </c>
      <c r="L35" s="398">
        <f t="shared" si="21"/>
        <v>7.5938827726134833E-2</v>
      </c>
      <c r="M35" s="36">
        <v>4.6901451574999999</v>
      </c>
      <c r="N35" s="398">
        <f t="shared" si="22"/>
        <v>2.3678699199427479E-2</v>
      </c>
      <c r="O35" s="26"/>
      <c r="P35" s="387">
        <f t="shared" si="18"/>
        <v>8.0272229049765997E-2</v>
      </c>
      <c r="Q35" s="387">
        <f t="shared" si="19"/>
        <v>2.8012100523058643E-2</v>
      </c>
      <c r="R35" s="28"/>
      <c r="S35" s="32"/>
      <c r="T35" s="6"/>
      <c r="U35" s="32"/>
      <c r="V35" s="6"/>
    </row>
    <row r="36" spans="1:24">
      <c r="A36" s="54" t="s">
        <v>294</v>
      </c>
      <c r="B36" s="72">
        <v>117.21609517589853</v>
      </c>
      <c r="C36" s="380">
        <v>0.13701366599408699</v>
      </c>
      <c r="D36" s="400">
        <v>9.2020583698500195E-3</v>
      </c>
      <c r="E36" s="387">
        <f t="shared" si="20"/>
        <v>0.14621572436393701</v>
      </c>
      <c r="F36" s="387">
        <v>0.11188836446932882</v>
      </c>
      <c r="G36" s="26"/>
      <c r="H36" s="105">
        <v>4.0493251534086854</v>
      </c>
      <c r="I36" s="156">
        <f t="shared" si="17"/>
        <v>1.4422666887952729</v>
      </c>
      <c r="J36" s="27"/>
      <c r="K36" s="407">
        <v>94.998842487677962</v>
      </c>
      <c r="L36" s="380">
        <f t="shared" si="21"/>
        <v>0.3846812024300641</v>
      </c>
      <c r="M36" s="143">
        <v>81.510549787499997</v>
      </c>
      <c r="N36" s="380">
        <f t="shared" si="22"/>
        <v>0.33006271952269467</v>
      </c>
      <c r="O36" s="26"/>
      <c r="P36" s="387">
        <f t="shared" si="18"/>
        <v>0.39388326079991409</v>
      </c>
      <c r="Q36" s="387">
        <f t="shared" si="19"/>
        <v>0.33926477789254467</v>
      </c>
      <c r="R36" s="28"/>
      <c r="S36" s="32"/>
      <c r="T36" s="6"/>
      <c r="U36" s="32"/>
      <c r="V36" s="6"/>
    </row>
    <row r="37" spans="1:24">
      <c r="A37" s="54" t="s">
        <v>295</v>
      </c>
      <c r="B37" s="72">
        <v>3</v>
      </c>
      <c r="C37" s="399">
        <v>8.0162205460406703E-4</v>
      </c>
      <c r="D37" s="401">
        <v>2.6180171837084261E-4</v>
      </c>
      <c r="E37" s="402">
        <f t="shared" si="20"/>
        <v>1.0634237729749097E-3</v>
      </c>
      <c r="F37" s="402">
        <v>1.2858252207523131E-3</v>
      </c>
      <c r="G37" s="26"/>
      <c r="H37" s="105">
        <v>3.6854513697053712</v>
      </c>
      <c r="I37" s="156">
        <f t="shared" si="17"/>
        <v>1.5230262104458576</v>
      </c>
      <c r="J37" s="27"/>
      <c r="K37" s="408">
        <v>0.52633503554045635</v>
      </c>
      <c r="L37" s="399">
        <f t="shared" si="21"/>
        <v>1.9397821776565001E-3</v>
      </c>
      <c r="M37" s="39">
        <v>0.12</v>
      </c>
      <c r="N37" s="399">
        <f t="shared" si="22"/>
        <v>4.4225416436464456E-4</v>
      </c>
      <c r="O37" s="26"/>
      <c r="P37" s="387">
        <f t="shared" si="18"/>
        <v>2.2015838960273426E-3</v>
      </c>
      <c r="Q37" s="387">
        <f t="shared" si="19"/>
        <v>7.0405588273548723E-4</v>
      </c>
      <c r="R37" s="28"/>
      <c r="S37" s="32"/>
      <c r="T37" s="6"/>
      <c r="U37" s="32"/>
      <c r="V37" s="6"/>
    </row>
    <row r="38" spans="1:24">
      <c r="A38" s="54" t="s">
        <v>296</v>
      </c>
      <c r="B38" s="72">
        <v>86</v>
      </c>
      <c r="C38" s="398">
        <v>9.4897490613086027E-2</v>
      </c>
      <c r="D38" s="401">
        <v>4.5218730902828481E-3</v>
      </c>
      <c r="E38" s="403">
        <f t="shared" si="20"/>
        <v>9.9419363703368874E-2</v>
      </c>
      <c r="F38" s="403">
        <v>8.8318150378927554E-2</v>
      </c>
      <c r="G38" s="26"/>
      <c r="H38" s="105">
        <v>0.88713910838562482</v>
      </c>
      <c r="I38" s="156">
        <f t="shared" si="17"/>
        <v>1.3462975307758287</v>
      </c>
      <c r="J38" s="27"/>
      <c r="K38" s="407">
        <v>70.487755079220562</v>
      </c>
      <c r="L38" s="380">
        <f t="shared" si="21"/>
        <v>6.2532444193084027E-2</v>
      </c>
      <c r="M38" s="143">
        <v>102</v>
      </c>
      <c r="N38" s="380">
        <f t="shared" si="22"/>
        <v>9.0488189055333734E-2</v>
      </c>
      <c r="O38" s="26"/>
      <c r="P38" s="387">
        <f t="shared" si="18"/>
        <v>6.7054317283366874E-2</v>
      </c>
      <c r="Q38" s="387">
        <f t="shared" si="19"/>
        <v>9.5010062145616581E-2</v>
      </c>
      <c r="R38" s="28"/>
      <c r="S38" s="32"/>
      <c r="T38" s="6"/>
      <c r="U38" s="32"/>
      <c r="V38" s="6"/>
    </row>
    <row r="39" spans="1:24">
      <c r="A39" s="54" t="s">
        <v>297</v>
      </c>
      <c r="B39" s="72">
        <v>140.84107579462102</v>
      </c>
      <c r="C39" s="398">
        <v>9.261095507635661E-2</v>
      </c>
      <c r="D39" s="401">
        <v>8.0565270164747512E-3</v>
      </c>
      <c r="E39" s="403">
        <f t="shared" si="20"/>
        <v>0.10066748209283136</v>
      </c>
      <c r="F39" s="403">
        <v>0.13229472767609299</v>
      </c>
      <c r="G39" s="26"/>
      <c r="H39" s="105">
        <v>0.9235407814376515</v>
      </c>
      <c r="I39" s="156">
        <f t="shared" si="17"/>
        <v>1.0367828996619217</v>
      </c>
      <c r="J39" s="27"/>
      <c r="K39" s="407">
        <v>89.325311120154041</v>
      </c>
      <c r="L39" s="380">
        <f t="shared" si="21"/>
        <v>8.2495567634068415E-2</v>
      </c>
      <c r="M39" s="143">
        <v>151</v>
      </c>
      <c r="N39" s="380">
        <f t="shared" si="22"/>
        <v>0.13945465799708537</v>
      </c>
      <c r="O39" s="26"/>
      <c r="P39" s="387">
        <f t="shared" si="18"/>
        <v>9.0552094650543161E-2</v>
      </c>
      <c r="Q39" s="387">
        <f t="shared" si="19"/>
        <v>0.14751118501356011</v>
      </c>
      <c r="R39" s="28"/>
      <c r="S39" s="32"/>
      <c r="T39" s="6"/>
      <c r="U39" s="32"/>
      <c r="V39" s="6"/>
    </row>
    <row r="40" spans="1:24">
      <c r="A40" s="54" t="s">
        <v>298</v>
      </c>
      <c r="B40" s="72">
        <f>AVERAGE(B16,B29)</f>
        <v>1049.3487720000001</v>
      </c>
      <c r="C40" s="380">
        <f t="shared" ref="C40:F40" si="23">AVERAGE(C16,C29)</f>
        <v>1.73578224709803</v>
      </c>
      <c r="D40" s="400">
        <f t="shared" si="23"/>
        <v>5.2238869232497917E-2</v>
      </c>
      <c r="E40" s="387">
        <f t="shared" si="23"/>
        <v>1.7880211163305277</v>
      </c>
      <c r="F40" s="387">
        <f t="shared" si="23"/>
        <v>1.868686458878337</v>
      </c>
      <c r="G40" s="26"/>
      <c r="H40" s="105">
        <f>AVERAGE(H16,H29)</f>
        <v>1.1147139531018597</v>
      </c>
      <c r="I40" s="156">
        <f t="shared" si="17"/>
        <v>0.93924078966312197</v>
      </c>
      <c r="J40" s="27"/>
      <c r="K40" s="77">
        <f>AVERAGE(K16,K29)</f>
        <v>1848.0694899553969</v>
      </c>
      <c r="L40" s="380">
        <f>K40*H40/1000</f>
        <v>2.0600688467551183</v>
      </c>
      <c r="M40" s="77">
        <f>AVERAGE(M16,M29)</f>
        <v>1064.5950264000001</v>
      </c>
      <c r="N40" s="380">
        <f t="shared" si="22"/>
        <v>1.1867189303309229</v>
      </c>
      <c r="O40" s="26"/>
      <c r="P40" s="387">
        <f t="shared" si="18"/>
        <v>2.1123077159876162</v>
      </c>
      <c r="Q40" s="387">
        <f t="shared" si="19"/>
        <v>1.2389577995634209</v>
      </c>
      <c r="R40" s="28"/>
      <c r="S40" s="32"/>
      <c r="T40" s="6"/>
      <c r="U40" s="32"/>
      <c r="V40" s="6"/>
    </row>
    <row r="41" spans="1:24">
      <c r="A41" s="328" t="s">
        <v>299</v>
      </c>
      <c r="B41" s="72">
        <v>17.287506015999998</v>
      </c>
      <c r="C41" s="399">
        <v>7.5835011689198645E-3</v>
      </c>
      <c r="D41" s="401">
        <v>1.6717688647468335E-3</v>
      </c>
      <c r="E41" s="402">
        <f t="shared" ref="E41:E42" si="24">C41+D41</f>
        <v>9.2552700336666974E-3</v>
      </c>
      <c r="F41" s="403">
        <v>8.0750301376550059E-3</v>
      </c>
      <c r="G41" s="26"/>
      <c r="H41" s="425">
        <v>3.8529556752279079</v>
      </c>
      <c r="I41" s="156">
        <f t="shared" si="17"/>
        <v>1.6576462050693976</v>
      </c>
      <c r="J41" s="27"/>
      <c r="K41" s="408">
        <v>4.5748611167618725</v>
      </c>
      <c r="L41" s="398">
        <f t="shared" ref="L41:L42" si="25">K41*H41/1000</f>
        <v>1.7626737103207141E-2</v>
      </c>
      <c r="M41" s="36">
        <v>2.8213919999999999</v>
      </c>
      <c r="N41" s="398">
        <f t="shared" si="22"/>
        <v>1.0870698318442618E-2</v>
      </c>
      <c r="O41" s="26"/>
      <c r="P41" s="387">
        <f t="shared" si="18"/>
        <v>1.9298505967953974E-2</v>
      </c>
      <c r="Q41" s="387">
        <f t="shared" si="19"/>
        <v>1.2542467183189451E-2</v>
      </c>
      <c r="R41" s="28"/>
      <c r="S41" s="32"/>
      <c r="T41" s="6"/>
      <c r="U41" s="32"/>
      <c r="V41" s="6"/>
    </row>
    <row r="42" spans="1:24">
      <c r="A42" s="328" t="s">
        <v>300</v>
      </c>
      <c r="B42" s="72">
        <v>828.16597600000011</v>
      </c>
      <c r="C42" s="380">
        <v>1.4856438517154886</v>
      </c>
      <c r="D42" s="400">
        <v>4.1653270531263532E-2</v>
      </c>
      <c r="E42" s="387">
        <f t="shared" si="24"/>
        <v>1.5272971222467522</v>
      </c>
      <c r="F42" s="387">
        <v>1.4273036267416308</v>
      </c>
      <c r="G42" s="26"/>
      <c r="H42" s="425">
        <v>1.2131889267295133</v>
      </c>
      <c r="I42" s="156">
        <f t="shared" si="17"/>
        <v>1.0653757153698815</v>
      </c>
      <c r="J42" s="27"/>
      <c r="K42" s="77">
        <v>1394.4788024379707</v>
      </c>
      <c r="L42" s="380">
        <f t="shared" si="25"/>
        <v>1.6917662416767787</v>
      </c>
      <c r="M42" s="77">
        <v>733.9248</v>
      </c>
      <c r="N42" s="380">
        <f t="shared" si="22"/>
        <v>0.89038944041217272</v>
      </c>
      <c r="O42" s="26"/>
      <c r="P42" s="387">
        <f t="shared" si="18"/>
        <v>1.7334195122080422</v>
      </c>
      <c r="Q42" s="387">
        <f t="shared" si="19"/>
        <v>0.93204271094343627</v>
      </c>
      <c r="R42" s="28"/>
      <c r="S42" s="32"/>
      <c r="T42" s="6"/>
      <c r="U42" s="32"/>
      <c r="V42" s="6"/>
    </row>
    <row r="43" spans="1:24">
      <c r="A43" s="2" t="s">
        <v>253</v>
      </c>
      <c r="B43" s="341">
        <f>SUM(B33:B42)</f>
        <v>2968.7614264103099</v>
      </c>
      <c r="C43" s="411">
        <f>SUM(C33:C42)</f>
        <v>4.4427924898359956</v>
      </c>
      <c r="D43" s="411">
        <f t="shared" ref="D43:F43" si="26">SUM(D33:D42)</f>
        <v>0.1909461337993546</v>
      </c>
      <c r="E43" s="411">
        <f t="shared" si="26"/>
        <v>4.6337386236353497</v>
      </c>
      <c r="F43" s="411">
        <f t="shared" si="26"/>
        <v>4.3681261813994068</v>
      </c>
      <c r="G43" s="26"/>
      <c r="H43" s="265"/>
      <c r="I43" s="157">
        <f>1000*C43/K43</f>
        <v>1.0154715210276659</v>
      </c>
      <c r="J43" s="10" t="s">
        <v>26</v>
      </c>
      <c r="K43" s="415">
        <f>SUM(K33:K42)</f>
        <v>4375.1029918986314</v>
      </c>
      <c r="L43" s="416">
        <f t="shared" ref="L43" si="27">SUM(L33:L42)</f>
        <v>6.849348049194786</v>
      </c>
      <c r="M43" s="415">
        <f t="shared" ref="M43" si="28">SUM(M33:M42)</f>
        <v>2698.6507140785002</v>
      </c>
      <c r="N43" s="416">
        <f t="shared" ref="N43" si="29">SUM(N33:N42)</f>
        <v>4.3340651629929345</v>
      </c>
      <c r="O43" s="26"/>
      <c r="P43" s="416">
        <f>SUM(P33:P42)</f>
        <v>7.0402941829941401</v>
      </c>
      <c r="Q43" s="416">
        <f>SUM(Q33:Q42)</f>
        <v>4.5250112967922895</v>
      </c>
      <c r="R43" s="28"/>
      <c r="S43" s="32"/>
      <c r="T43" s="6"/>
      <c r="U43" s="32"/>
      <c r="V43" s="6"/>
    </row>
    <row r="44" spans="1:24">
      <c r="A44" s="2" t="s">
        <v>253</v>
      </c>
      <c r="B44" s="2"/>
      <c r="C44" s="33"/>
      <c r="D44" s="53">
        <f>D43/F43</f>
        <v>4.371351143940206E-2</v>
      </c>
      <c r="E44" s="33"/>
      <c r="F44" s="33"/>
      <c r="G44" s="26"/>
      <c r="H44" s="151">
        <v>1.59</v>
      </c>
      <c r="I44" s="503">
        <f>1000*C43/M43</f>
        <v>1.6463014152437514</v>
      </c>
      <c r="J44" s="87" t="s">
        <v>263</v>
      </c>
      <c r="K44" s="415">
        <f>SUM(K33:K42)</f>
        <v>4375.1029918986314</v>
      </c>
      <c r="L44" s="416">
        <f t="shared" ref="L44" si="30">K44*H44/1000</f>
        <v>6.956413757118824</v>
      </c>
      <c r="M44" s="415">
        <f>SUM(M33:M42)</f>
        <v>2698.6507140785002</v>
      </c>
      <c r="N44" s="416">
        <f>M44*H44/1000</f>
        <v>4.2908546353848154</v>
      </c>
      <c r="O44" s="26"/>
      <c r="P44" s="416">
        <f>L44+$D43</f>
        <v>7.147359890918179</v>
      </c>
      <c r="Q44" s="416">
        <f>N44+$D43</f>
        <v>4.4818007691841704</v>
      </c>
      <c r="R44" s="28"/>
      <c r="S44" s="166" t="s">
        <v>214</v>
      </c>
      <c r="T44" s="523" t="s">
        <v>286</v>
      </c>
      <c r="U44" s="166" t="s">
        <v>81</v>
      </c>
      <c r="V44" s="523" t="s">
        <v>286</v>
      </c>
    </row>
    <row r="45" spans="1:24">
      <c r="A45" s="505" t="s">
        <v>269</v>
      </c>
      <c r="C45" s="26"/>
      <c r="D45" s="26"/>
      <c r="E45" s="26"/>
      <c r="F45" s="26"/>
      <c r="G45" s="26"/>
      <c r="H45" s="493">
        <f>1000*(F43-D43)/K43</f>
        <v>0.95476153483356319</v>
      </c>
      <c r="I45" s="504">
        <f>1000*(F43-D43)/M43</f>
        <v>1.5478772505861027</v>
      </c>
      <c r="K45" s="26"/>
      <c r="L45" s="26"/>
      <c r="M45" s="26"/>
      <c r="N45" s="26"/>
      <c r="O45" s="26"/>
      <c r="P45" s="335"/>
      <c r="Q45" s="335"/>
      <c r="R45" s="335"/>
      <c r="S45" s="139">
        <f>AVERAGE(C43,L43,L44,N43,N44)</f>
        <v>5.3746948189054713</v>
      </c>
      <c r="T45" s="242">
        <f>S45/10</f>
        <v>0.53746948189054711</v>
      </c>
      <c r="U45" s="490">
        <f>AVERAGE(E43,F43,P43,P44,Q43,Q44)</f>
        <v>5.3660551574872555</v>
      </c>
      <c r="V45" s="519">
        <f>U45/10</f>
        <v>0.5366055157487255</v>
      </c>
      <c r="X45" s="119"/>
    </row>
    <row r="46" spans="1:24">
      <c r="A46" s="2" t="s">
        <v>301</v>
      </c>
      <c r="B46" s="72">
        <v>86.403555712866023</v>
      </c>
      <c r="C46" s="398">
        <v>4.3912659269587526E-2</v>
      </c>
      <c r="D46" s="401">
        <v>9.574340330687733E-3</v>
      </c>
      <c r="E46" s="387">
        <f>C46+D46</f>
        <v>5.348699960027526E-2</v>
      </c>
      <c r="F46" s="403">
        <v>7.452456211786633E-2</v>
      </c>
      <c r="G46" s="26"/>
      <c r="H46" s="105">
        <v>8.1</v>
      </c>
      <c r="I46" s="156">
        <f>1000*C46/K46</f>
        <v>0.85084631671583566</v>
      </c>
      <c r="K46" s="407">
        <v>51.610565159505079</v>
      </c>
      <c r="L46" s="380">
        <f>K46*H46/1000</f>
        <v>0.41804557779199109</v>
      </c>
      <c r="M46" s="143">
        <v>36.182764800000001</v>
      </c>
      <c r="N46" s="380">
        <f>M46*H46/1000</f>
        <v>0.29308039487999998</v>
      </c>
      <c r="P46" s="387">
        <f t="shared" ref="P46:P55" si="31">D46+L46</f>
        <v>0.4276199181226788</v>
      </c>
      <c r="Q46" s="387">
        <f t="shared" ref="Q46:Q55" si="32">D46+N46</f>
        <v>0.3026547352106877</v>
      </c>
      <c r="R46" s="35"/>
      <c r="S46" s="35"/>
      <c r="T46" s="35"/>
      <c r="V46" s="35"/>
    </row>
    <row r="47" spans="1:24">
      <c r="A47" s="2" t="s">
        <v>302</v>
      </c>
      <c r="B47" s="72">
        <v>360</v>
      </c>
      <c r="C47" s="380">
        <v>0.2278415804468808</v>
      </c>
      <c r="D47" s="400">
        <v>3.1587682065817579E-2</v>
      </c>
      <c r="E47" s="387">
        <f t="shared" ref="E47:E48" si="33">C47+D47</f>
        <v>0.25942926251269838</v>
      </c>
      <c r="F47" s="387">
        <v>0.34615166372805278</v>
      </c>
      <c r="G47" s="26"/>
      <c r="H47" s="105">
        <v>2.9</v>
      </c>
      <c r="I47" s="156">
        <f t="shared" ref="I47:I53" si="34">1000*C47/K47</f>
        <v>0.98872002736704712</v>
      </c>
      <c r="K47" s="77">
        <v>230.44094803421851</v>
      </c>
      <c r="L47" s="380">
        <f t="shared" ref="L47" si="35">K47*H47/1000</f>
        <v>0.66827874929923359</v>
      </c>
      <c r="M47" s="77">
        <v>67.6716768</v>
      </c>
      <c r="N47" s="380">
        <f t="shared" ref="N47" si="36">M47*H47/1000</f>
        <v>0.19624786272</v>
      </c>
      <c r="P47" s="387">
        <f t="shared" si="31"/>
        <v>0.69986643136505111</v>
      </c>
      <c r="Q47" s="387">
        <f t="shared" si="32"/>
        <v>0.22783554478581758</v>
      </c>
      <c r="R47" s="35"/>
      <c r="S47" s="246"/>
      <c r="T47" s="35"/>
      <c r="U47" s="35"/>
      <c r="V47" s="35"/>
    </row>
    <row r="48" spans="1:24">
      <c r="A48" s="2" t="s">
        <v>303</v>
      </c>
      <c r="B48" s="72">
        <v>0</v>
      </c>
      <c r="C48" s="379">
        <v>0</v>
      </c>
      <c r="D48" s="413">
        <v>0</v>
      </c>
      <c r="E48" s="386">
        <f t="shared" si="33"/>
        <v>0</v>
      </c>
      <c r="F48" s="386">
        <v>0</v>
      </c>
      <c r="G48" s="26"/>
      <c r="H48" s="105" t="s">
        <v>19</v>
      </c>
      <c r="I48" s="135" t="s">
        <v>32</v>
      </c>
      <c r="K48" s="407">
        <v>0</v>
      </c>
      <c r="L48" s="379">
        <v>0</v>
      </c>
      <c r="M48" s="144">
        <v>0</v>
      </c>
      <c r="N48" s="379">
        <v>0</v>
      </c>
      <c r="P48" s="387">
        <f t="shared" si="31"/>
        <v>0</v>
      </c>
      <c r="Q48" s="387">
        <f t="shared" si="32"/>
        <v>0</v>
      </c>
      <c r="R48" s="35"/>
      <c r="S48" s="35"/>
      <c r="T48" s="35"/>
      <c r="U48" s="35"/>
      <c r="V48" s="35"/>
    </row>
    <row r="49" spans="1:26">
      <c r="A49" s="2" t="s">
        <v>304</v>
      </c>
      <c r="B49" s="72">
        <v>63.341694194967005</v>
      </c>
      <c r="C49" s="380">
        <v>2.9082954467558972E-2</v>
      </c>
      <c r="D49" s="400">
        <v>7.4182287391250214E-3</v>
      </c>
      <c r="E49" s="387">
        <v>3.6501183206683996E-2</v>
      </c>
      <c r="F49" s="387">
        <v>3.5078174181991821E-2</v>
      </c>
      <c r="G49" s="26"/>
      <c r="H49" s="105">
        <v>1.8</v>
      </c>
      <c r="I49" s="156">
        <f t="shared" si="34"/>
        <v>0.71703563618477606</v>
      </c>
      <c r="K49" s="407">
        <v>40.559984748184057</v>
      </c>
      <c r="L49" s="398">
        <f t="shared" ref="L49:L52" si="37">K49*H49/1000</f>
        <v>7.3007972546731303E-2</v>
      </c>
      <c r="M49" s="144">
        <v>33.765076800000003</v>
      </c>
      <c r="N49" s="398">
        <f t="shared" ref="N49:N55" si="38">M49*H49/1000</f>
        <v>6.0777138240000007E-2</v>
      </c>
      <c r="P49" s="387">
        <f>D49+L49</f>
        <v>8.0426201285856327E-2</v>
      </c>
      <c r="Q49" s="387">
        <f t="shared" si="32"/>
        <v>6.8195366979125024E-2</v>
      </c>
      <c r="R49" s="35"/>
      <c r="S49" s="35"/>
      <c r="T49" s="35"/>
      <c r="U49" s="35"/>
      <c r="V49" s="35"/>
    </row>
    <row r="50" spans="1:26">
      <c r="A50" s="2" t="s">
        <v>305</v>
      </c>
      <c r="B50" s="72">
        <v>0</v>
      </c>
      <c r="C50" s="379">
        <v>0</v>
      </c>
      <c r="D50" s="413">
        <v>0</v>
      </c>
      <c r="E50" s="386">
        <v>0</v>
      </c>
      <c r="F50" s="386">
        <v>0</v>
      </c>
      <c r="G50" s="26"/>
      <c r="H50" s="105" t="s">
        <v>19</v>
      </c>
      <c r="I50" s="135" t="s">
        <v>32</v>
      </c>
      <c r="K50" s="407">
        <v>0</v>
      </c>
      <c r="L50" s="399">
        <v>0</v>
      </c>
      <c r="M50" s="143">
        <v>0</v>
      </c>
      <c r="N50" s="399">
        <v>0</v>
      </c>
      <c r="P50" s="387">
        <f t="shared" si="31"/>
        <v>0</v>
      </c>
      <c r="Q50" s="387">
        <f t="shared" si="32"/>
        <v>0</v>
      </c>
      <c r="R50" s="35"/>
      <c r="S50" s="35"/>
      <c r="T50" s="35"/>
      <c r="U50" s="35"/>
      <c r="V50" s="35"/>
    </row>
    <row r="51" spans="1:26">
      <c r="A51" s="2" t="s">
        <v>306</v>
      </c>
      <c r="B51" s="72">
        <v>66.400000000000006</v>
      </c>
      <c r="C51" s="398">
        <v>2.962711530788938E-2</v>
      </c>
      <c r="D51" s="401">
        <v>6.680465494409169E-3</v>
      </c>
      <c r="E51" s="403">
        <v>3.6307580802298546E-2</v>
      </c>
      <c r="F51" s="403">
        <v>3.6102072426362285E-2</v>
      </c>
      <c r="G51" s="26"/>
      <c r="H51" s="105">
        <v>1.1000000000000001</v>
      </c>
      <c r="I51" s="156">
        <f t="shared" si="34"/>
        <v>1.3318490181737028</v>
      </c>
      <c r="K51" s="407">
        <v>22.245100535881718</v>
      </c>
      <c r="L51" s="398">
        <f t="shared" si="37"/>
        <v>2.4469610589469892E-2</v>
      </c>
      <c r="M51" s="143">
        <v>23.184403200000002</v>
      </c>
      <c r="N51" s="398">
        <f t="shared" si="38"/>
        <v>2.5502843520000002E-2</v>
      </c>
      <c r="P51" s="387">
        <f t="shared" si="31"/>
        <v>3.1150076083879062E-2</v>
      </c>
      <c r="Q51" s="387">
        <f t="shared" si="32"/>
        <v>3.2183309014409169E-2</v>
      </c>
      <c r="R51" s="35"/>
      <c r="S51" s="35"/>
      <c r="T51" s="35"/>
      <c r="U51" s="35"/>
      <c r="V51" s="35"/>
    </row>
    <row r="52" spans="1:26">
      <c r="A52" s="2" t="s">
        <v>307</v>
      </c>
      <c r="B52" s="72">
        <v>61.2</v>
      </c>
      <c r="C52" s="398">
        <v>2.9059270480796987E-2</v>
      </c>
      <c r="D52" s="401">
        <v>5.4886861538861447E-3</v>
      </c>
      <c r="E52" s="403">
        <v>3.454795663468313E-2</v>
      </c>
      <c r="F52" s="403">
        <v>3.4842198822103071E-2</v>
      </c>
      <c r="G52" s="26"/>
      <c r="H52" s="105">
        <v>1</v>
      </c>
      <c r="I52" s="156">
        <f t="shared" si="34"/>
        <v>1.6166099097563735</v>
      </c>
      <c r="K52" s="407">
        <v>17.975437553253819</v>
      </c>
      <c r="L52" s="398">
        <f t="shared" si="37"/>
        <v>1.7975437553253818E-2</v>
      </c>
      <c r="M52" s="145">
        <v>13.529073600000002</v>
      </c>
      <c r="N52" s="398">
        <f t="shared" si="38"/>
        <v>1.3529073600000002E-2</v>
      </c>
      <c r="P52" s="387">
        <f t="shared" si="31"/>
        <v>2.3464123707139961E-2</v>
      </c>
      <c r="Q52" s="387">
        <f t="shared" si="32"/>
        <v>1.9017759753886147E-2</v>
      </c>
      <c r="R52" s="35"/>
      <c r="S52" s="35"/>
      <c r="T52" s="35"/>
      <c r="U52" s="35"/>
      <c r="V52" s="35"/>
    </row>
    <row r="53" spans="1:26">
      <c r="A53" s="2" t="s">
        <v>308</v>
      </c>
      <c r="B53" s="72">
        <v>1026.16425</v>
      </c>
      <c r="C53" s="380">
        <v>0.67305501584528904</v>
      </c>
      <c r="D53" s="400">
        <v>7.1334600088341027E-2</v>
      </c>
      <c r="E53" s="387">
        <v>0.74438961593363007</v>
      </c>
      <c r="F53" s="387">
        <v>0.74397789046917939</v>
      </c>
      <c r="G53" s="26"/>
      <c r="H53" s="105">
        <v>1.7</v>
      </c>
      <c r="I53" s="156">
        <f t="shared" si="34"/>
        <v>1.2127968673852316</v>
      </c>
      <c r="K53" s="77">
        <v>554.96104413295825</v>
      </c>
      <c r="L53" s="380">
        <f>K53*H53/1000</f>
        <v>0.94343377502602899</v>
      </c>
      <c r="M53" s="506">
        <v>277.60320000000002</v>
      </c>
      <c r="N53" s="380">
        <f t="shared" si="38"/>
        <v>0.47192544000000003</v>
      </c>
      <c r="P53" s="387">
        <f t="shared" si="31"/>
        <v>1.0147683751143699</v>
      </c>
      <c r="Q53" s="387">
        <f t="shared" si="32"/>
        <v>0.54326004008834106</v>
      </c>
      <c r="R53" s="35"/>
      <c r="S53" s="35"/>
      <c r="T53" s="35"/>
      <c r="U53" s="35"/>
      <c r="V53" s="35"/>
    </row>
    <row r="54" spans="1:26">
      <c r="A54" s="62" t="s">
        <v>309</v>
      </c>
      <c r="B54" s="72">
        <v>0</v>
      </c>
      <c r="C54" s="379">
        <v>0</v>
      </c>
      <c r="D54" s="413">
        <v>0</v>
      </c>
      <c r="E54" s="386">
        <v>0</v>
      </c>
      <c r="F54" s="386">
        <v>0</v>
      </c>
      <c r="G54" s="26"/>
      <c r="H54" s="105" t="s">
        <v>19</v>
      </c>
      <c r="I54" s="135" t="s">
        <v>32</v>
      </c>
      <c r="K54" s="407">
        <v>0</v>
      </c>
      <c r="L54" s="398">
        <v>0</v>
      </c>
      <c r="M54" s="143">
        <v>0</v>
      </c>
      <c r="N54" s="398">
        <v>0</v>
      </c>
      <c r="P54" s="387">
        <f t="shared" si="31"/>
        <v>0</v>
      </c>
      <c r="Q54" s="387">
        <f t="shared" si="32"/>
        <v>0</v>
      </c>
      <c r="R54" s="35"/>
      <c r="S54" s="35"/>
      <c r="T54" s="35"/>
      <c r="U54" s="35"/>
      <c r="V54" s="35"/>
    </row>
    <row r="55" spans="1:26">
      <c r="A55" s="62" t="s">
        <v>310</v>
      </c>
      <c r="B55" s="72">
        <v>658.12894400000005</v>
      </c>
      <c r="C55" s="380">
        <v>0.40924898941953269</v>
      </c>
      <c r="D55" s="400">
        <v>3.9810322038459543E-2</v>
      </c>
      <c r="E55" s="387">
        <v>0.44905931145799222</v>
      </c>
      <c r="F55" s="387">
        <v>0.45810104440000893</v>
      </c>
      <c r="G55" s="26"/>
      <c r="H55" s="105">
        <v>1.3</v>
      </c>
      <c r="I55" s="135"/>
      <c r="K55" s="77">
        <v>181.68216868943546</v>
      </c>
      <c r="L55" s="380">
        <f t="shared" ref="L55" si="39">K55*H55/1000</f>
        <v>0.23618681929626609</v>
      </c>
      <c r="M55" s="507">
        <v>188.69759999999999</v>
      </c>
      <c r="N55" s="380">
        <f t="shared" si="38"/>
        <v>0.24530688</v>
      </c>
      <c r="P55" s="387">
        <f t="shared" si="31"/>
        <v>0.27599714133472564</v>
      </c>
      <c r="Q55" s="387">
        <f t="shared" si="32"/>
        <v>0.28511720203845953</v>
      </c>
      <c r="R55" s="35"/>
      <c r="S55" s="35"/>
      <c r="T55" s="35"/>
      <c r="U55" s="35"/>
      <c r="V55" s="35"/>
    </row>
    <row r="56" spans="1:26">
      <c r="A56" s="2" t="s">
        <v>253</v>
      </c>
      <c r="B56" s="146">
        <f>SUM(B46:B55)</f>
        <v>2321.6384439078329</v>
      </c>
      <c r="C56" s="416">
        <f>SUM(C46:C55)</f>
        <v>1.4418275852375353</v>
      </c>
      <c r="D56" s="422">
        <f t="shared" ref="D56:E56" si="40">SUM(D46:D55)</f>
        <v>0.17189432491072623</v>
      </c>
      <c r="E56" s="416">
        <f t="shared" si="40"/>
        <v>1.6137219101482616</v>
      </c>
      <c r="F56" s="416">
        <f>SUM(F46:F55)</f>
        <v>1.7287776061455646</v>
      </c>
      <c r="G56" s="26"/>
      <c r="H56" s="337"/>
      <c r="I56" s="157">
        <f>1000*C56/K56</f>
        <v>1.311377938467567</v>
      </c>
      <c r="J56" s="10" t="s">
        <v>26</v>
      </c>
      <c r="K56" s="415">
        <f>SUM(K46:K55)</f>
        <v>1099.4752488534368</v>
      </c>
      <c r="L56" s="416">
        <f t="shared" ref="L56:N56" si="41">SUM(L46:L55)</f>
        <v>2.3813979421029745</v>
      </c>
      <c r="M56" s="415">
        <f t="shared" si="41"/>
        <v>640.63379520000001</v>
      </c>
      <c r="N56" s="422">
        <f t="shared" si="41"/>
        <v>1.3063696329599999</v>
      </c>
      <c r="P56" s="416">
        <f>SUM(P46:P55)</f>
        <v>2.5532922670137008</v>
      </c>
      <c r="Q56" s="416">
        <f>SUM(Q46:Q55)</f>
        <v>1.4782639578707262</v>
      </c>
      <c r="R56" s="35"/>
      <c r="S56" s="35"/>
      <c r="T56" s="35"/>
      <c r="U56" s="35"/>
      <c r="V56" s="35"/>
      <c r="X56" s="120">
        <f>D56/E56</f>
        <v>0.10652041335606166</v>
      </c>
      <c r="Y56" s="120"/>
      <c r="Z56" s="120"/>
    </row>
    <row r="57" spans="1:26">
      <c r="A57" s="2" t="s">
        <v>253</v>
      </c>
      <c r="B57" s="37"/>
      <c r="C57" s="33"/>
      <c r="D57" s="53">
        <f>D56/F56</f>
        <v>9.943113810571455E-2</v>
      </c>
      <c r="E57" s="33"/>
      <c r="F57" s="33"/>
      <c r="G57" s="26"/>
      <c r="H57" s="151">
        <v>1.78</v>
      </c>
      <c r="I57" s="503">
        <f>1000*C56/M56</f>
        <v>2.2506267949654606</v>
      </c>
      <c r="J57" s="87" t="s">
        <v>263</v>
      </c>
      <c r="K57" s="415">
        <f>SUM(K46:K55)</f>
        <v>1099.4752488534368</v>
      </c>
      <c r="L57" s="416">
        <f>K57*H57/1000</f>
        <v>1.9570659429591175</v>
      </c>
      <c r="M57" s="415">
        <f>SUM(M46:M55)</f>
        <v>640.63379520000001</v>
      </c>
      <c r="N57" s="422">
        <f>M57*H57/1000</f>
        <v>1.1403281554560001</v>
      </c>
      <c r="P57" s="416">
        <f>L57+$D56</f>
        <v>2.1289602678698438</v>
      </c>
      <c r="Q57" s="416">
        <f>N57+$D56</f>
        <v>1.3122224803667264</v>
      </c>
      <c r="R57" s="35"/>
      <c r="S57" s="35"/>
      <c r="T57" s="35"/>
      <c r="U57" s="35"/>
      <c r="V57" s="35"/>
    </row>
    <row r="58" spans="1:26" ht="16">
      <c r="A58" s="12" t="s">
        <v>12</v>
      </c>
      <c r="B58" s="37"/>
      <c r="C58" s="26"/>
      <c r="D58" s="26"/>
      <c r="E58" s="26"/>
      <c r="F58" s="26"/>
      <c r="G58" s="26"/>
      <c r="H58" s="493">
        <f>1000*(F56-D56)/K56</f>
        <v>1.4160239467495055</v>
      </c>
      <c r="I58" s="504">
        <f>1000*(F56-D56)/M56</f>
        <v>2.4302234644814416</v>
      </c>
      <c r="K58" s="9"/>
      <c r="L58" s="26"/>
      <c r="N58" s="26"/>
      <c r="P58" s="35"/>
      <c r="Q58" s="35"/>
      <c r="R58" s="35"/>
      <c r="S58" s="35"/>
      <c r="T58" s="35"/>
      <c r="U58" s="35"/>
      <c r="V58" s="35"/>
    </row>
    <row r="59" spans="1:26">
      <c r="A59" s="2" t="s">
        <v>1</v>
      </c>
      <c r="B59" s="72">
        <v>85.576335327999999</v>
      </c>
      <c r="C59" s="398">
        <v>5.6061261320051341E-2</v>
      </c>
      <c r="D59" s="400">
        <v>1.7401205159645258E-2</v>
      </c>
      <c r="E59" s="403">
        <f>C59+D59</f>
        <v>7.3462466479696592E-2</v>
      </c>
      <c r="F59" s="403">
        <v>7.5996741090527065E-2</v>
      </c>
      <c r="G59" s="26"/>
      <c r="H59" s="484">
        <v>10.886983999963208</v>
      </c>
      <c r="I59" s="156">
        <f>1000*C59/K59</f>
        <v>3.4578159081398865</v>
      </c>
      <c r="K59" s="407">
        <v>16.212910926831036</v>
      </c>
      <c r="L59" s="380">
        <f>K59*H59/1000</f>
        <v>0.17650970185323814</v>
      </c>
      <c r="M59" s="36">
        <v>6.0563653909999999</v>
      </c>
      <c r="N59" s="398">
        <f>M59*H59/1000</f>
        <v>6.5935553109747913E-2</v>
      </c>
      <c r="P59" s="387">
        <f>D59+L59</f>
        <v>0.19391090701288338</v>
      </c>
      <c r="Q59" s="403">
        <f t="shared" ref="Q59:Q66" si="42">D59+N59</f>
        <v>8.3336758269393171E-2</v>
      </c>
      <c r="R59" s="35"/>
      <c r="S59" s="35"/>
      <c r="T59" s="35"/>
      <c r="U59" s="35"/>
      <c r="V59" s="35"/>
    </row>
    <row r="60" spans="1:26">
      <c r="A60" s="2" t="s">
        <v>2</v>
      </c>
      <c r="B60" s="72">
        <v>95.922905232000005</v>
      </c>
      <c r="C60" s="398">
        <v>7.904016573107002E-2</v>
      </c>
      <c r="D60" s="400">
        <v>1.4705252950299971E-2</v>
      </c>
      <c r="E60" s="403">
        <f t="shared" ref="E60:E67" si="43">C60+D60</f>
        <v>9.3745418681369985E-2</v>
      </c>
      <c r="F60" s="403">
        <v>9.6113224192732494E-2</v>
      </c>
      <c r="G60" s="26"/>
      <c r="H60" s="105">
        <v>2.9627178724693661</v>
      </c>
      <c r="I60" s="156">
        <f t="shared" ref="I60:I68" si="44">1000*C60/K60</f>
        <v>2.2807013866175123</v>
      </c>
      <c r="K60" s="77">
        <v>34.656078255073005</v>
      </c>
      <c r="L60" s="398">
        <f t="shared" ref="L60:L68" si="45">K60*H60/1000</f>
        <v>0.10267618243600175</v>
      </c>
      <c r="M60" s="77">
        <v>20.282836640500001</v>
      </c>
      <c r="N60" s="398">
        <f>M60*H60/1000</f>
        <v>6.0092322619185873E-2</v>
      </c>
      <c r="P60" s="387">
        <f t="shared" ref="P60" si="46">D60+L60</f>
        <v>0.11738143538630172</v>
      </c>
      <c r="Q60" s="403">
        <f t="shared" si="42"/>
        <v>7.4797575569485839E-2</v>
      </c>
      <c r="R60" s="35"/>
      <c r="S60" s="35"/>
      <c r="T60" s="35"/>
      <c r="U60" s="35"/>
      <c r="V60" s="35"/>
    </row>
    <row r="61" spans="1:26" ht="16">
      <c r="A61" s="2" t="s">
        <v>3</v>
      </c>
      <c r="B61" s="72">
        <v>22.119493616</v>
      </c>
      <c r="C61" s="398">
        <v>1.0978338294651635E-2</v>
      </c>
      <c r="D61" s="401">
        <v>4.2556942801031811E-3</v>
      </c>
      <c r="E61" s="403">
        <f t="shared" si="43"/>
        <v>1.5234032574754816E-2</v>
      </c>
      <c r="F61" s="403">
        <v>1.5483222288204198E-2</v>
      </c>
      <c r="G61" s="26"/>
      <c r="H61" s="105">
        <v>6.575454971660271</v>
      </c>
      <c r="I61" s="156">
        <f t="shared" si="44"/>
        <v>4.583485456881653</v>
      </c>
      <c r="K61" s="408">
        <v>2.3951943118241465</v>
      </c>
      <c r="L61" s="380">
        <f>K61*H61/1000</f>
        <v>1.5749492345776488E-2</v>
      </c>
      <c r="M61" s="36">
        <v>1.3417262452499998</v>
      </c>
      <c r="N61" s="508">
        <f>M61*H61/1000</f>
        <v>8.8224605099361791E-3</v>
      </c>
      <c r="P61" s="403">
        <f t="shared" ref="P61" si="47">D61+L61</f>
        <v>2.0005186625879669E-2</v>
      </c>
      <c r="Q61" s="403">
        <f t="shared" ref="Q61" si="48">D61+N61</f>
        <v>1.307815479003936E-2</v>
      </c>
      <c r="R61" s="35"/>
      <c r="S61" s="35"/>
      <c r="T61" s="35"/>
      <c r="U61" s="35"/>
      <c r="V61" s="35"/>
    </row>
    <row r="62" spans="1:26">
      <c r="A62" s="2" t="s">
        <v>4</v>
      </c>
      <c r="B62" s="72">
        <v>39.228399584000002</v>
      </c>
      <c r="C62" s="398">
        <v>2.0158790367543981E-2</v>
      </c>
      <c r="D62" s="401">
        <v>6.4815632572691436E-3</v>
      </c>
      <c r="E62" s="403">
        <f t="shared" si="43"/>
        <v>2.6640353624813123E-2</v>
      </c>
      <c r="F62" s="403">
        <v>2.7146299951215983E-2</v>
      </c>
      <c r="G62" s="26"/>
      <c r="H62" s="105">
        <v>2.7620515637336869</v>
      </c>
      <c r="I62" s="156">
        <f t="shared" si="44"/>
        <v>3.1226315517181544</v>
      </c>
      <c r="K62" s="408">
        <v>6.4557057192521095</v>
      </c>
      <c r="L62" s="398">
        <f t="shared" si="45"/>
        <v>1.7830992076864796E-2</v>
      </c>
      <c r="M62" s="36">
        <v>9.1</v>
      </c>
      <c r="N62" s="398">
        <f>M62*H62/1000</f>
        <v>2.513466922997655E-2</v>
      </c>
      <c r="P62" s="403">
        <f>D62+L62</f>
        <v>2.4312555334133939E-2</v>
      </c>
      <c r="Q62" s="403">
        <f t="shared" si="42"/>
        <v>3.1616232487245696E-2</v>
      </c>
      <c r="R62" s="35"/>
      <c r="S62" s="35"/>
      <c r="T62" s="35"/>
      <c r="U62" s="35"/>
      <c r="V62" s="35"/>
    </row>
    <row r="63" spans="1:26">
      <c r="A63" s="2" t="s">
        <v>5</v>
      </c>
      <c r="B63" s="85">
        <v>0.64834263999999997</v>
      </c>
      <c r="C63" s="491">
        <v>3.6323721439951478E-4</v>
      </c>
      <c r="D63" s="509">
        <v>1.1134652342439781E-4</v>
      </c>
      <c r="E63" s="492">
        <f t="shared" si="43"/>
        <v>4.7458373782391258E-4</v>
      </c>
      <c r="F63" s="492">
        <v>5.1833866832889496E-4</v>
      </c>
      <c r="G63" s="26"/>
      <c r="H63" s="105" t="s">
        <v>19</v>
      </c>
      <c r="I63" s="156" t="s">
        <v>19</v>
      </c>
      <c r="K63" s="444">
        <v>1.226203950587303E-2</v>
      </c>
      <c r="L63" s="379" t="s">
        <v>19</v>
      </c>
      <c r="M63" s="39">
        <v>1.0999999999999999E-2</v>
      </c>
      <c r="N63" s="379" t="s">
        <v>19</v>
      </c>
      <c r="P63" s="387" t="s">
        <v>19</v>
      </c>
      <c r="Q63" s="387" t="s">
        <v>19</v>
      </c>
      <c r="R63" s="35"/>
      <c r="S63" s="35"/>
      <c r="T63" s="35"/>
      <c r="U63" s="35"/>
      <c r="V63" s="35"/>
    </row>
    <row r="64" spans="1:26">
      <c r="A64" s="2" t="s">
        <v>88</v>
      </c>
      <c r="B64" s="72">
        <v>17.353563567999998</v>
      </c>
      <c r="C64" s="399">
        <v>7.7606398610811055E-3</v>
      </c>
      <c r="D64" s="401">
        <v>2.2947327017585144E-3</v>
      </c>
      <c r="E64" s="403">
        <f t="shared" si="43"/>
        <v>1.005537256283962E-2</v>
      </c>
      <c r="F64" s="403">
        <v>1.0224000856545607E-2</v>
      </c>
      <c r="G64" s="26"/>
      <c r="H64" s="105">
        <v>0.99416947282115342</v>
      </c>
      <c r="I64" s="156">
        <f t="shared" si="44"/>
        <v>2.5423587016390705</v>
      </c>
      <c r="K64" s="408">
        <v>3.0525353704328917</v>
      </c>
      <c r="L64" s="398">
        <f t="shared" si="45"/>
        <v>3.0347374799911922E-3</v>
      </c>
      <c r="M64" s="36">
        <v>3.8</v>
      </c>
      <c r="N64" s="399">
        <f>M64*H64/1000</f>
        <v>3.7778439967203828E-3</v>
      </c>
      <c r="P64" s="402">
        <f t="shared" ref="P64:P66" si="49">D64+L64</f>
        <v>5.3294701817497066E-3</v>
      </c>
      <c r="Q64" s="402">
        <f t="shared" si="42"/>
        <v>6.0725766984788977E-3</v>
      </c>
      <c r="R64" s="35"/>
      <c r="S64" s="35"/>
      <c r="T64" s="35"/>
      <c r="U64" s="35"/>
      <c r="V64" s="35"/>
    </row>
    <row r="65" spans="1:24">
      <c r="A65" s="2" t="s">
        <v>95</v>
      </c>
      <c r="B65" s="72">
        <v>52.050904399999993</v>
      </c>
      <c r="C65" s="398">
        <v>2.3691057958200239E-2</v>
      </c>
      <c r="D65" s="401">
        <v>5.5199388867949555E-3</v>
      </c>
      <c r="E65" s="403">
        <f t="shared" si="43"/>
        <v>2.9210996844995195E-2</v>
      </c>
      <c r="F65" s="403">
        <v>2.951544374672976E-2</v>
      </c>
      <c r="G65" s="26"/>
      <c r="H65" s="105">
        <v>1.1101163492093837</v>
      </c>
      <c r="I65" s="156">
        <f t="shared" si="44"/>
        <v>1.7964947910783289</v>
      </c>
      <c r="K65" s="407">
        <v>13.187379154035792</v>
      </c>
      <c r="L65" s="398">
        <f t="shared" si="45"/>
        <v>1.4639525202118146E-2</v>
      </c>
      <c r="M65" s="36">
        <v>8.9</v>
      </c>
      <c r="N65" s="399">
        <f>M65*H65/1000</f>
        <v>9.8800355079635156E-3</v>
      </c>
      <c r="P65" s="403">
        <f t="shared" si="49"/>
        <v>2.0159464088913101E-2</v>
      </c>
      <c r="Q65" s="403">
        <f t="shared" si="42"/>
        <v>1.5399974394758471E-2</v>
      </c>
      <c r="R65" s="35"/>
      <c r="S65" s="35"/>
      <c r="T65" s="35"/>
      <c r="U65" s="35"/>
      <c r="V65" s="35"/>
    </row>
    <row r="66" spans="1:24">
      <c r="A66" s="2" t="s">
        <v>125</v>
      </c>
      <c r="B66" s="72">
        <v>31.805487999999997</v>
      </c>
      <c r="C66" s="398">
        <v>1.3741143491536205E-2</v>
      </c>
      <c r="D66" s="401">
        <v>2.9905001723398881E-3</v>
      </c>
      <c r="E66" s="403">
        <f t="shared" si="43"/>
        <v>1.6731643663876094E-2</v>
      </c>
      <c r="F66" s="403">
        <v>1.6808883310022619E-2</v>
      </c>
      <c r="G66" s="26"/>
      <c r="H66" s="105">
        <v>1.86682156450965</v>
      </c>
      <c r="I66" s="156">
        <f t="shared" si="44"/>
        <v>1.5862068107906662</v>
      </c>
      <c r="K66" s="81">
        <v>8.6628952782561477</v>
      </c>
      <c r="L66" s="398">
        <f t="shared" si="45"/>
        <v>1.6172079716537401E-2</v>
      </c>
      <c r="M66" s="81">
        <v>1.3</v>
      </c>
      <c r="N66" s="399">
        <f>M66*H66/1000</f>
        <v>2.4268680338625451E-3</v>
      </c>
      <c r="P66" s="403">
        <f t="shared" si="49"/>
        <v>1.916257988887729E-2</v>
      </c>
      <c r="Q66" s="402">
        <f t="shared" si="42"/>
        <v>5.4173682062024333E-3</v>
      </c>
      <c r="R66" s="35"/>
      <c r="S66" s="35"/>
      <c r="T66" s="35"/>
      <c r="U66" s="35"/>
      <c r="V66" s="35"/>
    </row>
    <row r="67" spans="1:24">
      <c r="A67" s="62" t="s">
        <v>128</v>
      </c>
      <c r="B67" s="93">
        <v>7.9269062400000001</v>
      </c>
      <c r="C67" s="399">
        <v>2.6016991043532624E-3</v>
      </c>
      <c r="D67" s="509">
        <v>9.5997138632251088E-4</v>
      </c>
      <c r="E67" s="402">
        <f t="shared" si="43"/>
        <v>3.5616704906757733E-3</v>
      </c>
      <c r="F67" s="402">
        <v>3.5621359583345343E-3</v>
      </c>
      <c r="G67" s="26"/>
      <c r="H67" s="105">
        <v>5.72286241232311</v>
      </c>
      <c r="I67" s="156">
        <f t="shared" si="44"/>
        <v>3.5982726509477154</v>
      </c>
      <c r="K67" s="445">
        <v>0.72304112465408232</v>
      </c>
      <c r="L67" s="398">
        <f t="shared" si="45"/>
        <v>4.1378648748466767E-3</v>
      </c>
      <c r="M67" s="36">
        <v>0.5</v>
      </c>
      <c r="N67" s="399">
        <f>M67*H67/1000</f>
        <v>2.8614312061615551E-3</v>
      </c>
      <c r="P67" s="403">
        <f t="shared" ref="P67" si="50">D67+L67</f>
        <v>5.0978362611691875E-3</v>
      </c>
      <c r="Q67" s="402">
        <f t="shared" ref="Q67" si="51">D67+N67</f>
        <v>3.8214025924840659E-3</v>
      </c>
      <c r="R67" s="35"/>
      <c r="S67" s="35"/>
      <c r="T67" s="35"/>
      <c r="U67" s="35"/>
      <c r="V67" s="35"/>
    </row>
    <row r="68" spans="1:24">
      <c r="A68" s="62" t="s">
        <v>247</v>
      </c>
      <c r="B68" s="72">
        <v>145.32661440000001</v>
      </c>
      <c r="C68" s="398">
        <v>7.4857954925361972E-2</v>
      </c>
      <c r="D68" s="401">
        <v>8.7365857096063891E-3</v>
      </c>
      <c r="E68" s="403">
        <f>C68+D68</f>
        <v>8.3594540634968365E-2</v>
      </c>
      <c r="F68" s="403">
        <v>8.1367212786515306E-2</v>
      </c>
      <c r="G68" s="26"/>
      <c r="H68" s="105">
        <v>1.3170874893781674</v>
      </c>
      <c r="I68" s="156">
        <f t="shared" si="44"/>
        <v>1.0471653677503654</v>
      </c>
      <c r="K68" s="77">
        <v>71.48627831932599</v>
      </c>
      <c r="L68" s="380">
        <f t="shared" si="45"/>
        <v>9.4153682836589994E-2</v>
      </c>
      <c r="M68" s="77">
        <v>26.49024</v>
      </c>
      <c r="N68" s="399">
        <f>M68*H68/1000</f>
        <v>3.488996369462511E-2</v>
      </c>
      <c r="P68" s="387">
        <f>D68+L68</f>
        <v>0.10289026854619639</v>
      </c>
      <c r="Q68" s="403">
        <f>D68+N68</f>
        <v>4.3626549404231496E-2</v>
      </c>
      <c r="R68" s="35"/>
      <c r="S68" s="35"/>
      <c r="T68" s="35"/>
      <c r="U68" s="35"/>
      <c r="V68" s="35"/>
    </row>
    <row r="69" spans="1:24">
      <c r="A69" s="2" t="s">
        <v>253</v>
      </c>
      <c r="B69" s="146">
        <f>SUM(B59:B68)</f>
        <v>497.95895300800009</v>
      </c>
      <c r="C69" s="422">
        <f>SUM(C59:C68)</f>
        <v>0.28925428826824928</v>
      </c>
      <c r="D69" s="422">
        <f>SUM(D59:D68)</f>
        <v>6.3456791027564213E-2</v>
      </c>
      <c r="E69" s="422">
        <f>SUM(E59:E68)</f>
        <v>0.35271107929581347</v>
      </c>
      <c r="F69" s="422">
        <f>SUM(F59:F68)</f>
        <v>0.35673550284915645</v>
      </c>
      <c r="G69" s="26"/>
      <c r="H69" s="152"/>
      <c r="I69" s="157">
        <f>1000*C69/K69</f>
        <v>1.8442131733948763</v>
      </c>
      <c r="J69" s="10" t="s">
        <v>26</v>
      </c>
      <c r="K69" s="415">
        <f>SUM(K59:K68)</f>
        <v>156.84428049919109</v>
      </c>
      <c r="L69" s="422">
        <f>SUM(L59:L68)</f>
        <v>0.44490425882196455</v>
      </c>
      <c r="M69" s="415">
        <f>SUM(M59:M68)</f>
        <v>77.782168276749999</v>
      </c>
      <c r="N69" s="422">
        <f>SUM(N59:N68)</f>
        <v>0.21382114790817963</v>
      </c>
      <c r="P69" s="422">
        <f>SUM(P59:P68)</f>
        <v>0.50824970332610442</v>
      </c>
      <c r="Q69" s="422">
        <f>SUM(Q59:Q68)</f>
        <v>0.27716659241231945</v>
      </c>
      <c r="R69" s="35"/>
      <c r="S69" s="35"/>
      <c r="T69" s="35"/>
      <c r="U69" s="35"/>
      <c r="V69" s="35"/>
      <c r="X69" s="120">
        <f>D69/E69</f>
        <v>0.17991153312863178</v>
      </c>
    </row>
    <row r="70" spans="1:24">
      <c r="A70" s="2" t="s">
        <v>253</v>
      </c>
      <c r="B70" s="37"/>
      <c r="C70" s="38"/>
      <c r="D70" s="53">
        <f>D69/F69</f>
        <v>0.17788190555958361</v>
      </c>
      <c r="E70" s="33"/>
      <c r="F70" s="33"/>
      <c r="G70" s="26"/>
      <c r="H70" s="151">
        <v>3.7</v>
      </c>
      <c r="I70" s="503">
        <f>1000*C69/M69</f>
        <v>3.7187737842313506</v>
      </c>
      <c r="J70" s="87" t="s">
        <v>263</v>
      </c>
      <c r="K70" s="415">
        <f>SUM(K59:K68)</f>
        <v>156.84428049919109</v>
      </c>
      <c r="L70" s="422">
        <f>K70*H70/1000</f>
        <v>0.58032383784700714</v>
      </c>
      <c r="M70" s="415">
        <f>SUM(M59:M68)</f>
        <v>77.782168276749999</v>
      </c>
      <c r="N70" s="422">
        <f>M70*H70/1000</f>
        <v>0.28779402262397502</v>
      </c>
      <c r="P70" s="422">
        <f>L70+$D69</f>
        <v>0.64378062887457133</v>
      </c>
      <c r="Q70" s="422">
        <f>N70+$D69</f>
        <v>0.35125081365153921</v>
      </c>
      <c r="R70" s="35"/>
      <c r="S70" s="35"/>
      <c r="T70" s="35"/>
      <c r="U70" s="35"/>
      <c r="V70" s="35"/>
    </row>
    <row r="71" spans="1:24" ht="16">
      <c r="A71" s="14" t="s">
        <v>25</v>
      </c>
      <c r="B71" s="37"/>
      <c r="C71" s="26"/>
      <c r="D71" s="26"/>
      <c r="E71" s="28"/>
      <c r="F71" s="26"/>
      <c r="G71" s="26"/>
      <c r="H71" s="493">
        <f>1000*(F69-D69)/K69</f>
        <v>1.8698718938820649</v>
      </c>
      <c r="I71" s="504">
        <f>1000*(F69-D69)/M69</f>
        <v>3.7705134521077204</v>
      </c>
      <c r="L71" s="26"/>
      <c r="N71" s="26"/>
      <c r="P71" s="35"/>
      <c r="Q71" s="35"/>
      <c r="R71" s="35"/>
      <c r="S71" s="35"/>
      <c r="T71" s="35"/>
      <c r="U71" s="35"/>
      <c r="V71" s="35"/>
    </row>
    <row r="72" spans="1:24">
      <c r="A72" s="2" t="s">
        <v>1</v>
      </c>
      <c r="B72" s="72">
        <f t="shared" ref="B72:B81" si="52">SUM(B46,B59)</f>
        <v>171.97989104086602</v>
      </c>
      <c r="C72" s="398">
        <f>C46+C59</f>
        <v>9.9973920589638859E-2</v>
      </c>
      <c r="D72" s="400">
        <f t="shared" ref="C72:F81" si="53">D46+D59</f>
        <v>2.6975545490332993E-2</v>
      </c>
      <c r="E72" s="403">
        <f t="shared" si="53"/>
        <v>0.12694946607997185</v>
      </c>
      <c r="F72" s="403">
        <f t="shared" si="53"/>
        <v>0.15052130320839341</v>
      </c>
      <c r="G72" s="26"/>
      <c r="H72" s="8"/>
      <c r="I72" s="156">
        <f>1000*C72/K72</f>
        <v>1.4740312109980436</v>
      </c>
      <c r="K72" s="407">
        <f t="shared" ref="K72:N75" si="54">K46+K59</f>
        <v>67.823476086336115</v>
      </c>
      <c r="L72" s="380">
        <f t="shared" si="54"/>
        <v>0.59455527964522925</v>
      </c>
      <c r="M72" s="36">
        <f t="shared" si="54"/>
        <v>42.239130191000001</v>
      </c>
      <c r="N72" s="380">
        <f t="shared" si="54"/>
        <v>0.3590159479897479</v>
      </c>
      <c r="P72" s="387">
        <f t="shared" ref="P72:P79" si="55">D72+L72</f>
        <v>0.62153082513556224</v>
      </c>
      <c r="Q72" s="387">
        <f t="shared" ref="Q72:Q79" si="56">D72+N72</f>
        <v>0.38599149348008088</v>
      </c>
      <c r="R72" s="51"/>
      <c r="S72" s="51"/>
      <c r="T72" s="51"/>
      <c r="U72" s="51"/>
      <c r="V72" s="51"/>
    </row>
    <row r="73" spans="1:24">
      <c r="A73" s="2" t="s">
        <v>2</v>
      </c>
      <c r="B73" s="72">
        <f t="shared" si="52"/>
        <v>455.92290523200001</v>
      </c>
      <c r="C73" s="398">
        <f t="shared" si="53"/>
        <v>0.30688174617795083</v>
      </c>
      <c r="D73" s="400">
        <f t="shared" si="53"/>
        <v>4.6292935016117552E-2</v>
      </c>
      <c r="E73" s="403">
        <f t="shared" si="53"/>
        <v>0.35317468119406836</v>
      </c>
      <c r="F73" s="403">
        <f t="shared" si="53"/>
        <v>0.44226488792078528</v>
      </c>
      <c r="G73" s="26"/>
      <c r="H73" s="4"/>
      <c r="I73" s="156">
        <f t="shared" ref="I73:I81" si="57">1000*C73/K73</f>
        <v>1.1576204775796355</v>
      </c>
      <c r="K73" s="77">
        <f t="shared" si="54"/>
        <v>265.09702628929153</v>
      </c>
      <c r="L73" s="380">
        <f t="shared" si="54"/>
        <v>0.77095493173523533</v>
      </c>
      <c r="M73" s="77">
        <f t="shared" si="54"/>
        <v>87.954513440499994</v>
      </c>
      <c r="N73" s="380">
        <f t="shared" si="54"/>
        <v>0.2563401853391859</v>
      </c>
      <c r="P73" s="387">
        <f t="shared" si="55"/>
        <v>0.81724786675135286</v>
      </c>
      <c r="Q73" s="403">
        <f t="shared" si="56"/>
        <v>0.30263312035530343</v>
      </c>
      <c r="R73" s="51"/>
      <c r="S73" s="51"/>
      <c r="T73" s="51"/>
      <c r="U73" s="51"/>
      <c r="V73" s="51"/>
    </row>
    <row r="74" spans="1:24" ht="16">
      <c r="A74" s="2" t="s">
        <v>3</v>
      </c>
      <c r="B74" s="72">
        <f t="shared" si="52"/>
        <v>22.119493616</v>
      </c>
      <c r="C74" s="398">
        <f t="shared" si="53"/>
        <v>1.0978338294651635E-2</v>
      </c>
      <c r="D74" s="401">
        <f t="shared" si="53"/>
        <v>4.2556942801031811E-3</v>
      </c>
      <c r="E74" s="403">
        <f t="shared" si="53"/>
        <v>1.5234032574754816E-2</v>
      </c>
      <c r="F74" s="403">
        <f t="shared" si="53"/>
        <v>1.5483222288204198E-2</v>
      </c>
      <c r="G74" s="26"/>
      <c r="H74" s="4"/>
      <c r="I74" s="156">
        <f t="shared" si="57"/>
        <v>4.583485456881653</v>
      </c>
      <c r="K74" s="408">
        <f t="shared" si="54"/>
        <v>2.3951943118241465</v>
      </c>
      <c r="L74" s="380">
        <f t="shared" si="54"/>
        <v>1.5749492345776488E-2</v>
      </c>
      <c r="M74" s="36">
        <f t="shared" si="54"/>
        <v>1.3417262452499998</v>
      </c>
      <c r="N74" s="508">
        <f t="shared" si="54"/>
        <v>8.8224605099361791E-3</v>
      </c>
      <c r="P74" s="403">
        <f t="shared" si="55"/>
        <v>2.0005186625879669E-2</v>
      </c>
      <c r="Q74" s="403">
        <f t="shared" si="56"/>
        <v>1.307815479003936E-2</v>
      </c>
      <c r="R74" s="51"/>
      <c r="S74" s="51"/>
      <c r="T74" s="51"/>
      <c r="U74" s="51"/>
      <c r="V74" s="51"/>
    </row>
    <row r="75" spans="1:24">
      <c r="A75" s="2" t="s">
        <v>4</v>
      </c>
      <c r="B75" s="72">
        <f t="shared" si="52"/>
        <v>102.57009377896701</v>
      </c>
      <c r="C75" s="398">
        <f t="shared" si="53"/>
        <v>4.9241744835102949E-2</v>
      </c>
      <c r="D75" s="401">
        <f t="shared" si="53"/>
        <v>1.3899791996394165E-2</v>
      </c>
      <c r="E75" s="403">
        <f t="shared" si="53"/>
        <v>6.3141536831497119E-2</v>
      </c>
      <c r="F75" s="403">
        <f t="shared" si="53"/>
        <v>6.2224474133207808E-2</v>
      </c>
      <c r="G75" s="26"/>
      <c r="H75" s="4"/>
      <c r="I75" s="156">
        <f t="shared" si="57"/>
        <v>1.0473470525591575</v>
      </c>
      <c r="K75" s="408">
        <f t="shared" si="54"/>
        <v>47.015690467436166</v>
      </c>
      <c r="L75" s="398">
        <f t="shared" si="54"/>
        <v>9.08389646235961E-2</v>
      </c>
      <c r="M75" s="36">
        <f t="shared" si="54"/>
        <v>42.865076800000004</v>
      </c>
      <c r="N75" s="398">
        <f t="shared" si="54"/>
        <v>8.5911807469976564E-2</v>
      </c>
      <c r="P75" s="387">
        <f t="shared" si="55"/>
        <v>0.10473875661999027</v>
      </c>
      <c r="Q75" s="387">
        <f t="shared" si="56"/>
        <v>9.9811599466370735E-2</v>
      </c>
      <c r="R75" s="51"/>
      <c r="S75" s="51"/>
      <c r="T75" s="51"/>
      <c r="U75" s="51"/>
      <c r="V75" s="51"/>
    </row>
    <row r="76" spans="1:24">
      <c r="A76" s="2" t="s">
        <v>5</v>
      </c>
      <c r="B76" s="93">
        <f t="shared" si="52"/>
        <v>0.64834263999999997</v>
      </c>
      <c r="C76" s="491">
        <f t="shared" si="53"/>
        <v>3.6323721439951478E-4</v>
      </c>
      <c r="D76" s="509">
        <f t="shared" si="53"/>
        <v>1.1134652342439781E-4</v>
      </c>
      <c r="E76" s="492">
        <f t="shared" si="53"/>
        <v>4.7458373782391258E-4</v>
      </c>
      <c r="F76" s="492">
        <f t="shared" si="53"/>
        <v>5.1833866832889496E-4</v>
      </c>
      <c r="G76" s="26"/>
      <c r="H76" s="4"/>
      <c r="I76" s="135">
        <f t="shared" si="57"/>
        <v>29.622903614487509</v>
      </c>
      <c r="K76" s="444">
        <f t="shared" ref="K76:K81" si="58">K50+K63</f>
        <v>1.226203950587303E-2</v>
      </c>
      <c r="L76" s="379">
        <v>0</v>
      </c>
      <c r="M76" s="39">
        <f>M50+M63</f>
        <v>1.0999999999999999E-2</v>
      </c>
      <c r="N76" s="379">
        <f>0</f>
        <v>0</v>
      </c>
      <c r="P76" s="402">
        <f t="shared" si="55"/>
        <v>1.1134652342439781E-4</v>
      </c>
      <c r="Q76" s="402">
        <f t="shared" si="56"/>
        <v>1.1134652342439781E-4</v>
      </c>
      <c r="R76" s="51"/>
      <c r="S76" s="51"/>
      <c r="T76" s="51"/>
      <c r="U76" s="51"/>
      <c r="V76" s="51"/>
    </row>
    <row r="77" spans="1:24">
      <c r="A77" s="2" t="s">
        <v>88</v>
      </c>
      <c r="B77" s="72">
        <f t="shared" si="52"/>
        <v>83.753563568000004</v>
      </c>
      <c r="C77" s="398">
        <f t="shared" si="53"/>
        <v>3.7387755168970485E-2</v>
      </c>
      <c r="D77" s="401">
        <f t="shared" si="53"/>
        <v>8.975198196167683E-3</v>
      </c>
      <c r="E77" s="403">
        <f t="shared" si="53"/>
        <v>4.6362953365138168E-2</v>
      </c>
      <c r="F77" s="403">
        <f t="shared" si="53"/>
        <v>4.6326073282907894E-2</v>
      </c>
      <c r="G77" s="26"/>
      <c r="H77" s="7"/>
      <c r="I77" s="156">
        <f t="shared" si="57"/>
        <v>1.4779149841285377</v>
      </c>
      <c r="K77" s="408">
        <f t="shared" si="58"/>
        <v>25.297635906314611</v>
      </c>
      <c r="L77" s="398">
        <f>L51+L64</f>
        <v>2.7504348069461084E-2</v>
      </c>
      <c r="M77" s="36">
        <f>M51+M64</f>
        <v>26.984403200000003</v>
      </c>
      <c r="N77" s="398">
        <f>N51+N64</f>
        <v>2.9280687516720385E-2</v>
      </c>
      <c r="P77" s="403">
        <f t="shared" si="55"/>
        <v>3.6479546265628771E-2</v>
      </c>
      <c r="Q77" s="403">
        <f t="shared" si="56"/>
        <v>3.8255885712888071E-2</v>
      </c>
      <c r="R77" s="51"/>
      <c r="S77" s="51"/>
      <c r="T77" s="51"/>
      <c r="U77" s="51"/>
      <c r="V77" s="51"/>
    </row>
    <row r="78" spans="1:24">
      <c r="A78" s="2" t="s">
        <v>95</v>
      </c>
      <c r="B78" s="72">
        <f t="shared" si="52"/>
        <v>113.2509044</v>
      </c>
      <c r="C78" s="398">
        <f t="shared" si="53"/>
        <v>5.2750328438997227E-2</v>
      </c>
      <c r="D78" s="401">
        <f t="shared" si="53"/>
        <v>1.10086250406811E-2</v>
      </c>
      <c r="E78" s="403">
        <f t="shared" si="53"/>
        <v>6.3758953479678332E-2</v>
      </c>
      <c r="F78" s="403">
        <f t="shared" si="53"/>
        <v>6.4357642568832835E-2</v>
      </c>
      <c r="G78" s="26"/>
      <c r="H78" s="7"/>
      <c r="I78" s="156">
        <f t="shared" si="57"/>
        <v>1.6927330072399349</v>
      </c>
      <c r="K78" s="407">
        <f t="shared" si="58"/>
        <v>31.162816707289611</v>
      </c>
      <c r="L78" s="398">
        <f>L52+L65</f>
        <v>3.2614962755371964E-2</v>
      </c>
      <c r="M78" s="36">
        <f>M52+M65</f>
        <v>22.429073600000002</v>
      </c>
      <c r="N78" s="398">
        <f>N52+N65</f>
        <v>2.3409109107963517E-2</v>
      </c>
      <c r="P78" s="403">
        <f t="shared" si="55"/>
        <v>4.3623587796053062E-2</v>
      </c>
      <c r="Q78" s="403">
        <f t="shared" si="56"/>
        <v>3.4417734148644616E-2</v>
      </c>
      <c r="R78" s="51"/>
      <c r="S78" s="51"/>
      <c r="T78" s="51"/>
      <c r="U78" s="51"/>
      <c r="V78" s="51"/>
    </row>
    <row r="79" spans="1:24">
      <c r="A79" s="2" t="s">
        <v>125</v>
      </c>
      <c r="B79" s="72">
        <f t="shared" si="52"/>
        <v>1057.969738</v>
      </c>
      <c r="C79" s="398">
        <f t="shared" si="53"/>
        <v>0.68679615933682525</v>
      </c>
      <c r="D79" s="401">
        <f t="shared" si="53"/>
        <v>7.4325100260680912E-2</v>
      </c>
      <c r="E79" s="403">
        <f t="shared" si="53"/>
        <v>0.76112125959750621</v>
      </c>
      <c r="F79" s="403">
        <f t="shared" si="53"/>
        <v>0.76078677377920201</v>
      </c>
      <c r="G79" s="26"/>
      <c r="H79" s="7"/>
      <c r="I79" s="156">
        <f t="shared" si="57"/>
        <v>1.2185361751210952</v>
      </c>
      <c r="K79" s="77">
        <f t="shared" si="58"/>
        <v>563.62393941121445</v>
      </c>
      <c r="L79" s="380">
        <f>L53+L66</f>
        <v>0.95960585474256643</v>
      </c>
      <c r="M79" s="81">
        <f>M53+M66</f>
        <v>278.90320000000003</v>
      </c>
      <c r="N79" s="380">
        <f>N53+N66</f>
        <v>0.47435230803386258</v>
      </c>
      <c r="P79" s="403">
        <f t="shared" si="55"/>
        <v>1.0339309550032474</v>
      </c>
      <c r="Q79" s="403">
        <f t="shared" si="56"/>
        <v>0.54867740829454348</v>
      </c>
      <c r="R79" s="51"/>
      <c r="S79" s="51"/>
      <c r="T79" s="51"/>
      <c r="U79" s="51"/>
      <c r="V79" s="51"/>
    </row>
    <row r="80" spans="1:24">
      <c r="A80" s="62" t="s">
        <v>128</v>
      </c>
      <c r="B80" s="93">
        <f t="shared" si="52"/>
        <v>7.9269062400000001</v>
      </c>
      <c r="C80" s="399">
        <f t="shared" si="53"/>
        <v>2.6016991043532624E-3</v>
      </c>
      <c r="D80" s="509">
        <f t="shared" si="53"/>
        <v>9.5997138632251088E-4</v>
      </c>
      <c r="E80" s="402">
        <f t="shared" si="53"/>
        <v>3.5616704906757733E-3</v>
      </c>
      <c r="F80" s="402">
        <f t="shared" si="53"/>
        <v>3.5621359583345343E-3</v>
      </c>
      <c r="G80" s="26"/>
      <c r="H80" s="7"/>
      <c r="I80" s="156">
        <f t="shared" si="57"/>
        <v>3.5982726509477154</v>
      </c>
      <c r="K80" s="445">
        <f t="shared" si="58"/>
        <v>0.72304112465408232</v>
      </c>
      <c r="L80" s="380">
        <f>L54+L67</f>
        <v>4.1378648748466767E-3</v>
      </c>
      <c r="M80" s="36">
        <f>M54+M67</f>
        <v>0.5</v>
      </c>
      <c r="N80" s="380">
        <f>N54+N67</f>
        <v>2.8614312061615551E-3</v>
      </c>
      <c r="P80" s="403">
        <f t="shared" ref="P80:P81" si="59">D80+L80</f>
        <v>5.0978362611691875E-3</v>
      </c>
      <c r="Q80" s="403">
        <f t="shared" ref="Q80:Q81" si="60">D80+N80</f>
        <v>3.8214025924840659E-3</v>
      </c>
      <c r="R80" s="51"/>
      <c r="S80" s="51"/>
      <c r="T80" s="51"/>
      <c r="U80" s="51"/>
      <c r="V80" s="51"/>
    </row>
    <row r="81" spans="1:26">
      <c r="A81" s="62" t="s">
        <v>247</v>
      </c>
      <c r="B81" s="72">
        <f t="shared" si="52"/>
        <v>803.45555840000009</v>
      </c>
      <c r="C81" s="380">
        <f t="shared" si="53"/>
        <v>0.48410694434489465</v>
      </c>
      <c r="D81" s="401">
        <f t="shared" si="53"/>
        <v>4.8546907748065929E-2</v>
      </c>
      <c r="E81" s="387">
        <f t="shared" si="53"/>
        <v>0.53265385209296057</v>
      </c>
      <c r="F81" s="387">
        <f t="shared" si="53"/>
        <v>0.53946825718652425</v>
      </c>
      <c r="G81" s="26"/>
      <c r="H81" s="7"/>
      <c r="I81" s="156">
        <f t="shared" si="57"/>
        <v>1.912193048007049</v>
      </c>
      <c r="K81" s="77">
        <f t="shared" si="58"/>
        <v>253.16844700876146</v>
      </c>
      <c r="L81" s="380">
        <f>L55+L68</f>
        <v>0.3303405021328561</v>
      </c>
      <c r="M81" s="77">
        <v>215</v>
      </c>
      <c r="N81" s="380">
        <f>N55+N68</f>
        <v>0.28019684369462511</v>
      </c>
      <c r="P81" s="403">
        <f t="shared" si="59"/>
        <v>0.37888740988092201</v>
      </c>
      <c r="Q81" s="403">
        <f t="shared" si="60"/>
        <v>0.32874375144269102</v>
      </c>
      <c r="R81" s="51"/>
      <c r="S81" s="51"/>
      <c r="T81" s="51"/>
      <c r="U81" s="51"/>
      <c r="V81" s="51"/>
    </row>
    <row r="82" spans="1:26">
      <c r="A82" s="2" t="s">
        <v>253</v>
      </c>
      <c r="B82" s="146">
        <f>SUM(B72:B81)</f>
        <v>2819.5973969158331</v>
      </c>
      <c r="C82" s="416">
        <f>SUM(C72:C81)</f>
        <v>1.7310818735057847</v>
      </c>
      <c r="D82" s="422">
        <f>SUM(D72:D81)</f>
        <v>0.23535111593829044</v>
      </c>
      <c r="E82" s="545">
        <f>E56+E69</f>
        <v>1.9664329894440751</v>
      </c>
      <c r="F82" s="545">
        <f>F56+F69</f>
        <v>2.085513108994721</v>
      </c>
      <c r="G82" s="26"/>
      <c r="H82" s="152"/>
      <c r="I82" s="157">
        <f>1000*C82/K82</f>
        <v>1.3778993584520636</v>
      </c>
      <c r="J82" s="10" t="s">
        <v>26</v>
      </c>
      <c r="K82" s="415">
        <f>SUM(K72:K81)</f>
        <v>1256.319529352628</v>
      </c>
      <c r="L82" s="416">
        <f t="shared" ref="L82:N82" si="61">SUM(L72:L81)</f>
        <v>2.8263022009249394</v>
      </c>
      <c r="M82" s="415">
        <f>SUM(M72:M81)</f>
        <v>718.22812347674994</v>
      </c>
      <c r="N82" s="416">
        <f t="shared" si="61"/>
        <v>1.5201907808681796</v>
      </c>
      <c r="P82" s="416">
        <f>L82+$D$82</f>
        <v>3.0616533168632301</v>
      </c>
      <c r="Q82" s="416">
        <f>N82+$D$82</f>
        <v>1.75554189680647</v>
      </c>
      <c r="R82" s="51"/>
      <c r="S82" s="51"/>
      <c r="T82" s="51"/>
      <c r="X82" s="120">
        <f>D82/E82</f>
        <v>0.119684279709336</v>
      </c>
      <c r="Y82" s="120">
        <f>D82/P82</f>
        <v>7.6870596237008246E-2</v>
      </c>
      <c r="Z82" s="120">
        <f>D82/Q82</f>
        <v>0.13406180528440867</v>
      </c>
    </row>
    <row r="83" spans="1:26">
      <c r="A83" s="2" t="s">
        <v>253</v>
      </c>
      <c r="B83" s="37"/>
      <c r="C83" s="33"/>
      <c r="D83" s="53">
        <f>D82/F82</f>
        <v>0.11285046107992898</v>
      </c>
      <c r="E83" s="33"/>
      <c r="F83" s="33"/>
      <c r="G83" s="26"/>
      <c r="H83" s="151">
        <v>2.8</v>
      </c>
      <c r="I83" s="503">
        <f>1000*C82/M82</f>
        <v>2.4102117654848727</v>
      </c>
      <c r="J83" s="87" t="s">
        <v>263</v>
      </c>
      <c r="K83" s="415">
        <f>K57+K70</f>
        <v>1256.3195293526278</v>
      </c>
      <c r="L83" s="416">
        <f>L57+L70</f>
        <v>2.5373897808061248</v>
      </c>
      <c r="M83" s="415">
        <f>M57+M70</f>
        <v>718.41596347674999</v>
      </c>
      <c r="N83" s="416">
        <f>N57+N70</f>
        <v>1.4281221780799751</v>
      </c>
      <c r="P83" s="416">
        <f>L83+$D$82</f>
        <v>2.7727408967444154</v>
      </c>
      <c r="Q83" s="416">
        <f>N83+$D$82</f>
        <v>1.6634732940182655</v>
      </c>
      <c r="R83" s="51"/>
      <c r="S83" s="166" t="s">
        <v>214</v>
      </c>
      <c r="T83" s="456" t="s">
        <v>286</v>
      </c>
      <c r="U83" s="166" t="s">
        <v>81</v>
      </c>
      <c r="V83" s="456" t="s">
        <v>286</v>
      </c>
    </row>
    <row r="84" spans="1:26" ht="16">
      <c r="A84" s="14" t="s">
        <v>15</v>
      </c>
      <c r="B84" s="37"/>
      <c r="C84" s="26"/>
      <c r="D84" s="26"/>
      <c r="E84" s="28"/>
      <c r="F84" s="26"/>
      <c r="G84" s="26"/>
      <c r="H84" s="493">
        <f>1000*(F82-D82)/K82</f>
        <v>1.472684257332054</v>
      </c>
      <c r="I84" s="504">
        <f>1000*(F82-D82)/M82</f>
        <v>2.5760088369977661</v>
      </c>
      <c r="L84" s="26"/>
      <c r="N84" s="26"/>
      <c r="P84" s="51"/>
      <c r="Q84" s="51"/>
      <c r="R84" s="51"/>
      <c r="S84" s="243">
        <f>AVERAGE(C82,L82,N82,L83,N83)</f>
        <v>2.008617362837001</v>
      </c>
      <c r="T84" s="242">
        <f>S84/10</f>
        <v>0.2008617362837001</v>
      </c>
      <c r="U84" s="74">
        <f>AVERAGE(E82,F82,P82,P83,Q82,Q83)</f>
        <v>2.2175592504785295</v>
      </c>
      <c r="V84" s="79">
        <f>U84/10</f>
        <v>0.22175592504785296</v>
      </c>
    </row>
    <row r="85" spans="1:26">
      <c r="A85" s="2" t="s">
        <v>1</v>
      </c>
      <c r="B85" s="72">
        <f t="shared" ref="B85:B94" si="62">B72</f>
        <v>171.97989104086602</v>
      </c>
      <c r="C85" s="380">
        <v>0.10114211149471264</v>
      </c>
      <c r="D85" s="510">
        <v>2.0828589774771998E-2</v>
      </c>
      <c r="E85" s="511">
        <f t="shared" ref="E85:E94" si="63">C85+D85</f>
        <v>0.12197070126948464</v>
      </c>
      <c r="F85" s="387">
        <v>0.17874708530823041</v>
      </c>
      <c r="G85" s="26"/>
      <c r="H85" s="105">
        <v>5.3989174037152727</v>
      </c>
      <c r="I85" s="156">
        <f>1000*C85/K85</f>
        <v>1.5874895783021625</v>
      </c>
      <c r="K85" s="407">
        <v>63.711984555442079</v>
      </c>
      <c r="L85" s="387">
        <f>K85*H85/1000</f>
        <v>0.34397574224161492</v>
      </c>
      <c r="M85" s="143">
        <v>42.23852196</v>
      </c>
      <c r="N85" s="387">
        <f>M85*H85/1000</f>
        <v>0.22804229131705372</v>
      </c>
      <c r="P85" s="387">
        <f>D85+L85</f>
        <v>0.3648043320163869</v>
      </c>
      <c r="Q85" s="387">
        <f>D85+N85</f>
        <v>0.24887088109182573</v>
      </c>
      <c r="R85" s="51"/>
      <c r="S85" s="51"/>
      <c r="T85" s="51"/>
      <c r="U85" s="51"/>
      <c r="V85" s="51"/>
    </row>
    <row r="86" spans="1:26">
      <c r="A86" s="2" t="s">
        <v>2</v>
      </c>
      <c r="B86" s="72">
        <f t="shared" si="62"/>
        <v>455.92290523200001</v>
      </c>
      <c r="C86" s="380">
        <v>0.32658089380698818</v>
      </c>
      <c r="D86" s="510">
        <v>4.1516729666843756E-2</v>
      </c>
      <c r="E86" s="511">
        <f t="shared" si="63"/>
        <v>0.36809762347383196</v>
      </c>
      <c r="F86" s="387">
        <v>0.52286748158470331</v>
      </c>
      <c r="G86" s="26"/>
      <c r="H86" s="105">
        <v>2.9220431159648075</v>
      </c>
      <c r="I86" s="156">
        <f t="shared" ref="I86:I94" si="64">1000*C86/K86</f>
        <v>1.5020712851641147</v>
      </c>
      <c r="K86" s="77">
        <v>217.42036948087073</v>
      </c>
      <c r="L86" s="387">
        <f t="shared" ref="L86:L94" si="65">K86*H86/1000</f>
        <v>0.63531169391210329</v>
      </c>
      <c r="M86" s="77">
        <v>87</v>
      </c>
      <c r="N86" s="387">
        <f t="shared" ref="N86:N94" si="66">M86*H86/1000</f>
        <v>0.25421775108893824</v>
      </c>
      <c r="P86" s="387">
        <f>D86+L86</f>
        <v>0.67682842357894701</v>
      </c>
      <c r="Q86" s="387">
        <f>D86+N86</f>
        <v>0.29573448075578201</v>
      </c>
      <c r="U86" s="51"/>
      <c r="V86" s="51"/>
    </row>
    <row r="87" spans="1:26">
      <c r="A87" s="2" t="s">
        <v>3</v>
      </c>
      <c r="B87" s="72">
        <f t="shared" si="62"/>
        <v>22.119493616</v>
      </c>
      <c r="C87" s="398">
        <v>1.0021282380324221E-2</v>
      </c>
      <c r="D87" s="510">
        <v>3.7827281583109069E-3</v>
      </c>
      <c r="E87" s="511">
        <f t="shared" si="63"/>
        <v>1.3804010538635128E-2</v>
      </c>
      <c r="F87" s="387">
        <v>1.5326325952213589E-2</v>
      </c>
      <c r="G87" s="26"/>
      <c r="H87" s="105">
        <v>6.575454971660271</v>
      </c>
      <c r="I87" s="156">
        <f t="shared" si="64"/>
        <v>1.8585731137300534</v>
      </c>
      <c r="K87" s="408">
        <v>5.391922602502337</v>
      </c>
      <c r="L87" s="403">
        <f t="shared" si="65"/>
        <v>3.5454344283431381E-2</v>
      </c>
      <c r="M87" s="36">
        <v>1.3417262452499998</v>
      </c>
      <c r="N87" s="402">
        <f t="shared" si="66"/>
        <v>8.8224605099361791E-3</v>
      </c>
      <c r="P87" s="403">
        <f>D87+L87</f>
        <v>3.9237072441742286E-2</v>
      </c>
      <c r="Q87" s="403">
        <f>D87+N87</f>
        <v>1.2605188668247086E-2</v>
      </c>
      <c r="R87" s="51"/>
      <c r="S87" s="51"/>
      <c r="T87" s="51"/>
      <c r="U87" s="51"/>
      <c r="V87" s="51"/>
    </row>
    <row r="88" spans="1:26">
      <c r="A88" s="2" t="s">
        <v>4</v>
      </c>
      <c r="B88" s="72">
        <f t="shared" si="62"/>
        <v>102.57009377896701</v>
      </c>
      <c r="C88" s="398">
        <v>5.8496280483491238E-2</v>
      </c>
      <c r="D88" s="510">
        <v>1.305026095984276E-2</v>
      </c>
      <c r="E88" s="511">
        <f t="shared" si="63"/>
        <v>7.1546541443334E-2</v>
      </c>
      <c r="F88" s="387">
        <v>8.255740016135403E-2</v>
      </c>
      <c r="G88" s="26"/>
      <c r="H88" s="105">
        <v>2.2436968030737985</v>
      </c>
      <c r="I88" s="156">
        <f t="shared" si="64"/>
        <v>1.6105384636773064</v>
      </c>
      <c r="K88" s="407">
        <v>36.320945946194911</v>
      </c>
      <c r="L88" s="387">
        <f t="shared" si="65"/>
        <v>8.1493190304093757E-2</v>
      </c>
      <c r="M88" s="143">
        <v>42.919817707249997</v>
      </c>
      <c r="N88" s="387">
        <f t="shared" si="66"/>
        <v>9.6299057778267028E-2</v>
      </c>
      <c r="P88" s="387">
        <f>D88+L88</f>
        <v>9.4543451263936512E-2</v>
      </c>
      <c r="Q88" s="387">
        <f>D88+N88</f>
        <v>0.10934931873810978</v>
      </c>
      <c r="R88" s="51"/>
      <c r="S88" s="51"/>
      <c r="T88" s="51"/>
      <c r="U88" s="51"/>
      <c r="V88" s="51"/>
    </row>
    <row r="89" spans="1:26">
      <c r="A89" s="2" t="s">
        <v>5</v>
      </c>
      <c r="B89" s="93">
        <f t="shared" si="62"/>
        <v>0.64834263999999997</v>
      </c>
      <c r="C89" s="491">
        <v>2.3534158054939078E-4</v>
      </c>
      <c r="D89" s="552">
        <v>1.5070724809990122E-4</v>
      </c>
      <c r="E89" s="551">
        <f t="shared" si="63"/>
        <v>3.8604882864929203E-4</v>
      </c>
      <c r="F89" s="492">
        <v>3.1037689385576329E-4</v>
      </c>
      <c r="G89" s="26"/>
      <c r="H89" s="105" t="s">
        <v>32</v>
      </c>
      <c r="I89" s="135" t="s">
        <v>32</v>
      </c>
      <c r="K89" s="444">
        <v>7.8852241209421317E-2</v>
      </c>
      <c r="L89" s="514" t="s">
        <v>32</v>
      </c>
      <c r="M89" s="39">
        <v>1.2E-2</v>
      </c>
      <c r="N89" s="514" t="s">
        <v>32</v>
      </c>
      <c r="P89" s="403" t="s">
        <v>32</v>
      </c>
      <c r="Q89" s="403" t="s">
        <v>32</v>
      </c>
      <c r="R89" s="76" t="s">
        <v>84</v>
      </c>
      <c r="S89" s="33"/>
      <c r="T89" s="33"/>
      <c r="U89" s="51"/>
      <c r="V89" s="51"/>
    </row>
    <row r="90" spans="1:26">
      <c r="A90" s="2" t="s">
        <v>88</v>
      </c>
      <c r="B90" s="72">
        <f t="shared" si="62"/>
        <v>83.753563568000004</v>
      </c>
      <c r="C90" s="398">
        <v>4.8380283652344279E-2</v>
      </c>
      <c r="D90" s="510">
        <v>1.0217750601770105E-2</v>
      </c>
      <c r="E90" s="511">
        <f t="shared" si="63"/>
        <v>5.8598034254114383E-2</v>
      </c>
      <c r="F90" s="403">
        <v>5.7828874078011148E-2</v>
      </c>
      <c r="G90" s="26"/>
      <c r="H90" s="105">
        <v>0.91882797837020791</v>
      </c>
      <c r="I90" s="156">
        <f t="shared" si="64"/>
        <v>1.5919260960831223</v>
      </c>
      <c r="K90" s="407">
        <v>30.391036224220617</v>
      </c>
      <c r="L90" s="403">
        <f t="shared" si="65"/>
        <v>2.7924134374476384E-2</v>
      </c>
      <c r="M90" s="143">
        <v>27</v>
      </c>
      <c r="N90" s="387">
        <f t="shared" si="66"/>
        <v>2.4808355415995614E-2</v>
      </c>
      <c r="P90" s="387">
        <f>D90+L90</f>
        <v>3.8141884976246487E-2</v>
      </c>
      <c r="Q90" s="403">
        <f>D90+N90</f>
        <v>3.5026106017765721E-2</v>
      </c>
      <c r="R90" s="33"/>
      <c r="S90" s="33"/>
      <c r="T90" s="33"/>
      <c r="U90" s="51"/>
      <c r="V90" s="51"/>
    </row>
    <row r="91" spans="1:26">
      <c r="A91" s="2" t="s">
        <v>95</v>
      </c>
      <c r="B91" s="72">
        <f t="shared" si="62"/>
        <v>113.2509044</v>
      </c>
      <c r="C91" s="398">
        <v>6.8272970902057736E-2</v>
      </c>
      <c r="D91" s="510">
        <v>1.3133057042181142E-2</v>
      </c>
      <c r="E91" s="511">
        <f t="shared" si="63"/>
        <v>8.1406027944238873E-2</v>
      </c>
      <c r="F91" s="403">
        <v>7.3586051981483144E-2</v>
      </c>
      <c r="G91" s="26"/>
      <c r="H91" s="105">
        <v>1.0349593120134823</v>
      </c>
      <c r="I91" s="156">
        <f t="shared" si="64"/>
        <v>1.5690071715142957</v>
      </c>
      <c r="K91" s="407">
        <v>43.513485560531535</v>
      </c>
      <c r="L91" s="403">
        <f t="shared" si="65"/>
        <v>4.5034687079036316E-2</v>
      </c>
      <c r="M91" s="143">
        <v>22.30949352</v>
      </c>
      <c r="N91" s="387">
        <f t="shared" si="66"/>
        <v>2.3089418064828442E-2</v>
      </c>
      <c r="P91" s="387">
        <f>D91+L91</f>
        <v>5.816774412121746E-2</v>
      </c>
      <c r="Q91" s="403">
        <f>D91+N91</f>
        <v>3.6222475107009586E-2</v>
      </c>
      <c r="R91" s="33"/>
      <c r="S91" s="33"/>
      <c r="T91" s="33"/>
      <c r="U91" s="51"/>
      <c r="V91" s="51"/>
    </row>
    <row r="92" spans="1:26">
      <c r="A92" s="2" t="s">
        <v>125</v>
      </c>
      <c r="B92" s="72">
        <f t="shared" si="62"/>
        <v>1057.969738</v>
      </c>
      <c r="C92" s="380">
        <v>0.80665206104604525</v>
      </c>
      <c r="D92" s="510">
        <v>8.3306528040203137E-2</v>
      </c>
      <c r="E92" s="512">
        <f t="shared" si="63"/>
        <v>0.88995858908624836</v>
      </c>
      <c r="F92" s="387">
        <v>0.79229970428022001</v>
      </c>
      <c r="G92" s="26"/>
      <c r="H92" s="105">
        <v>1.7882762073126084</v>
      </c>
      <c r="I92" s="156">
        <f t="shared" si="64"/>
        <v>1.4796210761946342</v>
      </c>
      <c r="K92" s="77">
        <v>545.17475725652309</v>
      </c>
      <c r="L92" s="397">
        <f>K92*H92/1000</f>
        <v>0.97492304722926704</v>
      </c>
      <c r="M92" s="77">
        <v>278.83782471000001</v>
      </c>
      <c r="N92" s="387">
        <f t="shared" si="66"/>
        <v>0.49863904762769673</v>
      </c>
      <c r="P92" s="387">
        <f>D92+L92</f>
        <v>1.0582295752694701</v>
      </c>
      <c r="Q92" s="387">
        <f>D92+N92</f>
        <v>0.58194557566789984</v>
      </c>
      <c r="R92" s="76" t="s">
        <v>85</v>
      </c>
      <c r="S92" s="33"/>
      <c r="T92" s="33"/>
      <c r="U92" s="51"/>
      <c r="V92" s="51"/>
    </row>
    <row r="93" spans="1:26">
      <c r="A93" s="62" t="s">
        <v>128</v>
      </c>
      <c r="B93" s="93">
        <f t="shared" si="62"/>
        <v>7.9269062400000001</v>
      </c>
      <c r="C93" s="399">
        <v>3.6132256555230571E-3</v>
      </c>
      <c r="D93" s="510">
        <v>1.5496545358087484E-3</v>
      </c>
      <c r="E93" s="513">
        <f t="shared" si="63"/>
        <v>5.1628801913318053E-3</v>
      </c>
      <c r="F93" s="402">
        <v>3.3554859582723561E-3</v>
      </c>
      <c r="G93" s="26"/>
      <c r="H93" s="105">
        <v>5.72286241232311</v>
      </c>
      <c r="I93" s="156">
        <f t="shared" si="64"/>
        <v>1.9850774583817405</v>
      </c>
      <c r="K93" s="445">
        <v>1.8201937865279085</v>
      </c>
      <c r="L93" s="402">
        <f t="shared" si="65"/>
        <v>1.0416718604064644E-2</v>
      </c>
      <c r="M93" s="39">
        <f>M80</f>
        <v>0.5</v>
      </c>
      <c r="N93" s="402">
        <f t="shared" si="66"/>
        <v>2.8614312061615551E-3</v>
      </c>
      <c r="P93" s="387">
        <f>D93+L93</f>
        <v>1.1966373139873393E-2</v>
      </c>
      <c r="Q93" s="403">
        <f>D93+N93</f>
        <v>4.4110857419703033E-3</v>
      </c>
      <c r="R93" s="33"/>
      <c r="S93" s="33"/>
      <c r="T93" s="33"/>
      <c r="U93" s="51"/>
      <c r="V93" s="51"/>
    </row>
    <row r="94" spans="1:26">
      <c r="A94" s="62" t="s">
        <v>247</v>
      </c>
      <c r="B94" s="93">
        <f t="shared" si="62"/>
        <v>803.45555840000009</v>
      </c>
      <c r="C94" s="380">
        <v>0.59605767514862396</v>
      </c>
      <c r="D94" s="510">
        <v>6.6520679905309521E-2</v>
      </c>
      <c r="E94" s="512">
        <f t="shared" si="63"/>
        <v>0.66257835505393348</v>
      </c>
      <c r="F94" s="387">
        <v>0.49261851421913666</v>
      </c>
      <c r="G94" s="26"/>
      <c r="H94" s="105">
        <v>1.4739525717912387</v>
      </c>
      <c r="I94" s="156">
        <f t="shared" si="64"/>
        <v>1.4869600403940939</v>
      </c>
      <c r="K94" s="77">
        <v>400.85655226528405</v>
      </c>
      <c r="L94" s="387">
        <f t="shared" si="65"/>
        <v>0.59084354613078449</v>
      </c>
      <c r="M94" s="77">
        <v>215</v>
      </c>
      <c r="N94" s="387">
        <f t="shared" si="66"/>
        <v>0.31689980293511633</v>
      </c>
      <c r="P94" s="387">
        <f>D94+L94</f>
        <v>0.65736422603609401</v>
      </c>
      <c r="Q94" s="387">
        <f>D94+N94</f>
        <v>0.38342048284042585</v>
      </c>
      <c r="R94" s="33"/>
      <c r="S94" s="33"/>
      <c r="T94" s="33"/>
      <c r="U94" s="51"/>
      <c r="V94" s="51"/>
    </row>
    <row r="95" spans="1:26">
      <c r="A95" s="2" t="s">
        <v>253</v>
      </c>
      <c r="B95" s="146">
        <f>SUM(B85:B94)</f>
        <v>2819.5973969158331</v>
      </c>
      <c r="C95" s="416">
        <f>SUM(C85:C94)</f>
        <v>2.0194521261506599</v>
      </c>
      <c r="D95" s="422">
        <f>SUM(D85:D94)</f>
        <v>0.25405668593314196</v>
      </c>
      <c r="E95" s="545">
        <f>SUM(E85:E94)</f>
        <v>2.2735088120838016</v>
      </c>
      <c r="F95" s="545">
        <f>SUM(F85:F94)</f>
        <v>2.2194973004174803</v>
      </c>
      <c r="G95" s="26"/>
      <c r="H95" s="152"/>
      <c r="I95" s="157">
        <f>1000*C95/K95</f>
        <v>1.5018085909591774</v>
      </c>
      <c r="J95" s="10" t="s">
        <v>26</v>
      </c>
      <c r="K95" s="415">
        <f>SUM(K85:K94)</f>
        <v>1344.6800999193067</v>
      </c>
      <c r="L95" s="416">
        <f t="shared" ref="L95:N95" si="67">SUM(L85:L94)</f>
        <v>2.7453771041588722</v>
      </c>
      <c r="M95" s="415">
        <f t="shared" si="67"/>
        <v>717.15938414250002</v>
      </c>
      <c r="N95" s="416">
        <f t="shared" si="67"/>
        <v>1.4536796159439938</v>
      </c>
      <c r="P95" s="553">
        <f>L95+$D$95</f>
        <v>2.9994337900920143</v>
      </c>
      <c r="Q95" s="545">
        <f>N95+$D$95</f>
        <v>1.7077363018771357</v>
      </c>
      <c r="R95" s="51"/>
      <c r="S95" s="51"/>
      <c r="T95" s="51"/>
      <c r="X95" s="120">
        <f>D95/E95</f>
        <v>0.11174651471893103</v>
      </c>
      <c r="Y95" s="120">
        <f>D95/P95</f>
        <v>8.4701548262996737E-2</v>
      </c>
      <c r="Z95" s="120">
        <f>D95/Q95</f>
        <v>0.14876810058665618</v>
      </c>
    </row>
    <row r="96" spans="1:26">
      <c r="A96" s="2" t="s">
        <v>253</v>
      </c>
      <c r="C96" s="33"/>
      <c r="D96" s="53">
        <f>D95/F95</f>
        <v>0.11446586841324596</v>
      </c>
      <c r="E96" s="33"/>
      <c r="F96" s="33"/>
      <c r="G96" s="26"/>
      <c r="H96" s="151">
        <v>2.8</v>
      </c>
      <c r="I96" s="503">
        <f>1000*C95/M95</f>
        <v>2.8159042059601544</v>
      </c>
      <c r="J96" s="87" t="s">
        <v>263</v>
      </c>
      <c r="K96" s="415">
        <f>SUM(K85:K94)</f>
        <v>1344.6800999193067</v>
      </c>
      <c r="L96" s="416">
        <f>K96*H96/1000</f>
        <v>3.7651042797740581</v>
      </c>
      <c r="M96" s="415">
        <f>M95</f>
        <v>717.15938414250002</v>
      </c>
      <c r="N96" s="416">
        <f>M96*H96/1000</f>
        <v>2.0080462755989998</v>
      </c>
      <c r="P96" s="545">
        <f>L96+$D$95</f>
        <v>4.0191609657071998</v>
      </c>
      <c r="Q96" s="545">
        <f>N96+$D$95</f>
        <v>2.262102961532142</v>
      </c>
      <c r="R96" s="51"/>
      <c r="S96" s="166" t="s">
        <v>214</v>
      </c>
      <c r="T96" s="456" t="s">
        <v>286</v>
      </c>
      <c r="U96" s="166" t="s">
        <v>81</v>
      </c>
      <c r="V96" s="456" t="s">
        <v>286</v>
      </c>
    </row>
    <row r="97" spans="8:22">
      <c r="H97" s="493">
        <f>1000*(F95-D95)/K95</f>
        <v>1.4616417797826287</v>
      </c>
      <c r="I97" s="504">
        <f>1000*(F95-D95)/M95</f>
        <v>2.7405910846922752</v>
      </c>
      <c r="P97" s="51"/>
      <c r="Q97" s="51"/>
      <c r="R97" s="51"/>
      <c r="S97" s="243">
        <f>AVERAGE(C95,L95,N95,L96,N96)</f>
        <v>2.3983318803253169</v>
      </c>
      <c r="T97" s="242">
        <f>S97/10</f>
        <v>0.23983318803253167</v>
      </c>
      <c r="U97" s="74">
        <f>AVERAGE(E95,F95,P95,P96,Q95,Q96)</f>
        <v>2.5802400219516293</v>
      </c>
      <c r="V97" s="79">
        <f>U97/10</f>
        <v>0.25802400219516292</v>
      </c>
    </row>
    <row r="98" spans="8:22">
      <c r="P98" s="51"/>
      <c r="Q98" s="51"/>
      <c r="R98" s="51"/>
      <c r="S98" s="51"/>
      <c r="T98" s="51"/>
      <c r="U98" s="51"/>
      <c r="V98" s="51"/>
    </row>
    <row r="99" spans="8:22" ht="80">
      <c r="I99" s="154" t="s">
        <v>135</v>
      </c>
      <c r="P99" s="35"/>
      <c r="Q99" s="35"/>
      <c r="R99" s="35"/>
      <c r="S99" s="67" t="s">
        <v>215</v>
      </c>
      <c r="T99" s="70" t="s">
        <v>287</v>
      </c>
      <c r="U99" s="67" t="s">
        <v>82</v>
      </c>
      <c r="V99" s="70" t="s">
        <v>287</v>
      </c>
    </row>
    <row r="100" spans="8:22">
      <c r="I100" s="157">
        <f>AVERAGE(I82,I95)</f>
        <v>1.4398539747056205</v>
      </c>
      <c r="J100" s="521" t="s">
        <v>83</v>
      </c>
      <c r="S100" s="244">
        <f>AVERAGE(S84,S97)</f>
        <v>2.2034746215811589</v>
      </c>
      <c r="T100" s="245">
        <f>AVERAGE(T84,T97)</f>
        <v>0.2203474621581159</v>
      </c>
      <c r="U100" s="74">
        <f>AVERAGE(U84,U97)</f>
        <v>2.3988996362150794</v>
      </c>
      <c r="V100" s="79">
        <f>AVERAGE(V84,V97)</f>
        <v>0.23988996362150794</v>
      </c>
    </row>
    <row r="101" spans="8:22">
      <c r="H101" s="151">
        <f t="shared" ref="H101:I102" si="68">AVERAGE(H83,H96)</f>
        <v>2.8</v>
      </c>
      <c r="I101" s="544">
        <f t="shared" si="68"/>
        <v>2.6130579857225138</v>
      </c>
    </row>
    <row r="102" spans="8:22">
      <c r="H102" s="493">
        <f t="shared" si="68"/>
        <v>1.4671630185573412</v>
      </c>
      <c r="I102" s="504">
        <f t="shared" si="68"/>
        <v>2.6582999608450208</v>
      </c>
    </row>
    <row r="104" spans="8:22">
      <c r="H104" s="151">
        <f>H101</f>
        <v>2.8</v>
      </c>
      <c r="I104" t="s">
        <v>323</v>
      </c>
    </row>
    <row r="105" spans="8:22">
      <c r="H105" s="157">
        <f>I100</f>
        <v>1.4398539747056205</v>
      </c>
      <c r="I105" t="s">
        <v>322</v>
      </c>
    </row>
    <row r="106" spans="8:22">
      <c r="H106" s="493">
        <f>H102</f>
        <v>1.4671630185573412</v>
      </c>
      <c r="I106" t="s">
        <v>326</v>
      </c>
    </row>
    <row r="107" spans="8:22">
      <c r="H107" s="544">
        <f>I101</f>
        <v>2.6130579857225138</v>
      </c>
      <c r="I107" t="s">
        <v>324</v>
      </c>
    </row>
    <row r="108" spans="8:22">
      <c r="H108" s="504">
        <f>I102</f>
        <v>2.6582999608450208</v>
      </c>
      <c r="I108" t="s">
        <v>325</v>
      </c>
    </row>
  </sheetData>
  <mergeCells count="6">
    <mergeCell ref="A1:V1"/>
    <mergeCell ref="A2:V2"/>
    <mergeCell ref="S4:T4"/>
    <mergeCell ref="U4:V4"/>
    <mergeCell ref="S5:T5"/>
    <mergeCell ref="U5:V5"/>
  </mergeCells>
  <conditionalFormatting sqref="A39:A40">
    <cfRule type="duplicateValues" dxfId="1" priority="2"/>
  </conditionalFormatting>
  <conditionalFormatting sqref="A52:A53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5352E-4220-4F61-A98F-1A464F0E99B2}">
  <sheetPr>
    <tabColor theme="7" tint="0.79998168889431442"/>
    <pageSetUpPr fitToPage="1"/>
  </sheetPr>
  <dimension ref="A1:Q40"/>
  <sheetViews>
    <sheetView topLeftCell="A13" workbookViewId="0">
      <selection activeCell="G47" sqref="G47"/>
    </sheetView>
  </sheetViews>
  <sheetFormatPr baseColWidth="10" defaultColWidth="8.83203125" defaultRowHeight="15"/>
  <cols>
    <col min="1" max="1" width="17.5" customWidth="1"/>
    <col min="2" max="2" width="9.5" bestFit="1" customWidth="1"/>
    <col min="5" max="5" width="6.83203125" customWidth="1"/>
    <col min="6" max="6" width="9" bestFit="1" customWidth="1"/>
    <col min="7" max="7" width="2.1640625" customWidth="1"/>
    <col min="8" max="9" width="10.1640625" customWidth="1"/>
    <col min="10" max="10" width="5.5" customWidth="1"/>
    <col min="11" max="11" width="6.5" customWidth="1"/>
    <col min="12" max="12" width="10.5" customWidth="1"/>
    <col min="13" max="13" width="9.83203125" customWidth="1"/>
    <col min="14" max="14" width="10.5" bestFit="1" customWidth="1"/>
    <col min="15" max="15" width="1.5" customWidth="1"/>
    <col min="16" max="16" width="12.33203125" bestFit="1" customWidth="1"/>
    <col min="17" max="17" width="12.83203125" bestFit="1" customWidth="1"/>
  </cols>
  <sheetData>
    <row r="1" spans="1:17" ht="34.5" customHeight="1">
      <c r="A1" s="618" t="s">
        <v>206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</row>
    <row r="2" spans="1:17" ht="69" customHeight="1">
      <c r="A2" s="619" t="s">
        <v>174</v>
      </c>
      <c r="B2" s="619"/>
      <c r="C2" s="619"/>
      <c r="D2" s="619"/>
      <c r="E2" s="619"/>
      <c r="F2" s="619"/>
      <c r="G2" s="619"/>
      <c r="H2" s="619"/>
      <c r="I2" s="619"/>
      <c r="J2" s="619"/>
      <c r="K2" s="619"/>
      <c r="L2" s="619"/>
      <c r="M2" s="619"/>
      <c r="N2" s="619"/>
      <c r="O2" s="619"/>
      <c r="P2" s="619"/>
      <c r="Q2" s="619"/>
    </row>
    <row r="4" spans="1:17" ht="32">
      <c r="B4" s="167" t="s">
        <v>27</v>
      </c>
      <c r="C4" s="168" t="s">
        <v>62</v>
      </c>
      <c r="D4" s="168" t="s">
        <v>63</v>
      </c>
      <c r="E4" s="122" t="s">
        <v>64</v>
      </c>
      <c r="F4" s="122" t="s">
        <v>65</v>
      </c>
      <c r="G4" s="169"/>
      <c r="H4" s="168" t="s">
        <v>62</v>
      </c>
      <c r="I4" s="170"/>
      <c r="J4" s="170"/>
      <c r="K4" s="168" t="s">
        <v>16</v>
      </c>
      <c r="L4" s="168" t="s">
        <v>66</v>
      </c>
      <c r="M4" s="168" t="s">
        <v>17</v>
      </c>
      <c r="N4" s="168" t="s">
        <v>67</v>
      </c>
      <c r="P4" s="171" t="s">
        <v>73</v>
      </c>
      <c r="Q4" s="171" t="s">
        <v>74</v>
      </c>
    </row>
    <row r="5" spans="1:17">
      <c r="B5" s="159" t="s">
        <v>30</v>
      </c>
      <c r="C5" s="159" t="s">
        <v>31</v>
      </c>
      <c r="D5" s="159" t="s">
        <v>31</v>
      </c>
      <c r="E5" s="159" t="s">
        <v>31</v>
      </c>
      <c r="F5" s="159" t="s">
        <v>31</v>
      </c>
      <c r="G5" s="43"/>
      <c r="H5" s="40" t="s">
        <v>29</v>
      </c>
      <c r="I5" s="528"/>
      <c r="J5" s="44"/>
      <c r="K5" s="159" t="s">
        <v>31</v>
      </c>
      <c r="L5" s="159" t="s">
        <v>31</v>
      </c>
      <c r="M5" s="159" t="s">
        <v>31</v>
      </c>
      <c r="N5" s="159" t="s">
        <v>31</v>
      </c>
      <c r="P5" s="159" t="s">
        <v>31</v>
      </c>
      <c r="Q5" s="159" t="s">
        <v>31</v>
      </c>
    </row>
    <row r="6" spans="1:17" ht="32">
      <c r="A6" s="162"/>
      <c r="B6" s="19" t="s">
        <v>28</v>
      </c>
      <c r="C6" s="18" t="s">
        <v>8</v>
      </c>
      <c r="D6" s="18" t="s">
        <v>8</v>
      </c>
      <c r="E6" s="19" t="s">
        <v>8</v>
      </c>
      <c r="F6" s="19" t="s">
        <v>8</v>
      </c>
      <c r="G6" s="20"/>
      <c r="H6" s="21" t="s">
        <v>136</v>
      </c>
      <c r="I6" s="533"/>
      <c r="J6" s="22"/>
      <c r="K6" s="18" t="s">
        <v>13</v>
      </c>
      <c r="L6" s="18" t="s">
        <v>8</v>
      </c>
      <c r="M6" s="18" t="s">
        <v>13</v>
      </c>
      <c r="N6" s="18" t="s">
        <v>8</v>
      </c>
      <c r="P6" s="18" t="s">
        <v>8</v>
      </c>
      <c r="Q6" s="18" t="s">
        <v>8</v>
      </c>
    </row>
    <row r="7" spans="1:17" ht="16">
      <c r="A7" s="534" t="s">
        <v>314</v>
      </c>
      <c r="B7" s="318"/>
      <c r="C7" s="192"/>
      <c r="D7" s="192"/>
      <c r="E7" s="318"/>
      <c r="F7" s="318"/>
      <c r="G7" s="190"/>
      <c r="H7" s="194"/>
      <c r="I7" s="194"/>
      <c r="J7" s="192"/>
      <c r="K7" s="192"/>
      <c r="L7" s="192"/>
      <c r="M7" s="192"/>
      <c r="N7" s="192"/>
      <c r="P7" s="192"/>
      <c r="Q7" s="192"/>
    </row>
    <row r="8" spans="1:17" ht="16">
      <c r="A8" s="164" t="s">
        <v>164</v>
      </c>
    </row>
    <row r="9" spans="1:17">
      <c r="A9" t="s">
        <v>125</v>
      </c>
      <c r="B9" s="72">
        <v>1055.6975440000001</v>
      </c>
      <c r="C9" s="307">
        <v>2.1172332277110848</v>
      </c>
      <c r="D9" s="314">
        <v>4.7897744065190477E-2</v>
      </c>
      <c r="E9" s="310">
        <f>C9+D9</f>
        <v>2.1651309717762754</v>
      </c>
      <c r="F9" s="310">
        <v>1.9681950909719756</v>
      </c>
      <c r="H9" s="105">
        <v>1.0592276945949488</v>
      </c>
      <c r="I9" s="156">
        <f>1000*C9/K9</f>
        <v>1.2037012104480469</v>
      </c>
      <c r="K9" s="299">
        <v>1758.9358632637739</v>
      </c>
      <c r="L9" s="307">
        <f>K9*H9/1000</f>
        <v>1.8631135793852633</v>
      </c>
      <c r="M9" s="299">
        <v>1064.1900528000001</v>
      </c>
      <c r="N9" s="307">
        <f>M9*H9/1000</f>
        <v>1.1272195762382209</v>
      </c>
      <c r="P9" s="310">
        <f t="shared" ref="P9" si="0">D9+L9</f>
        <v>1.9110113234504538</v>
      </c>
      <c r="Q9" s="310">
        <f t="shared" ref="Q9" si="1">D9+N9</f>
        <v>1.1751173203034113</v>
      </c>
    </row>
    <row r="10" spans="1:17">
      <c r="A10" t="s">
        <v>160</v>
      </c>
      <c r="C10" s="308">
        <v>0.20743023000000002</v>
      </c>
      <c r="D10" s="314">
        <v>5.5568054379450922E-3</v>
      </c>
      <c r="E10" s="311">
        <f>C10+D10</f>
        <v>0.21298703543794512</v>
      </c>
      <c r="F10" s="311">
        <v>0.19487404671331002</v>
      </c>
      <c r="H10" s="162"/>
      <c r="I10" s="48"/>
      <c r="K10" s="165">
        <v>202</v>
      </c>
      <c r="L10" s="308">
        <f>K10*$H9/1000</f>
        <v>0.21396399430817964</v>
      </c>
      <c r="M10" s="162"/>
      <c r="N10" s="172"/>
      <c r="O10" s="35"/>
      <c r="P10" s="311">
        <f>D10+L10</f>
        <v>0.21952079974612473</v>
      </c>
      <c r="Q10" s="172"/>
    </row>
    <row r="11" spans="1:17">
      <c r="A11" t="s">
        <v>176</v>
      </c>
      <c r="C11" s="537">
        <f>C10/C9</f>
        <v>9.7972309939727484E-2</v>
      </c>
      <c r="D11" s="538">
        <f>D10/D9</f>
        <v>0.1160139281378699</v>
      </c>
      <c r="E11" s="539">
        <f>E10/E9</f>
        <v>9.8371432589692415E-2</v>
      </c>
      <c r="F11" s="539">
        <f>F10/F9</f>
        <v>9.9011550027326409E-2</v>
      </c>
      <c r="H11" s="162"/>
      <c r="I11" s="48"/>
      <c r="K11" s="56">
        <f>K10/K9</f>
        <v>0.11484216350286994</v>
      </c>
      <c r="L11" s="537">
        <f>L10/L9</f>
        <v>0.11484216350286992</v>
      </c>
      <c r="M11" s="162"/>
      <c r="N11" s="162"/>
      <c r="P11" s="539">
        <f>P10/P9</f>
        <v>0.11487153270749115</v>
      </c>
      <c r="Q11" s="172"/>
    </row>
    <row r="12" spans="1:17" ht="16">
      <c r="A12" s="1" t="s">
        <v>165</v>
      </c>
      <c r="I12" s="26"/>
    </row>
    <row r="13" spans="1:17">
      <c r="A13" t="s">
        <v>125</v>
      </c>
      <c r="B13" s="72">
        <v>1043</v>
      </c>
      <c r="C13" s="308">
        <v>1.1649063950279102</v>
      </c>
      <c r="D13" s="314">
        <v>4.3208553867884601E-2</v>
      </c>
      <c r="E13" s="311">
        <f t="shared" ref="E13" si="2">C13+D13</f>
        <v>1.2081149488957947</v>
      </c>
      <c r="F13" s="311">
        <v>1.2056663052283245</v>
      </c>
      <c r="G13" s="26"/>
      <c r="H13" s="105">
        <v>1.1702002116087709</v>
      </c>
      <c r="I13" s="156">
        <f t="shared" ref="I13" si="3">1000*C13/K13</f>
        <v>0.95180531700617155</v>
      </c>
      <c r="J13" s="10"/>
      <c r="K13" s="299">
        <v>1223.8914557569726</v>
      </c>
      <c r="L13" s="308">
        <f>K13*H13/1000</f>
        <v>1.4321980405129759</v>
      </c>
      <c r="M13" s="299">
        <v>1065</v>
      </c>
      <c r="N13" s="308">
        <f t="shared" ref="N13" si="4">M13*H13/1000</f>
        <v>1.246263225363341</v>
      </c>
      <c r="P13" s="310">
        <f t="shared" ref="P13" si="5">D13+L13</f>
        <v>1.4754065943808605</v>
      </c>
      <c r="Q13" s="310">
        <f t="shared" ref="Q13" si="6">D13+N13</f>
        <v>1.2894717792312256</v>
      </c>
    </row>
    <row r="14" spans="1:17">
      <c r="A14" t="s">
        <v>160</v>
      </c>
      <c r="B14" s="46"/>
      <c r="C14" s="308">
        <v>0.25416975064432834</v>
      </c>
      <c r="D14" s="314">
        <v>8.0814133308909422E-3</v>
      </c>
      <c r="E14" s="311">
        <f>C14+D14</f>
        <v>0.2622511639752193</v>
      </c>
      <c r="F14" s="311">
        <v>0.18677129849205251</v>
      </c>
      <c r="H14" s="6"/>
      <c r="I14" s="6"/>
      <c r="J14" s="10"/>
      <c r="K14" s="143">
        <v>237</v>
      </c>
      <c r="L14" s="308">
        <f>K14*$H13/1000</f>
        <v>0.2773374501512787</v>
      </c>
      <c r="M14" s="46"/>
      <c r="N14" s="46"/>
      <c r="P14" s="311">
        <f>D14+L14</f>
        <v>0.28541886348216966</v>
      </c>
      <c r="Q14" s="46"/>
    </row>
    <row r="15" spans="1:17">
      <c r="A15" t="s">
        <v>176</v>
      </c>
      <c r="C15" s="537">
        <f>C14/C13</f>
        <v>0.21818899074568018</v>
      </c>
      <c r="D15" s="538">
        <f>D14/D13</f>
        <v>0.18703271939164742</v>
      </c>
      <c r="E15" s="539">
        <f>E14/E13</f>
        <v>0.2170746783780089</v>
      </c>
      <c r="F15" s="539">
        <f>F14/F13</f>
        <v>0.15491126996095531</v>
      </c>
      <c r="H15" s="162"/>
      <c r="I15" s="48"/>
      <c r="K15" s="56">
        <f>K14/K13</f>
        <v>0.19364462337341534</v>
      </c>
      <c r="L15" s="537">
        <f>L14/L13</f>
        <v>0.19364462337341537</v>
      </c>
      <c r="M15" s="162"/>
      <c r="N15" s="162"/>
      <c r="P15" s="539">
        <f>P14/P13</f>
        <v>0.19345098806606786</v>
      </c>
      <c r="Q15" s="46"/>
    </row>
    <row r="16" spans="1:17">
      <c r="I16" s="26"/>
    </row>
    <row r="17" spans="1:17">
      <c r="A17" t="s">
        <v>162</v>
      </c>
      <c r="B17" s="166">
        <f>B9/B13</f>
        <v>1.0121740594439119</v>
      </c>
      <c r="C17" s="321">
        <f>C9/C13</f>
        <v>1.817513610319186</v>
      </c>
      <c r="D17" s="166">
        <f>D9/D13</f>
        <v>1.1085245808421094</v>
      </c>
      <c r="E17" s="321">
        <f>E9/E13</f>
        <v>1.7921564282895299</v>
      </c>
      <c r="F17" s="321">
        <f>F9/F13</f>
        <v>1.6324542557397308</v>
      </c>
      <c r="H17" s="166">
        <f>H9/H13</f>
        <v>0.90516792262303647</v>
      </c>
      <c r="I17" s="32"/>
      <c r="K17" s="321">
        <f>K9/K13</f>
        <v>1.4371665518131085</v>
      </c>
      <c r="L17" s="166">
        <f>L9/L13</f>
        <v>1.3008770621679839</v>
      </c>
      <c r="M17" s="166">
        <f>M9/M13</f>
        <v>0.99923948619718317</v>
      </c>
      <c r="N17" s="166">
        <f>N9/N13</f>
        <v>0.90447952992401459</v>
      </c>
      <c r="P17" s="166">
        <f>P9/P13</f>
        <v>1.2952438539509106</v>
      </c>
      <c r="Q17" s="166">
        <f>Q9/Q13</f>
        <v>0.91131681920484398</v>
      </c>
    </row>
    <row r="18" spans="1:17">
      <c r="B18" s="181"/>
      <c r="C18" s="181"/>
      <c r="D18" s="181"/>
      <c r="E18" s="181"/>
      <c r="F18" s="181"/>
      <c r="H18" s="181"/>
      <c r="I18" s="32"/>
      <c r="K18" s="181"/>
      <c r="L18" s="181"/>
      <c r="M18" s="181"/>
      <c r="N18" s="181"/>
      <c r="P18" s="181"/>
      <c r="Q18" s="181"/>
    </row>
    <row r="19" spans="1:17" ht="16">
      <c r="A19" s="535" t="s">
        <v>315</v>
      </c>
      <c r="B19" s="181"/>
      <c r="C19" s="181"/>
      <c r="D19" s="181"/>
      <c r="E19" s="181"/>
      <c r="F19" s="181"/>
      <c r="H19" s="181"/>
      <c r="I19" s="32"/>
      <c r="K19" s="181"/>
      <c r="L19" s="181"/>
      <c r="M19" s="181"/>
      <c r="N19" s="181"/>
      <c r="P19" s="181"/>
      <c r="Q19" s="181"/>
    </row>
    <row r="20" spans="1:17" ht="16">
      <c r="A20" s="164" t="s">
        <v>164</v>
      </c>
      <c r="B20" s="181"/>
      <c r="C20" s="181"/>
      <c r="D20" s="181"/>
      <c r="E20" s="181"/>
      <c r="F20" s="181"/>
      <c r="H20" s="181"/>
      <c r="I20" s="32"/>
      <c r="K20" s="181"/>
      <c r="L20" s="181"/>
      <c r="M20" s="181"/>
      <c r="N20" s="181"/>
      <c r="P20" s="181"/>
      <c r="Q20" s="181"/>
    </row>
    <row r="21" spans="1:17">
      <c r="A21" t="s">
        <v>125</v>
      </c>
      <c r="B21" s="72">
        <v>1055.6975440000001</v>
      </c>
      <c r="C21" s="380">
        <v>1.9224630761504831</v>
      </c>
      <c r="D21" s="400">
        <v>4.725172265757132E-2</v>
      </c>
      <c r="E21" s="387">
        <f>C21+D21</f>
        <v>1.9697147988080543</v>
      </c>
      <c r="F21" s="387">
        <v>1.8164645703519211</v>
      </c>
      <c r="H21" s="105">
        <v>1.0592276945949488</v>
      </c>
      <c r="I21" s="156">
        <f>1000*C21/K21</f>
        <v>1.0721394258655215</v>
      </c>
      <c r="K21" s="16">
        <v>1793.1092074134933</v>
      </c>
      <c r="L21" s="380">
        <f>K21*H21/1000</f>
        <v>1.8993109319255705</v>
      </c>
      <c r="M21" s="16">
        <v>1064.1900528000001</v>
      </c>
      <c r="N21" s="380">
        <f>M21*H21/1000</f>
        <v>1.1272195762382209</v>
      </c>
      <c r="P21" s="387">
        <f t="shared" ref="P21" si="7">D21+L21</f>
        <v>1.9465626545831418</v>
      </c>
      <c r="Q21" s="387">
        <f t="shared" ref="Q21" si="8">D21+N21</f>
        <v>1.1744712988957922</v>
      </c>
    </row>
    <row r="22" spans="1:17">
      <c r="A22" t="s">
        <v>160</v>
      </c>
      <c r="C22" s="380"/>
      <c r="D22" s="400"/>
      <c r="E22" s="387"/>
      <c r="F22" s="387"/>
      <c r="H22" s="162"/>
      <c r="I22" s="48"/>
      <c r="K22" s="165"/>
      <c r="L22" s="380"/>
      <c r="M22" s="162"/>
      <c r="N22" s="172"/>
      <c r="O22" s="35"/>
      <c r="P22" s="387"/>
      <c r="Q22" s="172"/>
    </row>
    <row r="23" spans="1:17">
      <c r="A23" t="s">
        <v>176</v>
      </c>
      <c r="C23" s="383"/>
      <c r="D23" s="390"/>
      <c r="E23" s="391"/>
      <c r="F23" s="391"/>
      <c r="H23" s="162"/>
      <c r="I23" s="48"/>
      <c r="K23" s="56"/>
      <c r="L23" s="383"/>
      <c r="M23" s="162"/>
      <c r="N23" s="162"/>
      <c r="P23" s="391"/>
      <c r="Q23" s="172"/>
    </row>
    <row r="24" spans="1:17" ht="16">
      <c r="A24" s="1" t="s">
        <v>165</v>
      </c>
      <c r="I24" s="26"/>
    </row>
    <row r="25" spans="1:17">
      <c r="A25" t="s">
        <v>125</v>
      </c>
      <c r="B25" s="72">
        <v>1043</v>
      </c>
      <c r="C25" s="380">
        <v>1.5491014180455767</v>
      </c>
      <c r="D25" s="400">
        <v>5.7226015807424521E-2</v>
      </c>
      <c r="E25" s="387">
        <f t="shared" ref="E25" si="9">C25+D25</f>
        <v>1.6063274338530011</v>
      </c>
      <c r="F25" s="387">
        <v>1.9209083474047528</v>
      </c>
      <c r="G25" s="26"/>
      <c r="H25" s="105">
        <v>1.1702002116087709</v>
      </c>
      <c r="I25" s="156">
        <f t="shared" ref="I25" si="10">1000*C25/K25</f>
        <v>0.81401848800963739</v>
      </c>
      <c r="J25" s="10"/>
      <c r="K25" s="16">
        <v>1903.0297724973002</v>
      </c>
      <c r="L25" s="380">
        <f>K25*H25/1000</f>
        <v>2.2269258424741318</v>
      </c>
      <c r="M25" s="16">
        <v>1065</v>
      </c>
      <c r="N25" s="380">
        <f t="shared" ref="N25" si="11">M25*H25/1000</f>
        <v>1.246263225363341</v>
      </c>
      <c r="P25" s="387">
        <f t="shared" ref="P25" si="12">D25+L25</f>
        <v>2.2841518582815565</v>
      </c>
      <c r="Q25" s="387">
        <f t="shared" ref="Q25" si="13">D25+N25</f>
        <v>1.3034892411707655</v>
      </c>
    </row>
    <row r="26" spans="1:17">
      <c r="A26" t="s">
        <v>160</v>
      </c>
      <c r="B26" s="46"/>
      <c r="C26" s="380"/>
      <c r="D26" s="400"/>
      <c r="E26" s="387"/>
      <c r="F26" s="387"/>
      <c r="H26" s="6"/>
      <c r="I26" s="6"/>
      <c r="J26" s="10"/>
      <c r="K26" s="143"/>
      <c r="L26" s="380"/>
      <c r="M26" s="46"/>
      <c r="N26" s="46"/>
      <c r="P26" s="387"/>
      <c r="Q26" s="46"/>
    </row>
    <row r="27" spans="1:17">
      <c r="A27" t="s">
        <v>176</v>
      </c>
      <c r="C27" s="383"/>
      <c r="D27" s="390"/>
      <c r="E27" s="391"/>
      <c r="F27" s="391"/>
      <c r="H27" s="162"/>
      <c r="I27" s="48"/>
      <c r="K27" s="56"/>
      <c r="L27" s="383"/>
      <c r="M27" s="162"/>
      <c r="N27" s="162"/>
      <c r="P27" s="391"/>
      <c r="Q27" s="46"/>
    </row>
    <row r="29" spans="1:17">
      <c r="A29" t="s">
        <v>162</v>
      </c>
      <c r="B29" s="166">
        <f>B21/B25</f>
        <v>1.0121740594439119</v>
      </c>
      <c r="C29" s="536">
        <f>C21/C25</f>
        <v>1.2410182146601854</v>
      </c>
      <c r="D29" s="166">
        <f>D21/D25</f>
        <v>0.82570351947235976</v>
      </c>
      <c r="E29" s="452">
        <f>E21/E25</f>
        <v>1.2262224732621405</v>
      </c>
      <c r="F29" s="166">
        <f>F21/F25</f>
        <v>0.94562792275126473</v>
      </c>
      <c r="H29" s="166">
        <f>H21/H25</f>
        <v>0.90516792262303647</v>
      </c>
      <c r="I29" s="32"/>
      <c r="K29" s="166">
        <f>K21/K25</f>
        <v>0.94223917740416596</v>
      </c>
      <c r="L29" s="166">
        <f>L21/L25</f>
        <v>0.85288467882496766</v>
      </c>
      <c r="M29" s="166">
        <f>M21/M25</f>
        <v>0.99923948619718317</v>
      </c>
      <c r="N29" s="166">
        <f>N21/N25</f>
        <v>0.90447952992401459</v>
      </c>
      <c r="P29" s="166">
        <f>P21/P25</f>
        <v>0.85220369544413987</v>
      </c>
      <c r="Q29" s="166">
        <f>Q21/Q25</f>
        <v>0.90102109154419086</v>
      </c>
    </row>
    <row r="31" spans="1:17" ht="28.5" customHeight="1">
      <c r="A31" s="631" t="s">
        <v>205</v>
      </c>
      <c r="B31" s="604"/>
      <c r="C31" s="604"/>
      <c r="D31" s="604"/>
      <c r="E31" s="604"/>
      <c r="F31" s="604"/>
      <c r="G31" s="604"/>
      <c r="H31" s="604"/>
      <c r="I31" s="604"/>
      <c r="J31" s="604"/>
      <c r="K31" s="604"/>
      <c r="L31" s="604"/>
      <c r="M31" s="604"/>
      <c r="N31" s="604"/>
      <c r="O31" s="604"/>
      <c r="P31" s="604"/>
      <c r="Q31" s="604"/>
    </row>
    <row r="32" spans="1:17" ht="72.5" customHeight="1">
      <c r="A32" s="632" t="s">
        <v>175</v>
      </c>
      <c r="B32" s="632"/>
      <c r="C32" s="632"/>
      <c r="D32" s="632"/>
      <c r="E32" s="632"/>
      <c r="F32" s="632"/>
      <c r="G32" s="632"/>
      <c r="H32" s="632"/>
      <c r="I32" s="632"/>
      <c r="J32" s="632"/>
      <c r="K32" s="632"/>
      <c r="L32" s="632"/>
      <c r="M32" s="632"/>
      <c r="N32" s="632"/>
      <c r="O32" s="632"/>
      <c r="P32" s="632"/>
      <c r="Q32" s="632"/>
    </row>
    <row r="33" spans="1:17" ht="32">
      <c r="B33" s="173"/>
      <c r="C33" s="168" t="s">
        <v>166</v>
      </c>
      <c r="D33" s="174" t="s">
        <v>167</v>
      </c>
      <c r="E33" s="123" t="s">
        <v>168</v>
      </c>
      <c r="F33" s="123" t="s">
        <v>169</v>
      </c>
      <c r="G33" s="169"/>
      <c r="H33" s="168" t="s">
        <v>166</v>
      </c>
      <c r="I33" s="170"/>
      <c r="J33" s="170"/>
      <c r="K33" s="170"/>
      <c r="L33" s="168" t="s">
        <v>170</v>
      </c>
      <c r="M33" s="170"/>
      <c r="N33" s="168" t="s">
        <v>171</v>
      </c>
      <c r="P33" s="171" t="s">
        <v>172</v>
      </c>
      <c r="Q33" s="171" t="s">
        <v>173</v>
      </c>
    </row>
    <row r="34" spans="1:17">
      <c r="B34" s="118"/>
      <c r="C34" s="159" t="s">
        <v>31</v>
      </c>
      <c r="D34" s="175" t="s">
        <v>31</v>
      </c>
      <c r="E34" s="159" t="s">
        <v>31</v>
      </c>
      <c r="F34" s="159" t="s">
        <v>31</v>
      </c>
      <c r="G34" s="43"/>
      <c r="H34" s="40" t="s">
        <v>29</v>
      </c>
      <c r="I34" s="528"/>
      <c r="J34" s="44"/>
      <c r="K34" s="118"/>
      <c r="L34" s="159" t="s">
        <v>31</v>
      </c>
      <c r="M34" s="118"/>
      <c r="N34" s="159" t="s">
        <v>31</v>
      </c>
      <c r="P34" s="159" t="s">
        <v>31</v>
      </c>
      <c r="Q34" s="159" t="s">
        <v>31</v>
      </c>
    </row>
    <row r="35" spans="1:17" ht="16">
      <c r="A35" s="164" t="s">
        <v>161</v>
      </c>
      <c r="B35" s="162"/>
      <c r="D35" s="35"/>
      <c r="I35" s="26"/>
      <c r="K35" s="178"/>
      <c r="M35" s="178"/>
    </row>
    <row r="36" spans="1:17">
      <c r="A36" t="s">
        <v>125</v>
      </c>
      <c r="B36" s="176"/>
      <c r="C36" s="78">
        <f>100*C9/'T5. THg loads Yolo-Road102'!C9</f>
        <v>0.43550729788054982</v>
      </c>
      <c r="D36" s="79">
        <f>100*D9/'T5. THg loads Yolo-Road102'!D9</f>
        <v>0.90050745007762656</v>
      </c>
      <c r="E36" s="84">
        <f>100*E9/'T5. THg loads Yolo-Road102'!E9</f>
        <v>0.44053977485945922</v>
      </c>
      <c r="F36" s="84">
        <f>100*F9/'T5. THg loads Yolo-Road102'!F9</f>
        <v>0.4265794200114203</v>
      </c>
      <c r="H36" s="177">
        <f>100*H9/'T5. THg loads Yolo-Road102'!H9</f>
        <v>0.45782193716992675</v>
      </c>
      <c r="I36" s="32"/>
      <c r="K36" s="179"/>
      <c r="L36" s="78">
        <f>100*L9/'T5. THg loads Yolo-Road102'!L9</f>
        <v>0.4578219371699267</v>
      </c>
      <c r="M36" s="176"/>
      <c r="N36" s="78">
        <f>100*N9/'T5. THg loads Yolo-Road102'!N9</f>
        <v>0.4578219371699267</v>
      </c>
      <c r="O36" s="35"/>
      <c r="P36" s="84">
        <f>100*P9/'T5. THg loads Yolo-Road102'!P9</f>
        <v>0.46353331313521051</v>
      </c>
      <c r="Q36" s="180">
        <f>100*Q9/'T5. THg loads Yolo-Road102'!Q9</f>
        <v>0.46718308142980386</v>
      </c>
    </row>
    <row r="37" spans="1:17" ht="16">
      <c r="A37" s="1" t="s">
        <v>159</v>
      </c>
      <c r="B37" s="162"/>
      <c r="I37" s="26"/>
      <c r="K37" s="162"/>
      <c r="M37" s="162"/>
    </row>
    <row r="38" spans="1:17">
      <c r="A38" t="s">
        <v>125</v>
      </c>
      <c r="B38" s="176"/>
      <c r="C38" s="78">
        <f>100*C13/'T5. THg loads Yolo-Road102'!C13</f>
        <v>0.34958618617076387</v>
      </c>
      <c r="D38" s="79">
        <f>100*D13/'T5. THg loads Yolo-Road102'!D13</f>
        <v>0.74611342360894561</v>
      </c>
      <c r="E38" s="84">
        <f>100*E13/'T5. THg loads Yolo-Road102'!E13</f>
        <v>0.35635976688109011</v>
      </c>
      <c r="F38" s="84">
        <f>100*F13/'T5. THg loads Yolo-Road102'!F13</f>
        <v>0.35658194037031465</v>
      </c>
      <c r="H38" s="177">
        <f>100*H13/'T5. THg loads Yolo-Road102'!H13</f>
        <v>0.44576600680990608</v>
      </c>
      <c r="I38" s="32"/>
      <c r="J38" s="10"/>
      <c r="K38" s="176"/>
      <c r="L38" s="78">
        <f>100*L13/'T5. THg loads Yolo-Road102'!L13</f>
        <v>0.44576600680990602</v>
      </c>
      <c r="M38" s="176"/>
      <c r="N38" s="78">
        <f>100*N13/'T5. THg loads Yolo-Road102'!N13</f>
        <v>0.44576600680990608</v>
      </c>
      <c r="O38" s="35"/>
      <c r="P38" s="84">
        <f>100*P13/'T5. THg loads Yolo-Road102'!P13</f>
        <v>0.4510838352558732</v>
      </c>
      <c r="Q38" s="84">
        <f>100*Q13/'T5. THg loads Yolo-Road102'!Q13</f>
        <v>0.45186112193798222</v>
      </c>
    </row>
    <row r="39" spans="1:17">
      <c r="I39" s="26"/>
    </row>
    <row r="40" spans="1:17">
      <c r="A40" t="s">
        <v>162</v>
      </c>
      <c r="B40" s="181"/>
      <c r="C40" s="452">
        <f>C36/C38</f>
        <v>1.2457794818809451</v>
      </c>
      <c r="D40" s="540">
        <f>D36/D38</f>
        <v>1.2069310396827846</v>
      </c>
      <c r="E40" s="452">
        <f>E36/E38</f>
        <v>1.236221975098716</v>
      </c>
      <c r="F40" s="452">
        <f>F36/F38</f>
        <v>1.1963012472488439</v>
      </c>
      <c r="H40" s="166">
        <f>H36/H38</f>
        <v>1.0270454233293789</v>
      </c>
      <c r="I40" s="181"/>
      <c r="K40" s="181"/>
      <c r="L40" s="166">
        <f>L36/L38</f>
        <v>1.0270454233293789</v>
      </c>
      <c r="M40" s="181"/>
      <c r="N40" s="166">
        <f>N36/N38</f>
        <v>1.0270454233293786</v>
      </c>
      <c r="P40" s="166">
        <f>P36/P38</f>
        <v>1.0275990334973442</v>
      </c>
      <c r="Q40" s="166">
        <f>Q36/Q38</f>
        <v>1.0339085589530417</v>
      </c>
    </row>
  </sheetData>
  <mergeCells count="4">
    <mergeCell ref="A1:Q1"/>
    <mergeCell ref="A2:Q2"/>
    <mergeCell ref="A31:Q31"/>
    <mergeCell ref="A32:Q32"/>
  </mergeCells>
  <pageMargins left="0.7" right="0.7" top="0.75" bottom="0.75" header="0.3" footer="0.3"/>
  <pageSetup scale="60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FF99"/>
    <pageSetUpPr fitToPage="1"/>
  </sheetPr>
  <dimension ref="A1:R86"/>
  <sheetViews>
    <sheetView topLeftCell="A55" zoomScaleNormal="100" workbookViewId="0">
      <selection activeCell="M76" sqref="M76"/>
    </sheetView>
  </sheetViews>
  <sheetFormatPr baseColWidth="10" defaultColWidth="8.83203125" defaultRowHeight="15"/>
  <cols>
    <col min="1" max="1" width="17.1640625" customWidth="1"/>
    <col min="2" max="2" width="10.5" customWidth="1"/>
    <col min="5" max="5" width="10.1640625" bestFit="1" customWidth="1"/>
    <col min="6" max="6" width="11" bestFit="1" customWidth="1"/>
    <col min="7" max="7" width="2.1640625" customWidth="1"/>
    <col min="8" max="8" width="5.1640625" customWidth="1"/>
    <col min="9" max="9" width="2.33203125" customWidth="1"/>
    <col min="11" max="11" width="9.5" bestFit="1" customWidth="1"/>
    <col min="12" max="12" width="11" customWidth="1"/>
    <col min="13" max="13" width="15.6640625" customWidth="1"/>
    <col min="14" max="14" width="17" bestFit="1" customWidth="1"/>
    <col min="15" max="15" width="17.5" bestFit="1" customWidth="1"/>
  </cols>
  <sheetData>
    <row r="1" spans="1:18" ht="16">
      <c r="A1" s="627" t="s">
        <v>327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</row>
    <row r="2" spans="1:18" ht="56.25" customHeight="1">
      <c r="A2" s="633" t="s">
        <v>122</v>
      </c>
      <c r="B2" s="633"/>
      <c r="C2" s="633"/>
      <c r="D2" s="633"/>
      <c r="E2" s="633"/>
      <c r="F2" s="633"/>
      <c r="G2" s="633"/>
      <c r="H2" s="633"/>
      <c r="I2" s="633"/>
      <c r="J2" s="633"/>
      <c r="K2" s="633"/>
      <c r="L2" s="633"/>
      <c r="M2" s="633"/>
      <c r="N2" s="633"/>
      <c r="O2" s="633"/>
    </row>
    <row r="3" spans="1:18" ht="22" customHeight="1">
      <c r="A3" s="543" t="s">
        <v>314</v>
      </c>
      <c r="B3" s="527"/>
      <c r="C3" s="527"/>
      <c r="D3" s="527"/>
      <c r="E3" s="527"/>
      <c r="F3" s="527"/>
      <c r="G3" s="527"/>
      <c r="H3" s="527"/>
      <c r="I3" s="527"/>
      <c r="J3" s="527"/>
      <c r="K3" s="527"/>
      <c r="L3" s="527"/>
      <c r="M3" s="527"/>
      <c r="N3" s="527"/>
      <c r="O3" s="527"/>
    </row>
    <row r="4" spans="1:18">
      <c r="B4" s="42" t="s">
        <v>27</v>
      </c>
      <c r="C4" s="55" t="s">
        <v>62</v>
      </c>
      <c r="D4" s="40" t="s">
        <v>63</v>
      </c>
      <c r="E4" s="57" t="s">
        <v>64</v>
      </c>
      <c r="F4" s="57" t="s">
        <v>65</v>
      </c>
      <c r="G4" s="43"/>
      <c r="H4" s="44"/>
      <c r="I4" s="44"/>
      <c r="J4" s="40" t="s">
        <v>16</v>
      </c>
      <c r="K4" s="55" t="s">
        <v>66</v>
      </c>
      <c r="L4" s="40" t="s">
        <v>17</v>
      </c>
      <c r="M4" s="55" t="s">
        <v>67</v>
      </c>
      <c r="N4" s="40" t="s">
        <v>73</v>
      </c>
      <c r="O4" s="40" t="s">
        <v>74</v>
      </c>
      <c r="P4" s="44"/>
      <c r="Q4" s="44"/>
    </row>
    <row r="5" spans="1:18">
      <c r="B5" s="41" t="s">
        <v>37</v>
      </c>
      <c r="C5" s="55" t="s">
        <v>37</v>
      </c>
      <c r="D5" s="41" t="s">
        <v>37</v>
      </c>
      <c r="E5" s="57" t="s">
        <v>37</v>
      </c>
      <c r="F5" s="57" t="s">
        <v>37</v>
      </c>
      <c r="G5" s="43"/>
      <c r="H5" s="44"/>
      <c r="I5" s="44"/>
      <c r="J5" s="41" t="s">
        <v>37</v>
      </c>
      <c r="K5" s="55" t="s">
        <v>37</v>
      </c>
      <c r="L5" s="41" t="s">
        <v>37</v>
      </c>
      <c r="M5" s="55" t="s">
        <v>37</v>
      </c>
      <c r="N5" s="106" t="s">
        <v>37</v>
      </c>
      <c r="O5" s="106" t="s">
        <v>37</v>
      </c>
      <c r="P5" s="118"/>
      <c r="Q5" s="118"/>
    </row>
    <row r="6" spans="1:18" ht="16">
      <c r="A6" s="1" t="s">
        <v>36</v>
      </c>
      <c r="C6" s="6"/>
      <c r="D6" s="6"/>
      <c r="E6" s="26"/>
      <c r="F6" s="26"/>
      <c r="G6" s="26"/>
      <c r="H6" s="27"/>
      <c r="I6" s="26"/>
      <c r="K6" s="26"/>
      <c r="L6" s="26"/>
      <c r="M6" s="26"/>
    </row>
    <row r="7" spans="1:18">
      <c r="A7" s="2" t="s">
        <v>1</v>
      </c>
      <c r="B7" s="45">
        <f>('T9a. MeHg loads daily calib'!B33-'T9a. MeHg loads daily calib'!B72)/'T9a. MeHg loads daily calib'!B33</f>
        <v>0.16099513535218615</v>
      </c>
      <c r="C7" s="56">
        <f>('T9a. MeHg loads daily calib'!C33-'T9a. MeHg loads daily calib'!C72)/'T9a. MeHg loads daily calib'!C33</f>
        <v>0.50908110394797845</v>
      </c>
      <c r="D7" s="45">
        <f>('T9a. MeHg loads daily calib'!D33-'T9a. MeHg loads daily calib'!D72)/'T9a. MeHg loads daily calib'!D33</f>
        <v>-0.19209932657223236</v>
      </c>
      <c r="E7" s="58">
        <f>('T9a. MeHg loads daily calib'!E33-'T9a. MeHg loads daily calib'!E72)/'T9a. MeHg loads daily calib'!E33</f>
        <v>0.43903487848943379</v>
      </c>
      <c r="F7" s="58">
        <f>('T9a. MeHg loads daily calib'!F33-'T9a. MeHg loads daily calib'!F72)/'T9a. MeHg loads daily calib'!F33</f>
        <v>0.32497423478012766</v>
      </c>
      <c r="G7" s="45"/>
      <c r="H7" s="45"/>
      <c r="I7" s="45"/>
      <c r="J7" s="45">
        <f>('T9a. MeHg loads daily calib'!K33-'T9a. MeHg loads daily calib'!K72)/'T9a. MeHg loads daily calib'!K33</f>
        <v>0.59375187208769986</v>
      </c>
      <c r="K7" s="56">
        <f>('T9a. MeHg loads daily calib'!L33-'T9a. MeHg loads daily calib'!L72)/'T9a. MeHg loads daily calib'!L33</f>
        <v>2.399533625505795E-2</v>
      </c>
      <c r="L7" s="45">
        <f>('T9a. MeHg loads daily calib'!M33-'T9a. MeHg loads daily calib'!M72)/'T9a. MeHg loads daily calib'!M33</f>
        <v>0.76662019959347794</v>
      </c>
      <c r="M7" s="56">
        <f>('T9a. MeHg loads daily calib'!N33-'T9a. MeHg loads daily calib'!N72)/'T9a. MeHg loads daily calib'!N33</f>
        <v>0.45618933956033236</v>
      </c>
      <c r="N7" s="45">
        <f>('T9a. MeHg loads daily calib'!P33-'T9a. MeHg loads daily calib'!P72)/'T9a. MeHg loads daily calib'!P33</f>
        <v>1.644819423318707E-2</v>
      </c>
      <c r="O7" s="45">
        <f>('T9a. MeHg loads daily calib'!Q33-'T9a. MeHg loads daily calib'!Q72)/'T9a. MeHg loads daily calib'!Q33</f>
        <v>0.43557338798590312</v>
      </c>
      <c r="R7">
        <v>55.211501535596597</v>
      </c>
    </row>
    <row r="8" spans="1:18">
      <c r="A8" s="2" t="s">
        <v>2</v>
      </c>
      <c r="B8" s="45">
        <f>('T9a. MeHg loads daily calib'!B34-'T9a. MeHg loads daily calib'!B73)/'T9a. MeHg loads daily calib'!B34</f>
        <v>5.9952772717525762E-2</v>
      </c>
      <c r="C8" s="56">
        <f>('T9a. MeHg loads daily calib'!C34-'T9a. MeHg loads daily calib'!C73)/'T9a. MeHg loads daily calib'!C34</f>
        <v>0.57452117615839338</v>
      </c>
      <c r="D8" s="45">
        <f>('T9a. MeHg loads daily calib'!D34-'T9a. MeHg loads daily calib'!D73)/'T9a. MeHg loads daily calib'!D34</f>
        <v>-0.12552289938367511</v>
      </c>
      <c r="E8" s="58">
        <f>('T9a. MeHg loads daily calib'!E34-'T9a. MeHg loads daily calib'!E73)/'T9a. MeHg loads daily calib'!E34</f>
        <v>0.53701844163470824</v>
      </c>
      <c r="F8" s="58">
        <f>('T9a. MeHg loads daily calib'!F34-'T9a. MeHg loads daily calib'!F73)/'T9a. MeHg loads daily calib'!F34</f>
        <v>0.44743450621280578</v>
      </c>
      <c r="G8" s="45"/>
      <c r="H8" s="45"/>
      <c r="I8" s="45"/>
      <c r="J8" s="45">
        <f>('T9a. MeHg loads daily calib'!K34-'T9a. MeHg loads daily calib'!K73)/'T9a. MeHg loads daily calib'!K34</f>
        <v>0.64171631538655483</v>
      </c>
      <c r="K8" s="56">
        <f>('T9a. MeHg loads daily calib'!L34-'T9a. MeHg loads daily calib'!L73)/'T9a. MeHg loads daily calib'!L34</f>
        <v>0.60608170860809407</v>
      </c>
      <c r="L8" s="45">
        <f>('T9a. MeHg loads daily calib'!M34-'T9a. MeHg loads daily calib'!M73)/'T9a. MeHg loads daily calib'!M34</f>
        <v>0.76669890334084878</v>
      </c>
      <c r="M8" s="56">
        <f>('T9a. MeHg loads daily calib'!N34-'T9a. MeHg loads daily calib'!N73)/'T9a. MeHg loads daily calib'!N34</f>
        <v>0.74295620068025203</v>
      </c>
      <c r="N8" s="45">
        <f>('T9a. MeHg loads daily calib'!P34-'T9a. MeHg loads daily calib'!P73)/'T9a. MeHg loads daily calib'!P34</f>
        <v>0.59123452579021307</v>
      </c>
      <c r="O8" s="45">
        <f>('T9a. MeHg loads daily calib'!Q34-'T9a. MeHg loads daily calib'!Q73)/'T9a. MeHg loads daily calib'!Q34</f>
        <v>0.70893484236791593</v>
      </c>
      <c r="R8">
        <v>50.5463324747505</v>
      </c>
    </row>
    <row r="9" spans="1:18">
      <c r="A9" s="2" t="s">
        <v>3</v>
      </c>
      <c r="B9" s="45">
        <f>('T9a. MeHg loads daily calib'!B35-'T9a. MeHg loads daily calib'!B74)/'T9a. MeHg loads daily calib'!B35</f>
        <v>0.40089989822283467</v>
      </c>
      <c r="C9" s="56">
        <f>('T9a. MeHg loads daily calib'!C35-'T9a. MeHg loads daily calib'!C74)/'T9a. MeHg loads daily calib'!C35</f>
        <v>-8.7275054669846627E-3</v>
      </c>
      <c r="D9" s="45">
        <f>('T9a. MeHg loads daily calib'!D35-'T9a. MeHg loads daily calib'!D74)/'T9a. MeHg loads daily calib'!D35</f>
        <v>-0.14557993750539747</v>
      </c>
      <c r="E9" s="58">
        <f>('T9a. MeHg loads daily calib'!E35-'T9a. MeHg loads daily calib'!E74)/'T9a. MeHg loads daily calib'!E35</f>
        <v>-4.2080496357872442E-2</v>
      </c>
      <c r="F9" s="58">
        <f>('T9a. MeHg loads daily calib'!F35-'T9a. MeHg loads daily calib'!F74)/'T9a. MeHg loads daily calib'!F35</f>
        <v>-0.18501991750698318</v>
      </c>
      <c r="G9" s="45"/>
      <c r="H9" s="45"/>
      <c r="I9" s="45"/>
      <c r="J9" s="45">
        <f>('T9a. MeHg loads daily calib'!K35-'T9a. MeHg loads daily calib'!K74)/'T9a. MeHg loads daily calib'!K35</f>
        <v>0.59637840281600851</v>
      </c>
      <c r="K9" s="56">
        <f>('T9a. MeHg loads daily calib'!L35-'T9a. MeHg loads daily calib'!L74)/'T9a. MeHg loads daily calib'!L35</f>
        <v>0.47431129201147826</v>
      </c>
      <c r="L9" s="45">
        <f>('T9a. MeHg loads daily calib'!M35-'T9a. MeHg loads daily calib'!M74)/'T9a. MeHg loads daily calib'!M35</f>
        <v>0.71392649903288208</v>
      </c>
      <c r="M9" s="56">
        <f>('T9a. MeHg loads daily calib'!N35-'T9a. MeHg loads daily calib'!N74)/'T9a. MeHg loads daily calib'!N35</f>
        <v>0.62740940979775206</v>
      </c>
      <c r="N9" s="45">
        <f>('T9a. MeHg loads daily calib'!P35-'T9a. MeHg loads daily calib'!P74)/'T9a. MeHg loads daily calib'!P35</f>
        <v>0.39368732832651504</v>
      </c>
      <c r="O9" s="45">
        <f>('T9a. MeHg loads daily calib'!Q35-'T9a. MeHg loads daily calib'!Q74)/'T9a. MeHg loads daily calib'!Q35</f>
        <v>0.51923125786116076</v>
      </c>
      <c r="R9">
        <v>56.240911999476999</v>
      </c>
    </row>
    <row r="10" spans="1:18">
      <c r="A10" s="2" t="s">
        <v>4</v>
      </c>
      <c r="B10" s="45">
        <f>('T9a. MeHg loads daily calib'!B36-'T9a. MeHg loads daily calib'!B75)/'T9a. MeHg loads daily calib'!B36</f>
        <v>0.12494872291175736</v>
      </c>
      <c r="C10" s="56">
        <f>('T9a. MeHg loads daily calib'!C36-'T9a. MeHg loads daily calib'!C75)/'T9a. MeHg loads daily calib'!C36</f>
        <v>0.61802490206204574</v>
      </c>
      <c r="D10" s="45">
        <f>('T9a. MeHg loads daily calib'!D36-'T9a. MeHg loads daily calib'!D75)/'T9a. MeHg loads daily calib'!D36</f>
        <v>-0.45323772359905445</v>
      </c>
      <c r="E10" s="58">
        <f>('T9a. MeHg loads daily calib'!E36-'T9a. MeHg loads daily calib'!E75)/'T9a. MeHg loads daily calib'!E36</f>
        <v>0.53071768707200928</v>
      </c>
      <c r="F10" s="58">
        <f>('T9a. MeHg loads daily calib'!F36-'T9a. MeHg loads daily calib'!F75)/'T9a. MeHg loads daily calib'!F36</f>
        <v>0.54168073473074396</v>
      </c>
      <c r="G10" s="45"/>
      <c r="H10" s="45"/>
      <c r="I10" s="45"/>
      <c r="J10" s="45">
        <f>('T9a. MeHg loads daily calib'!K36-'T9a. MeHg loads daily calib'!K75)/'T9a. MeHg loads daily calib'!K36</f>
        <v>0.740795378477068</v>
      </c>
      <c r="K10" s="56">
        <f>('T9a. MeHg loads daily calib'!L36-'T9a. MeHg loads daily calib'!L75)/'T9a. MeHg loads daily calib'!L36</f>
        <v>0.8691041622749125</v>
      </c>
      <c r="L10" s="45">
        <f>('T9a. MeHg loads daily calib'!M36-'T9a. MeHg loads daily calib'!M75)/'T9a. MeHg loads daily calib'!M36</f>
        <v>0.47344462993878689</v>
      </c>
      <c r="M10" s="56">
        <f>('T9a. MeHg loads daily calib'!N36-'T9a. MeHg loads daily calib'!N75)/'T9a. MeHg loads daily calib'!N36</f>
        <v>0.73971065985818074</v>
      </c>
      <c r="N10" s="45">
        <f>('T9a. MeHg loads daily calib'!P36-'T9a. MeHg loads daily calib'!P75)/'T9a. MeHg loads daily calib'!P36</f>
        <v>0.83450340851209703</v>
      </c>
      <c r="O10" s="45">
        <f>('T9a. MeHg loads daily calib'!Q36-'T9a. MeHg loads daily calib'!Q75)/'T9a. MeHg loads daily calib'!Q36</f>
        <v>0.70524371685069276</v>
      </c>
      <c r="R10">
        <v>46.9593228521817</v>
      </c>
    </row>
    <row r="11" spans="1:18">
      <c r="A11" s="2" t="s">
        <v>5</v>
      </c>
      <c r="B11" s="45">
        <f>('T9a. MeHg loads daily calib'!B37-'T9a. MeHg loads daily calib'!B76)/'T9a. MeHg loads daily calib'!B37</f>
        <v>0.78388578666666664</v>
      </c>
      <c r="C11" s="56">
        <f>('T9a. MeHg loads daily calib'!C37-'T9a. MeHg loads daily calib'!C76)/'T9a. MeHg loads daily calib'!C37</f>
        <v>-0.67380004295008533</v>
      </c>
      <c r="D11" s="45">
        <f>('T9a. MeHg loads daily calib'!D37-'T9a. MeHg loads daily calib'!D76)/'T9a. MeHg loads daily calib'!D37</f>
        <v>0.25768948988447177</v>
      </c>
      <c r="E11" s="58">
        <f>('T9a. MeHg loads daily calib'!E37-'T9a. MeHg loads daily calib'!E76)/'T9a. MeHg loads daily calib'!E37</f>
        <v>-0.36812123875241098</v>
      </c>
      <c r="F11" s="58">
        <f>('T9a. MeHg loads daily calib'!F37-'T9a. MeHg loads daily calib'!F76)/'T9a. MeHg loads daily calib'!F37</f>
        <v>-0.81735327849877848</v>
      </c>
      <c r="G11" s="45"/>
      <c r="H11" s="45"/>
      <c r="I11" s="45"/>
      <c r="J11" s="45">
        <f>('T9a. MeHg loads daily calib'!K37-'T9a. MeHg loads daily calib'!K76)/'T9a. MeHg loads daily calib'!K37</f>
        <v>0.94603434684334176</v>
      </c>
      <c r="K11" s="56" t="s">
        <v>32</v>
      </c>
      <c r="L11" s="45">
        <f>('T9a. MeHg loads daily calib'!M37-'T9a. MeHg loads daily calib'!M76)/'T9a. MeHg loads daily calib'!M37</f>
        <v>0.90833333333333333</v>
      </c>
      <c r="M11" s="56" t="s">
        <v>32</v>
      </c>
      <c r="N11" s="45" t="s">
        <v>32</v>
      </c>
      <c r="O11" s="45" t="s">
        <v>32</v>
      </c>
      <c r="R11">
        <v>71.993731036093905</v>
      </c>
    </row>
    <row r="12" spans="1:18">
      <c r="A12" s="2" t="s">
        <v>88</v>
      </c>
      <c r="B12" s="45">
        <f>('T9a. MeHg loads daily calib'!B38-'T9a. MeHg loads daily calib'!B77)/'T9a. MeHg loads daily calib'!B38</f>
        <v>2.6121353860465067E-2</v>
      </c>
      <c r="C12" s="56">
        <f>('T9a. MeHg loads daily calib'!C38-'T9a. MeHg loads daily calib'!C77)/'T9a. MeHg loads daily calib'!C38</f>
        <v>0.70889033548615576</v>
      </c>
      <c r="D12" s="45">
        <f>('T9a. MeHg loads daily calib'!D38-'T9a. MeHg loads daily calib'!D77)/'T9a. MeHg loads daily calib'!D38</f>
        <v>-0.61694348301668256</v>
      </c>
      <c r="E12" s="58">
        <f>('T9a. MeHg loads daily calib'!E38-'T9a. MeHg loads daily calib'!E77)/'T9a. MeHg loads daily calib'!E38</f>
        <v>0.63915726258618566</v>
      </c>
      <c r="F12" s="58">
        <f>('T9a. MeHg loads daily calib'!F38-'T9a. MeHg loads daily calib'!F77)/'T9a. MeHg loads daily calib'!F38</f>
        <v>0.65730240168377441</v>
      </c>
      <c r="G12" s="45"/>
      <c r="H12" s="45"/>
      <c r="I12" s="45"/>
      <c r="J12" s="45">
        <f>('T9a. MeHg loads daily calib'!K38-'T9a. MeHg loads daily calib'!K77)/'T9a. MeHg loads daily calib'!K38</f>
        <v>0.79102797820444526</v>
      </c>
      <c r="K12" s="56">
        <f>('T9a. MeHg loads daily calib'!L38-'T9a. MeHg loads daily calib'!L77)/'T9a. MeHg loads daily calib'!L38</f>
        <v>0.74435195099227613</v>
      </c>
      <c r="L12" s="45">
        <f>('T9a. MeHg loads daily calib'!M38-'T9a. MeHg loads daily calib'!M77)/'T9a. MeHg loads daily calib'!M38</f>
        <v>0.73544702745098034</v>
      </c>
      <c r="M12" s="56">
        <f>('T9a. MeHg loads daily calib'!N38-'T9a. MeHg loads daily calib'!N77)/'T9a. MeHg loads daily calib'!N38</f>
        <v>0.67641426110522351</v>
      </c>
      <c r="N12" s="45">
        <f>('T9a. MeHg loads daily calib'!P38-'T9a. MeHg loads daily calib'!P77)/'T9a. MeHg loads daily calib'!P38</f>
        <v>0.66296435717055113</v>
      </c>
      <c r="O12" s="45">
        <f>('T9a. MeHg loads daily calib'!Q38-'T9a. MeHg loads daily calib'!Q77)/'T9a. MeHg loads daily calib'!Q38</f>
        <v>0.60231232381847233</v>
      </c>
    </row>
    <row r="13" spans="1:18">
      <c r="A13" s="2" t="s">
        <v>95</v>
      </c>
      <c r="B13" s="45">
        <f>('T9a. MeHg loads daily calib'!B39-'T9a. MeHg loads daily calib'!B78)/'T9a. MeHg loads daily calib'!B39</f>
        <v>0.19589577286993956</v>
      </c>
      <c r="C13" s="56">
        <f>('T9a. MeHg loads daily calib'!C39-'T9a. MeHg loads daily calib'!C78)/'T9a. MeHg loads daily calib'!C39</f>
        <v>0.78159884338650321</v>
      </c>
      <c r="D13" s="45">
        <f>('T9a. MeHg loads daily calib'!D39-'T9a. MeHg loads daily calib'!D78)/'T9a. MeHg loads daily calib'!D39</f>
        <v>-0.11694472278318573</v>
      </c>
      <c r="E13" s="58">
        <f>('T9a. MeHg loads daily calib'!E39-'T9a. MeHg loads daily calib'!E78)/'T9a. MeHg loads daily calib'!E39</f>
        <v>0.7406592357333559</v>
      </c>
      <c r="F13" s="58">
        <f>('T9a. MeHg loads daily calib'!F39-'T9a. MeHg loads daily calib'!F78)/'T9a. MeHg loads daily calib'!F39</f>
        <v>0.73807334415050796</v>
      </c>
      <c r="G13" s="45"/>
      <c r="H13" s="45"/>
      <c r="I13" s="45"/>
      <c r="J13" s="45">
        <f>('T9a. MeHg loads daily calib'!K39-'T9a. MeHg loads daily calib'!K78)/'T9a. MeHg loads daily calib'!K39</f>
        <v>0.83098264736780636</v>
      </c>
      <c r="K13" s="56">
        <f>('T9a. MeHg loads daily calib'!L39-'T9a. MeHg loads daily calib'!L78)/'T9a. MeHg loads daily calib'!L39</f>
        <v>0.80855729479165506</v>
      </c>
      <c r="L13" s="45">
        <f>('T9a. MeHg loads daily calib'!M39-'T9a. MeHg loads daily calib'!M78)/'T9a. MeHg loads daily calib'!M39</f>
        <v>0.85146308874172183</v>
      </c>
      <c r="M13" s="56">
        <f>('T9a. MeHg loads daily calib'!N39-'T9a. MeHg loads daily calib'!N78)/'T9a. MeHg loads daily calib'!N39</f>
        <v>0.83213820574962249</v>
      </c>
      <c r="N13" s="45">
        <f>('T9a. MeHg loads daily calib'!P39-'T9a. MeHg loads daily calib'!P78)/'T9a. MeHg loads daily calib'!P39</f>
        <v>0.7593842017793434</v>
      </c>
      <c r="O13" s="45">
        <f>('T9a. MeHg loads daily calib'!Q39-'T9a. MeHg loads daily calib'!Q78)/'T9a. MeHg loads daily calib'!Q39</f>
        <v>0.77258355350498642</v>
      </c>
    </row>
    <row r="14" spans="1:18">
      <c r="A14" s="2" t="s">
        <v>125</v>
      </c>
      <c r="B14" s="45">
        <f>('T9a. MeHg loads daily calib'!B40-'T9a. MeHg loads daily calib'!B79)/'T9a. MeHg loads daily calib'!B40</f>
        <v>-8.2155392277906553E-3</v>
      </c>
      <c r="C14" s="56">
        <f>('T9a. MeHg loads daily calib'!C40-'T9a. MeHg loads daily calib'!C79)/'T9a. MeHg loads daily calib'!C40</f>
        <v>0.58743732080448341</v>
      </c>
      <c r="D14" s="45">
        <f>('T9a. MeHg loads daily calib'!D40-'T9a. MeHg loads daily calib'!D79)/'T9a. MeHg loads daily calib'!D40</f>
        <v>-0.64109536134811307</v>
      </c>
      <c r="E14" s="58">
        <f>('T9a. MeHg loads daily calib'!E40-'T9a. MeHg loads daily calib'!E79)/'T9a. MeHg loads daily calib'!E40</f>
        <v>0.55425650114505742</v>
      </c>
      <c r="F14" s="58">
        <f>('T9a. MeHg loads daily calib'!F40-'T9a. MeHg loads daily calib'!F79)/'T9a. MeHg loads daily calib'!F40</f>
        <v>0.52794524869142101</v>
      </c>
      <c r="G14" s="45"/>
      <c r="H14" s="45"/>
      <c r="I14" s="45"/>
      <c r="J14" s="45">
        <f>('T9a. MeHg loads daily calib'!K40-'T9a. MeHg loads daily calib'!K79)/'T9a. MeHg loads daily calib'!K40</f>
        <v>0.68320914168808999</v>
      </c>
      <c r="K14" s="56">
        <f>('T9a. MeHg loads daily calib'!L40-'T9a. MeHg loads daily calib'!L79)/'T9a. MeHg loads daily calib'!L40</f>
        <v>0.51602828730351091</v>
      </c>
      <c r="L14" s="45">
        <f>('T9a. MeHg loads daily calib'!M40-'T9a. MeHg loads daily calib'!M79)/'T9a. MeHg loads daily calib'!M40</f>
        <v>0.73801944111731388</v>
      </c>
      <c r="M14" s="56">
        <f>('T9a. MeHg loads daily calib'!N40-'T9a. MeHg loads daily calib'!N79)/'T9a. MeHg loads daily calib'!N40</f>
        <v>0.60028251348313211</v>
      </c>
      <c r="N14" s="45">
        <f>('T9a. MeHg loads daily calib'!P40-'T9a. MeHg loads daily calib'!P79)/'T9a. MeHg loads daily calib'!P40</f>
        <v>0.48516821844750718</v>
      </c>
      <c r="O14" s="45">
        <f>('T9a. MeHg loads daily calib'!Q40-'T9a. MeHg loads daily calib'!Q79)/'T9a. MeHg loads daily calib'!Q40</f>
        <v>0.55439275244254205</v>
      </c>
    </row>
    <row r="15" spans="1:18">
      <c r="A15" s="62" t="s">
        <v>128</v>
      </c>
      <c r="B15" s="45">
        <f>('T9a. MeHg loads daily calib'!B41-'T9a. MeHg loads daily calib'!B80)/'T9a. MeHg loads daily calib'!B41</f>
        <v>0.54146617605434466</v>
      </c>
      <c r="C15" s="56">
        <f>('T9a. MeHg loads daily calib'!C41-'T9a. MeHg loads daily calib'!C80)/'T9a. MeHg loads daily calib'!C41</f>
        <v>0.64914929366320551</v>
      </c>
      <c r="D15" s="45">
        <f>('T9a. MeHg loads daily calib'!D41-'T9a. MeHg loads daily calib'!D80)/'T9a. MeHg loads daily calib'!D41</f>
        <v>0.72887669205251993</v>
      </c>
      <c r="E15" s="58">
        <f>('T9a. MeHg loads daily calib'!E41-'T9a. MeHg loads daily calib'!E80)/'T9a. MeHg loads daily calib'!E41</f>
        <v>0.67305792585966662</v>
      </c>
      <c r="F15" s="58">
        <f>('T9a. MeHg loads daily calib'!F41-'T9a. MeHg loads daily calib'!F80)/'T9a. MeHg loads daily calib'!F41</f>
        <v>0.52409393403013593</v>
      </c>
      <c r="G15" s="45"/>
      <c r="H15" s="45"/>
      <c r="I15" s="45"/>
      <c r="J15" s="45">
        <f>('T9a. MeHg loads daily calib'!K41-'T9a. MeHg loads daily calib'!K80)/'T9a. MeHg loads daily calib'!K41</f>
        <v>0.92167724227770698</v>
      </c>
      <c r="K15" s="56">
        <f>('T9a. MeHg loads daily calib'!L41-'T9a. MeHg loads daily calib'!L80)/'T9a. MeHg loads daily calib'!L41</f>
        <v>0.88366583890901196</v>
      </c>
      <c r="L15" s="45">
        <f>('T9a. MeHg loads daily calib'!M41-'T9a. MeHg loads daily calib'!M80)/'T9a. MeHg loads daily calib'!M41</f>
        <v>0.82278251302902961</v>
      </c>
      <c r="M15" s="56">
        <f>('T9a. MeHg loads daily calib'!N41-'T9a. MeHg loads daily calib'!N80)/'T9a. MeHg loads daily calib'!N41</f>
        <v>0.73677576892120988</v>
      </c>
      <c r="N15" s="45">
        <f>('T9a. MeHg loads daily calib'!P41-'T9a. MeHg loads daily calib'!P80)/'T9a. MeHg loads daily calib'!P41</f>
        <v>0.86499595444393562</v>
      </c>
      <c r="O15" s="45">
        <f>('T9a. MeHg loads daily calib'!Q41-'T9a. MeHg loads daily calib'!Q80)/'T9a. MeHg loads daily calib'!Q41</f>
        <v>0.73460064620868892</v>
      </c>
    </row>
    <row r="16" spans="1:18">
      <c r="A16" s="62" t="s">
        <v>247</v>
      </c>
      <c r="B16" s="45">
        <f>('T9a. MeHg loads daily calib'!B42-'T9a. MeHg loads daily calib'!B81)/'T9a. MeHg loads daily calib'!B42</f>
        <v>2.9837518463810959E-2</v>
      </c>
      <c r="C16" s="56">
        <f>('T9a. MeHg loads daily calib'!C42-'T9a. MeHg loads daily calib'!C81)/'T9a. MeHg loads daily calib'!C42</f>
        <v>0.72084648550848174</v>
      </c>
      <c r="D16" s="45">
        <f>('T9a. MeHg loads daily calib'!D42-'T9a. MeHg loads daily calib'!D81)/'T9a. MeHg loads daily calib'!D42</f>
        <v>-8.0350366559007444E-2</v>
      </c>
      <c r="E16" s="58">
        <f>('T9a. MeHg loads daily calib'!E42-'T9a. MeHg loads daily calib'!E81)/'T9a. MeHg loads daily calib'!E42</f>
        <v>0.70099081842942845</v>
      </c>
      <c r="F16" s="58">
        <f>('T9a. MeHg loads daily calib'!F42-'T9a. MeHg loads daily calib'!F81)/'T9a. MeHg loads daily calib'!F42</f>
        <v>0.66971813610983488</v>
      </c>
      <c r="G16" s="45"/>
      <c r="H16" s="45"/>
      <c r="I16" s="45"/>
      <c r="J16" s="45">
        <f>('T9a. MeHg loads daily calib'!K42-'T9a. MeHg loads daily calib'!K81)/'T9a. MeHg loads daily calib'!K42</f>
        <v>0.74505012134767301</v>
      </c>
      <c r="K16" s="56">
        <f>('T9a. MeHg loads daily calib'!L42-'T9a. MeHg loads daily calib'!L81)/'T9a. MeHg loads daily calib'!L42</f>
        <v>0.64313305307468005</v>
      </c>
      <c r="L16" s="45">
        <f>('T9a. MeHg loads daily calib'!M42-'T9a. MeHg loads daily calib'!M81)/'T9a. MeHg loads daily calib'!M42</f>
        <v>0.70679851668726812</v>
      </c>
      <c r="M16" s="56">
        <f>('T9a. MeHg loads daily calib'!N42-'T9a. MeHg loads daily calib'!N81)/'T9a. MeHg loads daily calib'!N42</f>
        <v>0.57925961405541571</v>
      </c>
      <c r="N16" s="45">
        <f>('T9a. MeHg loads daily calib'!P42-'T9a. MeHg loads daily calib'!P81)/'T9a. MeHg loads daily calib'!P42</f>
        <v>0.62554806785112949</v>
      </c>
      <c r="O16" s="45">
        <f>('T9a. MeHg loads daily calib'!Q42-'T9a. MeHg loads daily calib'!Q81)/'T9a. MeHg loads daily calib'!Q42</f>
        <v>0.54970424925426253</v>
      </c>
    </row>
    <row r="17" spans="1:18">
      <c r="A17" s="2" t="s">
        <v>253</v>
      </c>
      <c r="B17" s="45">
        <f>('T9a. MeHg loads daily calib'!B43-'T9a. MeHg loads daily calib'!B82)/'T9a. MeHg loads daily calib'!B43</f>
        <v>5.0244532338470572E-2</v>
      </c>
      <c r="C17" s="107">
        <f>('T9a. MeHg loads daily calib'!C43-'T9a. MeHg loads daily calib'!C82)/'T9a. MeHg loads daily calib'!C43</f>
        <v>0.63944959646395594</v>
      </c>
      <c r="D17" s="530">
        <f>('T9a. MeHg loads daily calib'!D43-'T9a. MeHg loads daily calib'!D82)/'T9a. MeHg loads daily calib'!D43</f>
        <v>-0.26411477094402391</v>
      </c>
      <c r="E17" s="108">
        <f>('T9a. MeHg loads daily calib'!E43-'T9a. MeHg loads daily calib'!E82)/'T9a. MeHg loads daily calib'!E43</f>
        <v>0.6051197292757633</v>
      </c>
      <c r="F17" s="108">
        <f>('T9a. MeHg loads daily calib'!F43-'T9a. MeHg loads daily calib'!F82)/'T9a. MeHg loads daily calib'!F43</f>
        <v>0.56212649842438756</v>
      </c>
      <c r="G17" s="54"/>
      <c r="H17" s="515"/>
      <c r="I17" s="2"/>
      <c r="J17" s="109">
        <f>('T9a. MeHg loads daily calib'!K43-'T9a. MeHg loads daily calib'!K82)/'T9a. MeHg loads daily calib'!K43</f>
        <v>0.70334416186515758</v>
      </c>
      <c r="K17" s="107">
        <f>('T9a. MeHg loads daily calib'!L43-'T9a. MeHg loads daily calib'!L82)/'T9a. MeHg loads daily calib'!L43</f>
        <v>0.56173811993543676</v>
      </c>
      <c r="L17" s="109">
        <f>('T9a. MeHg loads daily calib'!M43-'T9a. MeHg loads daily calib'!M82)/'T9a. MeHg loads daily calib'!M43</f>
        <v>0.73376669287513419</v>
      </c>
      <c r="M17" s="107">
        <f>('T9a. MeHg loads daily calib'!N43-'T9a. MeHg loads daily calib'!N82)/'T9a. MeHg loads daily calib'!N43</f>
        <v>0.62689300042588803</v>
      </c>
      <c r="N17" s="108">
        <f>('T9a. MeHg loads daily calib'!P43-'T9a. MeHg loads daily calib'!P82)/'T9a. MeHg loads daily calib'!P43</f>
        <v>0.53942147050647393</v>
      </c>
      <c r="O17" s="108">
        <f>('T9a. MeHg loads daily calib'!Q43-'T9a. MeHg loads daily calib'!Q82)/'T9a. MeHg loads daily calib'!Q43</f>
        <v>0.59084318370835509</v>
      </c>
      <c r="R17">
        <v>60.036002109926201</v>
      </c>
    </row>
    <row r="18" spans="1:18">
      <c r="A18" s="2" t="s">
        <v>253</v>
      </c>
      <c r="H18" s="516" t="s">
        <v>263</v>
      </c>
      <c r="I18" s="2"/>
      <c r="J18" s="109">
        <f>('T9a. MeHg loads daily calib'!K44-'T9a. MeHg loads daily calib'!K83)/'T9a. MeHg loads daily calib'!K44</f>
        <v>0.70334416186515747</v>
      </c>
      <c r="K18" s="107">
        <f>('T9a. MeHg loads daily calib'!L44-'T9a. MeHg loads daily calib'!L83)/'T9a. MeHg loads daily calib'!L44</f>
        <v>0.62205356951612945</v>
      </c>
      <c r="L18" s="109">
        <f>('T9a. MeHg loads daily calib'!M44-'T9a. MeHg loads daily calib'!M83)/'T9a. MeHg loads daily calib'!M44</f>
        <v>0.7337869774221355</v>
      </c>
      <c r="M18" s="107">
        <f>('T9a. MeHg loads daily calib'!N44-'T9a. MeHg loads daily calib'!N83)/'T9a. MeHg loads daily calib'!N44</f>
        <v>0.66717069221994352</v>
      </c>
      <c r="N18" s="108">
        <f>('T9a. MeHg loads daily calib'!P44-'T9a. MeHg loads daily calib'!P83)/'T9a. MeHg loads daily calib'!P44</f>
        <v>0.59823187238699171</v>
      </c>
      <c r="O18" s="108">
        <f>('T9a. MeHg loads daily calib'!Q44-'T9a. MeHg loads daily calib'!Q83)/'T9a. MeHg loads daily calib'!Q44</f>
        <v>0.62912731063075844</v>
      </c>
      <c r="R18">
        <v>51.038393530753197</v>
      </c>
    </row>
    <row r="19" spans="1:18">
      <c r="C19" s="26"/>
      <c r="D19" s="26"/>
      <c r="E19" s="26"/>
      <c r="F19" s="26"/>
      <c r="H19" s="10"/>
      <c r="K19" s="26"/>
      <c r="L19" s="26"/>
      <c r="M19" s="26"/>
      <c r="R19">
        <v>66.238696443602606</v>
      </c>
    </row>
    <row r="20" spans="1:18" ht="16">
      <c r="A20" s="1" t="s">
        <v>38</v>
      </c>
      <c r="C20" s="6"/>
      <c r="D20" s="6"/>
      <c r="E20" s="26"/>
      <c r="F20" s="26"/>
      <c r="H20" s="10"/>
      <c r="K20" s="26"/>
      <c r="L20" s="26"/>
      <c r="M20" s="26"/>
    </row>
    <row r="21" spans="1:18">
      <c r="A21" s="2" t="s">
        <v>1</v>
      </c>
      <c r="B21" s="45">
        <f>('T9a. MeHg loads daily calib'!B33-'T9a. MeHg loads daily calib'!B85)/'T9a. MeHg loads daily calib'!B33</f>
        <v>0.16099513535218615</v>
      </c>
      <c r="C21" s="56">
        <f>('T9a. MeHg loads daily calib'!C33-'T9a. MeHg loads daily calib'!C85)/'T9a. MeHg loads daily calib'!C33</f>
        <v>0.55585169277885615</v>
      </c>
      <c r="D21" s="45">
        <f>('T9a. MeHg loads daily calib'!D33-'T9a. MeHg loads daily calib'!D85)/'T9a. MeHg loads daily calib'!D33</f>
        <v>-0.34499485760066478</v>
      </c>
      <c r="E21" s="58">
        <f>('T9a. MeHg loads daily calib'!E33-'T9a. MeHg loads daily calib'!E85)/'T9a. MeHg loads daily calib'!E33</f>
        <v>0.46585930590545011</v>
      </c>
      <c r="F21" s="58">
        <f>('T9a. MeHg loads daily calib'!F33-'T9a. MeHg loads daily calib'!F85)/'T9a. MeHg loads daily calib'!F33</f>
        <v>0.23181189511383138</v>
      </c>
      <c r="G21" s="2"/>
      <c r="H21" s="3"/>
      <c r="I21" s="2"/>
      <c r="J21" s="45">
        <f>('T9a. MeHg loads daily calib'!K33-'T9a. MeHg loads daily calib'!K85)/'T9a. MeHg loads daily calib'!K33</f>
        <v>0.67968499617043721</v>
      </c>
      <c r="K21" s="56">
        <f>('T9a. MeHg loads daily calib'!L33-'T9a. MeHg loads daily calib'!L85)/'T9a. MeHg loads daily calib'!L33</f>
        <v>0.52911808501888513</v>
      </c>
      <c r="L21" s="45">
        <f>('T9a. MeHg loads daily calib'!M33-'T9a. MeHg loads daily calib'!M85)/'T9a. MeHg loads daily calib'!M33</f>
        <v>0.76662356019367828</v>
      </c>
      <c r="M21" s="56">
        <f>('T9a. MeHg loads daily calib'!N33-'T9a. MeHg loads daily calib'!N85)/'T9a. MeHg loads daily calib'!N33</f>
        <v>0.6569228928597155</v>
      </c>
      <c r="N21" s="45">
        <f>('T9a. MeHg loads daily calib'!P33-'T9a. MeHg loads daily calib'!P85)/'T9a. MeHg loads daily calib'!P33</f>
        <v>0.49858954518920062</v>
      </c>
      <c r="O21" s="45">
        <f>('T9a. MeHg loads daily calib'!Q33-'T9a. MeHg loads daily calib'!Q85)/'T9a. MeHg loads daily calib'!Q33</f>
        <v>0.62506133348945092</v>
      </c>
      <c r="R21">
        <f>AVERAGE(R7:R19)</f>
        <v>57.283111497797705</v>
      </c>
    </row>
    <row r="22" spans="1:18">
      <c r="A22" s="2" t="s">
        <v>2</v>
      </c>
      <c r="B22" s="45">
        <f>('T9a. MeHg loads daily calib'!B34-'T9a. MeHg loads daily calib'!B86)/'T9a. MeHg loads daily calib'!B34</f>
        <v>5.9952772717525762E-2</v>
      </c>
      <c r="C22" s="56">
        <f>('T9a. MeHg loads daily calib'!C34-'T9a. MeHg loads daily calib'!C86)/'T9a. MeHg loads daily calib'!C34</f>
        <v>0.54538104254983699</v>
      </c>
      <c r="D22" s="45">
        <f>('T9a. MeHg loads daily calib'!D34-'T9a. MeHg loads daily calib'!D86)/'T9a. MeHg loads daily calib'!D34</f>
        <v>-0.41433356918040021</v>
      </c>
      <c r="E22" s="58">
        <f>('T9a. MeHg loads daily calib'!E34-'T9a. MeHg loads daily calib'!E86)/'T9a. MeHg loads daily calib'!E34</f>
        <v>0.49396724796218777</v>
      </c>
      <c r="F22" s="58">
        <f>('T9a. MeHg loads daily calib'!F34-'T9a. MeHg loads daily calib'!F86)/'T9a. MeHg loads daily calib'!F34</f>
        <v>0.32434216797645715</v>
      </c>
      <c r="G22" s="2"/>
      <c r="H22" s="515"/>
      <c r="I22" s="2"/>
      <c r="J22" s="45">
        <f>('T9a. MeHg loads daily calib'!K34-'T9a. MeHg loads daily calib'!K86)/'T9a. MeHg loads daily calib'!K34</f>
        <v>0.65258796778261086</v>
      </c>
      <c r="K22" s="56">
        <f>('T9a. MeHg loads daily calib'!L34-'T9a. MeHg loads daily calib'!L86)/'T9a. MeHg loads daily calib'!L34</f>
        <v>0.61623685591534216</v>
      </c>
      <c r="L22" s="45">
        <f>('T9a. MeHg loads daily calib'!M34-'T9a. MeHg loads daily calib'!M86)/'T9a. MeHg loads daily calib'!M34</f>
        <v>0.76923076923076927</v>
      </c>
      <c r="M22" s="56">
        <f>('T9a. MeHg loads daily calib'!N34-'T9a. MeHg loads daily calib'!N86)/'T9a. MeHg loads daily calib'!N34</f>
        <v>0.74508446068274903</v>
      </c>
      <c r="N22" s="45">
        <f>('T9a. MeHg loads daily calib'!P34-'T9a. MeHg loads daily calib'!P86)/'T9a. MeHg loads daily calib'!P34</f>
        <v>0.59532246125331478</v>
      </c>
      <c r="O22" s="45">
        <f>('T9a. MeHg loads daily calib'!Q34-'T9a. MeHg loads daily calib'!Q86)/'T9a. MeHg loads daily calib'!Q34</f>
        <v>0.69966600878810525</v>
      </c>
    </row>
    <row r="23" spans="1:18">
      <c r="A23" s="2" t="s">
        <v>3</v>
      </c>
      <c r="B23" s="45">
        <f>('T9a. MeHg loads daily calib'!B35-'T9a. MeHg loads daily calib'!B87)/'T9a. MeHg loads daily calib'!B35</f>
        <v>0.40089989822283467</v>
      </c>
      <c r="C23" s="56">
        <f>('T9a. MeHg loads daily calib'!C35-'T9a. MeHg loads daily calib'!C87)/'T9a. MeHg loads daily calib'!C35</f>
        <v>0.13074309444923499</v>
      </c>
      <c r="D23" s="45">
        <f>('T9a. MeHg loads daily calib'!D35-'T9a. MeHg loads daily calib'!D87)/'T9a. MeHg loads daily calib'!D35</f>
        <v>-0.11783059454063731</v>
      </c>
      <c r="E23" s="58">
        <f>('T9a. MeHg loads daily calib'!E35-'T9a. MeHg loads daily calib'!E87)/'T9a. MeHg loads daily calib'!E35</f>
        <v>7.0161957080287926E-2</v>
      </c>
      <c r="F23" s="58">
        <f>('T9a. MeHg loads daily calib'!F35-'T9a. MeHg loads daily calib'!F87)/'T9a. MeHg loads daily calib'!F35</f>
        <v>3.3143838574608987E-2</v>
      </c>
      <c r="G23" s="2"/>
      <c r="H23" s="515"/>
      <c r="I23" s="2"/>
      <c r="J23" s="45">
        <f>('T9a. MeHg loads daily calib'!K35-'T9a. MeHg loads daily calib'!K87)/'T9a. MeHg loads daily calib'!K35</f>
        <v>0.59907582219603095</v>
      </c>
      <c r="K23" s="56">
        <f>('T9a. MeHg loads daily calib'!L35-'T9a. MeHg loads daily calib'!L87)/'T9a. MeHg loads daily calib'!L35</f>
        <v>0.47782449080629114</v>
      </c>
      <c r="L23" s="45">
        <f>('T9a. MeHg loads daily calib'!M35-'T9a. MeHg loads daily calib'!M87)/'T9a. MeHg loads daily calib'!M35</f>
        <v>0.71392649903288208</v>
      </c>
      <c r="M23" s="56">
        <f>('T9a. MeHg loads daily calib'!N35-'T9a. MeHg loads daily calib'!N87)/'T9a. MeHg loads daily calib'!N35</f>
        <v>0.62740940979775206</v>
      </c>
      <c r="N23" s="45">
        <f>('T9a. MeHg loads daily calib'!P35-'T9a. MeHg loads daily calib'!P87)/'T9a. MeHg loads daily calib'!P35</f>
        <v>0.40035271562534058</v>
      </c>
      <c r="O23" s="45">
        <f>('T9a. MeHg loads daily calib'!Q35-'T9a. MeHg loads daily calib'!Q87)/'T9a. MeHg loads daily calib'!Q35</f>
        <v>0.52311471712208779</v>
      </c>
      <c r="R23">
        <f>MEDIAN(R7:R19)</f>
        <v>55.726206767536794</v>
      </c>
    </row>
    <row r="24" spans="1:18">
      <c r="A24" s="2" t="s">
        <v>4</v>
      </c>
      <c r="B24" s="45">
        <f>('T9a. MeHg loads daily calib'!B36-'T9a. MeHg loads daily calib'!B88)/'T9a. MeHg loads daily calib'!B36</f>
        <v>0.12494872291175736</v>
      </c>
      <c r="C24" s="56">
        <f>('T9a. MeHg loads daily calib'!C36-'T9a. MeHg loads daily calib'!C88)/'T9a. MeHg loads daily calib'!C36</f>
        <v>0.536452957641817</v>
      </c>
      <c r="D24" s="45">
        <f>('T9a. MeHg loads daily calib'!D36-'T9a. MeHg loads daily calib'!D88)/'T9a. MeHg loads daily calib'!D36</f>
        <v>-0.4356492729277241</v>
      </c>
      <c r="E24" s="58">
        <f>('T9a. MeHg loads daily calib'!E36-'T9a. MeHg loads daily calib'!E88)/'T9a. MeHg loads daily calib'!E36</f>
        <v>0.45722725107499568</v>
      </c>
      <c r="F24" s="58">
        <f>('T9a. MeHg loads daily calib'!F36-'T9a. MeHg loads daily calib'!F88)/'T9a. MeHg loads daily calib'!F36</f>
        <v>0.37701174621134159</v>
      </c>
      <c r="G24" s="2"/>
      <c r="H24" s="515"/>
      <c r="I24" s="2"/>
      <c r="J24" s="45">
        <f>('T9a. MeHg loads daily calib'!K36-'T9a. MeHg loads daily calib'!K88)/'T9a. MeHg loads daily calib'!K36</f>
        <v>0.68766969332791483</v>
      </c>
      <c r="K24" s="56">
        <f>('T9a. MeHg loads daily calib'!L36-'T9a. MeHg loads daily calib'!L88)/'T9a. MeHg loads daily calib'!L36</f>
        <v>0.82694041993804557</v>
      </c>
      <c r="L24" s="45">
        <f>('T9a. MeHg loads daily calib'!M36-'T9a. MeHg loads daily calib'!M88)/'T9a. MeHg loads daily calib'!M36</f>
        <v>0.47344462993878689</v>
      </c>
      <c r="M24" s="56">
        <f>('T9a. MeHg loads daily calib'!N36-'T9a. MeHg loads daily calib'!N88)/'T9a. MeHg loads daily calib'!N36</f>
        <v>0.70824012503585509</v>
      </c>
      <c r="N24" s="45">
        <f>('T9a. MeHg loads daily calib'!P36-'T9a. MeHg loads daily calib'!P88)/'T9a. MeHg loads daily calib'!P36</f>
        <v>0.79390315814289036</v>
      </c>
      <c r="O24" s="45">
        <f>('T9a. MeHg loads daily calib'!Q36-'T9a. MeHg loads daily calib'!Q88)/'T9a. MeHg loads daily calib'!Q36</f>
        <v>0.6751906056826199</v>
      </c>
    </row>
    <row r="25" spans="1:18">
      <c r="A25" s="2" t="s">
        <v>5</v>
      </c>
      <c r="B25" s="45">
        <f>('T9a. MeHg loads daily calib'!B37-'T9a. MeHg loads daily calib'!B89)/'T9a. MeHg loads daily calib'!B37</f>
        <v>0.78388578666666664</v>
      </c>
      <c r="C25" s="56">
        <f>('T9a. MeHg loads daily calib'!C37-'T9a. MeHg loads daily calib'!C89)/'T9a. MeHg loads daily calib'!C37</f>
        <v>-0.6255789671781341</v>
      </c>
      <c r="D25" s="45">
        <f>('T9a. MeHg loads daily calib'!D37-'T9a. MeHg loads daily calib'!D89)/'T9a. MeHg loads daily calib'!D37</f>
        <v>0.38983326858257161</v>
      </c>
      <c r="E25" s="58">
        <f>('T9a. MeHg loads daily calib'!E37-'T9a. MeHg loads daily calib'!E89)/'T9a. MeHg loads daily calib'!E37</f>
        <v>-0.29235998075486075</v>
      </c>
      <c r="F25" s="58">
        <f>('T9a. MeHg loads daily calib'!F37-'T9a. MeHg loads daily calib'!F89)/'T9a. MeHg loads daily calib'!F37</f>
        <v>0.39330316336440685</v>
      </c>
      <c r="G25" s="2"/>
      <c r="H25" s="3"/>
      <c r="I25" s="2"/>
      <c r="J25" s="45">
        <f>('T9a. MeHg loads daily calib'!K37-'T9a. MeHg loads daily calib'!K89)/'T9a. MeHg loads daily calib'!K37</f>
        <v>0.93883363484291982</v>
      </c>
      <c r="K25" s="56" t="s">
        <v>32</v>
      </c>
      <c r="L25" s="45">
        <f>('T9a. MeHg loads daily calib'!M37-'T9a. MeHg loads daily calib'!M89)/'T9a. MeHg loads daily calib'!M37</f>
        <v>0.9</v>
      </c>
      <c r="M25" s="56" t="s">
        <v>32</v>
      </c>
      <c r="N25" s="45" t="s">
        <v>32</v>
      </c>
      <c r="O25" s="45" t="s">
        <v>32</v>
      </c>
    </row>
    <row r="26" spans="1:18">
      <c r="A26" s="2" t="s">
        <v>88</v>
      </c>
      <c r="B26" s="45">
        <f>('T9a. MeHg loads daily calib'!B38-'T9a. MeHg loads daily calib'!B90)/'T9a. MeHg loads daily calib'!B38</f>
        <v>2.6121353860465067E-2</v>
      </c>
      <c r="C26" s="56">
        <f>('T9a. MeHg loads daily calib'!C38-'T9a. MeHg loads daily calib'!C90)/'T9a. MeHg loads daily calib'!C38</f>
        <v>0.58849017866214859</v>
      </c>
      <c r="D26" s="45">
        <f>('T9a. MeHg loads daily calib'!D38-'T9a. MeHg loads daily calib'!D90)/'T9a. MeHg loads daily calib'!D38</f>
        <v>-0.66948252994913826</v>
      </c>
      <c r="E26" s="58">
        <f>('T9a. MeHg loads daily calib'!E38-'T9a. MeHg loads daily calib'!E90)/'T9a. MeHg loads daily calib'!E38</f>
        <v>0.52232630399584867</v>
      </c>
      <c r="F26" s="58">
        <f>('T9a. MeHg loads daily calib'!F38-'T9a. MeHg loads daily calib'!F90)/'T9a. MeHg loads daily calib'!F38</f>
        <v>0.53241675707485769</v>
      </c>
      <c r="G26" s="2"/>
      <c r="H26" s="515"/>
      <c r="I26" s="2"/>
      <c r="J26" s="45">
        <f>('T9a. MeHg loads daily calib'!K38-'T9a. MeHg loads daily calib'!K90)/'T9a. MeHg loads daily calib'!K38</f>
        <v>0.7636095868275975</v>
      </c>
      <c r="K26" s="56">
        <f>('T9a. MeHg loads daily calib'!L38-'T9a. MeHg loads daily calib'!L90)/'T9a. MeHg loads daily calib'!L38</f>
        <v>0.75516565171323435</v>
      </c>
      <c r="L26" s="45">
        <f>('T9a. MeHg loads daily calib'!M38-'T9a. MeHg loads daily calib'!M90)/'T9a. MeHg loads daily calib'!M38</f>
        <v>0.73529411764705888</v>
      </c>
      <c r="M26" s="56">
        <f>('T9a. MeHg loads daily calib'!N38-'T9a. MeHg loads daily calib'!N90)/'T9a. MeHg loads daily calib'!N38</f>
        <v>0.7258387456419837</v>
      </c>
      <c r="N26" s="45">
        <f>('T9a. MeHg loads daily calib'!P38-'T9a. MeHg loads daily calib'!P90)/'T9a. MeHg loads daily calib'!P38</f>
        <v>0.66999039537190364</v>
      </c>
      <c r="O26" s="45">
        <f>('T9a. MeHg loads daily calib'!Q38-'T9a. MeHg loads daily calib'!Q90)/'T9a. MeHg loads daily calib'!Q38</f>
        <v>0.64589488623522595</v>
      </c>
    </row>
    <row r="27" spans="1:18">
      <c r="A27" s="2" t="s">
        <v>95</v>
      </c>
      <c r="B27" s="45">
        <f>('T9a. MeHg loads daily calib'!B39-'T9a. MeHg loads daily calib'!B91)/'T9a. MeHg loads daily calib'!B39</f>
        <v>0.19589577286993956</v>
      </c>
      <c r="C27" s="56">
        <f>('T9a. MeHg loads daily calib'!C39-'T9a. MeHg loads daily calib'!C91)/'T9a. MeHg loads daily calib'!C39</f>
        <v>0.70349604802587506</v>
      </c>
      <c r="D27" s="45">
        <f>('T9a. MeHg loads daily calib'!D39-'T9a. MeHg loads daily calib'!D91)/'T9a. MeHg loads daily calib'!D39</f>
        <v>-0.13448352184241916</v>
      </c>
      <c r="E27" s="58">
        <f>('T9a. MeHg loads daily calib'!E39-'T9a. MeHg loads daily calib'!E91)/'T9a. MeHg loads daily calib'!E39</f>
        <v>0.6653158683402054</v>
      </c>
      <c r="F27" s="58">
        <f>('T9a. MeHg loads daily calib'!F39-'T9a. MeHg loads daily calib'!F91)/'T9a. MeHg loads daily calib'!F39</f>
        <v>0.67384100186934914</v>
      </c>
      <c r="G27" s="2"/>
      <c r="H27" s="515"/>
      <c r="I27" s="2"/>
      <c r="J27" s="45">
        <f>('T9a. MeHg loads daily calib'!K39-'T9a. MeHg loads daily calib'!K91)/'T9a. MeHg loads daily calib'!K39</f>
        <v>0.79658609724556495</v>
      </c>
      <c r="K27" s="56">
        <f>('T9a. MeHg loads daily calib'!L39-'T9a. MeHg loads daily calib'!L91)/'T9a. MeHg loads daily calib'!L39</f>
        <v>0.77204567780863065</v>
      </c>
      <c r="L27" s="45">
        <f>('T9a. MeHg loads daily calib'!M39-'T9a. MeHg loads daily calib'!M91)/'T9a. MeHg loads daily calib'!M39</f>
        <v>0.85225500980132463</v>
      </c>
      <c r="M27" s="56">
        <f>('T9a. MeHg loads daily calib'!N39-'T9a. MeHg loads daily calib'!N91)/'T9a. MeHg loads daily calib'!N39</f>
        <v>0.83443064293118829</v>
      </c>
      <c r="N27" s="45">
        <f>('T9a. MeHg loads daily calib'!P39-'T9a. MeHg loads daily calib'!P91)/'T9a. MeHg loads daily calib'!P39</f>
        <v>0.72388063461442398</v>
      </c>
      <c r="O27" s="45">
        <f>('T9a. MeHg loads daily calib'!Q39-'T9a. MeHg loads daily calib'!Q91)/'T9a. MeHg loads daily calib'!Q39</f>
        <v>0.77363158691276646</v>
      </c>
    </row>
    <row r="28" spans="1:18">
      <c r="A28" s="2" t="s">
        <v>125</v>
      </c>
      <c r="B28" s="45">
        <f>('T9a. MeHg loads daily calib'!B40-'T9a. MeHg loads daily calib'!B92)/'T9a. MeHg loads daily calib'!B40</f>
        <v>-8.2155392277906553E-3</v>
      </c>
      <c r="C28" s="56">
        <f>('T9a. MeHg loads daily calib'!C40-'T9a. MeHg loads daily calib'!C92)/'T9a. MeHg loads daily calib'!C40</f>
        <v>0.47591216814059628</v>
      </c>
      <c r="D28" s="45">
        <f>('T9a. MeHg loads daily calib'!D40-'T9a. MeHg loads daily calib'!D92)/'T9a. MeHg loads daily calib'!D40</f>
        <v>-0.51137608658150313</v>
      </c>
      <c r="E28" s="58">
        <f>('T9a. MeHg loads daily calib'!E40-'T9a. MeHg loads daily calib'!E92)/'T9a. MeHg loads daily calib'!E40</f>
        <v>0.44924699756132924</v>
      </c>
      <c r="F28" s="58">
        <f>('T9a. MeHg loads daily calib'!F40-'T9a. MeHg loads daily calib'!F92)/'T9a. MeHg loads daily calib'!F40</f>
        <v>0.47181656533737942</v>
      </c>
      <c r="G28" s="2"/>
      <c r="H28" s="515"/>
      <c r="I28" s="2"/>
      <c r="J28" s="45">
        <f>('T9a. MeHg loads daily calib'!K40-'T9a. MeHg loads daily calib'!K92)/'T9a. MeHg loads daily calib'!K40</f>
        <v>0.51870181330883391</v>
      </c>
      <c r="K28" s="56">
        <f>('T9a. MeHg loads daily calib'!L40-'T9a. MeHg loads daily calib'!L92)/'T9a. MeHg loads daily calib'!L40</f>
        <v>0.22787896079751835</v>
      </c>
      <c r="L28" s="45">
        <f>('T9a. MeHg loads daily calib'!M40-'T9a. MeHg loads daily calib'!M92)/'T9a. MeHg loads daily calib'!M40</f>
        <v>0.73808084971718413</v>
      </c>
      <c r="M28" s="56">
        <f>('T9a. MeHg loads daily calib'!N40-'T9a. MeHg loads daily calib'!N92)/'T9a. MeHg loads daily calib'!N40</f>
        <v>0.57981706124073662</v>
      </c>
      <c r="N28" s="45">
        <f>('T9a. MeHg loads daily calib'!P40-'T9a. MeHg loads daily calib'!P92)/'T9a. MeHg loads daily calib'!P40</f>
        <v>0.20816329627813093</v>
      </c>
      <c r="O28" s="45">
        <f>('T9a. MeHg loads daily calib'!Q40-'T9a. MeHg loads daily calib'!Q92)/'T9a. MeHg loads daily calib'!Q40</f>
        <v>0.53947914817015041</v>
      </c>
    </row>
    <row r="29" spans="1:18">
      <c r="A29" s="62" t="s">
        <v>128</v>
      </c>
      <c r="B29" s="45">
        <f>('T9a. MeHg loads daily calib'!B41-'T9a. MeHg loads daily calib'!B93)/'T9a. MeHg loads daily calib'!B41</f>
        <v>0.54146617605434466</v>
      </c>
      <c r="C29" s="56">
        <f>('T9a. MeHg loads daily calib'!C41-'T9a. MeHg loads daily calib'!C93)/'T9a. MeHg loads daily calib'!C41</f>
        <v>0.49200989863554034</v>
      </c>
      <c r="D29" s="45">
        <f>('T9a. MeHg loads daily calib'!D41-'T9a. MeHg loads daily calib'!D93)/'T9a. MeHg loads daily calib'!D41</f>
        <v>0.748411512759102</v>
      </c>
      <c r="E29" s="58">
        <f>('T9a. MeHg loads daily calib'!E41-'T9a. MeHg loads daily calib'!E93)/'T9a. MeHg loads daily calib'!E41</f>
        <v>0.56889955025473582</v>
      </c>
      <c r="F29" s="58">
        <f>('T9a. MeHg loads daily calib'!F41-'T9a. MeHg loads daily calib'!F93)/'T9a. MeHg loads daily calib'!F41</f>
        <v>0.66873638134846636</v>
      </c>
      <c r="G29" s="2"/>
      <c r="H29" s="515"/>
      <c r="I29" s="2"/>
      <c r="J29" s="45">
        <f>('T9a. MeHg loads daily calib'!K41-'T9a. MeHg loads daily calib'!K93)/'T9a. MeHg loads daily calib'!K41</f>
        <v>0.92149421771118389</v>
      </c>
      <c r="K29" s="56">
        <f>('T9a. MeHg loads daily calib'!L41-'T9a. MeHg loads daily calib'!L93)/'T9a. MeHg loads daily calib'!L41</f>
        <v>0.88339398932116919</v>
      </c>
      <c r="L29" s="45">
        <f>('T9a. MeHg loads daily calib'!M41-'T9a. MeHg loads daily calib'!M93)/'T9a. MeHg loads daily calib'!M41</f>
        <v>0.82278251302902961</v>
      </c>
      <c r="M29" s="56">
        <f>('T9a. MeHg loads daily calib'!N41-'T9a. MeHg loads daily calib'!N93)/'T9a. MeHg loads daily calib'!N41</f>
        <v>0.73677576892120988</v>
      </c>
      <c r="N29" s="45">
        <f>('T9a. MeHg loads daily calib'!P41-'T9a. MeHg loads daily calib'!P93)/'T9a. MeHg loads daily calib'!P41</f>
        <v>0.86711308530817599</v>
      </c>
      <c r="O29" s="45">
        <f>('T9a. MeHg loads daily calib'!Q41-'T9a. MeHg loads daily calib'!Q93)/'T9a. MeHg loads daily calib'!Q41</f>
        <v>0.73997983581657001</v>
      </c>
    </row>
    <row r="30" spans="1:18">
      <c r="A30" s="62" t="s">
        <v>247</v>
      </c>
      <c r="B30" s="45">
        <f>('T9a. MeHg loads daily calib'!B42-'T9a. MeHg loads daily calib'!B94)/'T9a. MeHg loads daily calib'!B42</f>
        <v>2.9837518463810959E-2</v>
      </c>
      <c r="C30" s="56">
        <f>('T9a. MeHg loads daily calib'!C42-'T9a. MeHg loads daily calib'!C94)/'T9a. MeHg loads daily calib'!C42</f>
        <v>0.62273956376161876</v>
      </c>
      <c r="D30" s="45">
        <f>('T9a. MeHg loads daily calib'!D42-'T9a. MeHg loads daily calib'!D94)/'T9a. MeHg loads daily calib'!D42</f>
        <v>-6.1926917464111664E-2</v>
      </c>
      <c r="E30" s="58">
        <f>('T9a. MeHg loads daily calib'!E42-'T9a. MeHg loads daily calib'!E94)/'T9a. MeHg loads daily calib'!E42</f>
        <v>0.60577181148410486</v>
      </c>
      <c r="F30" s="58">
        <f>('T9a. MeHg loads daily calib'!F42-'T9a. MeHg loads daily calib'!F94)/'T9a. MeHg loads daily calib'!F42</f>
        <v>0.67020709720386829</v>
      </c>
      <c r="G30" s="2"/>
      <c r="H30" s="515"/>
      <c r="I30" s="2"/>
      <c r="J30" s="45">
        <f>('T9a. MeHg loads daily calib'!K42-'T9a. MeHg loads daily calib'!K94)/'T9a. MeHg loads daily calib'!K42</f>
        <v>0.63327209175481725</v>
      </c>
      <c r="K30" s="56">
        <f>('T9a. MeHg loads daily calib'!L42-'T9a. MeHg loads daily calib'!L94)/'T9a. MeHg loads daily calib'!L42</f>
        <v>0.55444734814487429</v>
      </c>
      <c r="L30" s="45">
        <f>('T9a. MeHg loads daily calib'!M42-'T9a. MeHg loads daily calib'!M94)/'T9a. MeHg loads daily calib'!M42</f>
        <v>0.70705445571535397</v>
      </c>
      <c r="M30" s="56">
        <f>('T9a. MeHg loads daily calib'!N42-'T9a. MeHg loads daily calib'!N94)/'T9a. MeHg loads daily calib'!N42</f>
        <v>0.64408854311163066</v>
      </c>
      <c r="N30" s="45">
        <f>('T9a. MeHg loads daily calib'!P42-'T9a. MeHg loads daily calib'!P94)/'T9a. MeHg loads daily calib'!P42</f>
        <v>0.53946575760835758</v>
      </c>
      <c r="O30" s="45">
        <f>('T9a. MeHg loads daily calib'!Q42-'T9a. MeHg loads daily calib'!Q94)/'T9a. MeHg loads daily calib'!Q42</f>
        <v>0.61245387246408645</v>
      </c>
    </row>
    <row r="31" spans="1:18">
      <c r="A31" s="2" t="s">
        <v>253</v>
      </c>
      <c r="B31" s="45">
        <f>('T9a. MeHg loads daily calib'!B43-'T9a. MeHg loads daily calib'!B95)/'T9a. MeHg loads daily calib'!B43</f>
        <v>5.0244532338470572E-2</v>
      </c>
      <c r="C31" s="107">
        <f>('T9a. MeHg loads daily calib'!C43-'T9a. MeHg loads daily calib'!C95)/'T9a. MeHg loads daily calib'!C43</f>
        <v>0.55472268052964258</v>
      </c>
      <c r="D31" s="530">
        <f>('T9a. MeHg loads daily calib'!D43-'T9a. MeHg loads daily calib'!D95)/'T9a. MeHg loads daily calib'!D43</f>
        <v>-0.31038215400406793</v>
      </c>
      <c r="E31" s="108">
        <f>('T9a. MeHg loads daily calib'!E43-'T9a. MeHg loads daily calib'!E95)/'T9a. MeHg loads daily calib'!E43</f>
        <v>0.52185403813441211</v>
      </c>
      <c r="F31" s="108">
        <f>('T9a. MeHg loads daily calib'!F43-'T9a. MeHg loads daily calib'!F95)/'T9a. MeHg loads daily calib'!F43</f>
        <v>0.5082957411864516</v>
      </c>
      <c r="G31" s="54"/>
      <c r="H31" s="3"/>
      <c r="I31" s="2"/>
      <c r="J31" s="109">
        <f>('T9a. MeHg loads daily calib'!K43-'T9a. MeHg loads daily calib'!K95)/'T9a. MeHg loads daily calib'!K43</f>
        <v>0.60929800397672329</v>
      </c>
      <c r="K31" s="107">
        <f>('T9a. MeHg loads daily calib'!L43-'T9a. MeHg loads daily calib'!L95)/'T9a. MeHg loads daily calib'!L43</f>
        <v>0.51256728357091608</v>
      </c>
      <c r="L31" s="109">
        <f>('T9a. MeHg loads daily calib'!M43-'T9a. MeHg loads daily calib'!M95)/'T9a. MeHg loads daily calib'!M43</f>
        <v>0.73425260986863716</v>
      </c>
      <c r="M31" s="107">
        <f>('T9a. MeHg loads daily calib'!N43-'T9a. MeHg loads daily calib'!N95)/'T9a. MeHg loads daily calib'!N43</f>
        <v>0.6645921181904566</v>
      </c>
      <c r="N31" s="108">
        <f>('T9a. MeHg loads daily calib'!P43-'T9a. MeHg loads daily calib'!P95)/'T9a. MeHg loads daily calib'!P43</f>
        <v>0.49032909284839471</v>
      </c>
      <c r="O31" s="108">
        <f>('T9a. MeHg loads daily calib'!Q43-'T9a. MeHg loads daily calib'!Q95)/'T9a. MeHg loads daily calib'!Q43</f>
        <v>0.62514505055951608</v>
      </c>
    </row>
    <row r="32" spans="1:18">
      <c r="A32" s="2" t="s">
        <v>253</v>
      </c>
      <c r="H32" s="516" t="s">
        <v>263</v>
      </c>
      <c r="I32" s="2"/>
      <c r="J32" s="109">
        <f>('T9a. MeHg loads daily calib'!K44-'T9a. MeHg loads daily calib'!K96)/'T9a. MeHg loads daily calib'!K44</f>
        <v>0.60929800397672329</v>
      </c>
      <c r="K32" s="107">
        <f>('T9a. MeHg loads daily calib'!L44-'T9a. MeHg loads daily calib'!L96)/'T9a. MeHg loads daily calib'!L44</f>
        <v>0.31197132775775166</v>
      </c>
      <c r="L32" s="109">
        <f>('T9a. MeHg loads daily calib'!M44-'T9a. MeHg loads daily calib'!M96)/'T9a. MeHg loads daily calib'!M44</f>
        <v>0.73425260986863716</v>
      </c>
      <c r="M32" s="107">
        <f>('T9a. MeHg loads daily calib'!N44-'T9a. MeHg loads daily calib'!N96)/'T9a. MeHg loads daily calib'!N44</f>
        <v>0.53201717461143661</v>
      </c>
      <c r="N32" s="108">
        <f>('T9a. MeHg loads daily calib'!P44-'T9a. MeHg loads daily calib'!P96)/'T9a. MeHg loads daily calib'!P44</f>
        <v>0.29524141824406264</v>
      </c>
      <c r="O32" s="108">
        <f>('T9a. MeHg loads daily calib'!Q44-'T9a. MeHg loads daily calib'!Q96)/'T9a. MeHg loads daily calib'!Q44</f>
        <v>0.49760482697303016</v>
      </c>
    </row>
    <row r="33" spans="1:15">
      <c r="A33" s="48"/>
      <c r="B33" s="49"/>
      <c r="C33" s="31"/>
      <c r="D33" s="32"/>
      <c r="E33" s="31"/>
      <c r="F33" s="31"/>
      <c r="G33" s="48"/>
      <c r="H33" s="46"/>
      <c r="I33" s="48"/>
      <c r="J33" s="46"/>
      <c r="K33" s="46"/>
      <c r="L33" s="46"/>
      <c r="M33" s="46"/>
    </row>
    <row r="34" spans="1:15" ht="16">
      <c r="A34" s="47"/>
      <c r="B34" s="49"/>
      <c r="C34" s="48"/>
      <c r="D34" s="50"/>
      <c r="E34" s="48"/>
      <c r="F34" s="48"/>
      <c r="G34" s="48"/>
      <c r="H34" s="6"/>
      <c r="I34" s="48"/>
      <c r="J34" s="31"/>
      <c r="K34" s="48"/>
      <c r="L34" s="48"/>
      <c r="M34" s="48"/>
    </row>
    <row r="35" spans="1:15">
      <c r="A35" s="48"/>
      <c r="B35" s="46"/>
      <c r="C35" s="31"/>
      <c r="D35" s="32"/>
      <c r="E35" s="2"/>
      <c r="F35" s="2"/>
      <c r="G35" s="2"/>
      <c r="H35" s="3" t="s">
        <v>34</v>
      </c>
      <c r="I35" s="2"/>
      <c r="J35" s="3" t="s">
        <v>91</v>
      </c>
      <c r="K35" s="3" t="s">
        <v>90</v>
      </c>
      <c r="L35" s="31"/>
      <c r="M35" s="5" t="s">
        <v>285</v>
      </c>
    </row>
    <row r="36" spans="1:15">
      <c r="A36" s="48"/>
      <c r="B36" s="46"/>
      <c r="C36" s="31"/>
      <c r="D36" s="32"/>
      <c r="E36" s="620" t="s">
        <v>89</v>
      </c>
      <c r="F36" s="621"/>
      <c r="G36" s="110"/>
      <c r="H36" s="111">
        <v>8</v>
      </c>
      <c r="I36" s="110"/>
      <c r="J36" s="112">
        <f>AVERAGE(J17:J18,J31:J32,L17:L18,L31:L32)</f>
        <v>0.69516790271478812</v>
      </c>
      <c r="K36" s="109">
        <f>STDEV(J17,J18,J31,J32,L17:L18,L31:L32)</f>
        <v>5.4664574119491161E-2</v>
      </c>
      <c r="L36" s="46"/>
      <c r="M36" s="112">
        <f>('T4a. THg loads daily calib'!AD45-'T4a. THg loads daily calib'!AD100)/'T4a. THg loads daily calib'!AD45</f>
        <v>0.68267704214642833</v>
      </c>
    </row>
    <row r="37" spans="1:15">
      <c r="A37" s="48"/>
      <c r="B37" s="46"/>
      <c r="C37" s="31"/>
      <c r="D37" s="32"/>
      <c r="E37" s="622" t="s">
        <v>213</v>
      </c>
      <c r="F37" s="623"/>
      <c r="G37" s="113"/>
      <c r="H37" s="114">
        <v>10</v>
      </c>
      <c r="I37" s="113"/>
      <c r="J37" s="115">
        <f>AVERAGE(C17,K17,M17,K18,M18,C31,K31,M31,K32,M32)</f>
        <v>0.56931755632215564</v>
      </c>
      <c r="K37" s="107">
        <f>STDEV(C17,K17,K18,M17,M18,C31,K31,K32,M31,M32)</f>
        <v>0.10581769007474</v>
      </c>
      <c r="L37" s="31"/>
      <c r="M37" s="115">
        <f>('T9a. MeHg loads daily calib'!T45-'T9a. MeHg loads daily calib'!T100)/'T9a. MeHg loads daily calib'!T45</f>
        <v>0.55801928042763582</v>
      </c>
    </row>
    <row r="38" spans="1:15">
      <c r="A38" s="48"/>
      <c r="B38" s="46"/>
      <c r="C38" s="31"/>
      <c r="D38" s="32"/>
      <c r="E38" s="624" t="s">
        <v>311</v>
      </c>
      <c r="F38" s="625"/>
      <c r="G38" s="116"/>
      <c r="H38" s="104">
        <v>12</v>
      </c>
      <c r="I38" s="116"/>
      <c r="J38" s="117">
        <f>AVERAGE(E17,F17,E31,F31,N17:O18,N31:O32)</f>
        <v>0.53861168607321641</v>
      </c>
      <c r="K38" s="108">
        <f>STDEV(E17,F17,E31,F31,N17:O18,N31:O32)</f>
        <v>9.1145464767669257E-2</v>
      </c>
      <c r="L38" s="31"/>
      <c r="M38" s="108">
        <f>('T9a. MeHg loads daily calib'!V45-'T9a. MeHg loads daily calib'!V100)/'T9a. MeHg loads daily calib'!V45</f>
        <v>0.53057306406657534</v>
      </c>
    </row>
    <row r="39" spans="1:15">
      <c r="A39" s="48"/>
      <c r="B39" s="46"/>
      <c r="C39" s="46"/>
      <c r="D39" s="46"/>
      <c r="E39" s="531" t="s">
        <v>312</v>
      </c>
      <c r="F39" s="529"/>
      <c r="G39" s="454"/>
      <c r="H39" s="453">
        <v>2</v>
      </c>
      <c r="I39" s="454"/>
      <c r="J39" s="530">
        <f>AVERAGE(D17,D31)</f>
        <v>-0.2872484624740459</v>
      </c>
      <c r="K39" s="530">
        <f>STDEV(D17,D31)</f>
        <v>3.271598030951272E-2</v>
      </c>
      <c r="L39" s="46"/>
      <c r="M39" s="532">
        <f>J39</f>
        <v>-0.2872484624740459</v>
      </c>
    </row>
    <row r="40" spans="1:15">
      <c r="A40" s="48"/>
      <c r="B40" s="46"/>
      <c r="C40" s="46"/>
      <c r="D40" s="31"/>
      <c r="E40" s="46"/>
      <c r="F40" s="46"/>
      <c r="G40" s="48"/>
      <c r="H40" s="6"/>
      <c r="I40" s="48"/>
      <c r="J40" s="46"/>
      <c r="K40" s="46"/>
      <c r="L40" s="46"/>
      <c r="M40" s="46"/>
    </row>
    <row r="41" spans="1:15">
      <c r="A41" s="48"/>
      <c r="B41" s="49"/>
      <c r="C41" s="31"/>
      <c r="D41" s="32"/>
      <c r="E41" s="31"/>
      <c r="F41" s="31"/>
      <c r="G41" s="48"/>
      <c r="H41" s="46"/>
      <c r="I41" s="48"/>
      <c r="J41" s="46"/>
      <c r="K41" s="46"/>
      <c r="L41" s="46"/>
      <c r="M41" s="46"/>
    </row>
    <row r="42" spans="1:15" ht="19">
      <c r="A42" s="542" t="s">
        <v>328</v>
      </c>
      <c r="B42" s="527"/>
      <c r="C42" s="527"/>
      <c r="D42" s="527"/>
      <c r="E42" s="527"/>
      <c r="F42" s="527"/>
      <c r="G42" s="527"/>
      <c r="H42" s="527"/>
      <c r="I42" s="527"/>
      <c r="J42" s="527"/>
      <c r="K42" s="527"/>
      <c r="L42" s="527"/>
      <c r="M42" s="527"/>
      <c r="N42" s="527"/>
      <c r="O42" s="527"/>
    </row>
    <row r="43" spans="1:15">
      <c r="B43" s="42" t="s">
        <v>27</v>
      </c>
      <c r="C43" s="55" t="s">
        <v>62</v>
      </c>
      <c r="D43" s="40" t="s">
        <v>63</v>
      </c>
      <c r="E43" s="57" t="s">
        <v>64</v>
      </c>
      <c r="F43" s="57" t="s">
        <v>65</v>
      </c>
      <c r="G43" s="43"/>
      <c r="H43" s="528"/>
      <c r="I43" s="528"/>
      <c r="J43" s="40" t="s">
        <v>16</v>
      </c>
      <c r="K43" s="55" t="s">
        <v>66</v>
      </c>
      <c r="L43" s="40" t="s">
        <v>17</v>
      </c>
      <c r="M43" s="55" t="s">
        <v>67</v>
      </c>
      <c r="N43" s="40" t="s">
        <v>73</v>
      </c>
      <c r="O43" s="40" t="s">
        <v>74</v>
      </c>
    </row>
    <row r="44" spans="1:15">
      <c r="B44" s="525" t="s">
        <v>37</v>
      </c>
      <c r="C44" s="55" t="s">
        <v>37</v>
      </c>
      <c r="D44" s="525" t="s">
        <v>37</v>
      </c>
      <c r="E44" s="57" t="s">
        <v>37</v>
      </c>
      <c r="F44" s="57" t="s">
        <v>37</v>
      </c>
      <c r="G44" s="43"/>
      <c r="H44" s="528"/>
      <c r="I44" s="528"/>
      <c r="J44" s="525" t="s">
        <v>37</v>
      </c>
      <c r="K44" s="55" t="s">
        <v>37</v>
      </c>
      <c r="L44" s="525" t="s">
        <v>37</v>
      </c>
      <c r="M44" s="55" t="s">
        <v>37</v>
      </c>
      <c r="N44" s="525" t="s">
        <v>37</v>
      </c>
      <c r="O44" s="525" t="s">
        <v>37</v>
      </c>
    </row>
    <row r="45" spans="1:15" ht="16">
      <c r="A45" s="1" t="s">
        <v>36</v>
      </c>
      <c r="C45" s="6"/>
      <c r="D45" s="6"/>
      <c r="E45" s="26"/>
      <c r="F45" s="26"/>
      <c r="G45" s="26"/>
      <c r="H45" s="27"/>
      <c r="I45" s="26"/>
      <c r="K45" s="26"/>
      <c r="L45" s="26"/>
      <c r="M45" s="26"/>
    </row>
    <row r="46" spans="1:15">
      <c r="A46" s="2" t="s">
        <v>1</v>
      </c>
      <c r="B46" s="45">
        <f>('T9b. MeHg Loads inst calib'!B33-'T9b. MeHg Loads inst calib'!B72)/'T9b. MeHg Loads inst calib'!B33</f>
        <v>0.16099513535218615</v>
      </c>
      <c r="C46" s="56">
        <f>('T9b. MeHg Loads inst calib'!C33-'T9b. MeHg Loads inst calib'!C72)/'T9b. MeHg Loads inst calib'!C33</f>
        <v>0.56120717103914142</v>
      </c>
      <c r="D46" s="45">
        <f>('T9b. MeHg Loads inst calib'!D33-'T9b. MeHg Loads inst calib'!D72)/'T9b. MeHg Loads inst calib'!D33</f>
        <v>-0.1660715270017612</v>
      </c>
      <c r="E46" s="58">
        <f>('T9b. MeHg Loads inst calib'!E33-'T9b. MeHg Loads inst calib'!E72)/'T9b. MeHg Loads inst calib'!E33</f>
        <v>0.49416929933997467</v>
      </c>
      <c r="F46" s="58">
        <f>('T9b. MeHg Loads inst calib'!F33-'T9b. MeHg Loads inst calib'!F72)/'T9b. MeHg Loads inst calib'!F33</f>
        <v>0.15488934070720337</v>
      </c>
      <c r="G46" s="45"/>
      <c r="H46" s="45"/>
      <c r="I46" s="45"/>
      <c r="J46" s="45">
        <f>('T9b. MeHg Loads inst calib'!K33-'T9b. MeHg Loads inst calib'!K72)/'T9b. MeHg Loads inst calib'!K33</f>
        <v>0.6579841126562247</v>
      </c>
      <c r="K46" s="56">
        <f>('T9b. MeHg Loads inst calib'!L33-'T9b. MeHg Loads inst calib'!L72)/'T9b. MeHg Loads inst calib'!L33</f>
        <v>0.18363096852540034</v>
      </c>
      <c r="L46" s="45">
        <f>('T9b. MeHg Loads inst calib'!M33-'T9b. MeHg Loads inst calib'!M72)/'T9b. MeHg Loads inst calib'!M33</f>
        <v>0.76662019959347794</v>
      </c>
      <c r="M46" s="56">
        <f>('T9b. MeHg Loads inst calib'!N33-'T9b. MeHg Loads inst calib'!N72)/'T9b. MeHg Loads inst calib'!N33</f>
        <v>0.45988021720803279</v>
      </c>
      <c r="N46" s="45">
        <f>('T9b. MeHg Loads inst calib'!P33-'T9b. MeHg Loads inst calib'!P72)/'T9b. MeHg Loads inst calib'!P33</f>
        <v>0.17286488958555021</v>
      </c>
      <c r="O46" s="45">
        <f>('T9b. MeHg Loads inst calib'!Q33-'T9b. MeHg Loads inst calib'!Q72)/'T9b. MeHg Loads inst calib'!Q33</f>
        <v>0.43882768189237653</v>
      </c>
    </row>
    <row r="47" spans="1:15">
      <c r="A47" s="2" t="s">
        <v>2</v>
      </c>
      <c r="B47" s="45">
        <f>('T9b. MeHg Loads inst calib'!B34-'T9b. MeHg Loads inst calib'!B73)/'T9b. MeHg Loads inst calib'!B34</f>
        <v>5.9952772717525762E-2</v>
      </c>
      <c r="C47" s="56">
        <f>('T9b. MeHg Loads inst calib'!C34-'T9b. MeHg Loads inst calib'!C73)/'T9b. MeHg Loads inst calib'!C34</f>
        <v>0.51966502404088777</v>
      </c>
      <c r="D47" s="45">
        <f>('T9b. MeHg Loads inst calib'!D34-'T9b. MeHg Loads inst calib'!D73)/'T9b. MeHg Loads inst calib'!D34</f>
        <v>-9.1572313840923136E-3</v>
      </c>
      <c r="E47" s="58">
        <f>('T9b. MeHg Loads inst calib'!E34-'T9b. MeHg Loads inst calib'!E73)/'T9b. MeHg Loads inst calib'!E34</f>
        <v>0.48423881359040544</v>
      </c>
      <c r="F47" s="58">
        <f>('T9b. MeHg Loads inst calib'!F34-'T9b. MeHg Loads inst calib'!F73)/'T9b. MeHg Loads inst calib'!F34</f>
        <v>0.16030027255225179</v>
      </c>
      <c r="G47" s="45"/>
      <c r="H47" s="45"/>
      <c r="I47" s="45"/>
      <c r="J47" s="45">
        <f>('T9b. MeHg Loads inst calib'!K34-'T9b. MeHg Loads inst calib'!K73)/'T9b. MeHg Loads inst calib'!K34</f>
        <v>0.59790833694621459</v>
      </c>
      <c r="K47" s="56">
        <f>('T9b. MeHg Loads inst calib'!L34-'T9b. MeHg Loads inst calib'!L73)/'T9b. MeHg Loads inst calib'!L34</f>
        <v>0.55794023198003162</v>
      </c>
      <c r="L47" s="45">
        <f>('T9b. MeHg Loads inst calib'!M34-'T9b. MeHg Loads inst calib'!M73)/'T9b. MeHg Loads inst calib'!M34</f>
        <v>0.76669890334084878</v>
      </c>
      <c r="M47" s="56">
        <f>('T9b. MeHg Loads inst calib'!N34-'T9b. MeHg Loads inst calib'!N73)/'T9b. MeHg Loads inst calib'!N34</f>
        <v>0.74295620068025203</v>
      </c>
      <c r="N47" s="45">
        <f>('T9b. MeHg Loads inst calib'!P34-'T9b. MeHg Loads inst calib'!P73)/'T9b. MeHg Loads inst calib'!P34</f>
        <v>0.54340607254278372</v>
      </c>
      <c r="O47" s="45">
        <f>('T9b. MeHg Loads inst calib'!Q34-'T9b. MeHg Loads inst calib'!Q73)/'T9b. MeHg Loads inst calib'!Q34</f>
        <v>0.70988130491117762</v>
      </c>
    </row>
    <row r="48" spans="1:15">
      <c r="A48" s="2" t="s">
        <v>3</v>
      </c>
      <c r="B48" s="45">
        <f>('T9b. MeHg Loads inst calib'!B35-'T9b. MeHg Loads inst calib'!B74)/'T9b. MeHg Loads inst calib'!B35</f>
        <v>0.40089989822283467</v>
      </c>
      <c r="C48" s="56">
        <f>('T9b. MeHg Loads inst calib'!C35-'T9b. MeHg Loads inst calib'!C74)/'T9b. MeHg Loads inst calib'!C35</f>
        <v>0.49477259143978719</v>
      </c>
      <c r="D48" s="45">
        <f>('T9b. MeHg Loads inst calib'!D35-'T9b. MeHg Loads inst calib'!D74)/'T9b. MeHg Loads inst calib'!D35</f>
        <v>1.7932113304213175E-2</v>
      </c>
      <c r="E48" s="58">
        <f>('T9b. MeHg Loads inst calib'!E35-'T9b. MeHg Loads inst calib'!E74)/'T9b. MeHg Loads inst calib'!E35</f>
        <v>0.41548973493388536</v>
      </c>
      <c r="F48" s="58">
        <f>('T9b. MeHg Loads inst calib'!F35-'T9b. MeHg Loads inst calib'!F74)/'T9b. MeHg Loads inst calib'!F35</f>
        <v>0.39213562306633404</v>
      </c>
      <c r="G48" s="45"/>
      <c r="H48" s="45"/>
      <c r="I48" s="45"/>
      <c r="J48" s="45">
        <f>('T9b. MeHg Loads inst calib'!K35-'T9b. MeHg Loads inst calib'!K74)/'T9b. MeHg Loads inst calib'!K35</f>
        <v>0.84076137479088808</v>
      </c>
      <c r="K48" s="56">
        <f>('T9b. MeHg Loads inst calib'!L35-'T9b. MeHg Loads inst calib'!L74)/'T9b. MeHg Loads inst calib'!L35</f>
        <v>0.79260290397719424</v>
      </c>
      <c r="L48" s="45">
        <f>('T9b. MeHg Loads inst calib'!M35-'T9b. MeHg Loads inst calib'!M74)/'T9b. MeHg Loads inst calib'!M35</f>
        <v>0.71392649903288208</v>
      </c>
      <c r="M48" s="56">
        <f>('T9b. MeHg Loads inst calib'!N35-'T9b. MeHg Loads inst calib'!N74)/'T9b. MeHg Loads inst calib'!N35</f>
        <v>0.62740940979775206</v>
      </c>
      <c r="N48" s="45">
        <f>('T9b. MeHg Loads inst calib'!P35-'T9b. MeHg Loads inst calib'!P74)/'T9b. MeHg Loads inst calib'!P35</f>
        <v>0.7507832177741427</v>
      </c>
      <c r="O48" s="45">
        <f>('T9b. MeHg Loads inst calib'!Q35-'T9b. MeHg Loads inst calib'!Q74)/'T9b. MeHg Loads inst calib'!Q35</f>
        <v>0.53312480871351109</v>
      </c>
    </row>
    <row r="49" spans="1:15">
      <c r="A49" s="2" t="s">
        <v>4</v>
      </c>
      <c r="B49" s="45">
        <f>('T9b. MeHg Loads inst calib'!B36-'T9b. MeHg Loads inst calib'!B75)/'T9b. MeHg Loads inst calib'!B36</f>
        <v>0.12494872291175736</v>
      </c>
      <c r="C49" s="56">
        <f>('T9b. MeHg Loads inst calib'!C36-'T9b. MeHg Loads inst calib'!C75)/'T9b. MeHg Loads inst calib'!C36</f>
        <v>0.640607055669702</v>
      </c>
      <c r="D49" s="45">
        <f>('T9b. MeHg Loads inst calib'!D36-'T9b. MeHg Loads inst calib'!D75)/'T9b. MeHg Loads inst calib'!D36</f>
        <v>-0.51050900110957587</v>
      </c>
      <c r="E49" s="58">
        <f>('T9b. MeHg Loads inst calib'!E36-'T9b. MeHg Loads inst calib'!E75)/'T9b. MeHg Loads inst calib'!E36</f>
        <v>0.56816178898560044</v>
      </c>
      <c r="F49" s="58">
        <f>('T9b. MeHg Loads inst calib'!F36-'T9b. MeHg Loads inst calib'!F75)/'T9b. MeHg Loads inst calib'!F36</f>
        <v>0.4438700178670949</v>
      </c>
      <c r="G49" s="45"/>
      <c r="H49" s="45"/>
      <c r="I49" s="45"/>
      <c r="J49" s="45">
        <f>('T9b. MeHg Loads inst calib'!K36-'T9b. MeHg Loads inst calib'!K75)/'T9b. MeHg Loads inst calib'!K36</f>
        <v>0.50509196495173669</v>
      </c>
      <c r="K49" s="56">
        <f>('T9b. MeHg Loads inst calib'!L36-'T9b. MeHg Loads inst calib'!L75)/'T9b. MeHg Loads inst calib'!L36</f>
        <v>0.76385910190111039</v>
      </c>
      <c r="L49" s="45">
        <f>('T9b. MeHg Loads inst calib'!M36-'T9b. MeHg Loads inst calib'!M75)/'T9b. MeHg Loads inst calib'!M36</f>
        <v>0.47411621057948561</v>
      </c>
      <c r="M49" s="56">
        <f>('T9b. MeHg Loads inst calib'!N36-'T9b. MeHg Loads inst calib'!N75)/'T9b. MeHg Loads inst calib'!N36</f>
        <v>0.73971065985818074</v>
      </c>
      <c r="N49" s="45">
        <f>('T9b. MeHg Loads inst calib'!P36-'T9b. MeHg Loads inst calib'!P75)/'T9b. MeHg Loads inst calib'!P36</f>
        <v>0.73408680427981998</v>
      </c>
      <c r="O49" s="45">
        <f>('T9b. MeHg Loads inst calib'!Q36-'T9b. MeHg Loads inst calib'!Q75)/'T9b. MeHg Loads inst calib'!Q36</f>
        <v>0.70580028941883244</v>
      </c>
    </row>
    <row r="50" spans="1:15">
      <c r="A50" s="2" t="s">
        <v>5</v>
      </c>
      <c r="B50" s="45">
        <f>('T9b. MeHg Loads inst calib'!B37-'T9b. MeHg Loads inst calib'!B76)/'T9b. MeHg Loads inst calib'!B37</f>
        <v>0.78388578666666664</v>
      </c>
      <c r="C50" s="56">
        <f>('T9b. MeHg Loads inst calib'!C37-'T9b. MeHg Loads inst calib'!C76)/'T9b. MeHg Loads inst calib'!C37</f>
        <v>0.54687222948360248</v>
      </c>
      <c r="D50" s="45">
        <f>('T9b. MeHg Loads inst calib'!D37-'T9b. MeHg Loads inst calib'!D76)/'T9b. MeHg Loads inst calib'!D37</f>
        <v>0.57469139577351724</v>
      </c>
      <c r="E50" s="58">
        <f>('T9b. MeHg Loads inst calib'!E37-'T9b. MeHg Loads inst calib'!E76)/'T9b. MeHg Loads inst calib'!E37</f>
        <v>0.55372096253192382</v>
      </c>
      <c r="F50" s="58">
        <f>('T9b. MeHg Loads inst calib'!F37-'T9b. MeHg Loads inst calib'!F76)/'T9b. MeHg Loads inst calib'!F37</f>
        <v>0.59688248452178871</v>
      </c>
      <c r="G50" s="45"/>
      <c r="H50" s="45"/>
      <c r="I50" s="45"/>
      <c r="J50" s="45">
        <f>('T9b. MeHg Loads inst calib'!K37-'T9b. MeHg Loads inst calib'!K76)/'T9b. MeHg Loads inst calib'!K37</f>
        <v>0.97670297685336116</v>
      </c>
      <c r="K50" s="56" t="s">
        <v>32</v>
      </c>
      <c r="L50" s="45">
        <f>('T9b. MeHg Loads inst calib'!M37-'T9b. MeHg Loads inst calib'!M76)/'T9b. MeHg Loads inst calib'!M37</f>
        <v>0.90833333333333333</v>
      </c>
      <c r="M50" s="56" t="s">
        <v>32</v>
      </c>
      <c r="N50" s="45" t="s">
        <v>32</v>
      </c>
      <c r="O50" s="45" t="s">
        <v>32</v>
      </c>
    </row>
    <row r="51" spans="1:15">
      <c r="A51" s="2" t="s">
        <v>88</v>
      </c>
      <c r="B51" s="45">
        <f>('T9b. MeHg Loads inst calib'!B38-'T9b. MeHg Loads inst calib'!B77)/'T9b. MeHg Loads inst calib'!B38</f>
        <v>2.6121353860465067E-2</v>
      </c>
      <c r="C51" s="56">
        <f>('T9b. MeHg Loads inst calib'!C38-'T9b. MeHg Loads inst calib'!C77)/'T9b. MeHg Loads inst calib'!C38</f>
        <v>0.60601955934317564</v>
      </c>
      <c r="D51" s="45">
        <f>('T9b. MeHg Loads inst calib'!D38-'T9b. MeHg Loads inst calib'!D77)/'T9b. MeHg Loads inst calib'!D38</f>
        <v>-0.98484079870677543</v>
      </c>
      <c r="E51" s="58">
        <f>('T9b. MeHg Loads inst calib'!E38-'T9b. MeHg Loads inst calib'!E77)/'T9b. MeHg Loads inst calib'!E38</f>
        <v>0.53366274296958571</v>
      </c>
      <c r="F51" s="58">
        <f>('T9b. MeHg Loads inst calib'!F38-'T9b. MeHg Loads inst calib'!F77)/'T9b. MeHg Loads inst calib'!F38</f>
        <v>0.47546372875624493</v>
      </c>
      <c r="G51" s="45"/>
      <c r="H51" s="45"/>
      <c r="I51" s="45"/>
      <c r="J51" s="45">
        <f>('T9b. MeHg Loads inst calib'!K38-'T9b. MeHg Loads inst calib'!K77)/'T9b. MeHg Loads inst calib'!K38</f>
        <v>0.64110594985068226</v>
      </c>
      <c r="K51" s="56">
        <f>('T9b. MeHg Loads inst calib'!L38-'T9b. MeHg Loads inst calib'!L77)/'T9b. MeHg Loads inst calib'!L38</f>
        <v>0.56015875559677841</v>
      </c>
      <c r="L51" s="45">
        <f>('T9b. MeHg Loads inst calib'!M38-'T9b. MeHg Loads inst calib'!M77)/'T9b. MeHg Loads inst calib'!M38</f>
        <v>0.73544702745098034</v>
      </c>
      <c r="M51" s="56">
        <f>('T9b. MeHg Loads inst calib'!N38-'T9b. MeHg Loads inst calib'!N77)/'T9b. MeHg Loads inst calib'!N38</f>
        <v>0.67641426110522351</v>
      </c>
      <c r="N51" s="45">
        <f>('T9b. MeHg Loads inst calib'!P38-'T9b. MeHg Loads inst calib'!P77)/'T9b. MeHg Loads inst calib'!P38</f>
        <v>0.45597020827952434</v>
      </c>
      <c r="O51" s="45">
        <f>('T9b. MeHg Loads inst calib'!Q38-'T9b. MeHg Loads inst calib'!Q77)/'T9b. MeHg Loads inst calib'!Q38</f>
        <v>0.59734911388379663</v>
      </c>
    </row>
    <row r="52" spans="1:15">
      <c r="A52" s="2" t="s">
        <v>95</v>
      </c>
      <c r="B52" s="45">
        <f>('T9b. MeHg Loads inst calib'!B39-'T9b. MeHg Loads inst calib'!B78)/'T9b. MeHg Loads inst calib'!B39</f>
        <v>0.19589577286993956</v>
      </c>
      <c r="C52" s="56">
        <f>('T9b. MeHg Loads inst calib'!C39-'T9b. MeHg Loads inst calib'!C78)/'T9b. MeHg Loads inst calib'!C39</f>
        <v>0.43040941111658743</v>
      </c>
      <c r="D52" s="45">
        <f>('T9b. MeHg Loads inst calib'!D39-'T9b. MeHg Loads inst calib'!D78)/'T9b. MeHg Loads inst calib'!D39</f>
        <v>-0.36642315208148857</v>
      </c>
      <c r="E52" s="58">
        <f>('T9b. MeHg Loads inst calib'!E39-'T9b. MeHg Loads inst calib'!E78)/'T9b. MeHg Loads inst calib'!E39</f>
        <v>0.36663804284999912</v>
      </c>
      <c r="F52" s="58">
        <f>('T9b. MeHg Loads inst calib'!F39-'T9b. MeHg Loads inst calib'!F78)/'T9b. MeHg Loads inst calib'!F39</f>
        <v>0.51352828869791067</v>
      </c>
      <c r="G52" s="45"/>
      <c r="H52" s="45"/>
      <c r="I52" s="45"/>
      <c r="J52" s="45">
        <f>('T9b. MeHg Loads inst calib'!K39-'T9b. MeHg Loads inst calib'!K78)/'T9b. MeHg Loads inst calib'!K39</f>
        <v>0.65113117081258631</v>
      </c>
      <c r="K52" s="56">
        <f>('T9b. MeHg Loads inst calib'!L39-'T9b. MeHg Loads inst calib'!L78)/'T9b. MeHg Loads inst calib'!L39</f>
        <v>0.60464587746041676</v>
      </c>
      <c r="L52" s="45">
        <f>('T9b. MeHg Loads inst calib'!M39-'T9b. MeHg Loads inst calib'!M78)/'T9b. MeHg Loads inst calib'!M39</f>
        <v>0.85146308874172183</v>
      </c>
      <c r="M52" s="56">
        <f>('T9b. MeHg Loads inst calib'!N39-'T9b. MeHg Loads inst calib'!N78)/'T9b. MeHg Loads inst calib'!N39</f>
        <v>0.83213820574962249</v>
      </c>
      <c r="N52" s="45">
        <f>('T9b. MeHg Loads inst calib'!P39-'T9b. MeHg Loads inst calib'!P78)/'T9b. MeHg Loads inst calib'!P39</f>
        <v>0.51824871678115958</v>
      </c>
      <c r="O52" s="45">
        <f>('T9b. MeHg Loads inst calib'!Q39-'T9b. MeHg Loads inst calib'!Q78)/'T9b. MeHg Loads inst calib'!Q39</f>
        <v>0.76667712251460296</v>
      </c>
    </row>
    <row r="53" spans="1:15">
      <c r="A53" s="2" t="s">
        <v>125</v>
      </c>
      <c r="B53" s="45">
        <f>('T9b. MeHg Loads inst calib'!B40-'T9b. MeHg Loads inst calib'!B79)/'T9b. MeHg Loads inst calib'!B40</f>
        <v>-8.2155392277906553E-3</v>
      </c>
      <c r="C53" s="56">
        <f>('T9b. MeHg Loads inst calib'!C40-'T9b. MeHg Loads inst calib'!C79)/'T9b. MeHg Loads inst calib'!C40</f>
        <v>0.60433046225409526</v>
      </c>
      <c r="D53" s="45">
        <f>('T9b. MeHg Loads inst calib'!D40-'T9b. MeHg Loads inst calib'!D79)/'T9b. MeHg Loads inst calib'!D40</f>
        <v>-0.4227930533849133</v>
      </c>
      <c r="E53" s="58">
        <f>('T9b. MeHg Loads inst calib'!E40-'T9b. MeHg Loads inst calib'!E79)/'T9b. MeHg Loads inst calib'!E40</f>
        <v>0.57432199617445245</v>
      </c>
      <c r="F53" s="58">
        <f>('T9b. MeHg Loads inst calib'!F40-'T9b. MeHg Loads inst calib'!F79)/'T9b. MeHg Loads inst calib'!F40</f>
        <v>0.5928761777211905</v>
      </c>
      <c r="G53" s="45"/>
      <c r="H53" s="45"/>
      <c r="I53" s="45"/>
      <c r="J53" s="45">
        <f>('T9b. MeHg Loads inst calib'!K40-'T9b. MeHg Loads inst calib'!K79)/'T9b. MeHg Loads inst calib'!K40</f>
        <v>0.69502015888763058</v>
      </c>
      <c r="K53" s="56">
        <f>('T9b. MeHg Loads inst calib'!L40-'T9b. MeHg Loads inst calib'!L79)/'T9b. MeHg Loads inst calib'!L40</f>
        <v>0.53418748297947771</v>
      </c>
      <c r="L53" s="45">
        <f>('T9b. MeHg Loads inst calib'!M40-'T9b. MeHg Loads inst calib'!M79)/'T9b. MeHg Loads inst calib'!M40</f>
        <v>0.73801944111731388</v>
      </c>
      <c r="M53" s="56">
        <f>('T9b. MeHg Loads inst calib'!N40-'T9b. MeHg Loads inst calib'!N79)/'T9b. MeHg Loads inst calib'!N40</f>
        <v>0.60028251348313211</v>
      </c>
      <c r="N53" s="45">
        <f>('T9b. MeHg Loads inst calib'!P40-'T9b. MeHg Loads inst calib'!P79)/'T9b. MeHg Loads inst calib'!P40</f>
        <v>0.51052067500504794</v>
      </c>
      <c r="O53" s="45">
        <f>('T9b. MeHg Loads inst calib'!Q40-'T9b. MeHg Loads inst calib'!Q79)/'T9b. MeHg Loads inst calib'!Q40</f>
        <v>0.55714600732334529</v>
      </c>
    </row>
    <row r="54" spans="1:15">
      <c r="A54" s="62" t="s">
        <v>128</v>
      </c>
      <c r="B54" s="45">
        <f>('T9b. MeHg Loads inst calib'!B41-'T9b. MeHg Loads inst calib'!B80)/'T9b. MeHg Loads inst calib'!B41</f>
        <v>0.54146617605434466</v>
      </c>
      <c r="C54" s="56">
        <f>('T9b. MeHg Loads inst calib'!C41-'T9b. MeHg Loads inst calib'!C80)/'T9b. MeHg Loads inst calib'!C41</f>
        <v>0.65692639238772244</v>
      </c>
      <c r="D54" s="45">
        <f>('T9b. MeHg Loads inst calib'!D41-'T9b. MeHg Loads inst calib'!D80)/'T9b. MeHg Loads inst calib'!D41</f>
        <v>0.42577505385716979</v>
      </c>
      <c r="E54" s="58">
        <f>('T9b. MeHg Loads inst calib'!E41-'T9b. MeHg Loads inst calib'!E80)/'T9b. MeHg Loads inst calib'!E41</f>
        <v>0.61517378988187854</v>
      </c>
      <c r="F54" s="58">
        <f>('T9b. MeHg Loads inst calib'!F41-'T9b. MeHg Loads inst calib'!F80)/'T9b. MeHg Loads inst calib'!F41</f>
        <v>0.55887025836302562</v>
      </c>
      <c r="G54" s="45"/>
      <c r="H54" s="45"/>
      <c r="I54" s="45"/>
      <c r="J54" s="45">
        <f>('T9b. MeHg Loads inst calib'!K41-'T9b. MeHg Loads inst calib'!K80)/'T9b. MeHg Loads inst calib'!K41</f>
        <v>0.8419534263007622</v>
      </c>
      <c r="K54" s="56">
        <f>('T9b. MeHg Loads inst calib'!L41-'T9b. MeHg Loads inst calib'!L80)/'T9b. MeHg Loads inst calib'!L41</f>
        <v>0.76525066150253063</v>
      </c>
      <c r="L54" s="45">
        <f>('T9b. MeHg Loads inst calib'!M41-'T9b. MeHg Loads inst calib'!M80)/'T9b. MeHg Loads inst calib'!M41</f>
        <v>0.82278251302902961</v>
      </c>
      <c r="M54" s="56">
        <f>('T9b. MeHg Loads inst calib'!N41-'T9b. MeHg Loads inst calib'!N80)/'T9b. MeHg Loads inst calib'!N41</f>
        <v>0.73677576892120988</v>
      </c>
      <c r="N54" s="45">
        <f>('T9b. MeHg Loads inst calib'!P41-'T9b. MeHg Loads inst calib'!P80)/'T9b. MeHg Loads inst calib'!P41</f>
        <v>0.73584295749969597</v>
      </c>
      <c r="O54" s="45">
        <f>('T9b. MeHg Loads inst calib'!Q41-'T9b. MeHg Loads inst calib'!Q80)/'T9b. MeHg Loads inst calib'!Q41</f>
        <v>0.69532289487622845</v>
      </c>
    </row>
    <row r="55" spans="1:15">
      <c r="A55" s="62" t="s">
        <v>247</v>
      </c>
      <c r="B55" s="45">
        <f>('T9b. MeHg Loads inst calib'!B42-'T9b. MeHg Loads inst calib'!B81)/'T9b. MeHg Loads inst calib'!B42</f>
        <v>2.9837518463810959E-2</v>
      </c>
      <c r="C55" s="56">
        <f>('T9b. MeHg Loads inst calib'!C42-'T9b. MeHg Loads inst calib'!C81)/'T9b. MeHg Loads inst calib'!C42</f>
        <v>0.67414333941079396</v>
      </c>
      <c r="D55" s="45">
        <f>('T9b. MeHg Loads inst calib'!D42-'T9b. MeHg Loads inst calib'!D81)/'T9b. MeHg Loads inst calib'!D42</f>
        <v>-0.16550050281473735</v>
      </c>
      <c r="E55" s="58">
        <f>('T9b. MeHg Loads inst calib'!E42-'T9b. MeHg Loads inst calib'!E81)/'T9b. MeHg Loads inst calib'!E42</f>
        <v>0.65124411986752617</v>
      </c>
      <c r="F55" s="58">
        <f>('T9b. MeHg Loads inst calib'!F42-'T9b. MeHg Loads inst calib'!F81)/'T9b. MeHg Loads inst calib'!F42</f>
        <v>0.62203679225697206</v>
      </c>
      <c r="G55" s="45"/>
      <c r="H55" s="45"/>
      <c r="I55" s="45"/>
      <c r="J55" s="45">
        <f>('T9b. MeHg Loads inst calib'!K42-'T9b. MeHg Loads inst calib'!K81)/'T9b. MeHg Loads inst calib'!K42</f>
        <v>0.81844941166108343</v>
      </c>
      <c r="K55" s="56">
        <f>('T9b. MeHg Loads inst calib'!L42-'T9b. MeHg Loads inst calib'!L81)/'T9b. MeHg Loads inst calib'!L42</f>
        <v>0.80473631995077399</v>
      </c>
      <c r="L55" s="45">
        <f>('T9b. MeHg Loads inst calib'!M42-'T9b. MeHg Loads inst calib'!M81)/'T9b. MeHg Loads inst calib'!M42</f>
        <v>0.70705445571535397</v>
      </c>
      <c r="M55" s="56">
        <f>('T9b. MeHg Loads inst calib'!N42-'T9b. MeHg Loads inst calib'!N81)/'T9b. MeHg Loads inst calib'!N42</f>
        <v>0.68530978583380509</v>
      </c>
      <c r="N55" s="45">
        <f>('T9b. MeHg Loads inst calib'!P42-'T9b. MeHg Loads inst calib'!P81)/'T9b. MeHg Loads inst calib'!P42</f>
        <v>0.78142197707334415</v>
      </c>
      <c r="O55" s="45">
        <f>('T9b. MeHg Loads inst calib'!Q42-'T9b. MeHg Loads inst calib'!Q81)/'T9b. MeHg Loads inst calib'!Q42</f>
        <v>0.64728681681343914</v>
      </c>
    </row>
    <row r="56" spans="1:15">
      <c r="A56" s="2" t="s">
        <v>253</v>
      </c>
      <c r="B56" s="45">
        <f>('T9b. MeHg Loads inst calib'!B43-'T9b. MeHg Loads inst calib'!B82)/'T9b. MeHg Loads inst calib'!B43</f>
        <v>5.0244532338470572E-2</v>
      </c>
      <c r="C56" s="107">
        <f>('T9b. MeHg Loads inst calib'!C43-'T9b. MeHg Loads inst calib'!C82)/'T9b. MeHg Loads inst calib'!C43</f>
        <v>0.61036175390453873</v>
      </c>
      <c r="D56" s="530">
        <f>('T9b. MeHg Loads inst calib'!D43-'T9b. MeHg Loads inst calib'!D82)/'T9b. MeHg Loads inst calib'!D43</f>
        <v>-0.23255240237331232</v>
      </c>
      <c r="E56" s="108">
        <f>('T9b. MeHg Loads inst calib'!E43-'T9b. MeHg Loads inst calib'!E82)/'T9b. MeHg Loads inst calib'!E43</f>
        <v>0.57562712333106703</v>
      </c>
      <c r="F56" s="108">
        <f>('T9b. MeHg Loads inst calib'!F43-'T9b. MeHg Loads inst calib'!F82)/'T9b. MeHg Loads inst calib'!F43</f>
        <v>0.52256115725883412</v>
      </c>
      <c r="G56" s="54"/>
      <c r="H56" s="521"/>
      <c r="I56" s="2"/>
      <c r="J56" s="109">
        <f>('T9b. MeHg Loads inst calib'!K43-'T9b. MeHg Loads inst calib'!K82)/'T9b. MeHg Loads inst calib'!K43</f>
        <v>0.71284801028022615</v>
      </c>
      <c r="K56" s="107">
        <f>('T9b. MeHg Loads inst calib'!L43-'T9b. MeHg Loads inst calib'!L82)/'T9b. MeHg Loads inst calib'!L43</f>
        <v>0.5873618655928573</v>
      </c>
      <c r="L56" s="109">
        <f>('T9b. MeHg Loads inst calib'!M43-'T9b. MeHg Loads inst calib'!M82)/'T9b. MeHg Loads inst calib'!M43</f>
        <v>0.73385658257667441</v>
      </c>
      <c r="M56" s="107">
        <f>('T9b. MeHg Loads inst calib'!N43-'T9b. MeHg Loads inst calib'!N82)/'T9b. MeHg Loads inst calib'!N43</f>
        <v>0.64924597953705077</v>
      </c>
      <c r="N56" s="108">
        <f>('T9b. MeHg Loads inst calib'!P43-'T9b. MeHg Loads inst calib'!P82)/'T9b. MeHg Loads inst calib'!P43</f>
        <v>0.5651242352544491</v>
      </c>
      <c r="O56" s="108">
        <f>('T9b. MeHg Loads inst calib'!Q43-'T9b. MeHg Loads inst calib'!Q82)/'T9b. MeHg Loads inst calib'!Q43</f>
        <v>0.61203590849575418</v>
      </c>
    </row>
    <row r="57" spans="1:15">
      <c r="A57" s="2" t="s">
        <v>253</v>
      </c>
      <c r="H57" s="523" t="s">
        <v>263</v>
      </c>
      <c r="I57" s="2"/>
      <c r="J57" s="109">
        <f>('T9b. MeHg Loads inst calib'!K44-'T9b. MeHg Loads inst calib'!K83)/'T9b. MeHg Loads inst calib'!K44</f>
        <v>0.71284801028022615</v>
      </c>
      <c r="K57" s="107">
        <f>('T9b. MeHg Loads inst calib'!L44-'T9b. MeHg Loads inst calib'!L83)/'T9b. MeHg Loads inst calib'!L44</f>
        <v>0.6352445571240648</v>
      </c>
      <c r="L57" s="109">
        <f>('T9b. MeHg Loads inst calib'!M44-'T9b. MeHg Loads inst calib'!M83)/'T9b. MeHg Loads inst calib'!M44</f>
        <v>0.7337869774221355</v>
      </c>
      <c r="M57" s="107">
        <f>('T9b. MeHg Loads inst calib'!N44-'T9b. MeHg Loads inst calib'!N83)/'T9b. MeHg Loads inst calib'!N44</f>
        <v>0.66717069221994352</v>
      </c>
      <c r="N57" s="108">
        <f>('T9b. MeHg Loads inst calib'!P44-'T9b. MeHg Loads inst calib'!P83)/'T9b. MeHg Loads inst calib'!P44</f>
        <v>0.61206082538706219</v>
      </c>
      <c r="O57" s="108">
        <f>('T9b. MeHg Loads inst calib'!Q44-'T9b. MeHg Loads inst calib'!Q83)/'T9b. MeHg Loads inst calib'!Q44</f>
        <v>0.62883818811047454</v>
      </c>
    </row>
    <row r="58" spans="1:15">
      <c r="C58" s="26"/>
      <c r="D58" s="26"/>
      <c r="E58" s="26"/>
      <c r="F58" s="26"/>
      <c r="H58" s="10"/>
      <c r="K58" s="26"/>
      <c r="L58" s="26"/>
      <c r="M58" s="26"/>
    </row>
    <row r="59" spans="1:15" ht="16">
      <c r="A59" s="1" t="s">
        <v>38</v>
      </c>
      <c r="C59" s="6"/>
      <c r="D59" s="6"/>
      <c r="E59" s="26"/>
      <c r="F59" s="26"/>
      <c r="H59" s="10"/>
      <c r="K59" s="26"/>
      <c r="L59" s="26"/>
      <c r="M59" s="26"/>
    </row>
    <row r="60" spans="1:15">
      <c r="A60" s="2" t="s">
        <v>1</v>
      </c>
      <c r="B60" s="45"/>
      <c r="C60" s="56">
        <f>('T9b. MeHg Loads inst calib'!C33-'T9b. MeHg Loads inst calib'!C85)/'T9b. MeHg Loads inst calib'!C33</f>
        <v>0.5560798959559955</v>
      </c>
      <c r="D60" s="45">
        <f>('T9b. MeHg Loads inst calib'!D33-'T9b. MeHg Loads inst calib'!D85)/'T9b. MeHg Loads inst calib'!D33</f>
        <v>9.9642841600166648E-2</v>
      </c>
      <c r="E60" s="58">
        <f>('T9b. MeHg Loads inst calib'!E33-'T9b. MeHg Loads inst calib'!E85)/'T9b. MeHg Loads inst calib'!E33</f>
        <v>0.51400720941770384</v>
      </c>
      <c r="F60" s="58">
        <f>('T9b. MeHg Loads inst calib'!F33-'T9b. MeHg Loads inst calib'!F85)/'T9b. MeHg Loads inst calib'!F33</f>
        <v>-3.5859635254663572E-3</v>
      </c>
      <c r="G60" s="2"/>
      <c r="H60" s="521"/>
      <c r="I60" s="2"/>
      <c r="J60" s="45">
        <f>('T9b. MeHg Loads inst calib'!K33-'T9b. MeHg Loads inst calib'!K85)/'T9b. MeHg Loads inst calib'!K33</f>
        <v>0.67871727918480418</v>
      </c>
      <c r="K60" s="45">
        <f>('T9b. MeHg Loads inst calib'!L33-'T9b. MeHg Loads inst calib'!L85)/'T9b. MeHg Loads inst calib'!L33</f>
        <v>0.52769548407323275</v>
      </c>
      <c r="L60" s="45">
        <f>('T9b. MeHg Loads inst calib'!M33-'T9b. MeHg Loads inst calib'!M85)/'T9b. MeHg Loads inst calib'!M33</f>
        <v>0.76662356019367828</v>
      </c>
      <c r="M60" s="45">
        <f>('T9b. MeHg Loads inst calib'!N33-'T9b. MeHg Loads inst calib'!N85)/'T9b. MeHg Loads inst calib'!N33</f>
        <v>0.6569228928597155</v>
      </c>
      <c r="N60" s="45">
        <f>('T9b. MeHg Loads inst calib'!P33-'T9b. MeHg Loads inst calib'!P85)/'T9b. MeHg Loads inst calib'!P33</f>
        <v>0.51451728661047402</v>
      </c>
      <c r="O60" s="45">
        <f>('T9b. MeHg Loads inst calib'!Q33-'T9b. MeHg Loads inst calib'!Q85)/'T9b. MeHg Loads inst calib'!Q33</f>
        <v>0.63817998165549283</v>
      </c>
    </row>
    <row r="61" spans="1:15">
      <c r="A61" s="2" t="s">
        <v>2</v>
      </c>
      <c r="B61" s="45"/>
      <c r="C61" s="56">
        <f>('T9b. MeHg Loads inst calib'!C34-'T9b. MeHg Loads inst calib'!C86)/'T9b. MeHg Loads inst calib'!C34</f>
        <v>0.4888316827924909</v>
      </c>
      <c r="D61" s="45">
        <f>('T9b. MeHg Loads inst calib'!D34-'T9b. MeHg Loads inst calib'!D86)/'T9b. MeHg Loads inst calib'!D34</f>
        <v>9.4961078788224546E-2</v>
      </c>
      <c r="E61" s="58">
        <f>('T9b. MeHg Loads inst calib'!E34-'T9b. MeHg Loads inst calib'!E86)/'T9b. MeHg Loads inst calib'!E34</f>
        <v>0.46244598747696308</v>
      </c>
      <c r="F61" s="58">
        <f>('T9b. MeHg Loads inst calib'!F34-'T9b. MeHg Loads inst calib'!F86)/'T9b. MeHg Loads inst calib'!F34</f>
        <v>7.2653430796317826E-3</v>
      </c>
      <c r="G61" s="2"/>
      <c r="H61" s="521"/>
      <c r="I61" s="2"/>
      <c r="J61" s="45">
        <f>('T9b. MeHg Loads inst calib'!K34-'T9b. MeHg Loads inst calib'!K86)/'T9b. MeHg Loads inst calib'!K34</f>
        <v>0.67022293999280824</v>
      </c>
      <c r="K61" s="45">
        <f>('T9b. MeHg Loads inst calib'!L34-'T9b. MeHg Loads inst calib'!L86)/'T9b. MeHg Loads inst calib'!L34</f>
        <v>0.63571704587317324</v>
      </c>
      <c r="L61" s="45">
        <f>('T9b. MeHg Loads inst calib'!M34-'T9b. MeHg Loads inst calib'!M86)/'T9b. MeHg Loads inst calib'!M34</f>
        <v>0.76923076923076927</v>
      </c>
      <c r="M61" s="45">
        <f>('T9b. MeHg Loads inst calib'!N34-'T9b. MeHg Loads inst calib'!N86)/'T9b. MeHg Loads inst calib'!N34</f>
        <v>0.74508446068274903</v>
      </c>
      <c r="N61" s="45">
        <f>('T9b. MeHg Loads inst calib'!P34-'T9b. MeHg Loads inst calib'!P86)/'T9b. MeHg Loads inst calib'!P34</f>
        <v>0.62185799350564508</v>
      </c>
      <c r="O61" s="45">
        <f>('T9b. MeHg Loads inst calib'!Q34-'T9b. MeHg Loads inst calib'!Q86)/'T9b. MeHg Loads inst calib'!Q34</f>
        <v>0.71649467332290817</v>
      </c>
    </row>
    <row r="62" spans="1:15">
      <c r="A62" s="2" t="s">
        <v>3</v>
      </c>
      <c r="B62" s="45"/>
      <c r="C62" s="56">
        <f>('T9b. MeHg Loads inst calib'!C35-'T9b. MeHg Loads inst calib'!C87)/'T9b. MeHg Loads inst calib'!C35</f>
        <v>0.53881667775460118</v>
      </c>
      <c r="D62" s="45">
        <f>('T9b. MeHg Loads inst calib'!D35-'T9b. MeHg Loads inst calib'!D87)/'T9b. MeHg Loads inst calib'!D35</f>
        <v>0.127076428928309</v>
      </c>
      <c r="E62" s="58">
        <f>('T9b. MeHg Loads inst calib'!E35-'T9b. MeHg Loads inst calib'!E87)/'T9b. MeHg Loads inst calib'!E35</f>
        <v>0.47035784390510155</v>
      </c>
      <c r="F62" s="58">
        <f>('T9b. MeHg Loads inst calib'!F35-'T9b. MeHg Loads inst calib'!F87)/'T9b. MeHg Loads inst calib'!F35</f>
        <v>0.3982953029924412</v>
      </c>
      <c r="G62" s="2"/>
      <c r="H62" s="521"/>
      <c r="I62" s="2"/>
      <c r="J62" s="45">
        <f>('T9b. MeHg Loads inst calib'!K35-'T9b. MeHg Loads inst calib'!K87)/'T9b. MeHg Loads inst calib'!K35</f>
        <v>0.64153123685296765</v>
      </c>
      <c r="K62" s="45">
        <f>('T9b. MeHg Loads inst calib'!L35-'T9b. MeHg Loads inst calib'!L87)/'T9b. MeHg Loads inst calib'!L35</f>
        <v>0.53311967875915023</v>
      </c>
      <c r="L62" s="45">
        <f>('T9b. MeHg Loads inst calib'!M35-'T9b. MeHg Loads inst calib'!M87)/'T9b. MeHg Loads inst calib'!M35</f>
        <v>0.71392649903288208</v>
      </c>
      <c r="M62" s="45">
        <f>('T9b. MeHg Loads inst calib'!N35-'T9b. MeHg Loads inst calib'!N87)/'T9b. MeHg Loads inst calib'!N35</f>
        <v>0.62740940979775206</v>
      </c>
      <c r="N62" s="45">
        <f>('T9b. MeHg Loads inst calib'!P35-'T9b. MeHg Loads inst calib'!P87)/'T9b. MeHg Loads inst calib'!P35</f>
        <v>0.51119991426403943</v>
      </c>
      <c r="O62" s="45">
        <f>('T9b. MeHg Loads inst calib'!Q35-'T9b. MeHg Loads inst calib'!Q87)/'T9b. MeHg Loads inst calib'!Q35</f>
        <v>0.55000915915352699</v>
      </c>
    </row>
    <row r="63" spans="1:15">
      <c r="A63" s="2" t="s">
        <v>4</v>
      </c>
      <c r="B63" s="45"/>
      <c r="C63" s="56">
        <f>('T9b. MeHg Loads inst calib'!C36-'T9b. MeHg Loads inst calib'!C88)/'T9b. MeHg Loads inst calib'!C36</f>
        <v>0.57306243826790448</v>
      </c>
      <c r="D63" s="45">
        <f>('T9b. MeHg Loads inst calib'!D36-'T9b. MeHg Loads inst calib'!D88)/'T9b. MeHg Loads inst calib'!D36</f>
        <v>-0.41818932627086358</v>
      </c>
      <c r="E63" s="58">
        <f>('T9b. MeHg Loads inst calib'!E36-'T9b. MeHg Loads inst calib'!E88)/'T9b. MeHg Loads inst calib'!E36</f>
        <v>0.5106781999366109</v>
      </c>
      <c r="F63" s="58">
        <f>('T9b. MeHg Loads inst calib'!F36-'T9b. MeHg Loads inst calib'!F88)/'T9b. MeHg Loads inst calib'!F36</f>
        <v>0.26214490172492494</v>
      </c>
      <c r="G63" s="2"/>
      <c r="H63" s="521"/>
      <c r="I63" s="2"/>
      <c r="J63" s="45">
        <f>('T9b. MeHg Loads inst calib'!K36-'T9b. MeHg Loads inst calib'!K88)/'T9b. MeHg Loads inst calib'!K36</f>
        <v>0.61766959475420979</v>
      </c>
      <c r="K63" s="45">
        <f>('T9b. MeHg Loads inst calib'!L36-'T9b. MeHg Loads inst calib'!L88)/'T9b. MeHg Loads inst calib'!L36</f>
        <v>0.7881539576426031</v>
      </c>
      <c r="L63" s="45">
        <f>('T9b. MeHg Loads inst calib'!M36-'T9b. MeHg Loads inst calib'!M88)/'T9b. MeHg Loads inst calib'!M36</f>
        <v>0.47344462993878689</v>
      </c>
      <c r="M63" s="45">
        <f>('T9b. MeHg Loads inst calib'!N36-'T9b. MeHg Loads inst calib'!N88)/'T9b. MeHg Loads inst calib'!N36</f>
        <v>0.70824012503585509</v>
      </c>
      <c r="N63" s="45">
        <f>('T9b. MeHg Loads inst calib'!P36-'T9b. MeHg Loads inst calib'!P88)/'T9b. MeHg Loads inst calib'!P36</f>
        <v>0.7599708830684152</v>
      </c>
      <c r="O63" s="45">
        <f>('T9b. MeHg Loads inst calib'!Q36-'T9b. MeHg Loads inst calib'!Q88)/'T9b. MeHg Loads inst calib'!Q36</f>
        <v>0.67768738205784518</v>
      </c>
    </row>
    <row r="64" spans="1:15">
      <c r="A64" s="2" t="s">
        <v>5</v>
      </c>
      <c r="B64" s="45"/>
      <c r="C64" s="56">
        <f>('T9b. MeHg Loads inst calib'!C37-'T9b. MeHg Loads inst calib'!C89)/'T9b. MeHg Loads inst calib'!C37</f>
        <v>0.70641828128639816</v>
      </c>
      <c r="D64" s="45">
        <f>('T9b. MeHg Loads inst calib'!D37-'T9b. MeHg Loads inst calib'!D89)/'T9b. MeHg Loads inst calib'!D37</f>
        <v>0.42434584067005959</v>
      </c>
      <c r="E64" s="58">
        <f>('T9b. MeHg Loads inst calib'!E37-'T9b. MeHg Loads inst calib'!E89)/'T9b. MeHg Loads inst calib'!E37</f>
        <v>0.6369755515533313</v>
      </c>
      <c r="F64" s="58">
        <f>('T9b. MeHg Loads inst calib'!F37-'T9b. MeHg Loads inst calib'!F89)/'T9b. MeHg Loads inst calib'!F37</f>
        <v>0.75861657646272684</v>
      </c>
      <c r="G64" s="2"/>
      <c r="H64" s="521"/>
      <c r="I64" s="2"/>
      <c r="J64" s="45">
        <f>('T9b. MeHg Loads inst calib'!K37-'T9b. MeHg Loads inst calib'!K89)/'T9b. MeHg Loads inst calib'!K37</f>
        <v>0.850186220021524</v>
      </c>
      <c r="K64" s="45" t="s">
        <v>32</v>
      </c>
      <c r="L64" s="45">
        <f>('T9b. MeHg Loads inst calib'!M37-'T9b. MeHg Loads inst calib'!M89)/'T9b. MeHg Loads inst calib'!M37</f>
        <v>0.9</v>
      </c>
      <c r="M64" s="45" t="s">
        <v>32</v>
      </c>
      <c r="N64" s="45" t="s">
        <v>32</v>
      </c>
      <c r="O64" s="45" t="s">
        <v>32</v>
      </c>
    </row>
    <row r="65" spans="1:15">
      <c r="A65" s="2" t="s">
        <v>88</v>
      </c>
      <c r="B65" s="45"/>
      <c r="C65" s="56">
        <f>('T9b. MeHg Loads inst calib'!C38-'T9b. MeHg Loads inst calib'!C90)/'T9b. MeHg Loads inst calib'!C38</f>
        <v>0.49018374100534107</v>
      </c>
      <c r="D65" s="45">
        <f>('T9b. MeHg Loads inst calib'!D38-'T9b. MeHg Loads inst calib'!D90)/'T9b. MeHg Loads inst calib'!D38</f>
        <v>-1.2596279014834035</v>
      </c>
      <c r="E65" s="58">
        <f>('T9b. MeHg Loads inst calib'!E38-'T9b. MeHg Loads inst calib'!E90)/'T9b. MeHg Loads inst calib'!E38</f>
        <v>0.41059737186661599</v>
      </c>
      <c r="F65" s="58">
        <f>('T9b. MeHg Loads inst calib'!F38-'T9b. MeHg Loads inst calib'!F90)/'T9b. MeHg Loads inst calib'!F38</f>
        <v>0.34522095594283475</v>
      </c>
      <c r="G65" s="2"/>
      <c r="H65" s="521"/>
      <c r="I65" s="2"/>
      <c r="J65" s="45">
        <f>('T9b. MeHg Loads inst calib'!K38-'T9b. MeHg Loads inst calib'!K90)/'T9b. MeHg Loads inst calib'!K38</f>
        <v>0.56884658633170548</v>
      </c>
      <c r="K65" s="45">
        <f>('T9b. MeHg Loads inst calib'!L38-'T9b. MeHg Loads inst calib'!L90)/'T9b. MeHg Loads inst calib'!L38</f>
        <v>0.55344565953229219</v>
      </c>
      <c r="L65" s="45">
        <f>('T9b. MeHg Loads inst calib'!M38-'T9b. MeHg Loads inst calib'!M90)/'T9b. MeHg Loads inst calib'!M38</f>
        <v>0.73529411764705888</v>
      </c>
      <c r="M65" s="45">
        <f>('T9b. MeHg Loads inst calib'!N38-'T9b. MeHg Loads inst calib'!N90)/'T9b. MeHg Loads inst calib'!N38</f>
        <v>0.7258387456419837</v>
      </c>
      <c r="N65" s="45">
        <f>('T9b. MeHg Loads inst calib'!P38-'T9b. MeHg Loads inst calib'!P90)/'T9b. MeHg Loads inst calib'!P38</f>
        <v>0.43117928089459867</v>
      </c>
      <c r="O65" s="45">
        <f>('T9b. MeHg Loads inst calib'!Q38-'T9b. MeHg Loads inst calib'!Q90)/'T9b. MeHg Loads inst calib'!Q38</f>
        <v>0.63134319432311103</v>
      </c>
    </row>
    <row r="66" spans="1:15">
      <c r="A66" s="2" t="s">
        <v>95</v>
      </c>
      <c r="B66" s="45"/>
      <c r="C66" s="56">
        <f>('T9b. MeHg Loads inst calib'!C39-'T9b. MeHg Loads inst calib'!C91)/'T9b. MeHg Loads inst calib'!C39</f>
        <v>0.2627981123208642</v>
      </c>
      <c r="D66" s="45">
        <f>('T9b. MeHg Loads inst calib'!D39-'T9b. MeHg Loads inst calib'!D91)/'T9b. MeHg Loads inst calib'!D39</f>
        <v>-0.63011394554072997</v>
      </c>
      <c r="E66" s="58">
        <f>('T9b. MeHg Loads inst calib'!E39-'T9b. MeHg Loads inst calib'!E91)/'T9b. MeHg Loads inst calib'!E39</f>
        <v>0.19133739861329174</v>
      </c>
      <c r="F66" s="58">
        <f>('T9b. MeHg Loads inst calib'!F39-'T9b. MeHg Loads inst calib'!F91)/'T9b. MeHg Loads inst calib'!F39</f>
        <v>0.4437718473433851</v>
      </c>
      <c r="G66" s="2"/>
      <c r="H66" s="521"/>
      <c r="I66" s="2"/>
      <c r="J66" s="45">
        <f>('T9b. MeHg Loads inst calib'!K39-'T9b. MeHg Loads inst calib'!K91)/'T9b. MeHg Loads inst calib'!K39</f>
        <v>0.51286499856686429</v>
      </c>
      <c r="K66" s="45">
        <f>('T9b. MeHg Loads inst calib'!L39-'T9b. MeHg Loads inst calib'!L91)/'T9b. MeHg Loads inst calib'!L39</f>
        <v>0.45409567603922735</v>
      </c>
      <c r="L66" s="45">
        <f>('T9b. MeHg Loads inst calib'!M39-'T9b. MeHg Loads inst calib'!M91)/'T9b. MeHg Loads inst calib'!M39</f>
        <v>0.85225500980132463</v>
      </c>
      <c r="M66" s="45">
        <f>('T9b. MeHg Loads inst calib'!N39-'T9b. MeHg Loads inst calib'!N91)/'T9b. MeHg Loads inst calib'!N39</f>
        <v>0.83443064293118829</v>
      </c>
      <c r="N66" s="45">
        <f>('T9b. MeHg Loads inst calib'!P39-'T9b. MeHg Loads inst calib'!P91)/'T9b. MeHg Loads inst calib'!P39</f>
        <v>0.35763226300068202</v>
      </c>
      <c r="O66" s="45">
        <f>('T9b. MeHg Loads inst calib'!Q39-'T9b. MeHg Loads inst calib'!Q91)/'T9b. MeHg Loads inst calib'!Q39</f>
        <v>0.75444251835086407</v>
      </c>
    </row>
    <row r="67" spans="1:15">
      <c r="A67" s="2" t="s">
        <v>125</v>
      </c>
      <c r="B67" s="45"/>
      <c r="C67" s="56">
        <f>('T9b. MeHg Loads inst calib'!C40-'T9b. MeHg Loads inst calib'!C92)/'T9b. MeHg Loads inst calib'!C40</f>
        <v>0.53528038301195457</v>
      </c>
      <c r="D67" s="45">
        <f>('T9b. MeHg Loads inst calib'!D40-'T9b. MeHg Loads inst calib'!D92)/'T9b. MeHg Loads inst calib'!D40</f>
        <v>-0.5947230340961891</v>
      </c>
      <c r="E67" s="58">
        <f>('T9b. MeHg Loads inst calib'!E40-'T9b. MeHg Loads inst calib'!E92)/'T9b. MeHg Loads inst calib'!E40</f>
        <v>0.50226617518216521</v>
      </c>
      <c r="F67" s="58">
        <f>('T9b. MeHg Loads inst calib'!F40-'T9b. MeHg Loads inst calib'!F92)/'T9b. MeHg Loads inst calib'!F40</f>
        <v>0.57601249770076934</v>
      </c>
      <c r="G67" s="2"/>
      <c r="H67" s="521"/>
      <c r="I67" s="2"/>
      <c r="J67" s="45">
        <f>('T9b. MeHg Loads inst calib'!K40-'T9b. MeHg Loads inst calib'!K92)/'T9b. MeHg Loads inst calib'!K40</f>
        <v>0.70500310717770631</v>
      </c>
      <c r="K67" s="45">
        <f>('T9b. MeHg Loads inst calib'!L40-'T9b. MeHg Loads inst calib'!L92)/'T9b. MeHg Loads inst calib'!L40</f>
        <v>0.5267522011388599</v>
      </c>
      <c r="L67" s="45">
        <f>('T9b. MeHg Loads inst calib'!M40-'T9b. MeHg Loads inst calib'!M92)/'T9b. MeHg Loads inst calib'!M40</f>
        <v>0.73808084971718413</v>
      </c>
      <c r="M67" s="45">
        <f>('T9b. MeHg Loads inst calib'!N40-'T9b. MeHg Loads inst calib'!N92)/'T9b. MeHg Loads inst calib'!N40</f>
        <v>0.57981706124073662</v>
      </c>
      <c r="N67" s="45">
        <f>('T9b. MeHg Loads inst calib'!P40-'T9b. MeHg Loads inst calib'!P92)/'T9b. MeHg Loads inst calib'!P40</f>
        <v>0.49901732249522579</v>
      </c>
      <c r="O67" s="45">
        <f>('T9b. MeHg Loads inst calib'!Q40-'T9b. MeHg Loads inst calib'!Q92)/'T9b. MeHg Loads inst calib'!Q40</f>
        <v>0.53029427162655296</v>
      </c>
    </row>
    <row r="68" spans="1:15">
      <c r="A68" s="62" t="s">
        <v>128</v>
      </c>
      <c r="B68" s="45"/>
      <c r="C68" s="56">
        <f>('T9b. MeHg Loads inst calib'!C41-'T9b. MeHg Loads inst calib'!C93)/'T9b. MeHg Loads inst calib'!C41</f>
        <v>0.5235412278524515</v>
      </c>
      <c r="D68" s="45">
        <f>('T9b. MeHg Loads inst calib'!D41-'T9b. MeHg Loads inst calib'!D93)/'T9b. MeHg Loads inst calib'!D41</f>
        <v>7.304498337847537E-2</v>
      </c>
      <c r="E68" s="58">
        <f>('T9b. MeHg Loads inst calib'!E41-'T9b. MeHg Loads inst calib'!E93)/'T9b. MeHg Loads inst calib'!E41</f>
        <v>0.44216860528634339</v>
      </c>
      <c r="F68" s="58">
        <f>('T9b. MeHg Loads inst calib'!F41-'T9b. MeHg Loads inst calib'!F93)/'T9b. MeHg Loads inst calib'!F41</f>
        <v>0.58446149412802184</v>
      </c>
      <c r="G68" s="2"/>
      <c r="H68" s="521"/>
      <c r="I68" s="2"/>
      <c r="J68" s="45">
        <f>('T9b. MeHg Loads inst calib'!K41-'T9b. MeHg Loads inst calib'!K93)/'T9b. MeHg Loads inst calib'!K41</f>
        <v>0.6021313565435058</v>
      </c>
      <c r="K68" s="45">
        <f>('T9b. MeHg Loads inst calib'!L41-'T9b. MeHg Loads inst calib'!L93)/'T9b. MeHg Loads inst calib'!L41</f>
        <v>0.40903874931172896</v>
      </c>
      <c r="L68" s="45">
        <f>('T9b. MeHg Loads inst calib'!M41-'T9b. MeHg Loads inst calib'!M93)/'T9b. MeHg Loads inst calib'!M41</f>
        <v>0.82278251302902961</v>
      </c>
      <c r="M68" s="45">
        <f>('T9b. MeHg Loads inst calib'!N41-'T9b. MeHg Loads inst calib'!N93)/'T9b. MeHg Loads inst calib'!N41</f>
        <v>0.73677576892120988</v>
      </c>
      <c r="N68" s="45">
        <f>('T9b. MeHg Loads inst calib'!P41-'T9b. MeHg Loads inst calib'!P93)/'T9b. MeHg Loads inst calib'!P41</f>
        <v>0.37993266630359435</v>
      </c>
      <c r="O68" s="45">
        <f>('T9b. MeHg Loads inst calib'!Q41-'T9b. MeHg Loads inst calib'!Q93)/'T9b. MeHg Loads inst calib'!Q41</f>
        <v>0.64830797023073428</v>
      </c>
    </row>
    <row r="69" spans="1:15">
      <c r="A69" s="62" t="s">
        <v>247</v>
      </c>
      <c r="B69" s="45"/>
      <c r="C69" s="56">
        <f>('T9b. MeHg Loads inst calib'!C42-'T9b. MeHg Loads inst calib'!C94)/'T9b. MeHg Loads inst calib'!C42</f>
        <v>0.59878831359188145</v>
      </c>
      <c r="D69" s="45">
        <f>('T9b. MeHg Loads inst calib'!D42-'T9b. MeHg Loads inst calib'!D94)/'T9b. MeHg Loads inst calib'!D42</f>
        <v>-0.59700976794562521</v>
      </c>
      <c r="E69" s="58">
        <f>('T9b. MeHg Loads inst calib'!E42-'T9b. MeHg Loads inst calib'!E94)/'T9b. MeHg Loads inst calib'!E42</f>
        <v>0.56617586362027705</v>
      </c>
      <c r="F69" s="58">
        <f>('T9b. MeHg Loads inst calib'!F42-'T9b. MeHg Loads inst calib'!F94)/'T9b. MeHg Loads inst calib'!F42</f>
        <v>0.65486074231890823</v>
      </c>
      <c r="G69" s="2"/>
      <c r="H69" s="521"/>
      <c r="I69" s="2"/>
      <c r="J69" s="45">
        <f>('T9b. MeHg Loads inst calib'!K42-'T9b. MeHg Loads inst calib'!K94)/'T9b. MeHg Loads inst calib'!K42</f>
        <v>0.71254023254819965</v>
      </c>
      <c r="K69" s="45">
        <f>('T9b. MeHg Loads inst calib'!L42-'T9b. MeHg Loads inst calib'!L94)/'T9b. MeHg Loads inst calib'!L42</f>
        <v>0.65075343651190531</v>
      </c>
      <c r="L69" s="45">
        <f>('T9b. MeHg Loads inst calib'!M42-'T9b. MeHg Loads inst calib'!M94)/'T9b. MeHg Loads inst calib'!M42</f>
        <v>0.70705445571535397</v>
      </c>
      <c r="M69" s="45">
        <f>('T9b. MeHg Loads inst calib'!N42-'T9b. MeHg Loads inst calib'!N94)/'T9b. MeHg Loads inst calib'!N42</f>
        <v>0.64408854311163066</v>
      </c>
      <c r="N69" s="45">
        <f>('T9b. MeHg Loads inst calib'!P42-'T9b. MeHg Loads inst calib'!P94)/'T9b. MeHg Loads inst calib'!P42</f>
        <v>0.62077026282071857</v>
      </c>
      <c r="O69" s="45">
        <f>('T9b. MeHg Loads inst calib'!Q42-'T9b. MeHg Loads inst calib'!Q94)/'T9b. MeHg Loads inst calib'!Q42</f>
        <v>0.5886234843762489</v>
      </c>
    </row>
    <row r="70" spans="1:15">
      <c r="A70" s="2" t="s">
        <v>253</v>
      </c>
      <c r="B70" s="45"/>
      <c r="C70" s="107">
        <f>('T9b. MeHg Loads inst calib'!C43-'T9b. MeHg Loads inst calib'!C95)/'T9b. MeHg Loads inst calib'!C43</f>
        <v>0.54545432162977137</v>
      </c>
      <c r="D70" s="530">
        <f>('T9b. MeHg Loads inst calib'!D43-'T9b. MeHg Loads inst calib'!D95)/'T9b. MeHg Loads inst calib'!D43</f>
        <v>-0.33051495140563392</v>
      </c>
      <c r="E70" s="108">
        <f>('T9b. MeHg Loads inst calib'!E43-'T9b. MeHg Loads inst calib'!E95)/'T9b. MeHg Loads inst calib'!E43</f>
        <v>0.50935756270599808</v>
      </c>
      <c r="F70" s="108">
        <f>('T9b. MeHg Loads inst calib'!F43-'T9b. MeHg Loads inst calib'!F95)/'T9b. MeHg Loads inst calib'!F43</f>
        <v>0.49188800683719608</v>
      </c>
      <c r="G70" s="54"/>
      <c r="H70" s="521"/>
      <c r="I70" s="2"/>
      <c r="J70" s="109">
        <f>('T9b. MeHg Loads inst calib'!K43-'T9b. MeHg Loads inst calib'!K95)/'T9b. MeHg Loads inst calib'!K43</f>
        <v>0.69265178387588866</v>
      </c>
      <c r="K70" s="107">
        <f>('T9b. MeHg Loads inst calib'!L43-'T9b. MeHg Loads inst calib'!L95)/'T9b. MeHg Loads inst calib'!L43</f>
        <v>0.59917687282928767</v>
      </c>
      <c r="L70" s="109">
        <f>('T9b. MeHg Loads inst calib'!M43-'T9b. MeHg Loads inst calib'!M95)/'T9b. MeHg Loads inst calib'!M43</f>
        <v>0.73425260986863716</v>
      </c>
      <c r="M70" s="107">
        <f>('T9b. MeHg Loads inst calib'!N43-'T9b. MeHg Loads inst calib'!N95)/'T9b. MeHg Loads inst calib'!N43</f>
        <v>0.6645921181904566</v>
      </c>
      <c r="N70" s="108">
        <f>('T9b. MeHg Loads inst calib'!P43-'T9b. MeHg Loads inst calib'!P95)/'T9b. MeHg Loads inst calib'!P43</f>
        <v>0.57396186691499917</v>
      </c>
      <c r="O70" s="108">
        <f>('T9b. MeHg Loads inst calib'!Q43-'T9b. MeHg Loads inst calib'!Q95)/'T9b. MeHg Loads inst calib'!Q43</f>
        <v>0.62260065448063673</v>
      </c>
    </row>
    <row r="71" spans="1:15">
      <c r="A71" s="2" t="s">
        <v>253</v>
      </c>
      <c r="H71" s="523" t="s">
        <v>263</v>
      </c>
      <c r="I71" s="2"/>
      <c r="J71" s="109">
        <f>('T9b. MeHg Loads inst calib'!K44-'T9b. MeHg Loads inst calib'!K96)/'T9b. MeHg Loads inst calib'!K44</f>
        <v>0.69265178387588866</v>
      </c>
      <c r="K71" s="107">
        <f>('T9b. MeHg Loads inst calib'!L44-'T9b. MeHg Loads inst calib'!L96)/'T9b. MeHg Loads inst calib'!L44</f>
        <v>0.45875785839779143</v>
      </c>
      <c r="L71" s="109">
        <f>('T9b. MeHg Loads inst calib'!M44-'T9b. MeHg Loads inst calib'!M96)/'T9b. MeHg Loads inst calib'!M44</f>
        <v>0.73425260986863716</v>
      </c>
      <c r="M71" s="107">
        <f>('T9b. MeHg Loads inst calib'!N44-'T9b. MeHg Loads inst calib'!N96)/'T9b. MeHg Loads inst calib'!N44</f>
        <v>0.53201717461143661</v>
      </c>
      <c r="N71" s="108">
        <f>('T9b. MeHg Loads inst calib'!P44-'T9b. MeHg Loads inst calib'!P96)/'T9b. MeHg Loads inst calib'!P44</f>
        <v>0.43767194781752033</v>
      </c>
      <c r="O71" s="108">
        <f>('T9b. MeHg Loads inst calib'!Q44-'T9b. MeHg Loads inst calib'!Q96)/'T9b. MeHg Loads inst calib'!Q44</f>
        <v>0.4952691835197493</v>
      </c>
    </row>
    <row r="72" spans="1:15">
      <c r="A72" s="48"/>
      <c r="B72" s="49"/>
      <c r="C72" s="31"/>
      <c r="D72" s="32"/>
      <c r="E72" s="31"/>
      <c r="F72" s="31"/>
      <c r="G72" s="48"/>
      <c r="H72" s="46"/>
      <c r="I72" s="48"/>
      <c r="J72" s="46"/>
      <c r="K72" s="46"/>
      <c r="L72" s="46"/>
      <c r="M72" s="46"/>
    </row>
    <row r="73" spans="1:15" ht="16">
      <c r="A73" s="47"/>
      <c r="B73" s="49"/>
      <c r="C73" s="48"/>
      <c r="D73" s="50"/>
      <c r="E73" s="48"/>
      <c r="F73" s="48"/>
      <c r="G73" s="48"/>
      <c r="H73" s="6"/>
      <c r="I73" s="48"/>
      <c r="J73" s="31"/>
      <c r="K73" s="48"/>
      <c r="L73" s="48"/>
      <c r="M73" s="48"/>
    </row>
    <row r="74" spans="1:15">
      <c r="A74" s="48"/>
      <c r="B74" s="46"/>
      <c r="C74" s="31"/>
      <c r="D74" s="32"/>
      <c r="E74" s="2"/>
      <c r="F74" s="2"/>
      <c r="G74" s="2"/>
      <c r="H74" s="521" t="s">
        <v>34</v>
      </c>
      <c r="I74" s="2"/>
      <c r="J74" s="521" t="s">
        <v>91</v>
      </c>
      <c r="K74" s="521" t="s">
        <v>90</v>
      </c>
      <c r="L74" s="31"/>
      <c r="M74" s="5" t="s">
        <v>285</v>
      </c>
    </row>
    <row r="75" spans="1:15">
      <c r="A75" s="48"/>
      <c r="B75" s="46"/>
      <c r="C75" s="31"/>
      <c r="D75" s="32"/>
      <c r="E75" s="620" t="s">
        <v>89</v>
      </c>
      <c r="F75" s="621"/>
      <c r="G75" s="110"/>
      <c r="H75" s="111">
        <v>8</v>
      </c>
      <c r="I75" s="110"/>
      <c r="J75" s="112">
        <f>AVERAGE(J56:J57,J70:J71,L56:L57,L70:L71)</f>
        <v>0.71839354600603922</v>
      </c>
      <c r="K75" s="109">
        <f>STDEV(J56,J57,J70,J71,L56:L57,L70:L71)</f>
        <v>1.8384254179074883E-2</v>
      </c>
      <c r="L75" s="46"/>
      <c r="M75" s="112">
        <f>('T4b, THg loads inst calib'!AD45-'T4b, THg loads inst calib'!AD100)/'T4b, THg loads inst calib'!AD45</f>
        <v>0.7145954619907543</v>
      </c>
    </row>
    <row r="76" spans="1:15">
      <c r="A76" s="48"/>
      <c r="B76" s="46"/>
      <c r="C76" s="31"/>
      <c r="D76" s="32"/>
      <c r="E76" s="622" t="s">
        <v>213</v>
      </c>
      <c r="F76" s="623"/>
      <c r="G76" s="113"/>
      <c r="H76" s="520">
        <v>10</v>
      </c>
      <c r="I76" s="113"/>
      <c r="J76" s="115">
        <f>AVERAGE(C56,K56,M56,K57,M57,C70,K70,M70,K71,M71)</f>
        <v>0.59493831940371977</v>
      </c>
      <c r="K76" s="107">
        <f>STDEV(C56,K56,K57,M56,M57,C70,K70,K71,M70,M71)</f>
        <v>6.6590946075568258E-2</v>
      </c>
      <c r="L76" s="31"/>
      <c r="M76" s="115">
        <f>('T9b. MeHg Loads inst calib'!T45-'T9b. MeHg Loads inst calib'!T100)/'T9b. MeHg Loads inst calib'!T45</f>
        <v>0.59002795585147561</v>
      </c>
    </row>
    <row r="77" spans="1:15">
      <c r="A77" s="48"/>
      <c r="B77" s="46"/>
      <c r="C77" s="31"/>
      <c r="D77" s="32"/>
      <c r="E77" s="624" t="s">
        <v>311</v>
      </c>
      <c r="F77" s="625"/>
      <c r="G77" s="116"/>
      <c r="H77" s="524">
        <v>12</v>
      </c>
      <c r="I77" s="116"/>
      <c r="J77" s="117">
        <f>AVERAGE(E56,F56,E70,F70,N56:O57,N70:O71)</f>
        <v>0.55391638834281176</v>
      </c>
      <c r="K77" s="108">
        <f>STDEV(E56,F56,E70,F70,N56:O57,N70:O71)</f>
        <v>6.1685916981177133E-2</v>
      </c>
      <c r="L77" s="31"/>
      <c r="M77" s="108">
        <f>('T9b. MeHg Loads inst calib'!V45-'T9b. MeHg Loads inst calib'!V100)/'T9b. MeHg Loads inst calib'!V45</f>
        <v>0.55294912821238973</v>
      </c>
    </row>
    <row r="78" spans="1:15">
      <c r="A78" s="48"/>
      <c r="B78" s="46"/>
      <c r="C78" s="46"/>
      <c r="D78" s="46"/>
      <c r="E78" s="531" t="s">
        <v>312</v>
      </c>
      <c r="F78" s="529"/>
      <c r="G78" s="454"/>
      <c r="H78" s="453">
        <v>2</v>
      </c>
      <c r="I78" s="454"/>
      <c r="J78" s="530">
        <f>AVERAGE(D56,D70)</f>
        <v>-0.28153367688947312</v>
      </c>
      <c r="K78" s="530">
        <f>STDEV(D56,D70)</f>
        <v>6.9269982723074261E-2</v>
      </c>
      <c r="L78" s="46"/>
      <c r="M78" s="532">
        <f>J78</f>
        <v>-0.28153367688947312</v>
      </c>
    </row>
    <row r="81" spans="1:13" ht="19">
      <c r="A81" s="542" t="s">
        <v>330</v>
      </c>
    </row>
    <row r="82" spans="1:13">
      <c r="E82" s="2"/>
      <c r="F82" s="2"/>
      <c r="G82" s="2"/>
      <c r="H82" s="521" t="s">
        <v>34</v>
      </c>
      <c r="I82" s="2"/>
      <c r="J82" s="521" t="s">
        <v>91</v>
      </c>
      <c r="K82" s="521" t="s">
        <v>90</v>
      </c>
      <c r="M82" s="5" t="s">
        <v>285</v>
      </c>
    </row>
    <row r="83" spans="1:13">
      <c r="E83" s="620" t="s">
        <v>89</v>
      </c>
      <c r="F83" s="621"/>
      <c r="G83" s="110"/>
      <c r="H83" s="111">
        <v>16</v>
      </c>
      <c r="I83" s="110"/>
      <c r="J83" s="112">
        <f>AVERAGE(J36,J75)</f>
        <v>0.70678072436041361</v>
      </c>
      <c r="K83" s="109">
        <f>STDEV(J17,J18,J31,J32,L17:L18,L31:L32,J56:J57,L56:L57,J70,L70,J71,L71)</f>
        <v>4.1183408700489206E-2</v>
      </c>
      <c r="M83" s="112">
        <f>AVERAGE(M36,M75)</f>
        <v>0.69863625206859137</v>
      </c>
    </row>
    <row r="84" spans="1:13">
      <c r="E84" s="622" t="s">
        <v>92</v>
      </c>
      <c r="F84" s="623"/>
      <c r="G84" s="113"/>
      <c r="H84" s="520">
        <v>20</v>
      </c>
      <c r="I84" s="113"/>
      <c r="J84" s="115">
        <f t="shared" ref="J84:J86" si="0">AVERAGE(J37,J76)</f>
        <v>0.58212793786293771</v>
      </c>
      <c r="K84" s="107">
        <f>STDEV(C17,K17:K18,M17:M18,C31,K31:K32,M31:M32,C56,K56:K57,M56:M57,C70,K70:K71,M70:M71)</f>
        <v>8.7047402752251687E-2</v>
      </c>
      <c r="M84" s="115">
        <f t="shared" ref="M84:M86" si="1">AVERAGE(M37,M76)</f>
        <v>0.57402361813955571</v>
      </c>
    </row>
    <row r="85" spans="1:13">
      <c r="E85" s="624" t="s">
        <v>93</v>
      </c>
      <c r="F85" s="625"/>
      <c r="G85" s="116"/>
      <c r="H85" s="524">
        <v>24</v>
      </c>
      <c r="I85" s="116"/>
      <c r="J85" s="117">
        <f t="shared" si="0"/>
        <v>0.54626403720801409</v>
      </c>
      <c r="K85" s="108">
        <f>STDEV(E17:F17,N17:O18,E31:F31,N31:O32,E56:F56,N56:O57,E70:F70,N70:O71)</f>
        <v>7.6512156631740255E-2</v>
      </c>
      <c r="M85" s="108">
        <f t="shared" si="1"/>
        <v>0.54176109613948253</v>
      </c>
    </row>
    <row r="86" spans="1:13">
      <c r="E86" s="531" t="s">
        <v>313</v>
      </c>
      <c r="F86" s="529"/>
      <c r="G86" s="454"/>
      <c r="H86" s="453">
        <v>4</v>
      </c>
      <c r="I86" s="454"/>
      <c r="J86" s="530">
        <f t="shared" si="0"/>
        <v>-0.28439106968175953</v>
      </c>
      <c r="K86" s="530">
        <f>STDEV(D17,D31,D56,D70)</f>
        <v>4.4352093706103983E-2</v>
      </c>
      <c r="L86" s="46"/>
      <c r="M86" s="532">
        <f t="shared" si="1"/>
        <v>-0.28439106968175953</v>
      </c>
    </row>
  </sheetData>
  <mergeCells count="11">
    <mergeCell ref="E85:F85"/>
    <mergeCell ref="E75:F75"/>
    <mergeCell ref="E76:F76"/>
    <mergeCell ref="E77:F77"/>
    <mergeCell ref="E83:F83"/>
    <mergeCell ref="E84:F84"/>
    <mergeCell ref="A1:M1"/>
    <mergeCell ref="E36:F36"/>
    <mergeCell ref="E37:F37"/>
    <mergeCell ref="E38:F38"/>
    <mergeCell ref="A2:O2"/>
  </mergeCells>
  <pageMargins left="0.7" right="0.7" top="0.75" bottom="0.75" header="0.3" footer="0.3"/>
  <pageSetup scale="80" orientation="landscape" verticalDpi="1200" r:id="rId1"/>
  <headerFooter>
    <oddHeader>&amp;LDraft Open-File Report&amp;RU.S. GEOLOGICAL SURVEY</oddHeader>
    <oddFooter>&amp;LPRELIMINARY - SUBJECT TO REVISION&amp;ROctober 21, 2019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  <pageSetUpPr fitToPage="1"/>
  </sheetPr>
  <dimension ref="A1:M96"/>
  <sheetViews>
    <sheetView topLeftCell="A4" zoomScaleNormal="100" workbookViewId="0">
      <selection activeCell="E18" sqref="E18"/>
    </sheetView>
  </sheetViews>
  <sheetFormatPr baseColWidth="10" defaultColWidth="8.83203125" defaultRowHeight="15"/>
  <cols>
    <col min="1" max="1" width="19" customWidth="1"/>
    <col min="3" max="3" width="10.5" customWidth="1"/>
    <col min="4" max="4" width="10.5" bestFit="1" customWidth="1"/>
    <col min="5" max="5" width="10" bestFit="1" customWidth="1"/>
    <col min="6" max="6" width="10.5" customWidth="1"/>
    <col min="7" max="7" width="2.1640625" customWidth="1"/>
    <col min="8" max="8" width="10.5" customWidth="1"/>
    <col min="9" max="9" width="4.5" customWidth="1"/>
    <col min="11" max="11" width="9.5" bestFit="1" customWidth="1"/>
    <col min="13" max="13" width="10" bestFit="1" customWidth="1"/>
  </cols>
  <sheetData>
    <row r="1" spans="1:13" ht="36.75" customHeight="1">
      <c r="A1" s="618" t="s">
        <v>220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</row>
    <row r="2" spans="1:13" ht="79" customHeight="1">
      <c r="A2" s="619" t="s">
        <v>139</v>
      </c>
      <c r="B2" s="619"/>
      <c r="C2" s="619"/>
      <c r="D2" s="619"/>
      <c r="E2" s="619"/>
      <c r="F2" s="619"/>
      <c r="G2" s="619"/>
      <c r="H2" s="619"/>
      <c r="I2" s="619"/>
      <c r="J2" s="619"/>
      <c r="K2" s="619"/>
      <c r="L2" s="619"/>
      <c r="M2" s="619"/>
    </row>
    <row r="4" spans="1:13">
      <c r="B4" s="42" t="s">
        <v>27</v>
      </c>
      <c r="C4" s="40" t="s">
        <v>62</v>
      </c>
      <c r="D4" s="40" t="s">
        <v>63</v>
      </c>
      <c r="E4" s="41" t="s">
        <v>64</v>
      </c>
      <c r="F4" s="41" t="s">
        <v>65</v>
      </c>
      <c r="G4" s="43"/>
      <c r="H4" s="40" t="s">
        <v>62</v>
      </c>
      <c r="I4" s="44"/>
      <c r="J4" s="40" t="s">
        <v>16</v>
      </c>
      <c r="K4" s="40" t="s">
        <v>66</v>
      </c>
      <c r="L4" s="40" t="s">
        <v>17</v>
      </c>
      <c r="M4" s="40" t="s">
        <v>67</v>
      </c>
    </row>
    <row r="5" spans="1:13">
      <c r="B5" s="41" t="s">
        <v>30</v>
      </c>
      <c r="C5" s="41" t="s">
        <v>35</v>
      </c>
      <c r="D5" s="41" t="s">
        <v>35</v>
      </c>
      <c r="E5" s="41" t="s">
        <v>35</v>
      </c>
      <c r="F5" s="41" t="s">
        <v>35</v>
      </c>
      <c r="G5" s="43"/>
      <c r="H5" s="40" t="s">
        <v>29</v>
      </c>
      <c r="I5" s="44"/>
      <c r="J5" s="41" t="s">
        <v>35</v>
      </c>
      <c r="K5" s="41" t="s">
        <v>35</v>
      </c>
      <c r="L5" s="41" t="s">
        <v>35</v>
      </c>
      <c r="M5" s="41" t="s">
        <v>35</v>
      </c>
    </row>
    <row r="6" spans="1:13" ht="48" customHeight="1">
      <c r="A6" s="17"/>
      <c r="B6" s="19" t="s">
        <v>28</v>
      </c>
      <c r="C6" s="18" t="s">
        <v>8</v>
      </c>
      <c r="D6" s="18" t="s">
        <v>8</v>
      </c>
      <c r="E6" s="19" t="s">
        <v>8</v>
      </c>
      <c r="F6" s="19" t="s">
        <v>8</v>
      </c>
      <c r="G6" s="20"/>
      <c r="H6" s="21" t="s">
        <v>136</v>
      </c>
      <c r="I6" s="22"/>
      <c r="J6" s="18" t="s">
        <v>13</v>
      </c>
      <c r="K6" s="18" t="s">
        <v>8</v>
      </c>
      <c r="L6" s="18" t="s">
        <v>13</v>
      </c>
      <c r="M6" s="18" t="s">
        <v>8</v>
      </c>
    </row>
    <row r="7" spans="1:13" ht="16">
      <c r="A7" s="1" t="s">
        <v>257</v>
      </c>
      <c r="C7" s="6"/>
      <c r="D7" s="6"/>
      <c r="H7" s="10"/>
    </row>
    <row r="8" spans="1:13">
      <c r="A8" s="328" t="s">
        <v>88</v>
      </c>
      <c r="B8" s="2"/>
      <c r="C8" s="5"/>
      <c r="D8" s="5"/>
      <c r="E8" s="2"/>
      <c r="F8" s="2"/>
      <c r="H8" s="301"/>
      <c r="J8" s="2"/>
      <c r="K8" s="2"/>
      <c r="L8" s="2"/>
      <c r="M8" s="2"/>
    </row>
    <row r="9" spans="1:13">
      <c r="A9" s="328" t="s">
        <v>95</v>
      </c>
      <c r="B9" s="2"/>
      <c r="C9" s="5"/>
      <c r="D9" s="5"/>
      <c r="E9" s="2"/>
      <c r="F9" s="2"/>
      <c r="H9" s="301"/>
      <c r="J9" s="2"/>
      <c r="K9" s="2"/>
      <c r="L9" s="2"/>
      <c r="M9" s="2"/>
    </row>
    <row r="10" spans="1:13">
      <c r="A10" s="328" t="s">
        <v>125</v>
      </c>
      <c r="B10" s="2"/>
      <c r="C10" s="5"/>
      <c r="D10" s="5"/>
      <c r="E10" s="2"/>
      <c r="F10" s="2"/>
      <c r="H10" s="301"/>
      <c r="J10" s="2"/>
      <c r="K10" s="2"/>
      <c r="L10" s="2"/>
      <c r="M10" s="2"/>
    </row>
    <row r="11" spans="1:13">
      <c r="A11" s="328" t="s">
        <v>128</v>
      </c>
      <c r="B11" s="2"/>
      <c r="C11" s="5"/>
      <c r="D11" s="5"/>
      <c r="E11" s="2"/>
      <c r="F11" s="2"/>
      <c r="H11" s="301"/>
      <c r="J11" s="2"/>
      <c r="K11" s="2"/>
      <c r="L11" s="2"/>
      <c r="M11" s="2"/>
    </row>
    <row r="12" spans="1:13">
      <c r="A12" s="328" t="s">
        <v>247</v>
      </c>
      <c r="B12" s="2"/>
      <c r="C12" s="5"/>
      <c r="D12" s="5"/>
      <c r="E12" s="2"/>
      <c r="F12" s="2"/>
      <c r="H12" s="301"/>
      <c r="J12" s="2"/>
      <c r="K12" s="2"/>
      <c r="L12" s="2"/>
      <c r="M12" s="2"/>
    </row>
    <row r="13" spans="1:13">
      <c r="A13" s="54" t="s">
        <v>258</v>
      </c>
      <c r="B13" s="2"/>
      <c r="C13" s="5"/>
      <c r="D13" s="5"/>
      <c r="E13" s="2"/>
      <c r="F13" s="2"/>
      <c r="H13" s="301"/>
      <c r="I13" s="10" t="s">
        <v>26</v>
      </c>
      <c r="J13" s="2"/>
      <c r="K13" s="2"/>
      <c r="L13" s="2"/>
      <c r="M13" s="2"/>
    </row>
    <row r="14" spans="1:13">
      <c r="A14" s="54" t="s">
        <v>258</v>
      </c>
      <c r="B14" s="2"/>
      <c r="C14" s="5"/>
      <c r="D14" s="5"/>
      <c r="E14" s="2"/>
      <c r="F14" s="2"/>
      <c r="H14" s="301"/>
      <c r="I14" s="87" t="s">
        <v>265</v>
      </c>
      <c r="J14" s="2"/>
      <c r="K14" s="2"/>
      <c r="L14" s="2"/>
      <c r="M14" s="2"/>
    </row>
    <row r="15" spans="1:13" ht="16">
      <c r="A15" s="1" t="s">
        <v>255</v>
      </c>
      <c r="C15" s="6"/>
      <c r="D15" s="6"/>
      <c r="H15" s="10"/>
    </row>
    <row r="16" spans="1:13">
      <c r="A16" s="328" t="s">
        <v>125</v>
      </c>
      <c r="B16" s="2"/>
      <c r="C16" s="308">
        <v>0.43636960008676356</v>
      </c>
      <c r="D16" s="314">
        <v>1.0252628819384661E-2</v>
      </c>
      <c r="E16" s="2"/>
      <c r="F16" s="2"/>
      <c r="H16" s="301"/>
      <c r="J16" s="2"/>
      <c r="K16" s="2"/>
      <c r="L16" s="2"/>
      <c r="M16" s="2"/>
    </row>
    <row r="17" spans="1:13">
      <c r="A17" s="328" t="s">
        <v>128</v>
      </c>
      <c r="B17" s="72">
        <v>17</v>
      </c>
      <c r="C17" s="313">
        <v>2.4003771134274788E-3</v>
      </c>
      <c r="D17" s="315">
        <v>3.4527527837394261E-3</v>
      </c>
      <c r="E17" s="2"/>
      <c r="F17" s="2"/>
      <c r="H17" s="301"/>
      <c r="J17" s="2"/>
      <c r="K17" s="2"/>
      <c r="L17" s="2"/>
      <c r="M17" s="2"/>
    </row>
    <row r="18" spans="1:13">
      <c r="A18" s="328" t="s">
        <v>247</v>
      </c>
      <c r="B18" s="2"/>
      <c r="C18" s="308">
        <v>0.34005298541648171</v>
      </c>
      <c r="D18" s="314">
        <v>8.4687902802799801E-3</v>
      </c>
      <c r="E18" s="2"/>
      <c r="F18" s="2"/>
      <c r="H18" s="301"/>
      <c r="J18" s="2"/>
      <c r="K18" s="2"/>
      <c r="L18" s="2"/>
      <c r="M18" s="2"/>
    </row>
    <row r="19" spans="1:13">
      <c r="A19" s="54" t="s">
        <v>256</v>
      </c>
      <c r="B19" s="2"/>
      <c r="C19" s="5"/>
      <c r="D19" s="5"/>
      <c r="E19" s="2"/>
      <c r="F19" s="2"/>
      <c r="H19" s="301"/>
      <c r="I19" s="10" t="s">
        <v>26</v>
      </c>
      <c r="J19" s="2"/>
      <c r="K19" s="2"/>
      <c r="L19" s="2"/>
      <c r="M19" s="2"/>
    </row>
    <row r="20" spans="1:13">
      <c r="A20" s="54" t="s">
        <v>256</v>
      </c>
      <c r="B20" s="2"/>
      <c r="C20" s="5"/>
      <c r="D20" s="5"/>
      <c r="E20" s="2"/>
      <c r="F20" s="2"/>
      <c r="H20" s="301"/>
      <c r="I20" s="87" t="s">
        <v>242</v>
      </c>
      <c r="J20" s="2"/>
      <c r="K20" s="2"/>
      <c r="L20" s="2"/>
      <c r="M20" s="2"/>
    </row>
    <row r="21" spans="1:13" ht="16">
      <c r="A21" s="1" t="s">
        <v>0</v>
      </c>
      <c r="C21" s="6"/>
      <c r="D21" s="6"/>
      <c r="H21" s="10"/>
    </row>
    <row r="22" spans="1:13">
      <c r="A22" s="2" t="s">
        <v>1</v>
      </c>
      <c r="B22" s="72">
        <v>204.980803196007</v>
      </c>
      <c r="C22" s="90">
        <v>3.8021033574781871E-2</v>
      </c>
      <c r="D22" s="92">
        <v>3.0139948964169106E-3</v>
      </c>
      <c r="E22" s="91">
        <f>SUM(C22:D22)</f>
        <v>4.1035028471198783E-2</v>
      </c>
      <c r="F22" s="91">
        <v>2.8542436963802886E-2</v>
      </c>
      <c r="G22" s="26"/>
      <c r="H22" s="105">
        <v>3.672585830602368</v>
      </c>
      <c r="I22" s="10"/>
      <c r="J22" s="36">
        <v>22.327058892311701</v>
      </c>
      <c r="K22" s="78">
        <f>J22*H22/1000</f>
        <v>8.1998040126928559E-2</v>
      </c>
      <c r="L22" s="4" t="s">
        <v>32</v>
      </c>
      <c r="M22" s="4" t="s">
        <v>32</v>
      </c>
    </row>
    <row r="23" spans="1:13">
      <c r="A23" s="2" t="s">
        <v>2</v>
      </c>
      <c r="B23" s="72">
        <v>485</v>
      </c>
      <c r="C23" s="78">
        <v>0.13631422510280944</v>
      </c>
      <c r="D23" s="92">
        <v>5.2219443521433649E-3</v>
      </c>
      <c r="E23" s="91">
        <f t="shared" ref="E23:E29" si="0">SUM(C23:D23)</f>
        <v>0.14153616945495281</v>
      </c>
      <c r="F23" s="84">
        <v>0.20743652721833258</v>
      </c>
      <c r="G23" s="26"/>
      <c r="H23" s="105">
        <v>2.6452590687557636</v>
      </c>
      <c r="I23" s="10"/>
      <c r="J23" s="143">
        <v>107.27957389764838</v>
      </c>
      <c r="K23" s="78">
        <f>J23*H23/1000</f>
        <v>0.28378226574500848</v>
      </c>
      <c r="L23" s="4" t="s">
        <v>32</v>
      </c>
      <c r="M23" s="4" t="s">
        <v>32</v>
      </c>
    </row>
    <row r="24" spans="1:13">
      <c r="A24" s="2" t="s">
        <v>3</v>
      </c>
      <c r="B24" s="72">
        <v>36.921198227783513</v>
      </c>
      <c r="C24" s="94">
        <v>1.4165532631741475E-3</v>
      </c>
      <c r="D24" s="95">
        <v>3.8626072432682078E-4</v>
      </c>
      <c r="E24" s="91">
        <f t="shared" si="0"/>
        <v>1.8028139875009683E-3</v>
      </c>
      <c r="F24" s="98">
        <v>9.6858483279930983E-3</v>
      </c>
      <c r="G24" s="26"/>
      <c r="H24" s="105">
        <v>5.0486068989917996</v>
      </c>
      <c r="I24" s="10"/>
      <c r="J24" s="39">
        <v>0.51232322347670534</v>
      </c>
      <c r="K24" s="94">
        <f>J24*H24/1000</f>
        <v>2.5865185605582122E-3</v>
      </c>
      <c r="L24" s="4" t="s">
        <v>32</v>
      </c>
      <c r="M24" s="4" t="s">
        <v>32</v>
      </c>
    </row>
    <row r="25" spans="1:13">
      <c r="A25" s="2" t="s">
        <v>4</v>
      </c>
      <c r="B25" s="72">
        <v>117.21609517589853</v>
      </c>
      <c r="C25" s="90">
        <v>1.8330857824502056E-2</v>
      </c>
      <c r="D25" s="92">
        <v>9.3414127601572881E-4</v>
      </c>
      <c r="E25" s="91">
        <f t="shared" si="0"/>
        <v>1.9264999100517786E-2</v>
      </c>
      <c r="F25" s="91">
        <v>4.8174294711777491E-2</v>
      </c>
      <c r="G25" s="26"/>
      <c r="H25" s="105">
        <v>4.0493251534086854</v>
      </c>
      <c r="I25" s="10"/>
      <c r="J25" s="36">
        <v>25.351281027735499</v>
      </c>
      <c r="K25" s="90">
        <f>J25*H25/1000</f>
        <v>0.10265557993674175</v>
      </c>
      <c r="L25" s="4" t="s">
        <v>32</v>
      </c>
      <c r="M25" s="4" t="s">
        <v>32</v>
      </c>
    </row>
    <row r="26" spans="1:13">
      <c r="A26" s="2" t="s">
        <v>5</v>
      </c>
      <c r="B26" s="72">
        <v>3</v>
      </c>
      <c r="C26" s="97">
        <v>1.2747164778158403E-4</v>
      </c>
      <c r="D26" s="95">
        <v>4.6302081843963523E-5</v>
      </c>
      <c r="E26" s="96">
        <f t="shared" si="0"/>
        <v>1.7377372962554754E-4</v>
      </c>
      <c r="F26" s="96">
        <v>6.7708213131407471E-4</v>
      </c>
      <c r="G26" s="26"/>
      <c r="H26" s="105">
        <v>3.6854513697053712</v>
      </c>
      <c r="I26" s="10"/>
      <c r="J26" s="29">
        <v>1.6954627062322425E-2</v>
      </c>
      <c r="K26" s="99" t="s">
        <v>19</v>
      </c>
      <c r="L26" s="13" t="s">
        <v>32</v>
      </c>
      <c r="M26" s="4" t="s">
        <v>32</v>
      </c>
    </row>
    <row r="27" spans="1:13">
      <c r="A27" s="2" t="s">
        <v>88</v>
      </c>
      <c r="B27" s="72">
        <v>86</v>
      </c>
      <c r="C27" s="90">
        <v>2.8631728849142207E-2</v>
      </c>
      <c r="D27" s="95">
        <v>9.2746244865470127E-4</v>
      </c>
      <c r="E27" s="91">
        <f t="shared" si="0"/>
        <v>2.9559191297796907E-2</v>
      </c>
      <c r="F27" s="91">
        <v>3.6537785746638816E-2</v>
      </c>
      <c r="G27" s="26"/>
      <c r="H27" s="105">
        <v>0.88713910838562482</v>
      </c>
      <c r="I27" s="10"/>
      <c r="J27" s="143">
        <v>31.892775586674372</v>
      </c>
      <c r="K27" s="90">
        <f>J27*H27/1000</f>
        <v>2.8293328497905126E-2</v>
      </c>
      <c r="L27" s="13" t="s">
        <v>32</v>
      </c>
      <c r="M27" s="4" t="s">
        <v>32</v>
      </c>
    </row>
    <row r="28" spans="1:13">
      <c r="A28" s="2" t="s">
        <v>95</v>
      </c>
      <c r="B28" s="72">
        <v>140.84107579462102</v>
      </c>
      <c r="C28" s="90">
        <v>2.0528600730313557E-2</v>
      </c>
      <c r="D28" s="92">
        <v>1.2533734974745408E-3</v>
      </c>
      <c r="E28" s="91">
        <f t="shared" si="0"/>
        <v>2.1781974227788096E-2</v>
      </c>
      <c r="F28" s="91">
        <v>3.7369559707670065E-2</v>
      </c>
      <c r="G28" s="26"/>
      <c r="H28" s="105">
        <v>0.9235407814376515</v>
      </c>
      <c r="I28" s="10"/>
      <c r="J28" s="143">
        <v>37</v>
      </c>
      <c r="K28" s="90">
        <f>J28*H28/1000</f>
        <v>3.4171008913193107E-2</v>
      </c>
      <c r="L28" s="13" t="s">
        <v>32</v>
      </c>
      <c r="M28" s="4" t="s">
        <v>32</v>
      </c>
    </row>
    <row r="29" spans="1:13">
      <c r="A29" s="2" t="s">
        <v>125</v>
      </c>
      <c r="B29" s="72">
        <v>1043</v>
      </c>
      <c r="C29" s="90">
        <v>0.25416975064432834</v>
      </c>
      <c r="D29" s="68">
        <v>8.0814133308909422E-3</v>
      </c>
      <c r="E29" s="91">
        <f t="shared" si="0"/>
        <v>0.2622511639752193</v>
      </c>
      <c r="F29" s="91">
        <v>0.18677129849205251</v>
      </c>
      <c r="G29" s="26"/>
      <c r="H29" s="105">
        <v>1.1702002116087709</v>
      </c>
      <c r="I29" s="10"/>
      <c r="J29" s="143">
        <v>237</v>
      </c>
      <c r="K29" s="90">
        <f>J29*H29/1000</f>
        <v>0.2773374501512787</v>
      </c>
      <c r="L29" s="13" t="s">
        <v>32</v>
      </c>
      <c r="M29" s="4" t="s">
        <v>32</v>
      </c>
    </row>
    <row r="30" spans="1:13">
      <c r="A30" s="2" t="s">
        <v>261</v>
      </c>
      <c r="B30" s="146">
        <f>SUM(B22:B29)</f>
        <v>2116.9591723943099</v>
      </c>
      <c r="C30" s="39">
        <f>SUM(C22:C29)</f>
        <v>0.4975402216368332</v>
      </c>
      <c r="D30" s="25">
        <f>SUM(D22:D29)</f>
        <v>1.9864892607766971E-2</v>
      </c>
      <c r="E30" s="34">
        <f>SUM(E22:E29)</f>
        <v>0.51740511424460012</v>
      </c>
      <c r="F30" s="34">
        <f>SUM(F22:F29)</f>
        <v>0.55519483329958152</v>
      </c>
      <c r="G30" s="26"/>
      <c r="H30" s="152"/>
      <c r="I30" s="10" t="s">
        <v>26</v>
      </c>
      <c r="J30" s="128">
        <f>SUM(J22:J29)</f>
        <v>461.37996725490893</v>
      </c>
      <c r="K30" s="39">
        <f>SUM(K22:K29)</f>
        <v>0.81082419193161392</v>
      </c>
      <c r="L30" s="11" t="s">
        <v>32</v>
      </c>
      <c r="M30" s="4" t="s">
        <v>32</v>
      </c>
    </row>
    <row r="31" spans="1:13">
      <c r="A31" s="2" t="s">
        <v>261</v>
      </c>
      <c r="C31" s="33"/>
      <c r="D31" s="33"/>
      <c r="E31" s="33"/>
      <c r="F31" s="33"/>
      <c r="G31" s="26"/>
      <c r="H31" s="151">
        <v>2</v>
      </c>
      <c r="I31" s="87" t="s">
        <v>264</v>
      </c>
      <c r="J31" s="128">
        <f>SUM(J22:J29)</f>
        <v>461.37996725490893</v>
      </c>
      <c r="K31" s="39">
        <f>J31*H31/1000</f>
        <v>0.92275993450981786</v>
      </c>
      <c r="L31" s="11" t="s">
        <v>32</v>
      </c>
      <c r="M31" s="4" t="s">
        <v>32</v>
      </c>
    </row>
    <row r="32" spans="1:13">
      <c r="A32" s="331" t="s">
        <v>260</v>
      </c>
      <c r="C32" s="33"/>
      <c r="D32" s="33"/>
      <c r="E32" s="33"/>
      <c r="F32" s="33"/>
      <c r="G32" s="26"/>
      <c r="H32" s="265"/>
      <c r="I32" s="6"/>
      <c r="J32" s="250"/>
      <c r="K32" s="32"/>
      <c r="L32" s="333"/>
      <c r="M32" s="31"/>
    </row>
    <row r="33" spans="1:13">
      <c r="A33" s="54" t="s">
        <v>1</v>
      </c>
      <c r="B33" s="2"/>
      <c r="C33" s="23"/>
      <c r="D33" s="23"/>
      <c r="E33" s="23"/>
      <c r="F33" s="23"/>
      <c r="G33" s="26"/>
      <c r="H33" s="337"/>
      <c r="I33" s="27"/>
      <c r="J33" s="147"/>
      <c r="K33" s="7"/>
      <c r="L33" s="11"/>
      <c r="M33" s="4"/>
    </row>
    <row r="34" spans="1:13">
      <c r="A34" s="54" t="s">
        <v>2</v>
      </c>
      <c r="B34" s="2"/>
      <c r="C34" s="23"/>
      <c r="D34" s="23"/>
      <c r="E34" s="23"/>
      <c r="F34" s="23"/>
      <c r="G34" s="26"/>
      <c r="H34" s="337"/>
      <c r="I34" s="27"/>
      <c r="J34" s="147"/>
      <c r="K34" s="7"/>
      <c r="L34" s="11"/>
      <c r="M34" s="4"/>
    </row>
    <row r="35" spans="1:13">
      <c r="A35" s="54" t="s">
        <v>3</v>
      </c>
      <c r="B35" s="2"/>
      <c r="C35" s="23"/>
      <c r="D35" s="23"/>
      <c r="E35" s="23"/>
      <c r="F35" s="23"/>
      <c r="G35" s="26"/>
      <c r="H35" s="337"/>
      <c r="I35" s="27"/>
      <c r="J35" s="147"/>
      <c r="K35" s="7"/>
      <c r="L35" s="11"/>
      <c r="M35" s="4"/>
    </row>
    <row r="36" spans="1:13">
      <c r="A36" s="54" t="s">
        <v>4</v>
      </c>
      <c r="B36" s="2"/>
      <c r="C36" s="23"/>
      <c r="D36" s="23"/>
      <c r="E36" s="23"/>
      <c r="F36" s="23"/>
      <c r="G36" s="26"/>
      <c r="H36" s="337"/>
      <c r="I36" s="27"/>
      <c r="J36" s="147"/>
      <c r="K36" s="7"/>
      <c r="L36" s="11"/>
      <c r="M36" s="4"/>
    </row>
    <row r="37" spans="1:13">
      <c r="A37" s="54" t="s">
        <v>5</v>
      </c>
      <c r="B37" s="2"/>
      <c r="C37" s="23"/>
      <c r="D37" s="23"/>
      <c r="E37" s="23"/>
      <c r="F37" s="23"/>
      <c r="G37" s="26"/>
      <c r="H37" s="337"/>
      <c r="I37" s="27"/>
      <c r="J37" s="147"/>
      <c r="K37" s="7"/>
      <c r="L37" s="11"/>
      <c r="M37" s="4"/>
    </row>
    <row r="38" spans="1:13">
      <c r="A38" s="54" t="s">
        <v>88</v>
      </c>
      <c r="B38" s="2"/>
      <c r="C38" s="23"/>
      <c r="D38" s="23"/>
      <c r="E38" s="23"/>
      <c r="F38" s="23"/>
      <c r="G38" s="26"/>
      <c r="H38" s="337"/>
      <c r="I38" s="27"/>
      <c r="J38" s="147"/>
      <c r="K38" s="7"/>
      <c r="L38" s="11"/>
      <c r="M38" s="4"/>
    </row>
    <row r="39" spans="1:13">
      <c r="A39" s="328" t="s">
        <v>95</v>
      </c>
      <c r="B39" s="2"/>
      <c r="C39" s="23"/>
      <c r="D39" s="23"/>
      <c r="E39" s="23"/>
      <c r="F39" s="23"/>
      <c r="G39" s="26"/>
      <c r="H39" s="337"/>
      <c r="I39" s="27"/>
      <c r="J39" s="147"/>
      <c r="K39" s="7"/>
      <c r="L39" s="11"/>
      <c r="M39" s="4"/>
    </row>
    <row r="40" spans="1:13">
      <c r="A40" s="328" t="s">
        <v>125</v>
      </c>
      <c r="B40" s="2"/>
      <c r="C40" s="23"/>
      <c r="D40" s="23"/>
      <c r="E40" s="23"/>
      <c r="F40" s="23"/>
      <c r="G40" s="26"/>
      <c r="H40" s="337"/>
      <c r="I40" s="27"/>
      <c r="J40" s="147"/>
      <c r="K40" s="7"/>
      <c r="L40" s="11"/>
      <c r="M40" s="4"/>
    </row>
    <row r="41" spans="1:13">
      <c r="A41" s="336" t="s">
        <v>128</v>
      </c>
      <c r="B41" s="2"/>
      <c r="C41" s="23"/>
      <c r="D41" s="23"/>
      <c r="E41" s="23"/>
      <c r="F41" s="23"/>
      <c r="G41" s="26"/>
      <c r="H41" s="337"/>
      <c r="I41" s="27"/>
      <c r="J41" s="147"/>
      <c r="K41" s="7"/>
      <c r="L41" s="11"/>
      <c r="M41" s="4"/>
    </row>
    <row r="42" spans="1:13">
      <c r="A42" s="328" t="s">
        <v>247</v>
      </c>
      <c r="B42" s="2"/>
      <c r="C42" s="23"/>
      <c r="D42" s="23"/>
      <c r="E42" s="23"/>
      <c r="F42" s="23"/>
      <c r="G42" s="26"/>
      <c r="H42" s="337"/>
      <c r="I42" s="27"/>
      <c r="J42" s="147"/>
      <c r="K42" s="7"/>
      <c r="L42" s="11"/>
      <c r="M42" s="4"/>
    </row>
    <row r="43" spans="1:13">
      <c r="A43" s="54" t="s">
        <v>253</v>
      </c>
      <c r="B43" s="2"/>
      <c r="C43" s="23"/>
      <c r="D43" s="23"/>
      <c r="E43" s="23"/>
      <c r="F43" s="23"/>
      <c r="G43" s="26"/>
      <c r="H43" s="337"/>
      <c r="I43" s="10" t="s">
        <v>26</v>
      </c>
      <c r="J43" s="147"/>
      <c r="K43" s="7"/>
      <c r="L43" s="11"/>
      <c r="M43" s="4"/>
    </row>
    <row r="44" spans="1:13">
      <c r="A44" s="54" t="s">
        <v>253</v>
      </c>
      <c r="B44" s="2"/>
      <c r="C44" s="23"/>
      <c r="D44" s="23"/>
      <c r="E44" s="23"/>
      <c r="F44" s="23"/>
      <c r="G44" s="26"/>
      <c r="H44" s="337"/>
      <c r="I44" s="87" t="s">
        <v>263</v>
      </c>
      <c r="J44" s="147"/>
      <c r="K44" s="7"/>
      <c r="L44" s="11"/>
      <c r="M44" s="4"/>
    </row>
    <row r="45" spans="1:13" ht="16">
      <c r="A45" s="12" t="s">
        <v>11</v>
      </c>
      <c r="C45" s="26"/>
      <c r="D45" s="26"/>
      <c r="E45" s="26"/>
      <c r="F45" s="26"/>
      <c r="G45" s="26"/>
      <c r="H45" s="27"/>
      <c r="K45" s="26"/>
    </row>
    <row r="46" spans="1:13">
      <c r="A46" s="2" t="s">
        <v>1</v>
      </c>
      <c r="B46" s="72">
        <v>86.403555712866023</v>
      </c>
      <c r="C46" s="90">
        <v>4.7424129528470374E-2</v>
      </c>
      <c r="D46" s="92">
        <v>2.1738060986388552E-3</v>
      </c>
      <c r="E46" s="84">
        <f>SUM(C46:D46)</f>
        <v>4.9597935627109228E-2</v>
      </c>
      <c r="F46" s="91">
        <v>2.6910334326256134E-2</v>
      </c>
      <c r="G46" s="26"/>
      <c r="H46" s="105">
        <v>8.1</v>
      </c>
      <c r="J46" s="36">
        <v>14.051275877241876</v>
      </c>
      <c r="K46" s="78">
        <f>J46*H46/1000</f>
        <v>0.11381533460565919</v>
      </c>
      <c r="L46" s="4" t="s">
        <v>32</v>
      </c>
      <c r="M46" s="4" t="s">
        <v>32</v>
      </c>
    </row>
    <row r="47" spans="1:13">
      <c r="A47" s="2" t="s">
        <v>2</v>
      </c>
      <c r="B47" s="72">
        <v>360</v>
      </c>
      <c r="C47" s="78">
        <v>0.22957839431383661</v>
      </c>
      <c r="D47" s="92">
        <v>5.3767817310571304E-3</v>
      </c>
      <c r="E47" s="84">
        <f>SUM(C47:D47)</f>
        <v>0.23495517604489374</v>
      </c>
      <c r="F47" s="84">
        <v>0.10444811599259206</v>
      </c>
      <c r="G47" s="26"/>
      <c r="H47" s="105">
        <v>2.9</v>
      </c>
      <c r="J47" s="36">
        <v>36.269268256252296</v>
      </c>
      <c r="K47" s="78">
        <f t="shared" ref="K47:K57" si="1">J47*H47/1000</f>
        <v>0.10518087794313166</v>
      </c>
      <c r="L47" s="4" t="s">
        <v>32</v>
      </c>
      <c r="M47" s="4" t="s">
        <v>32</v>
      </c>
    </row>
    <row r="48" spans="1:13">
      <c r="A48" s="2" t="s">
        <v>3</v>
      </c>
      <c r="B48" s="72">
        <v>0</v>
      </c>
      <c r="C48" s="77">
        <v>0</v>
      </c>
      <c r="D48" s="65">
        <v>0</v>
      </c>
      <c r="E48" s="82">
        <f>SUM(C48:D48)</f>
        <v>0</v>
      </c>
      <c r="F48" s="82">
        <v>0</v>
      </c>
      <c r="G48" s="26"/>
      <c r="H48" s="105" t="s">
        <v>19</v>
      </c>
      <c r="J48" s="143">
        <v>0</v>
      </c>
      <c r="K48" s="77" t="s">
        <v>32</v>
      </c>
      <c r="L48" s="4" t="s">
        <v>32</v>
      </c>
      <c r="M48" s="4" t="s">
        <v>32</v>
      </c>
    </row>
    <row r="49" spans="1:13">
      <c r="A49" s="2" t="s">
        <v>4</v>
      </c>
      <c r="B49" s="72">
        <v>63.341694194967005</v>
      </c>
      <c r="C49" s="90">
        <v>4.1886944029725627E-2</v>
      </c>
      <c r="D49" s="92">
        <v>3.3596377111837351E-3</v>
      </c>
      <c r="E49" s="84">
        <f>SUM(C49:D49)</f>
        <v>4.5246581740909363E-2</v>
      </c>
      <c r="F49" s="84">
        <v>0.27603509908107865</v>
      </c>
      <c r="G49" s="26"/>
      <c r="H49" s="105">
        <v>1.8</v>
      </c>
      <c r="J49" s="36">
        <v>10.175184401620006</v>
      </c>
      <c r="K49" s="90">
        <f t="shared" si="1"/>
        <v>1.8315331922916012E-2</v>
      </c>
      <c r="L49" s="4" t="s">
        <v>32</v>
      </c>
      <c r="M49" s="4" t="s">
        <v>32</v>
      </c>
    </row>
    <row r="50" spans="1:13">
      <c r="A50" s="2" t="s">
        <v>5</v>
      </c>
      <c r="B50" s="72">
        <v>0</v>
      </c>
      <c r="C50" s="77">
        <v>0</v>
      </c>
      <c r="D50" s="65">
        <v>0</v>
      </c>
      <c r="E50" s="82">
        <v>0</v>
      </c>
      <c r="F50" s="82">
        <v>0</v>
      </c>
      <c r="G50" s="26"/>
      <c r="H50" s="105" t="s">
        <v>19</v>
      </c>
      <c r="J50" s="143">
        <v>0</v>
      </c>
      <c r="K50" s="77">
        <v>0</v>
      </c>
      <c r="L50" s="13" t="s">
        <v>32</v>
      </c>
      <c r="M50" s="4" t="s">
        <v>32</v>
      </c>
    </row>
    <row r="51" spans="1:13">
      <c r="A51" s="2" t="s">
        <v>88</v>
      </c>
      <c r="B51" s="72">
        <v>66.400000000000006</v>
      </c>
      <c r="C51" s="90">
        <v>1.5470114272531268E-2</v>
      </c>
      <c r="D51" s="95">
        <v>9.1172784277235698E-4</v>
      </c>
      <c r="E51" s="91">
        <f>SUM(C51:D51)</f>
        <v>1.6381842115303625E-2</v>
      </c>
      <c r="F51" s="91">
        <v>1.4320724580840796E-2</v>
      </c>
      <c r="G51" s="26"/>
      <c r="H51" s="105">
        <v>1.1000000000000001</v>
      </c>
      <c r="J51" s="143">
        <v>10.129657064582796</v>
      </c>
      <c r="K51" s="94">
        <f t="shared" si="1"/>
        <v>1.1142622771041076E-2</v>
      </c>
      <c r="L51" s="13" t="s">
        <v>32</v>
      </c>
      <c r="M51" s="4" t="s">
        <v>32</v>
      </c>
    </row>
    <row r="52" spans="1:13">
      <c r="A52" s="2" t="s">
        <v>95</v>
      </c>
      <c r="B52" s="72">
        <v>61.2</v>
      </c>
      <c r="C52" s="90">
        <v>3.853386995847633E-3</v>
      </c>
      <c r="D52" s="95">
        <v>6.0439016719632211E-4</v>
      </c>
      <c r="E52" s="98">
        <f>SUM(C52:D52)</f>
        <v>4.4577771630439546E-3</v>
      </c>
      <c r="F52" s="98">
        <v>4.4076017406695853E-3</v>
      </c>
      <c r="G52" s="26"/>
      <c r="H52" s="105">
        <v>1</v>
      </c>
      <c r="J52" s="36">
        <v>6</v>
      </c>
      <c r="K52" s="94">
        <f t="shared" si="1"/>
        <v>6.0000000000000001E-3</v>
      </c>
      <c r="L52" s="13" t="s">
        <v>32</v>
      </c>
      <c r="M52" s="4" t="s">
        <v>32</v>
      </c>
    </row>
    <row r="53" spans="1:13">
      <c r="A53" s="2" t="s">
        <v>125</v>
      </c>
      <c r="B53" s="72">
        <v>1026.16425</v>
      </c>
      <c r="C53" s="90">
        <v>7.2490038401473569E-2</v>
      </c>
      <c r="D53" s="92">
        <v>4.6638432362334312E-3</v>
      </c>
      <c r="E53" s="91">
        <f>SUM(C53:D53)</f>
        <v>7.7153881637707006E-2</v>
      </c>
      <c r="F53" s="91">
        <v>6.9544950886614165E-2</v>
      </c>
      <c r="G53" s="26"/>
      <c r="H53" s="105">
        <v>1.7</v>
      </c>
      <c r="J53" s="143">
        <v>72.3</v>
      </c>
      <c r="K53" s="94">
        <f t="shared" si="1"/>
        <v>0.12290999999999999</v>
      </c>
      <c r="L53" s="13" t="s">
        <v>32</v>
      </c>
      <c r="M53" s="4" t="s">
        <v>32</v>
      </c>
    </row>
    <row r="54" spans="1:13">
      <c r="A54" s="62" t="s">
        <v>128</v>
      </c>
      <c r="B54" s="72">
        <v>0</v>
      </c>
      <c r="C54" s="77">
        <v>0</v>
      </c>
      <c r="D54" s="65">
        <v>0</v>
      </c>
      <c r="E54" s="82">
        <v>0</v>
      </c>
      <c r="F54" s="82">
        <v>0</v>
      </c>
      <c r="G54" s="26"/>
      <c r="H54" s="105" t="s">
        <v>19</v>
      </c>
      <c r="J54" s="143">
        <v>0</v>
      </c>
      <c r="K54" s="77">
        <v>0</v>
      </c>
      <c r="L54" s="13" t="s">
        <v>32</v>
      </c>
      <c r="M54" s="4" t="s">
        <v>32</v>
      </c>
    </row>
    <row r="55" spans="1:13">
      <c r="A55" s="62" t="s">
        <v>247</v>
      </c>
      <c r="B55" s="72"/>
      <c r="C55" s="77"/>
      <c r="D55" s="65"/>
      <c r="E55" s="82"/>
      <c r="F55" s="82"/>
      <c r="G55" s="26"/>
      <c r="H55" s="105"/>
      <c r="J55" s="143"/>
      <c r="K55" s="77"/>
      <c r="L55" s="13"/>
      <c r="M55" s="4"/>
    </row>
    <row r="56" spans="1:13">
      <c r="A56" s="2" t="s">
        <v>253</v>
      </c>
      <c r="B56" s="146">
        <f>SUM(B46:B54)</f>
        <v>1663.5094999078331</v>
      </c>
      <c r="C56" s="39">
        <f>SUM(C46:C54)</f>
        <v>0.4107030075418851</v>
      </c>
      <c r="D56" s="23">
        <f>SUM(D46:D54)</f>
        <v>1.7090186787081831E-2</v>
      </c>
      <c r="E56" s="15">
        <f>SUM(E46:E51)</f>
        <v>0.34618153552821596</v>
      </c>
      <c r="F56" s="34">
        <f>SUM(F46:F51)</f>
        <v>0.42171427398076761</v>
      </c>
      <c r="G56" s="26"/>
      <c r="H56" s="152"/>
      <c r="I56" s="10" t="s">
        <v>26</v>
      </c>
      <c r="J56" s="128">
        <f>SUM(J46:J53)</f>
        <v>148.92538559969699</v>
      </c>
      <c r="K56" s="39">
        <f>SUM(K46:K54)</f>
        <v>0.37736416724274791</v>
      </c>
      <c r="L56" s="11" t="s">
        <v>32</v>
      </c>
      <c r="M56" s="4" t="s">
        <v>32</v>
      </c>
    </row>
    <row r="57" spans="1:13">
      <c r="A57" s="2" t="s">
        <v>253</v>
      </c>
      <c r="B57" s="37"/>
      <c r="C57" s="33"/>
      <c r="D57" s="33"/>
      <c r="E57" s="33"/>
      <c r="F57" s="33"/>
      <c r="G57" s="26"/>
      <c r="H57" s="151">
        <v>1.8</v>
      </c>
      <c r="I57" s="87" t="s">
        <v>263</v>
      </c>
      <c r="J57" s="128">
        <f>SUM(J46:J53)</f>
        <v>148.92538559969699</v>
      </c>
      <c r="K57" s="39">
        <f t="shared" si="1"/>
        <v>0.26806569407945458</v>
      </c>
      <c r="L57" s="11" t="s">
        <v>32</v>
      </c>
      <c r="M57" s="4" t="s">
        <v>32</v>
      </c>
    </row>
    <row r="58" spans="1:13" ht="16">
      <c r="A58" s="12" t="s">
        <v>12</v>
      </c>
      <c r="B58" s="37"/>
      <c r="C58" s="26"/>
      <c r="D58" s="26"/>
      <c r="E58" s="26"/>
      <c r="F58" s="26"/>
      <c r="G58" s="26"/>
      <c r="H58" s="27"/>
      <c r="J58" s="9"/>
      <c r="K58" s="26"/>
      <c r="M58" s="26"/>
    </row>
    <row r="59" spans="1:13">
      <c r="A59" s="2" t="s">
        <v>1</v>
      </c>
      <c r="B59" s="72">
        <v>85</v>
      </c>
      <c r="C59" s="90">
        <v>1.3343645977200468E-2</v>
      </c>
      <c r="D59" s="92">
        <v>3.1157800914460446E-3</v>
      </c>
      <c r="E59" s="91">
        <f t="shared" ref="E59:E67" si="2">SUM(C59:D59)</f>
        <v>1.6459426068646511E-2</v>
      </c>
      <c r="F59" s="91">
        <v>1.3054819054216054E-2</v>
      </c>
      <c r="G59" s="26"/>
      <c r="H59" s="105">
        <v>11.292064405625329</v>
      </c>
      <c r="J59" s="36">
        <v>1.818523719687591</v>
      </c>
      <c r="K59" s="90">
        <f>J59*H59/1000</f>
        <v>2.0534886965869616E-2</v>
      </c>
      <c r="L59" s="4" t="s">
        <v>32</v>
      </c>
      <c r="M59" s="4" t="s">
        <v>32</v>
      </c>
    </row>
    <row r="60" spans="1:13">
      <c r="A60" s="2" t="s">
        <v>2</v>
      </c>
      <c r="B60" s="72">
        <v>95.92362156151502</v>
      </c>
      <c r="C60" s="90">
        <v>1.10618203148915E-2</v>
      </c>
      <c r="D60" s="92">
        <v>2.2233929735189593E-3</v>
      </c>
      <c r="E60" s="91">
        <f t="shared" si="2"/>
        <v>1.3285213288410459E-2</v>
      </c>
      <c r="F60" s="98">
        <v>1.4443991652821668E-2</v>
      </c>
      <c r="G60" s="26"/>
      <c r="H60" s="105">
        <v>2.9627178724693661</v>
      </c>
      <c r="J60" s="36">
        <v>2.071117691649818</v>
      </c>
      <c r="K60" s="90">
        <f t="shared" ref="K60:K70" si="3">J60*H60/1000</f>
        <v>6.1361374010384141E-3</v>
      </c>
      <c r="L60" s="4" t="s">
        <v>32</v>
      </c>
      <c r="M60" s="4" t="s">
        <v>32</v>
      </c>
    </row>
    <row r="61" spans="1:13">
      <c r="A61" s="2" t="s">
        <v>3</v>
      </c>
      <c r="B61" s="72">
        <v>22.120468177770004</v>
      </c>
      <c r="C61" s="94">
        <v>2.1485516201959092E-3</v>
      </c>
      <c r="D61" s="95">
        <v>4.6729287381473158E-4</v>
      </c>
      <c r="E61" s="98">
        <f t="shared" si="2"/>
        <v>2.615844494010641E-3</v>
      </c>
      <c r="F61" s="98">
        <v>6.1147513278336698E-3</v>
      </c>
      <c r="G61" s="26"/>
      <c r="H61" s="105">
        <v>6.575454971660271</v>
      </c>
      <c r="J61" s="39">
        <v>0.35399669545231066</v>
      </c>
      <c r="K61" s="94">
        <f t="shared" si="3"/>
        <v>2.3276893310632029E-3</v>
      </c>
      <c r="L61" s="4" t="s">
        <v>32</v>
      </c>
      <c r="M61" s="4" t="s">
        <v>32</v>
      </c>
    </row>
    <row r="62" spans="1:13">
      <c r="A62" s="2" t="s">
        <v>4</v>
      </c>
      <c r="B62" s="72">
        <v>39</v>
      </c>
      <c r="C62" s="94">
        <v>3.8283241327420722E-3</v>
      </c>
      <c r="D62" s="95">
        <v>8.1520109013737629E-4</v>
      </c>
      <c r="E62" s="98">
        <f t="shared" si="2"/>
        <v>4.6435252228794483E-3</v>
      </c>
      <c r="F62" s="98">
        <v>9.9341026929181606E-3</v>
      </c>
      <c r="G62" s="26"/>
      <c r="H62" s="105">
        <v>2.7620515637336869</v>
      </c>
      <c r="J62" s="36">
        <v>2.2543061810729563</v>
      </c>
      <c r="K62" s="94">
        <f t="shared" si="3"/>
        <v>6.2265099125670756E-3</v>
      </c>
      <c r="L62" s="4" t="s">
        <v>32</v>
      </c>
      <c r="M62" s="4" t="s">
        <v>32</v>
      </c>
    </row>
    <row r="63" spans="1:13">
      <c r="A63" s="2" t="s">
        <v>5</v>
      </c>
      <c r="B63" s="85">
        <v>0.65</v>
      </c>
      <c r="C63" s="97">
        <v>2.7869277528697414E-4</v>
      </c>
      <c r="D63" s="100">
        <v>3.4135606430443559E-5</v>
      </c>
      <c r="E63" s="96">
        <f t="shared" si="2"/>
        <v>3.1282838171741768E-4</v>
      </c>
      <c r="F63" s="96">
        <v>5.1977498938719031E-4</v>
      </c>
      <c r="G63" s="26"/>
      <c r="H63" s="105" t="s">
        <v>19</v>
      </c>
      <c r="J63" s="29">
        <v>3.3875363453196245E-3</v>
      </c>
      <c r="K63" s="77" t="s">
        <v>32</v>
      </c>
      <c r="L63" s="13" t="s">
        <v>32</v>
      </c>
      <c r="M63" s="4" t="s">
        <v>32</v>
      </c>
    </row>
    <row r="64" spans="1:13">
      <c r="A64" s="2" t="s">
        <v>88</v>
      </c>
      <c r="B64" s="72">
        <v>17</v>
      </c>
      <c r="C64" s="94">
        <v>2.4716835894743106E-3</v>
      </c>
      <c r="D64" s="95">
        <v>4.0032550093196061E-4</v>
      </c>
      <c r="E64" s="98">
        <f t="shared" si="2"/>
        <v>2.872009090406271E-3</v>
      </c>
      <c r="F64" s="98">
        <v>4.5456629329134086E-3</v>
      </c>
      <c r="G64" s="26"/>
      <c r="H64" s="105">
        <v>0.99416947282115342</v>
      </c>
      <c r="J64" s="39">
        <v>0.4666478437036774</v>
      </c>
      <c r="K64" s="94">
        <f t="shared" si="3"/>
        <v>4.6392704076801293E-4</v>
      </c>
      <c r="L64" s="13" t="s">
        <v>32</v>
      </c>
      <c r="M64" s="4" t="s">
        <v>32</v>
      </c>
    </row>
    <row r="65" spans="1:13">
      <c r="A65" s="2" t="s">
        <v>95</v>
      </c>
      <c r="B65" s="72">
        <v>52.023969000000001</v>
      </c>
      <c r="C65" s="94">
        <v>3.0934727870760449E-3</v>
      </c>
      <c r="D65" s="95">
        <v>6.5400294191878103E-4</v>
      </c>
      <c r="E65" s="98">
        <f t="shared" si="2"/>
        <v>3.747475728994826E-3</v>
      </c>
      <c r="F65" s="98">
        <v>3.4477395782351794E-3</v>
      </c>
      <c r="G65" s="26"/>
      <c r="H65" s="105">
        <v>1.1101163492093837</v>
      </c>
      <c r="J65" s="36">
        <v>3.975879390894077</v>
      </c>
      <c r="K65" s="94">
        <f t="shared" si="3"/>
        <v>4.4136887143161616E-3</v>
      </c>
      <c r="L65" s="13" t="s">
        <v>32</v>
      </c>
      <c r="M65" s="4" t="s">
        <v>32</v>
      </c>
    </row>
    <row r="66" spans="1:13">
      <c r="A66" s="2" t="s">
        <v>125</v>
      </c>
      <c r="B66" s="72">
        <v>31</v>
      </c>
      <c r="C66" s="94">
        <v>2.6806567430323613E-3</v>
      </c>
      <c r="D66" s="95">
        <v>3.4551490071367763E-4</v>
      </c>
      <c r="E66" s="98">
        <f t="shared" si="2"/>
        <v>3.0261716437460389E-3</v>
      </c>
      <c r="F66" s="98">
        <v>2.9642913624080003E-3</v>
      </c>
      <c r="G66" s="26"/>
      <c r="H66" s="105">
        <v>1.86682156450965</v>
      </c>
      <c r="J66" s="36">
        <v>1.7799750534670713</v>
      </c>
      <c r="K66" s="94">
        <f t="shared" si="3"/>
        <v>3.3228958141015459E-3</v>
      </c>
      <c r="L66" s="13" t="s">
        <v>32</v>
      </c>
      <c r="M66" s="4" t="s">
        <v>32</v>
      </c>
    </row>
    <row r="67" spans="1:13">
      <c r="A67" s="62" t="s">
        <v>128</v>
      </c>
      <c r="B67" s="93">
        <v>8.4</v>
      </c>
      <c r="C67" s="97">
        <v>3.6346860832819927E-4</v>
      </c>
      <c r="D67" s="95">
        <v>2.104226862093295E-4</v>
      </c>
      <c r="E67" s="96">
        <f t="shared" si="2"/>
        <v>5.7389129453752879E-4</v>
      </c>
      <c r="F67" s="98">
        <v>4.9218413717541903E-4</v>
      </c>
      <c r="G67" s="26"/>
      <c r="H67" s="105">
        <v>5.72286241232311</v>
      </c>
      <c r="J67" s="39">
        <v>0.11335127653661574</v>
      </c>
      <c r="K67" s="97">
        <f t="shared" si="3"/>
        <v>6.4869375988024064E-4</v>
      </c>
      <c r="L67" s="13" t="s">
        <v>32</v>
      </c>
      <c r="M67" s="4" t="s">
        <v>32</v>
      </c>
    </row>
    <row r="68" spans="1:13">
      <c r="A68" s="62" t="s">
        <v>247</v>
      </c>
      <c r="B68" s="93"/>
      <c r="C68" s="97"/>
      <c r="D68" s="95"/>
      <c r="E68" s="96"/>
      <c r="F68" s="98"/>
      <c r="G68" s="26"/>
      <c r="H68" s="105"/>
      <c r="J68" s="39"/>
      <c r="K68" s="97"/>
      <c r="L68" s="13"/>
      <c r="M68" s="4"/>
    </row>
    <row r="69" spans="1:13">
      <c r="A69" s="2" t="s">
        <v>253</v>
      </c>
      <c r="B69" s="146">
        <f>SUM(B59:B67)</f>
        <v>351.118058739285</v>
      </c>
      <c r="C69" s="29">
        <f>SUM(C59:C67)</f>
        <v>3.9270316548227838E-2</v>
      </c>
      <c r="D69" s="25">
        <f>SUM(D59:D67)</f>
        <v>8.2660686651213032E-3</v>
      </c>
      <c r="E69" s="25">
        <f>SUM(E59:E67)</f>
        <v>4.753638521334913E-2</v>
      </c>
      <c r="F69" s="30">
        <f>SUM(F59:F64)</f>
        <v>4.8613102650090154E-2</v>
      </c>
      <c r="G69" s="26"/>
      <c r="H69" s="152"/>
      <c r="I69" s="10" t="s">
        <v>26</v>
      </c>
      <c r="J69" s="128">
        <f>SUM(J59:J67)</f>
        <v>12.837185388809436</v>
      </c>
      <c r="K69" s="29">
        <f>SUM(K59:K67)</f>
        <v>4.4074428939604261E-2</v>
      </c>
      <c r="L69" s="11" t="s">
        <v>32</v>
      </c>
      <c r="M69" s="4" t="s">
        <v>32</v>
      </c>
    </row>
    <row r="70" spans="1:13">
      <c r="A70" s="2" t="s">
        <v>253</v>
      </c>
      <c r="B70" s="37"/>
      <c r="C70" s="38"/>
      <c r="D70" s="33"/>
      <c r="E70" s="33"/>
      <c r="F70" s="33"/>
      <c r="G70" s="26"/>
      <c r="H70" s="151">
        <v>4.8</v>
      </c>
      <c r="I70" s="87" t="s">
        <v>263</v>
      </c>
      <c r="J70" s="128">
        <f>SUM(J59:J67)</f>
        <v>12.837185388809436</v>
      </c>
      <c r="K70" s="29">
        <f t="shared" si="3"/>
        <v>6.1618489866285285E-2</v>
      </c>
      <c r="L70" s="11" t="s">
        <v>32</v>
      </c>
      <c r="M70" s="4" t="s">
        <v>32</v>
      </c>
    </row>
    <row r="71" spans="1:13" ht="16">
      <c r="A71" s="14" t="s">
        <v>25</v>
      </c>
      <c r="B71" s="37"/>
      <c r="C71" s="26"/>
      <c r="D71" s="26"/>
      <c r="E71" s="28"/>
      <c r="F71" s="26"/>
      <c r="G71" s="26"/>
      <c r="H71" s="27"/>
      <c r="K71" s="26"/>
      <c r="M71" s="26"/>
    </row>
    <row r="72" spans="1:13">
      <c r="A72" s="2" t="s">
        <v>1</v>
      </c>
      <c r="B72" s="72">
        <f t="shared" ref="B72:B80" si="4">SUM(B46,B59)</f>
        <v>171.40355571286602</v>
      </c>
      <c r="C72" s="78">
        <f t="shared" ref="C72:F80" si="5">C46+C59</f>
        <v>6.0767775505670842E-2</v>
      </c>
      <c r="D72" s="92">
        <f t="shared" si="5"/>
        <v>5.2895861900848998E-3</v>
      </c>
      <c r="E72" s="84">
        <f t="shared" si="5"/>
        <v>6.605736169575574E-2</v>
      </c>
      <c r="F72" s="91">
        <f t="shared" si="5"/>
        <v>3.9965153380472185E-2</v>
      </c>
      <c r="G72" s="26"/>
      <c r="H72" s="8"/>
      <c r="J72" s="143">
        <f>SUM(J46+J59)</f>
        <v>15.869799596929466</v>
      </c>
      <c r="K72" s="78">
        <f>SUM(K46+K59)</f>
        <v>0.13435022157152882</v>
      </c>
      <c r="L72" s="4" t="s">
        <v>32</v>
      </c>
      <c r="M72" s="4" t="s">
        <v>32</v>
      </c>
    </row>
    <row r="73" spans="1:13">
      <c r="A73" s="2" t="s">
        <v>2</v>
      </c>
      <c r="B73" s="72">
        <f t="shared" si="4"/>
        <v>455.92362156151501</v>
      </c>
      <c r="C73" s="78">
        <f t="shared" si="5"/>
        <v>0.24064021462872812</v>
      </c>
      <c r="D73" s="92">
        <f t="shared" si="5"/>
        <v>7.6001747045760897E-3</v>
      </c>
      <c r="E73" s="84">
        <f t="shared" si="5"/>
        <v>0.2482403893333042</v>
      </c>
      <c r="F73" s="84">
        <f t="shared" si="5"/>
        <v>0.11889210764541372</v>
      </c>
      <c r="G73" s="26"/>
      <c r="H73" s="4"/>
      <c r="J73" s="143">
        <f>SUM(J47+J60)</f>
        <v>38.340385947902114</v>
      </c>
      <c r="K73" s="78">
        <f>SUM(K47+K60)</f>
        <v>0.11131701534417007</v>
      </c>
      <c r="L73" s="4" t="s">
        <v>32</v>
      </c>
      <c r="M73" s="4" t="s">
        <v>32</v>
      </c>
    </row>
    <row r="74" spans="1:13">
      <c r="A74" s="2" t="s">
        <v>3</v>
      </c>
      <c r="B74" s="72">
        <f t="shared" si="4"/>
        <v>22.120468177770004</v>
      </c>
      <c r="C74" s="94">
        <f t="shared" si="5"/>
        <v>2.1485516201959092E-3</v>
      </c>
      <c r="D74" s="95">
        <f t="shared" si="5"/>
        <v>4.6729287381473158E-4</v>
      </c>
      <c r="E74" s="98">
        <f t="shared" si="5"/>
        <v>2.615844494010641E-3</v>
      </c>
      <c r="F74" s="98">
        <f t="shared" si="5"/>
        <v>6.1147513278336698E-3</v>
      </c>
      <c r="G74" s="26"/>
      <c r="H74" s="4"/>
      <c r="J74" s="39">
        <f t="shared" ref="J74:J80" si="6">SUM(J48+J61)</f>
        <v>0.35399669545231066</v>
      </c>
      <c r="K74" s="94">
        <f>K61</f>
        <v>2.3276893310632029E-3</v>
      </c>
      <c r="L74" s="4" t="s">
        <v>32</v>
      </c>
      <c r="M74" s="4" t="s">
        <v>32</v>
      </c>
    </row>
    <row r="75" spans="1:13">
      <c r="A75" s="2" t="s">
        <v>4</v>
      </c>
      <c r="B75" s="72">
        <f t="shared" si="4"/>
        <v>102.341694194967</v>
      </c>
      <c r="C75" s="78">
        <f t="shared" si="5"/>
        <v>4.5715268162467702E-2</v>
      </c>
      <c r="D75" s="92">
        <f t="shared" si="5"/>
        <v>4.1748388013211112E-3</v>
      </c>
      <c r="E75" s="84">
        <f t="shared" si="5"/>
        <v>4.9890106963788809E-2</v>
      </c>
      <c r="F75" s="91">
        <f t="shared" si="5"/>
        <v>0.28596920177399682</v>
      </c>
      <c r="G75" s="26"/>
      <c r="H75" s="4"/>
      <c r="J75" s="143">
        <f t="shared" si="6"/>
        <v>12.429490582692964</v>
      </c>
      <c r="K75" s="90">
        <f>SUM(K49+K62)</f>
        <v>2.4541841835483087E-2</v>
      </c>
      <c r="L75" s="4" t="s">
        <v>32</v>
      </c>
      <c r="M75" s="4" t="s">
        <v>32</v>
      </c>
    </row>
    <row r="76" spans="1:13">
      <c r="A76" s="2" t="s">
        <v>5</v>
      </c>
      <c r="B76" s="93">
        <f t="shared" si="4"/>
        <v>0.65</v>
      </c>
      <c r="C76" s="97">
        <f t="shared" si="5"/>
        <v>2.7869277528697414E-4</v>
      </c>
      <c r="D76" s="95">
        <f t="shared" si="5"/>
        <v>3.4135606430443559E-5</v>
      </c>
      <c r="E76" s="96">
        <f t="shared" si="5"/>
        <v>3.1282838171741768E-4</v>
      </c>
      <c r="F76" s="96">
        <f t="shared" si="5"/>
        <v>5.1977498938719031E-4</v>
      </c>
      <c r="G76" s="26"/>
      <c r="H76" s="4"/>
      <c r="J76" s="158">
        <f t="shared" si="6"/>
        <v>3.3875363453196245E-3</v>
      </c>
      <c r="K76" s="78">
        <v>0</v>
      </c>
      <c r="L76" s="13" t="s">
        <v>32</v>
      </c>
      <c r="M76" s="4" t="s">
        <v>32</v>
      </c>
    </row>
    <row r="77" spans="1:13">
      <c r="A77" s="2" t="s">
        <v>88</v>
      </c>
      <c r="B77" s="72">
        <f t="shared" si="4"/>
        <v>83.4</v>
      </c>
      <c r="C77" s="90">
        <f t="shared" si="5"/>
        <v>1.794179786200558E-2</v>
      </c>
      <c r="D77" s="92">
        <f t="shared" si="5"/>
        <v>1.3120533437043177E-3</v>
      </c>
      <c r="E77" s="91">
        <f t="shared" si="5"/>
        <v>1.9253851205709896E-2</v>
      </c>
      <c r="F77" s="91">
        <f t="shared" si="5"/>
        <v>1.8866387513754204E-2</v>
      </c>
      <c r="G77" s="26"/>
      <c r="H77" s="7"/>
      <c r="J77" s="143">
        <f t="shared" si="6"/>
        <v>10.596304908286474</v>
      </c>
      <c r="K77" s="90">
        <f>SUM(K51+K64)</f>
        <v>1.1606549811809089E-2</v>
      </c>
      <c r="L77" s="13" t="s">
        <v>32</v>
      </c>
      <c r="M77" s="4" t="s">
        <v>32</v>
      </c>
    </row>
    <row r="78" spans="1:13">
      <c r="A78" s="2" t="s">
        <v>95</v>
      </c>
      <c r="B78" s="72">
        <f t="shared" si="4"/>
        <v>113.22396900000001</v>
      </c>
      <c r="C78" s="90">
        <f t="shared" si="5"/>
        <v>6.9468597829236778E-3</v>
      </c>
      <c r="D78" s="92">
        <f t="shared" si="5"/>
        <v>1.2583931091151032E-3</v>
      </c>
      <c r="E78" s="91">
        <f t="shared" si="5"/>
        <v>8.2052528920387811E-3</v>
      </c>
      <c r="F78" s="91">
        <f t="shared" si="5"/>
        <v>7.8553413189047655E-3</v>
      </c>
      <c r="G78" s="26"/>
      <c r="H78" s="7"/>
      <c r="J78" s="143">
        <f t="shared" si="6"/>
        <v>9.975879390894077</v>
      </c>
      <c r="K78" s="90">
        <f>SUM(K52+K65)</f>
        <v>1.0413688714316163E-2</v>
      </c>
      <c r="L78" s="13" t="s">
        <v>32</v>
      </c>
      <c r="M78" s="4" t="s">
        <v>32</v>
      </c>
    </row>
    <row r="79" spans="1:13">
      <c r="A79" s="2" t="s">
        <v>125</v>
      </c>
      <c r="B79" s="72">
        <f t="shared" si="4"/>
        <v>1057.16425</v>
      </c>
      <c r="C79" s="90">
        <f t="shared" si="5"/>
        <v>7.5170695144505931E-2</v>
      </c>
      <c r="D79" s="92">
        <f t="shared" si="5"/>
        <v>5.0093581369471092E-3</v>
      </c>
      <c r="E79" s="91">
        <f t="shared" si="5"/>
        <v>8.0180053281453043E-2</v>
      </c>
      <c r="F79" s="91">
        <f t="shared" si="5"/>
        <v>7.2509242249022166E-2</v>
      </c>
      <c r="G79" s="26"/>
      <c r="H79" s="7"/>
      <c r="J79" s="143">
        <f t="shared" si="6"/>
        <v>74.079975053467066</v>
      </c>
      <c r="K79" s="90">
        <f>SUM(K53+K66)</f>
        <v>0.12623289581410155</v>
      </c>
      <c r="L79" s="13" t="s">
        <v>32</v>
      </c>
      <c r="M79" s="4" t="s">
        <v>32</v>
      </c>
    </row>
    <row r="80" spans="1:13">
      <c r="A80" s="62" t="s">
        <v>128</v>
      </c>
      <c r="B80" s="93">
        <f t="shared" si="4"/>
        <v>8.4</v>
      </c>
      <c r="C80" s="90">
        <f t="shared" si="5"/>
        <v>3.6346860832819927E-4</v>
      </c>
      <c r="D80" s="92">
        <f t="shared" si="5"/>
        <v>2.104226862093295E-4</v>
      </c>
      <c r="E80" s="91">
        <f t="shared" si="5"/>
        <v>5.7389129453752879E-4</v>
      </c>
      <c r="F80" s="91">
        <f t="shared" si="5"/>
        <v>4.9218413717541903E-4</v>
      </c>
      <c r="G80" s="26"/>
      <c r="H80" s="7"/>
      <c r="J80" s="39">
        <f t="shared" si="6"/>
        <v>0.11335127653661574</v>
      </c>
      <c r="K80" s="97">
        <f>SUM(K54+K67)</f>
        <v>6.4869375988024064E-4</v>
      </c>
      <c r="L80" s="13" t="s">
        <v>32</v>
      </c>
      <c r="M80" s="4" t="s">
        <v>32</v>
      </c>
    </row>
    <row r="81" spans="1:13">
      <c r="A81" s="62" t="s">
        <v>247</v>
      </c>
      <c r="B81" s="93"/>
      <c r="C81" s="90"/>
      <c r="D81" s="92"/>
      <c r="E81" s="91"/>
      <c r="F81" s="91"/>
      <c r="G81" s="26"/>
      <c r="H81" s="7"/>
      <c r="J81" s="39"/>
      <c r="K81" s="97"/>
      <c r="L81" s="13"/>
      <c r="M81" s="4"/>
    </row>
    <row r="82" spans="1:13">
      <c r="A82" s="2" t="s">
        <v>253</v>
      </c>
      <c r="B82" s="146">
        <f>SUM(B72:B80)</f>
        <v>2014.6275586471181</v>
      </c>
      <c r="C82" s="39">
        <f>SUM(C72:C77)</f>
        <v>0.36749230055435506</v>
      </c>
      <c r="D82" s="23">
        <f>D56+D69</f>
        <v>2.5356255452203134E-2</v>
      </c>
      <c r="E82" s="34">
        <f>SUM(E72:E80)</f>
        <v>0.47532957954231608</v>
      </c>
      <c r="F82" s="34">
        <f>SUM(F72:F80)</f>
        <v>0.55118414433596019</v>
      </c>
      <c r="G82" s="26"/>
      <c r="H82" s="152"/>
      <c r="I82" s="10" t="s">
        <v>26</v>
      </c>
      <c r="J82" s="128">
        <f>SUM(J72:J80)</f>
        <v>161.76257098850641</v>
      </c>
      <c r="K82" s="39">
        <f>SUM(K72:K77)</f>
        <v>0.28414331789405428</v>
      </c>
      <c r="L82" s="11" t="s">
        <v>32</v>
      </c>
      <c r="M82" s="4" t="s">
        <v>32</v>
      </c>
    </row>
    <row r="83" spans="1:13">
      <c r="A83" s="2" t="s">
        <v>253</v>
      </c>
      <c r="B83" s="37"/>
      <c r="C83" s="33"/>
      <c r="D83" s="33"/>
      <c r="E83" s="33"/>
      <c r="F83" s="33"/>
      <c r="G83" s="26"/>
      <c r="H83" s="4"/>
      <c r="I83" s="87" t="s">
        <v>263</v>
      </c>
      <c r="J83" s="128">
        <f>SUM(J72:J80)</f>
        <v>161.76257098850641</v>
      </c>
      <c r="K83" s="39">
        <f>SUM(K72:K77)</f>
        <v>0.28414331789405428</v>
      </c>
      <c r="L83" s="11" t="s">
        <v>32</v>
      </c>
      <c r="M83" s="4" t="s">
        <v>32</v>
      </c>
    </row>
    <row r="84" spans="1:13" ht="16">
      <c r="A84" s="14" t="s">
        <v>33</v>
      </c>
      <c r="B84" s="37"/>
      <c r="C84" s="26"/>
      <c r="D84" s="26"/>
      <c r="E84" s="28"/>
      <c r="F84" s="26"/>
      <c r="G84" s="26"/>
      <c r="H84" s="26"/>
      <c r="K84" s="26"/>
    </row>
    <row r="85" spans="1:13">
      <c r="A85" s="2" t="s">
        <v>1</v>
      </c>
      <c r="B85" s="72">
        <f t="shared" ref="B85:B93" si="7">B72</f>
        <v>171.40355571286602</v>
      </c>
      <c r="C85" s="68">
        <v>1.9331887387356191E-2</v>
      </c>
      <c r="D85" s="92">
        <v>3.0691229803808677E-3</v>
      </c>
      <c r="E85" s="90">
        <f>SUM(C85:D85)</f>
        <v>2.2401010367737059E-2</v>
      </c>
      <c r="F85" s="90">
        <v>1.8924265801085031E-2</v>
      </c>
      <c r="G85" s="26"/>
      <c r="H85" s="105">
        <v>11.292064405625329</v>
      </c>
      <c r="J85" s="65">
        <v>10.277580973463635</v>
      </c>
      <c r="K85" s="79">
        <f>J85*H85/1000</f>
        <v>0.11605510628638084</v>
      </c>
      <c r="L85" s="4" t="s">
        <v>32</v>
      </c>
      <c r="M85" s="36" t="s">
        <v>32</v>
      </c>
    </row>
    <row r="86" spans="1:13">
      <c r="A86" s="2" t="s">
        <v>2</v>
      </c>
      <c r="B86" s="72">
        <f t="shared" si="7"/>
        <v>455.92362156151501</v>
      </c>
      <c r="C86" s="68">
        <v>9.934876542785448E-2</v>
      </c>
      <c r="D86" s="92">
        <v>8.3760778085426851E-3</v>
      </c>
      <c r="E86" s="90">
        <f t="shared" ref="E86:E93" si="8">SUM(C86:D86)</f>
        <v>0.10772484323639717</v>
      </c>
      <c r="F86" s="78">
        <v>0.10296434506036554</v>
      </c>
      <c r="G86" s="26"/>
      <c r="H86" s="105">
        <v>2.9220431159648075</v>
      </c>
      <c r="J86" s="65">
        <v>50.010898619829646</v>
      </c>
      <c r="K86" s="79">
        <f t="shared" ref="K86:K93" si="9">J86*H86/1000</f>
        <v>0.14613400203528709</v>
      </c>
      <c r="L86" s="4" t="s">
        <v>32</v>
      </c>
      <c r="M86" s="36" t="s">
        <v>32</v>
      </c>
    </row>
    <row r="87" spans="1:13">
      <c r="A87" s="2" t="s">
        <v>3</v>
      </c>
      <c r="B87" s="72">
        <f t="shared" si="7"/>
        <v>22.120468177770004</v>
      </c>
      <c r="C87" s="92">
        <v>2.1850548131395085E-3</v>
      </c>
      <c r="D87" s="95">
        <v>6.7975860855003472E-4</v>
      </c>
      <c r="E87" s="94">
        <f t="shared" si="8"/>
        <v>2.8648134216895434E-3</v>
      </c>
      <c r="F87" s="94">
        <v>8.6220923256367342E-3</v>
      </c>
      <c r="G87" s="26"/>
      <c r="H87" s="105">
        <v>6.575454971660271</v>
      </c>
      <c r="J87" s="79">
        <v>0.45651520037337995</v>
      </c>
      <c r="K87" s="92">
        <f t="shared" si="9"/>
        <v>3.0017951439336261E-3</v>
      </c>
      <c r="L87" s="4" t="s">
        <v>32</v>
      </c>
      <c r="M87" s="36" t="s">
        <v>32</v>
      </c>
    </row>
    <row r="88" spans="1:13">
      <c r="A88" s="2" t="s">
        <v>4</v>
      </c>
      <c r="B88" s="72">
        <f t="shared" si="7"/>
        <v>102.341694194967</v>
      </c>
      <c r="C88" s="68">
        <v>1.7860631866083002E-2</v>
      </c>
      <c r="D88" s="92">
        <v>2.2214347340427198E-3</v>
      </c>
      <c r="E88" s="90">
        <f t="shared" si="8"/>
        <v>2.0082066600125723E-2</v>
      </c>
      <c r="F88" s="90">
        <v>3.2253097772085453E-2</v>
      </c>
      <c r="G88" s="26"/>
      <c r="H88" s="105">
        <v>2.2436968030737985</v>
      </c>
      <c r="J88" s="65">
        <v>18.242950242935695</v>
      </c>
      <c r="K88" s="68">
        <f t="shared" si="9"/>
        <v>4.0931649138709197E-2</v>
      </c>
      <c r="L88" s="4" t="s">
        <v>32</v>
      </c>
      <c r="M88" s="36" t="s">
        <v>32</v>
      </c>
    </row>
    <row r="89" spans="1:13">
      <c r="A89" s="2" t="s">
        <v>5</v>
      </c>
      <c r="B89" s="93">
        <f t="shared" si="7"/>
        <v>0.65</v>
      </c>
      <c r="C89" s="95">
        <v>2.2847812377585949E-4</v>
      </c>
      <c r="D89" s="100">
        <v>4.3217834773290006E-5</v>
      </c>
      <c r="E89" s="97">
        <f t="shared" si="8"/>
        <v>2.7169595854914953E-4</v>
      </c>
      <c r="F89" s="97">
        <v>7.9097550512989914E-4</v>
      </c>
      <c r="G89" s="26"/>
      <c r="H89" s="105" t="s">
        <v>19</v>
      </c>
      <c r="J89" s="68">
        <v>5.4624984876069024E-3</v>
      </c>
      <c r="K89" s="65">
        <v>0</v>
      </c>
      <c r="L89" s="13" t="s">
        <v>32</v>
      </c>
      <c r="M89" s="36" t="s">
        <v>32</v>
      </c>
    </row>
    <row r="90" spans="1:13">
      <c r="A90" s="2" t="s">
        <v>88</v>
      </c>
      <c r="B90" s="72">
        <f t="shared" si="7"/>
        <v>83.4</v>
      </c>
      <c r="C90" s="68">
        <v>1.4542359077057901E-2</v>
      </c>
      <c r="D90" s="92">
        <v>1.7089574693117241E-3</v>
      </c>
      <c r="E90" s="90">
        <f t="shared" si="8"/>
        <v>1.6251316546369625E-2</v>
      </c>
      <c r="F90" s="90">
        <v>3.1888950901088384E-2</v>
      </c>
      <c r="G90" s="26"/>
      <c r="H90" s="105">
        <v>0.91882797837020791</v>
      </c>
      <c r="J90" s="65">
        <v>26.491813021051662</v>
      </c>
      <c r="K90" s="68">
        <f t="shared" si="9"/>
        <v>2.4341419001494446E-2</v>
      </c>
      <c r="L90" s="13" t="s">
        <v>32</v>
      </c>
      <c r="M90" s="36" t="s">
        <v>32</v>
      </c>
    </row>
    <row r="91" spans="1:13">
      <c r="A91" s="2" t="s">
        <v>95</v>
      </c>
      <c r="B91" s="72">
        <f t="shared" si="7"/>
        <v>113.22396900000001</v>
      </c>
      <c r="C91" s="92">
        <v>6.5147317588695117E-3</v>
      </c>
      <c r="D91" s="92">
        <v>1.1503777033363663E-3</v>
      </c>
      <c r="E91" s="90">
        <f t="shared" si="8"/>
        <v>7.6651094622058775E-3</v>
      </c>
      <c r="F91" s="90">
        <v>6.710475206141161E-3</v>
      </c>
      <c r="G91" s="26"/>
      <c r="H91" s="105">
        <v>1.034397309434508</v>
      </c>
      <c r="J91" s="65">
        <v>10.85139209757603</v>
      </c>
      <c r="K91" s="68">
        <f t="shared" si="9"/>
        <v>1.1224650789351526E-2</v>
      </c>
      <c r="L91" s="13" t="s">
        <v>32</v>
      </c>
      <c r="M91" s="36" t="s">
        <v>32</v>
      </c>
    </row>
    <row r="92" spans="1:13">
      <c r="A92" s="2" t="s">
        <v>125</v>
      </c>
      <c r="B92" s="72">
        <f t="shared" si="7"/>
        <v>1057.16425</v>
      </c>
      <c r="C92" s="68">
        <v>0.10846918993433408</v>
      </c>
      <c r="D92" s="92">
        <v>6.8280972760533876E-3</v>
      </c>
      <c r="E92" s="90">
        <f t="shared" si="8"/>
        <v>0.11529728721038747</v>
      </c>
      <c r="F92" s="90">
        <v>0.10226366116275711</v>
      </c>
      <c r="G92" s="26"/>
      <c r="H92" s="105">
        <v>1.788201897608543</v>
      </c>
      <c r="J92" s="65">
        <v>116.94685051273001</v>
      </c>
      <c r="K92" s="68">
        <f t="shared" si="9"/>
        <v>0.2091245800062064</v>
      </c>
      <c r="L92" s="13" t="s">
        <v>32</v>
      </c>
      <c r="M92" s="36" t="s">
        <v>32</v>
      </c>
    </row>
    <row r="93" spans="1:13">
      <c r="A93" s="62" t="s">
        <v>128</v>
      </c>
      <c r="B93" s="93">
        <f t="shared" si="7"/>
        <v>8.4</v>
      </c>
      <c r="C93" s="95">
        <v>4.0068006984511731E-4</v>
      </c>
      <c r="D93" s="95">
        <v>1.5384913326591684E-4</v>
      </c>
      <c r="E93" s="97">
        <f t="shared" si="8"/>
        <v>5.5452920311103418E-4</v>
      </c>
      <c r="F93" s="97">
        <v>5.0903471395190747E-4</v>
      </c>
      <c r="G93" s="26"/>
      <c r="H93" s="105">
        <v>5.72286241232311</v>
      </c>
      <c r="J93" s="79">
        <v>0.12254612075933179</v>
      </c>
      <c r="K93" s="68">
        <f t="shared" si="9"/>
        <v>7.0131458826958872E-4</v>
      </c>
      <c r="L93" s="13" t="s">
        <v>32</v>
      </c>
      <c r="M93" s="36" t="s">
        <v>32</v>
      </c>
    </row>
    <row r="94" spans="1:13">
      <c r="A94" s="62" t="s">
        <v>247</v>
      </c>
      <c r="B94" s="93"/>
      <c r="C94" s="95"/>
      <c r="D94" s="95"/>
      <c r="E94" s="97"/>
      <c r="F94" s="97"/>
      <c r="G94" s="26"/>
      <c r="H94" s="105"/>
      <c r="J94" s="79"/>
      <c r="K94" s="68"/>
      <c r="L94" s="13"/>
      <c r="M94" s="36"/>
    </row>
    <row r="95" spans="1:13">
      <c r="A95" s="2" t="s">
        <v>253</v>
      </c>
      <c r="B95" s="146">
        <f>SUM(B85:B93)</f>
        <v>2014.6275586471181</v>
      </c>
      <c r="C95" s="39">
        <f>SUM(C85:C90)</f>
        <v>0.15349717669526694</v>
      </c>
      <c r="D95" s="23">
        <f>SUM(D85:D89)</f>
        <v>1.4389611966289597E-2</v>
      </c>
      <c r="E95" s="34">
        <f>SUM(E85:E93)</f>
        <v>0.29311267200657265</v>
      </c>
      <c r="F95" s="34">
        <f>SUM(F85:F93)</f>
        <v>0.30492689844824122</v>
      </c>
      <c r="G95" s="26"/>
      <c r="H95" s="152"/>
      <c r="I95" s="10" t="s">
        <v>26</v>
      </c>
      <c r="J95" s="128">
        <f>SUM(J85:J92)</f>
        <v>233.28346316644766</v>
      </c>
      <c r="K95" s="39">
        <f>SUM(K85:K88)</f>
        <v>0.30612255260431076</v>
      </c>
      <c r="L95" s="11" t="s">
        <v>32</v>
      </c>
      <c r="M95" s="36" t="s">
        <v>32</v>
      </c>
    </row>
    <row r="96" spans="1:13">
      <c r="A96" s="2" t="s">
        <v>253</v>
      </c>
      <c r="C96" s="33"/>
      <c r="D96" s="33"/>
      <c r="E96" s="33"/>
      <c r="F96" s="33"/>
      <c r="G96" s="26"/>
      <c r="H96" s="151">
        <v>2.8</v>
      </c>
      <c r="I96" s="87" t="s">
        <v>263</v>
      </c>
      <c r="J96" s="128">
        <f>SUM(J85:J92)</f>
        <v>233.28346316644766</v>
      </c>
      <c r="K96" s="39">
        <f>J96*H96/1000</f>
        <v>0.65319369686605344</v>
      </c>
      <c r="L96" s="11" t="s">
        <v>32</v>
      </c>
      <c r="M96" s="36" t="s">
        <v>32</v>
      </c>
    </row>
  </sheetData>
  <mergeCells count="2">
    <mergeCell ref="A1:M1"/>
    <mergeCell ref="A2:M2"/>
  </mergeCells>
  <pageMargins left="0.7" right="0.7" top="0.75" bottom="0.75" header="0.3" footer="0.3"/>
  <pageSetup scale="63" orientation="portrait" verticalDpi="1200" r:id="rId1"/>
  <headerFooter>
    <oddHeader>&amp;LDraft Open-File Report&amp;RU.S. GEOLOGICAL SURVEY</oddHeader>
    <oddFooter>&amp;LPRELIMINARY - SUBJECT TO REVISION&amp;ROctober 21, 2019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8C5D4-81B4-4B02-A163-BF8D1C8B25B5}">
  <sheetPr>
    <pageSetUpPr fitToPage="1"/>
  </sheetPr>
  <dimension ref="A1:M96"/>
  <sheetViews>
    <sheetView topLeftCell="A16" workbookViewId="0">
      <selection activeCell="E35" sqref="E35"/>
    </sheetView>
  </sheetViews>
  <sheetFormatPr baseColWidth="10" defaultColWidth="8.83203125" defaultRowHeight="15"/>
  <cols>
    <col min="1" max="1" width="19" customWidth="1"/>
    <col min="3" max="3" width="10.5" customWidth="1"/>
    <col min="5" max="5" width="10" bestFit="1" customWidth="1"/>
    <col min="6" max="6" width="10.5" customWidth="1"/>
    <col min="7" max="7" width="2.1640625" customWidth="1"/>
    <col min="8" max="8" width="2.5" customWidth="1"/>
    <col min="9" max="9" width="4.5" customWidth="1"/>
    <col min="11" max="11" width="9.5" bestFit="1" customWidth="1"/>
    <col min="13" max="13" width="10" bestFit="1" customWidth="1"/>
  </cols>
  <sheetData>
    <row r="1" spans="1:13" ht="36.75" customHeight="1">
      <c r="A1" s="618" t="s">
        <v>223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</row>
    <row r="2" spans="1:13" ht="79" customHeight="1">
      <c r="A2" s="619" t="s">
        <v>225</v>
      </c>
      <c r="B2" s="619"/>
      <c r="C2" s="619"/>
      <c r="D2" s="619"/>
      <c r="E2" s="619"/>
      <c r="F2" s="619"/>
      <c r="G2" s="619"/>
      <c r="H2" s="619"/>
      <c r="I2" s="619"/>
      <c r="J2" s="619"/>
      <c r="K2" s="619"/>
      <c r="L2" s="619"/>
      <c r="M2" s="619"/>
    </row>
    <row r="4" spans="1:13">
      <c r="B4" s="42" t="s">
        <v>27</v>
      </c>
      <c r="C4" s="40" t="s">
        <v>62</v>
      </c>
      <c r="D4" s="40" t="s">
        <v>63</v>
      </c>
      <c r="E4" s="249" t="s">
        <v>64</v>
      </c>
      <c r="F4" s="249" t="s">
        <v>65</v>
      </c>
      <c r="G4" s="43"/>
      <c r="H4" s="44"/>
      <c r="I4" s="44"/>
      <c r="J4" s="40" t="s">
        <v>16</v>
      </c>
      <c r="K4" s="40" t="s">
        <v>66</v>
      </c>
      <c r="L4" s="40" t="s">
        <v>17</v>
      </c>
      <c r="M4" s="40" t="s">
        <v>67</v>
      </c>
    </row>
    <row r="5" spans="1:13">
      <c r="B5" s="249" t="s">
        <v>30</v>
      </c>
      <c r="C5" s="249" t="s">
        <v>218</v>
      </c>
      <c r="D5" s="249" t="s">
        <v>35</v>
      </c>
      <c r="E5" s="249" t="s">
        <v>35</v>
      </c>
      <c r="F5" s="249" t="s">
        <v>35</v>
      </c>
      <c r="G5" s="43"/>
      <c r="H5" s="44"/>
      <c r="I5" s="44"/>
      <c r="J5" s="249" t="s">
        <v>35</v>
      </c>
      <c r="K5" s="249" t="s">
        <v>35</v>
      </c>
      <c r="L5" s="249" t="s">
        <v>35</v>
      </c>
      <c r="M5" s="249" t="s">
        <v>35</v>
      </c>
    </row>
    <row r="6" spans="1:13" ht="48" customHeight="1">
      <c r="A6" s="17"/>
      <c r="B6" s="248" t="s">
        <v>28</v>
      </c>
      <c r="C6" s="18" t="s">
        <v>8</v>
      </c>
      <c r="D6" s="18" t="s">
        <v>8</v>
      </c>
      <c r="E6" s="266" t="s">
        <v>8</v>
      </c>
      <c r="F6" s="248" t="s">
        <v>8</v>
      </c>
      <c r="G6" s="190"/>
      <c r="H6" s="194"/>
      <c r="I6" s="192"/>
      <c r="J6" s="18" t="s">
        <v>13</v>
      </c>
      <c r="K6" s="267" t="s">
        <v>8</v>
      </c>
      <c r="L6" s="18" t="s">
        <v>13</v>
      </c>
      <c r="M6" s="18" t="s">
        <v>8</v>
      </c>
    </row>
    <row r="7" spans="1:13" ht="16">
      <c r="A7" s="1" t="s">
        <v>257</v>
      </c>
      <c r="C7" s="6"/>
      <c r="D7" s="6"/>
      <c r="H7" s="6"/>
    </row>
    <row r="8" spans="1:13">
      <c r="A8" s="62" t="s">
        <v>88</v>
      </c>
      <c r="C8" s="6"/>
      <c r="D8" s="6"/>
      <c r="H8" s="6"/>
    </row>
    <row r="9" spans="1:13">
      <c r="A9" s="62" t="s">
        <v>95</v>
      </c>
      <c r="C9" s="6"/>
      <c r="D9" s="6"/>
      <c r="H9" s="6"/>
    </row>
    <row r="10" spans="1:13">
      <c r="A10" s="62" t="s">
        <v>125</v>
      </c>
      <c r="C10" s="6"/>
      <c r="D10" s="6"/>
      <c r="H10" s="6"/>
    </row>
    <row r="11" spans="1:13">
      <c r="A11" s="62" t="s">
        <v>128</v>
      </c>
      <c r="C11" s="6"/>
      <c r="D11" s="6"/>
      <c r="H11" s="6"/>
    </row>
    <row r="12" spans="1:13">
      <c r="A12" s="62" t="s">
        <v>247</v>
      </c>
      <c r="C12" s="6"/>
      <c r="D12" s="6"/>
      <c r="H12" s="6"/>
    </row>
    <row r="13" spans="1:13">
      <c r="A13" s="2" t="s">
        <v>258</v>
      </c>
      <c r="C13" s="6"/>
      <c r="D13" s="6"/>
      <c r="H13" s="6"/>
      <c r="I13" s="10" t="s">
        <v>26</v>
      </c>
    </row>
    <row r="14" spans="1:13">
      <c r="A14" s="2" t="s">
        <v>258</v>
      </c>
      <c r="C14" s="6"/>
      <c r="D14" s="6"/>
      <c r="H14" s="6"/>
      <c r="I14" s="87" t="s">
        <v>265</v>
      </c>
    </row>
    <row r="15" spans="1:13" ht="16">
      <c r="A15" s="1" t="s">
        <v>255</v>
      </c>
      <c r="C15" s="6"/>
      <c r="D15" s="6"/>
      <c r="H15" s="6"/>
    </row>
    <row r="16" spans="1:13">
      <c r="A16" s="62" t="s">
        <v>125</v>
      </c>
      <c r="C16" s="6"/>
      <c r="D16" s="6"/>
      <c r="H16" s="6"/>
    </row>
    <row r="17" spans="1:13">
      <c r="A17" s="62" t="s">
        <v>128</v>
      </c>
      <c r="C17" s="6"/>
      <c r="D17" s="6"/>
      <c r="H17" s="6"/>
    </row>
    <row r="18" spans="1:13">
      <c r="A18" s="62" t="s">
        <v>247</v>
      </c>
      <c r="C18" s="6"/>
      <c r="D18" s="6"/>
      <c r="H18" s="6"/>
    </row>
    <row r="19" spans="1:13">
      <c r="A19" s="2" t="s">
        <v>256</v>
      </c>
      <c r="C19" s="6"/>
      <c r="D19" s="6"/>
      <c r="H19" s="6"/>
      <c r="I19" s="10" t="s">
        <v>26</v>
      </c>
    </row>
    <row r="20" spans="1:13">
      <c r="A20" s="2" t="s">
        <v>256</v>
      </c>
      <c r="C20" s="6"/>
      <c r="D20" s="6"/>
      <c r="H20" s="6"/>
      <c r="I20" s="87" t="s">
        <v>242</v>
      </c>
    </row>
    <row r="21" spans="1:13" ht="16">
      <c r="A21" s="1" t="s">
        <v>0</v>
      </c>
      <c r="C21" s="6"/>
      <c r="D21" s="6"/>
      <c r="H21" s="6"/>
    </row>
    <row r="22" spans="1:13">
      <c r="A22" s="2" t="s">
        <v>1</v>
      </c>
      <c r="B22" s="72">
        <v>204.980803196007</v>
      </c>
      <c r="C22" s="109">
        <f>'T12a. MeHg SE 2010-18'!C22/'T9a. MeHg loads daily calib'!C22</f>
        <v>0.19328277236054567</v>
      </c>
      <c r="D22" s="260">
        <v>0.21500129658301062</v>
      </c>
      <c r="E22" s="183">
        <f>'T12a. MeHg SE 2010-18'!E22/'T9a. MeHg loads daily calib'!E22</f>
        <v>0.18776554316608304</v>
      </c>
      <c r="F22" s="183">
        <f>'T12a. MeHg SE 2010-18'!F22/'T9a. MeHg loads daily calib'!F22</f>
        <v>0.1312846243380531</v>
      </c>
      <c r="G22" s="26"/>
      <c r="H22" s="31"/>
      <c r="I22" s="10"/>
      <c r="J22" s="56">
        <f>'T12a. MeHg SE 2010-18'!J22/'T9a. MeHg loads daily calib'!K22</f>
        <v>0.13592119100210587</v>
      </c>
      <c r="K22" s="109">
        <f>'T12a. MeHg SE 2010-18'!K22/'T9a. MeHg loads daily calib'!L22</f>
        <v>0.1359211910021059</v>
      </c>
      <c r="L22" s="4" t="s">
        <v>32</v>
      </c>
      <c r="M22" s="4" t="s">
        <v>32</v>
      </c>
    </row>
    <row r="23" spans="1:13">
      <c r="A23" s="2" t="s">
        <v>2</v>
      </c>
      <c r="B23" s="72">
        <v>485</v>
      </c>
      <c r="C23" s="109">
        <f>'T12a. MeHg SE 2010-18'!C23/'T9a. MeHg loads daily calib'!C23</f>
        <v>0.1897729328239354</v>
      </c>
      <c r="D23" s="260">
        <v>0.21500129658301062</v>
      </c>
      <c r="E23" s="183">
        <f>'T12a. MeHg SE 2010-18'!E23/'T9a. MeHg loads daily calib'!E23</f>
        <v>0.18648681246868956</v>
      </c>
      <c r="F23" s="183">
        <f>'T12a. MeHg SE 2010-18'!F23/'T9a. MeHg loads daily calib'!F23</f>
        <v>0.25969367489938688</v>
      </c>
      <c r="G23" s="26"/>
      <c r="H23" s="31"/>
      <c r="I23" s="10"/>
      <c r="J23" s="56">
        <f>'T12a. MeHg SE 2010-18'!J23/'T9a. MeHg loads daily calib'!K23</f>
        <v>0.14457734475924397</v>
      </c>
      <c r="K23" s="109">
        <f>'T12a. MeHg SE 2010-18'!K23/'T9a. MeHg loads daily calib'!L23</f>
        <v>0.14457734475924397</v>
      </c>
      <c r="L23" s="4" t="s">
        <v>32</v>
      </c>
      <c r="M23" s="4" t="s">
        <v>32</v>
      </c>
    </row>
    <row r="24" spans="1:13">
      <c r="A24" s="2" t="s">
        <v>3</v>
      </c>
      <c r="B24" s="72">
        <v>36.921198227783513</v>
      </c>
      <c r="C24" s="109">
        <f>'T12a. MeHg SE 2010-18'!C24/'T9a. MeHg loads daily calib'!C24</f>
        <v>0.11847606322606276</v>
      </c>
      <c r="D24" s="260">
        <v>0.19582123256339276</v>
      </c>
      <c r="E24" s="183">
        <f>'T12a. MeHg SE 2010-18'!E24/'T9a. MeHg loads daily calib'!E24</f>
        <v>0.11403393475244324</v>
      </c>
      <c r="F24" s="183">
        <f>'T12a. MeHg SE 2010-18'!F24/'T9a. MeHg loads daily calib'!F24</f>
        <v>0.64622567342064074</v>
      </c>
      <c r="G24" s="26"/>
      <c r="H24" s="31"/>
      <c r="I24" s="10"/>
      <c r="J24" s="56">
        <f>'T12a. MeHg SE 2010-18'!J24/'T9a. MeHg loads daily calib'!K24</f>
        <v>0.10036368798263558</v>
      </c>
      <c r="K24" s="109">
        <f>'T12a. MeHg SE 2010-18'!K24/'T9a. MeHg loads daily calib'!L24</f>
        <v>0.10036368798263558</v>
      </c>
      <c r="L24" s="4" t="s">
        <v>32</v>
      </c>
      <c r="M24" s="4" t="s">
        <v>32</v>
      </c>
    </row>
    <row r="25" spans="1:13">
      <c r="A25" s="2" t="s">
        <v>4</v>
      </c>
      <c r="B25" s="72">
        <v>117.21609517589853</v>
      </c>
      <c r="C25" s="109">
        <f>'T12a. MeHg SE 2010-18'!C25/'T9a. MeHg loads daily calib'!C25</f>
        <v>0.16563318248908718</v>
      </c>
      <c r="D25" s="260">
        <v>0.11300676600634843</v>
      </c>
      <c r="E25" s="183">
        <f>'T12a. MeHg SE 2010-18'!E25/'T9a. MeHg loads daily calib'!E25</f>
        <v>0.15988694901379921</v>
      </c>
      <c r="F25" s="183">
        <f>'T12a. MeHg SE 2010-18'!F25/'T9a. MeHg loads daily calib'!F25</f>
        <v>0.39375231578879238</v>
      </c>
      <c r="G25" s="26"/>
      <c r="H25" s="31"/>
      <c r="I25" s="10"/>
      <c r="J25" s="56">
        <f>'T12a. MeHg SE 2010-18'!J25/'T9a. MeHg loads daily calib'!K25</f>
        <v>0.28088554732881638</v>
      </c>
      <c r="K25" s="109">
        <f>'T12a. MeHg SE 2010-18'!K25/'T9a. MeHg loads daily calib'!L25</f>
        <v>0.28088554732881638</v>
      </c>
      <c r="L25" s="4" t="s">
        <v>32</v>
      </c>
      <c r="M25" s="4" t="s">
        <v>32</v>
      </c>
    </row>
    <row r="26" spans="1:13">
      <c r="A26" s="2" t="s">
        <v>5</v>
      </c>
      <c r="B26" s="72">
        <v>3</v>
      </c>
      <c r="C26" s="109">
        <f>'T12a. MeHg SE 2010-18'!C26/'T9a. MeHg loads daily calib'!C26</f>
        <v>0.20978397971760457</v>
      </c>
      <c r="D26" s="260">
        <v>0.15131077203381554</v>
      </c>
      <c r="E26" s="183">
        <f>'T12a. MeHg SE 2010-18'!E26/'T9a. MeHg loads daily calib'!E26</f>
        <v>0.19213561179024685</v>
      </c>
      <c r="F26" s="183">
        <f>'T12a. MeHg SE 2010-18'!F26/'T9a. MeHg loads daily calib'!F26</f>
        <v>0.7395612527858314</v>
      </c>
      <c r="G26" s="26"/>
      <c r="H26" s="31"/>
      <c r="I26" s="10"/>
      <c r="J26" s="56">
        <f>'T12a. MeHg SE 2010-18'!J26/'T9a. MeHg loads daily calib'!K26</f>
        <v>0.10818600364266608</v>
      </c>
      <c r="K26" s="109" t="s">
        <v>32</v>
      </c>
      <c r="L26" s="13" t="s">
        <v>32</v>
      </c>
      <c r="M26" s="4" t="s">
        <v>32</v>
      </c>
    </row>
    <row r="27" spans="1:13">
      <c r="A27" s="2" t="s">
        <v>88</v>
      </c>
      <c r="B27" s="72">
        <v>86</v>
      </c>
      <c r="C27" s="109">
        <f>'T12a. MeHg SE 2010-18'!C27/'T9a. MeHg loads daily calib'!C27</f>
        <v>0.28902491117770468</v>
      </c>
      <c r="D27" s="260">
        <v>0.17557684217280659</v>
      </c>
      <c r="E27" s="183">
        <f>'T12a. MeHg SE 2010-18'!E27/'T9a. MeHg loads daily calib'!E27</f>
        <v>0.2826933763723779</v>
      </c>
      <c r="F27" s="183">
        <f>'T12a. MeHg SE 2010-18'!F27/'T9a. MeHg loads daily calib'!F27</f>
        <v>0.32852346165148349</v>
      </c>
      <c r="G27" s="26"/>
      <c r="H27" s="31"/>
      <c r="I27" s="10"/>
      <c r="J27" s="56">
        <f>'T12a. MeHg SE 2010-18'!J27/'T9a. MeHg loads daily calib'!K27</f>
        <v>0.3271424677153057</v>
      </c>
      <c r="K27" s="109">
        <f>'T12a. MeHg SE 2010-18'!K27/'T9a. MeHg loads daily calib'!L27</f>
        <v>0.32714246771530575</v>
      </c>
      <c r="L27" s="13" t="s">
        <v>32</v>
      </c>
      <c r="M27" s="4" t="s">
        <v>32</v>
      </c>
    </row>
    <row r="28" spans="1:13">
      <c r="A28" s="2" t="s">
        <v>95</v>
      </c>
      <c r="B28" s="72">
        <v>140.84107579462102</v>
      </c>
      <c r="C28" s="109">
        <f>'T12a. MeHg SE 2010-18'!C28/'T9a. MeHg loads daily calib'!C28</f>
        <v>0.10496083749273651</v>
      </c>
      <c r="D28" s="260">
        <v>0.23399428061329541</v>
      </c>
      <c r="E28" s="183">
        <f>'T12a. MeHg SE 2010-18'!E28/'T9a. MeHg loads daily calib'!E28</f>
        <v>0.10629499534863035</v>
      </c>
      <c r="F28" s="183">
        <f>'T12a. MeHg SE 2010-18'!F28/'T9a. MeHg loads daily calib'!F28</f>
        <v>0.18180475754384856</v>
      </c>
      <c r="G28" s="26"/>
      <c r="H28" s="31"/>
      <c r="I28" s="10"/>
      <c r="J28" s="56">
        <f>'T12a. MeHg SE 2010-18'!J28/'T9a. MeHg loads daily calib'!K28</f>
        <v>0.20536632036312558</v>
      </c>
      <c r="K28" s="109">
        <f>'T12a. MeHg SE 2010-18'!K28/'T9a. MeHg loads daily calib'!L28</f>
        <v>0.20536632036312558</v>
      </c>
      <c r="L28" s="13" t="s">
        <v>32</v>
      </c>
      <c r="M28" s="4" t="s">
        <v>32</v>
      </c>
    </row>
    <row r="29" spans="1:13">
      <c r="A29" s="2" t="s">
        <v>125</v>
      </c>
      <c r="B29" s="72">
        <v>1043</v>
      </c>
      <c r="C29" s="109">
        <f>'T12a. MeHg SE 2010-18'!C29/'T9a. MeHg loads daily calib'!C29</f>
        <v>0.21818899074568018</v>
      </c>
      <c r="D29" s="260">
        <v>0.13793385500653502</v>
      </c>
      <c r="E29" s="183">
        <f>'T12a. MeHg SE 2010-18'!E29/'T9a. MeHg loads daily calib'!E29</f>
        <v>0.2170746783780089</v>
      </c>
      <c r="F29" s="183">
        <f>'T12a. MeHg SE 2010-18'!F29/'T9a. MeHg loads daily calib'!F29</f>
        <v>0.15491126996095531</v>
      </c>
      <c r="G29" s="26"/>
      <c r="H29" s="31"/>
      <c r="I29" s="10"/>
      <c r="J29" s="56">
        <f>'T12a. MeHg SE 2010-18'!J29/'T9a. MeHg loads daily calib'!K29</f>
        <v>0.19364462337341534</v>
      </c>
      <c r="K29" s="109">
        <f>'T12a. MeHg SE 2010-18'!K29/'T9a. MeHg loads daily calib'!L29</f>
        <v>0.19364462337341537</v>
      </c>
      <c r="L29" s="13" t="s">
        <v>32</v>
      </c>
      <c r="M29" s="4" t="s">
        <v>32</v>
      </c>
    </row>
    <row r="30" spans="1:13">
      <c r="A30" s="2" t="s">
        <v>261</v>
      </c>
      <c r="B30" s="146">
        <f>SUM(B22:B29)</f>
        <v>2116.9591723943099</v>
      </c>
      <c r="C30" s="256">
        <f>'T12a. MeHg SE 2010-18'!C30/'T9a. MeHg loads daily calib'!C30</f>
        <v>0.19919120196613449</v>
      </c>
      <c r="D30" s="261">
        <v>0.28589743589743594</v>
      </c>
      <c r="E30" s="58">
        <f>'T12a. MeHg SE 2010-18'!E30/'T9a. MeHg loads daily calib'!E30</f>
        <v>0.19655951118949683</v>
      </c>
      <c r="F30" s="58">
        <f>'T12a. MeHg SE 2010-18'!F30/'T9a. MeHg loads daily calib'!F30</f>
        <v>0.20740482754275447</v>
      </c>
      <c r="G30" s="26"/>
      <c r="H30" s="264"/>
      <c r="I30" s="10" t="s">
        <v>26</v>
      </c>
      <c r="J30" s="257">
        <f>'T12a. MeHg SE 2010-18'!J30/'T9a. MeHg loads daily calib'!K30</f>
        <v>0.18430507292053727</v>
      </c>
      <c r="K30" s="56">
        <f>'T12a. MeHg SE 2010-18'!K30/'T9a. MeHg loads daily calib'!L30</f>
        <v>0.17463323589412227</v>
      </c>
      <c r="L30" s="11" t="s">
        <v>32</v>
      </c>
      <c r="M30" s="4" t="s">
        <v>32</v>
      </c>
    </row>
    <row r="31" spans="1:13">
      <c r="A31" s="2" t="s">
        <v>261</v>
      </c>
      <c r="C31" s="33"/>
      <c r="D31" s="33"/>
      <c r="E31" s="33"/>
      <c r="F31" s="33"/>
      <c r="G31" s="26"/>
      <c r="H31" s="265"/>
      <c r="I31" s="87" t="s">
        <v>264</v>
      </c>
      <c r="J31" s="257">
        <f>'T12a. MeHg SE 2010-18'!J31/'T9a. MeHg loads daily calib'!K31</f>
        <v>0.18430507292053727</v>
      </c>
      <c r="K31" s="56">
        <f>'T12a. MeHg SE 2010-18'!K31/'T9a. MeHg loads daily calib'!L31</f>
        <v>0.18430507292053727</v>
      </c>
      <c r="L31" s="11" t="s">
        <v>32</v>
      </c>
      <c r="M31" s="4" t="s">
        <v>32</v>
      </c>
    </row>
    <row r="32" spans="1:13">
      <c r="A32" s="331" t="s">
        <v>260</v>
      </c>
      <c r="C32" s="33"/>
      <c r="D32" s="33"/>
      <c r="E32" s="33"/>
      <c r="F32" s="33"/>
      <c r="G32" s="26"/>
      <c r="H32" s="265"/>
      <c r="I32" s="6"/>
      <c r="J32" s="334"/>
      <c r="K32" s="66"/>
      <c r="L32" s="333"/>
      <c r="M32" s="31"/>
    </row>
    <row r="33" spans="1:13">
      <c r="A33" s="2" t="s">
        <v>1</v>
      </c>
      <c r="C33" s="33"/>
      <c r="D33" s="33"/>
      <c r="E33" s="33"/>
      <c r="F33" s="33"/>
      <c r="G33" s="26"/>
      <c r="H33" s="265"/>
      <c r="I33" s="27"/>
      <c r="J33" s="334"/>
      <c r="K33" s="66"/>
      <c r="L33" s="333"/>
      <c r="M33" s="31"/>
    </row>
    <row r="34" spans="1:13">
      <c r="A34" s="2" t="s">
        <v>2</v>
      </c>
      <c r="C34" s="33"/>
      <c r="D34" s="33"/>
      <c r="E34" s="33"/>
      <c r="F34" s="33"/>
      <c r="G34" s="26"/>
      <c r="H34" s="265"/>
      <c r="I34" s="27"/>
      <c r="J34" s="334"/>
      <c r="K34" s="66"/>
      <c r="L34" s="333"/>
      <c r="M34" s="31"/>
    </row>
    <row r="35" spans="1:13">
      <c r="A35" s="2" t="s">
        <v>3</v>
      </c>
      <c r="C35" s="33"/>
      <c r="D35" s="33"/>
      <c r="E35" s="33"/>
      <c r="F35" s="33"/>
      <c r="G35" s="26"/>
      <c r="H35" s="265"/>
      <c r="I35" s="27"/>
      <c r="J35" s="334"/>
      <c r="K35" s="66"/>
      <c r="L35" s="333"/>
      <c r="M35" s="31"/>
    </row>
    <row r="36" spans="1:13">
      <c r="A36" s="2" t="s">
        <v>4</v>
      </c>
      <c r="C36" s="33"/>
      <c r="D36" s="33"/>
      <c r="E36" s="33"/>
      <c r="F36" s="33"/>
      <c r="G36" s="26"/>
      <c r="H36" s="265"/>
      <c r="I36" s="27"/>
      <c r="J36" s="334"/>
      <c r="K36" s="66"/>
      <c r="L36" s="333"/>
      <c r="M36" s="31"/>
    </row>
    <row r="37" spans="1:13">
      <c r="A37" s="2" t="s">
        <v>5</v>
      </c>
      <c r="C37" s="33"/>
      <c r="D37" s="33"/>
      <c r="E37" s="33"/>
      <c r="F37" s="33"/>
      <c r="G37" s="26"/>
      <c r="H37" s="265"/>
      <c r="I37" s="27"/>
      <c r="J37" s="334"/>
      <c r="K37" s="66"/>
      <c r="L37" s="333"/>
      <c r="M37" s="31"/>
    </row>
    <row r="38" spans="1:13">
      <c r="A38" s="2" t="s">
        <v>88</v>
      </c>
      <c r="C38" s="33"/>
      <c r="D38" s="33"/>
      <c r="E38" s="33"/>
      <c r="F38" s="33"/>
      <c r="G38" s="26"/>
      <c r="H38" s="265"/>
      <c r="I38" s="27"/>
      <c r="J38" s="334"/>
      <c r="K38" s="66"/>
      <c r="L38" s="333"/>
      <c r="M38" s="31"/>
    </row>
    <row r="39" spans="1:13">
      <c r="A39" s="62" t="s">
        <v>95</v>
      </c>
      <c r="C39" s="33"/>
      <c r="D39" s="33"/>
      <c r="E39" s="33"/>
      <c r="F39" s="33"/>
      <c r="G39" s="26"/>
      <c r="H39" s="265"/>
      <c r="I39" s="27"/>
      <c r="J39" s="334"/>
      <c r="K39" s="66"/>
      <c r="L39" s="333"/>
      <c r="M39" s="31"/>
    </row>
    <row r="40" spans="1:13">
      <c r="A40" s="62" t="s">
        <v>125</v>
      </c>
      <c r="C40" s="33"/>
      <c r="D40" s="33"/>
      <c r="E40" s="33"/>
      <c r="F40" s="33"/>
      <c r="G40" s="26"/>
      <c r="H40" s="265"/>
      <c r="I40" s="27"/>
      <c r="J40" s="334"/>
      <c r="K40" s="66"/>
      <c r="L40" s="333"/>
      <c r="M40" s="31"/>
    </row>
    <row r="41" spans="1:13">
      <c r="A41" s="129" t="s">
        <v>128</v>
      </c>
      <c r="C41" s="33"/>
      <c r="D41" s="33"/>
      <c r="E41" s="33"/>
      <c r="F41" s="33"/>
      <c r="G41" s="26"/>
      <c r="H41" s="265"/>
      <c r="I41" s="27"/>
      <c r="J41" s="334"/>
      <c r="K41" s="66"/>
      <c r="L41" s="333"/>
      <c r="M41" s="31"/>
    </row>
    <row r="42" spans="1:13">
      <c r="A42" s="62" t="s">
        <v>247</v>
      </c>
      <c r="C42" s="33"/>
      <c r="D42" s="33"/>
      <c r="E42" s="33"/>
      <c r="F42" s="33"/>
      <c r="G42" s="26"/>
      <c r="H42" s="265"/>
      <c r="I42" s="27"/>
      <c r="J42" s="334"/>
      <c r="K42" s="66"/>
      <c r="L42" s="333"/>
      <c r="M42" s="31"/>
    </row>
    <row r="43" spans="1:13">
      <c r="A43" s="2" t="s">
        <v>253</v>
      </c>
      <c r="C43" s="33"/>
      <c r="D43" s="33"/>
      <c r="E43" s="33"/>
      <c r="F43" s="33"/>
      <c r="G43" s="26"/>
      <c r="H43" s="265"/>
      <c r="I43" s="10" t="s">
        <v>26</v>
      </c>
      <c r="J43" s="334"/>
      <c r="K43" s="66"/>
      <c r="L43" s="333"/>
      <c r="M43" s="31"/>
    </row>
    <row r="44" spans="1:13">
      <c r="A44" s="2" t="s">
        <v>253</v>
      </c>
      <c r="C44" s="33"/>
      <c r="D44" s="33"/>
      <c r="E44" s="33"/>
      <c r="F44" s="33"/>
      <c r="G44" s="26"/>
      <c r="H44" s="265"/>
      <c r="I44" s="87" t="s">
        <v>263</v>
      </c>
      <c r="J44" s="334"/>
      <c r="K44" s="66"/>
      <c r="L44" s="333"/>
      <c r="M44" s="31"/>
    </row>
    <row r="45" spans="1:13" ht="16">
      <c r="A45" s="12" t="s">
        <v>11</v>
      </c>
      <c r="C45" s="26"/>
      <c r="D45" s="26"/>
      <c r="E45" s="26"/>
      <c r="F45" s="26"/>
      <c r="G45" s="26"/>
      <c r="H45" s="6"/>
      <c r="K45" s="26"/>
    </row>
    <row r="46" spans="1:13">
      <c r="A46" s="2" t="s">
        <v>1</v>
      </c>
      <c r="B46" s="72">
        <v>86.403555712866023</v>
      </c>
      <c r="C46" s="109">
        <f>'T12a. MeHg SE 2010-18'!C46/'T9a. MeHg loads daily calib'!C46</f>
        <v>1.0799648738493681</v>
      </c>
      <c r="D46" s="260">
        <v>0.21500129658301062</v>
      </c>
      <c r="E46" s="183">
        <f>'T12a. MeHg SE 2010-18'!E46/'T9a. MeHg loads daily calib'!E46</f>
        <v>0.92728954695103116</v>
      </c>
      <c r="F46" s="183">
        <f>'T12a. MeHg SE 2010-18'!F46/'T9a. MeHg loads daily calib'!F46</f>
        <v>0.36109349134712621</v>
      </c>
      <c r="G46" s="26"/>
      <c r="H46" s="31"/>
      <c r="J46" s="56">
        <f>'T12a. MeHg SE 2010-18'!J46/'T9a. MeHg loads daily calib'!K46</f>
        <v>0.27225580331886878</v>
      </c>
      <c r="K46" s="109">
        <f>'T12a. MeHg SE 2010-18'!K46/'T9a. MeHg loads daily calib'!L46</f>
        <v>0.27225580331886878</v>
      </c>
      <c r="L46" s="4" t="s">
        <v>32</v>
      </c>
      <c r="M46" s="4" t="s">
        <v>32</v>
      </c>
    </row>
    <row r="47" spans="1:13">
      <c r="A47" s="2" t="s">
        <v>2</v>
      </c>
      <c r="B47" s="72">
        <v>360</v>
      </c>
      <c r="C47" s="109">
        <f>'T12a. MeHg SE 2010-18'!C47/'T9a. MeHg loads daily calib'!C47</f>
        <v>1.0076229012437032</v>
      </c>
      <c r="D47" s="260">
        <v>0.21500129658301062</v>
      </c>
      <c r="E47" s="183">
        <f>'T12a. MeHg SE 2010-18'!E47/'T9a. MeHg loads daily calib'!E47</f>
        <v>0.90566181227683717</v>
      </c>
      <c r="F47" s="183">
        <f>'T12a. MeHg SE 2010-18'!F47/'T9a. MeHg loads daily calib'!F47</f>
        <v>0.30174090416809224</v>
      </c>
      <c r="G47" s="26"/>
      <c r="H47" s="31"/>
      <c r="J47" s="56">
        <f>'T12a. MeHg SE 2010-18'!J47/'T9a. MeHg loads daily calib'!K47</f>
        <v>0.15739072662930817</v>
      </c>
      <c r="K47" s="109">
        <f>'T12a. MeHg SE 2010-18'!K47/'T9a. MeHg loads daily calib'!L47</f>
        <v>0.1573907266293082</v>
      </c>
      <c r="L47" s="4" t="s">
        <v>32</v>
      </c>
      <c r="M47" s="4" t="s">
        <v>32</v>
      </c>
    </row>
    <row r="48" spans="1:13">
      <c r="A48" s="2" t="s">
        <v>3</v>
      </c>
      <c r="B48" s="72">
        <v>0</v>
      </c>
      <c r="C48" s="109" t="s">
        <v>32</v>
      </c>
      <c r="D48" s="260" t="s">
        <v>32</v>
      </c>
      <c r="E48" s="183" t="s">
        <v>32</v>
      </c>
      <c r="F48" s="183" t="s">
        <v>32</v>
      </c>
      <c r="G48" s="26"/>
      <c r="H48" s="31"/>
      <c r="J48" s="56" t="s">
        <v>32</v>
      </c>
      <c r="K48" s="109" t="s">
        <v>32</v>
      </c>
      <c r="L48" s="4" t="s">
        <v>32</v>
      </c>
      <c r="M48" s="4" t="s">
        <v>32</v>
      </c>
    </row>
    <row r="49" spans="1:13">
      <c r="A49" s="2" t="s">
        <v>4</v>
      </c>
      <c r="B49" s="72">
        <v>63.341694194967005</v>
      </c>
      <c r="C49" s="109">
        <f>'T12a. MeHg SE 2010-18'!C49/'T9a. MeHg loads daily calib'!C49</f>
        <v>1.8885101840184215</v>
      </c>
      <c r="D49" s="260">
        <v>0.11300676600634843</v>
      </c>
      <c r="E49" s="183">
        <f>'T12a. MeHg SE 2010-18'!E49/'T9a. MeHg loads daily calib'!E49</f>
        <v>1.510099700315592</v>
      </c>
      <c r="F49" s="183">
        <f>'T12a. MeHg SE 2010-18'!F49/'T9a. MeHg loads daily calib'!F49</f>
        <v>9.7916793473585777</v>
      </c>
      <c r="G49" s="26"/>
      <c r="H49" s="31"/>
      <c r="J49" s="56">
        <f>'T12a. MeHg SE 2010-18'!J49/'T9a. MeHg loads daily calib'!K49</f>
        <v>0.58344294216752068</v>
      </c>
      <c r="K49" s="109">
        <f>'T12a. MeHg SE 2010-18'!K49/'T9a. MeHg loads daily calib'!L49</f>
        <v>0.58344294216752068</v>
      </c>
      <c r="L49" s="4" t="s">
        <v>32</v>
      </c>
      <c r="M49" s="4" t="s">
        <v>32</v>
      </c>
    </row>
    <row r="50" spans="1:13">
      <c r="A50" s="2" t="s">
        <v>5</v>
      </c>
      <c r="B50" s="72">
        <v>0</v>
      </c>
      <c r="C50" s="109" t="s">
        <v>32</v>
      </c>
      <c r="D50" s="260" t="s">
        <v>32</v>
      </c>
      <c r="E50" s="183" t="s">
        <v>32</v>
      </c>
      <c r="F50" s="183" t="s">
        <v>32</v>
      </c>
      <c r="G50" s="26"/>
      <c r="H50" s="31"/>
      <c r="J50" s="56" t="s">
        <v>32</v>
      </c>
      <c r="K50" s="109" t="s">
        <v>32</v>
      </c>
      <c r="L50" s="13" t="s">
        <v>32</v>
      </c>
      <c r="M50" s="4" t="s">
        <v>32</v>
      </c>
    </row>
    <row r="51" spans="1:13">
      <c r="A51" s="2" t="s">
        <v>88</v>
      </c>
      <c r="B51" s="72">
        <v>66.400000000000006</v>
      </c>
      <c r="C51" s="109">
        <f>'T12a. MeHg SE 2010-18'!C51/'T9a. MeHg loads daily calib'!C51</f>
        <v>0.74062333765801747</v>
      </c>
      <c r="D51" s="260">
        <v>0.17557684217280659</v>
      </c>
      <c r="E51" s="183">
        <f>'T12a. MeHg SE 2010-18'!E51/'T9a. MeHg loads daily calib'!E51</f>
        <v>0.59730494967736325</v>
      </c>
      <c r="F51" s="183">
        <f>'T12a. MeHg SE 2010-18'!F51/'T9a. MeHg loads daily calib'!F51</f>
        <v>0.5268371207279986</v>
      </c>
      <c r="G51" s="26"/>
      <c r="H51" s="31"/>
      <c r="J51" s="56">
        <f>'T12a. MeHg SE 2010-18'!J51/'T9a. MeHg loads daily calib'!K51</f>
        <v>0.57748781375588609</v>
      </c>
      <c r="K51" s="109">
        <f>'T12a. MeHg SE 2010-18'!K51/'T9a. MeHg loads daily calib'!L51</f>
        <v>0.57748781375588598</v>
      </c>
      <c r="L51" s="13" t="s">
        <v>32</v>
      </c>
      <c r="M51" s="4" t="s">
        <v>32</v>
      </c>
    </row>
    <row r="52" spans="1:13">
      <c r="A52" s="2" t="s">
        <v>95</v>
      </c>
      <c r="B52" s="72">
        <v>61.2</v>
      </c>
      <c r="C52" s="109">
        <f>'T12a. MeHg SE 2010-18'!C52/'T9a. MeHg loads daily calib'!C52</f>
        <v>0.17819754955583791</v>
      </c>
      <c r="D52" s="260">
        <v>0.23399428061329541</v>
      </c>
      <c r="E52" s="183">
        <f>'T12a. MeHg SE 2010-18'!E52/'T9a. MeHg loads daily calib'!E52</f>
        <v>0.16570264652311212</v>
      </c>
      <c r="F52" s="183">
        <f>'T12a. MeHg SE 2010-18'!F52/'T9a. MeHg loads daily calib'!F52</f>
        <v>0.16040162742980746</v>
      </c>
      <c r="G52" s="26"/>
      <c r="H52" s="31"/>
      <c r="J52" s="56">
        <f>'T12a. MeHg SE 2010-18'!J52/'T9a. MeHg loads daily calib'!K52</f>
        <v>0.33880636483557758</v>
      </c>
      <c r="K52" s="109">
        <f>'T12a. MeHg SE 2010-18'!K52/'T9a. MeHg loads daily calib'!L52</f>
        <v>0.33880636483557763</v>
      </c>
      <c r="L52" s="13" t="s">
        <v>32</v>
      </c>
      <c r="M52" s="4" t="s">
        <v>32</v>
      </c>
    </row>
    <row r="53" spans="1:13">
      <c r="A53" s="2" t="s">
        <v>125</v>
      </c>
      <c r="B53" s="72">
        <v>1026.16425</v>
      </c>
      <c r="C53" s="109">
        <f>'T12a. MeHg SE 2010-18'!C53/'T9a. MeHg loads daily calib'!C53</f>
        <v>0.10904730227329251</v>
      </c>
      <c r="D53" s="260">
        <v>0.13793385500653502</v>
      </c>
      <c r="E53" s="183">
        <f>'T12a. MeHg SE 2010-18'!E53/'T9a. MeHg loads daily calib'!E53</f>
        <v>0.10472524357427694</v>
      </c>
      <c r="F53" s="183">
        <f>'T12a. MeHg SE 2010-18'!F53/'T9a. MeHg loads daily calib'!F53</f>
        <v>9.4745185812800239E-2</v>
      </c>
      <c r="G53" s="26"/>
      <c r="H53" s="31"/>
      <c r="J53" s="56">
        <f>'T12a. MeHg SE 2010-18'!J53/'T9a. MeHg loads daily calib'!K53</f>
        <v>0.15581469200267722</v>
      </c>
      <c r="K53" s="109">
        <f>'T12a. MeHg SE 2010-18'!K53/'T9a. MeHg loads daily calib'!L53</f>
        <v>0.15581469200267722</v>
      </c>
      <c r="L53" s="13" t="s">
        <v>32</v>
      </c>
      <c r="M53" s="4" t="s">
        <v>32</v>
      </c>
    </row>
    <row r="54" spans="1:13">
      <c r="A54" s="62" t="s">
        <v>128</v>
      </c>
      <c r="B54" s="72">
        <v>0</v>
      </c>
      <c r="C54" s="109" t="s">
        <v>32</v>
      </c>
      <c r="D54" s="260" t="s">
        <v>32</v>
      </c>
      <c r="E54" s="183" t="s">
        <v>32</v>
      </c>
      <c r="F54" s="183" t="s">
        <v>32</v>
      </c>
      <c r="G54" s="26"/>
      <c r="H54" s="31"/>
      <c r="J54" s="56" t="s">
        <v>32</v>
      </c>
      <c r="K54" s="109" t="s">
        <v>32</v>
      </c>
      <c r="L54" s="13" t="s">
        <v>32</v>
      </c>
      <c r="M54" s="4" t="s">
        <v>32</v>
      </c>
    </row>
    <row r="55" spans="1:13">
      <c r="A55" s="62" t="s">
        <v>247</v>
      </c>
      <c r="B55" s="72"/>
      <c r="C55" s="109"/>
      <c r="D55" s="260"/>
      <c r="E55" s="183"/>
      <c r="F55" s="183"/>
      <c r="G55" s="26"/>
      <c r="H55" s="31"/>
      <c r="J55" s="56"/>
      <c r="K55" s="109"/>
      <c r="L55" s="13"/>
      <c r="M55" s="4"/>
    </row>
    <row r="56" spans="1:13">
      <c r="A56" s="2" t="s">
        <v>253</v>
      </c>
      <c r="B56" s="146">
        <f>SUM(B46:B54)</f>
        <v>1663.5094999078331</v>
      </c>
      <c r="C56" s="256">
        <f>'T12a. MeHg SE 2010-18'!C56/'T9a. MeHg loads daily calib'!C56</f>
        <v>0.29545929580617281</v>
      </c>
      <c r="D56" s="261">
        <v>0.28589743589743594</v>
      </c>
      <c r="E56" s="58">
        <f>'T12a. MeHg SE 2010-18'!E56/'T9a. MeHg loads daily calib'!E56</f>
        <v>0.22194513833363205</v>
      </c>
      <c r="F56" s="58">
        <f>'T12a. MeHg SE 2010-18'!F56/'T9a. MeHg loads daily calib'!F56</f>
        <v>0.25220862452829751</v>
      </c>
      <c r="G56" s="26"/>
      <c r="H56" s="264"/>
      <c r="I56" s="10" t="s">
        <v>26</v>
      </c>
      <c r="J56" s="257">
        <f>'T12a. MeHg SE 2010-18'!J56/'T9a. MeHg loads daily calib'!K56</f>
        <v>0.13836211680429034</v>
      </c>
      <c r="K56" s="56">
        <f>'T12a. MeHg SE 2010-18'!K56/'T9a. MeHg loads daily calib'!L56</f>
        <v>0.1544545351222151</v>
      </c>
      <c r="L56" s="11" t="s">
        <v>32</v>
      </c>
      <c r="M56" s="4" t="s">
        <v>32</v>
      </c>
    </row>
    <row r="57" spans="1:13">
      <c r="A57" s="2" t="s">
        <v>253</v>
      </c>
      <c r="B57" s="37"/>
      <c r="C57" s="33"/>
      <c r="D57" s="33"/>
      <c r="E57" s="33"/>
      <c r="F57" s="33"/>
      <c r="G57" s="26"/>
      <c r="H57" s="265"/>
      <c r="I57" s="87" t="s">
        <v>263</v>
      </c>
      <c r="J57" s="257">
        <f>'T12a. MeHg SE 2010-18'!J57/'T9a. MeHg loads daily calib'!K57</f>
        <v>0.13836211680429034</v>
      </c>
      <c r="K57" s="56">
        <f>'T12a. MeHg SE 2010-18'!K57/'T9a. MeHg loads daily calib'!L57</f>
        <v>0.13991674733018122</v>
      </c>
      <c r="L57" s="11" t="s">
        <v>32</v>
      </c>
      <c r="M57" s="4" t="s">
        <v>32</v>
      </c>
    </row>
    <row r="58" spans="1:13" ht="16">
      <c r="A58" s="12" t="s">
        <v>12</v>
      </c>
      <c r="B58" s="37"/>
      <c r="C58" s="26"/>
      <c r="D58" s="26"/>
      <c r="E58" s="26"/>
      <c r="F58" s="26"/>
      <c r="G58" s="26"/>
      <c r="H58" s="6"/>
      <c r="J58" s="9"/>
      <c r="K58" s="26"/>
      <c r="M58" s="26"/>
    </row>
    <row r="59" spans="1:13">
      <c r="A59" s="2" t="s">
        <v>1</v>
      </c>
      <c r="B59" s="72">
        <v>85</v>
      </c>
      <c r="C59" s="109">
        <f>'T12a. MeHg SE 2010-18'!C59/'T9a. MeHg loads daily calib'!C59</f>
        <v>0.25340706827385873</v>
      </c>
      <c r="D59" s="260">
        <v>0.21500129658301062</v>
      </c>
      <c r="E59" s="183">
        <f>'T12a. MeHg SE 2010-18'!E59/'T9a. MeHg loads daily calib'!E59</f>
        <v>0.23816772827280946</v>
      </c>
      <c r="F59" s="183">
        <f>'T12a. MeHg SE 2010-18'!F59/'T9a. MeHg loads daily calib'!F59</f>
        <v>0.18073456007267155</v>
      </c>
      <c r="G59" s="26"/>
      <c r="H59" s="31"/>
      <c r="J59" s="56">
        <f>'T12a. MeHg SE 2010-18'!J59/'T9a. MeHg loads daily calib'!K59</f>
        <v>0.1202593919018025</v>
      </c>
      <c r="K59" s="109">
        <f>'T12a. MeHg SE 2010-18'!K59/'T9a. MeHg loads daily calib'!L59</f>
        <v>0.1202593919018025</v>
      </c>
      <c r="L59" s="4" t="s">
        <v>32</v>
      </c>
      <c r="M59" s="4" t="s">
        <v>32</v>
      </c>
    </row>
    <row r="60" spans="1:13">
      <c r="A60" s="2" t="s">
        <v>2</v>
      </c>
      <c r="B60" s="72">
        <v>95.92362156151502</v>
      </c>
      <c r="C60" s="109">
        <f>'T12a. MeHg SE 2010-18'!C60/'T9a. MeHg loads daily calib'!C60</f>
        <v>0.14221825656358048</v>
      </c>
      <c r="D60" s="260">
        <v>0.21500129658301062</v>
      </c>
      <c r="E60" s="183">
        <f>'T12a. MeHg SE 2010-18'!E60/'T9a. MeHg loads daily calib'!E60</f>
        <v>0.14447427289206408</v>
      </c>
      <c r="F60" s="183">
        <f>'T12a. MeHg SE 2010-18'!F60/'T9a. MeHg loads daily calib'!F60</f>
        <v>0.15168559475480081</v>
      </c>
      <c r="G60" s="26"/>
      <c r="H60" s="31"/>
      <c r="J60" s="56">
        <f>'T12a. MeHg SE 2010-18'!J60/'T9a. MeHg loads daily calib'!K60</f>
        <v>5.8483951059062081E-2</v>
      </c>
      <c r="K60" s="109">
        <f>'T12a. MeHg SE 2010-18'!K60/'T9a. MeHg loads daily calib'!L60</f>
        <v>5.8483951059062088E-2</v>
      </c>
      <c r="L60" s="4" t="s">
        <v>32</v>
      </c>
      <c r="M60" s="4" t="s">
        <v>32</v>
      </c>
    </row>
    <row r="61" spans="1:13">
      <c r="A61" s="2" t="s">
        <v>3</v>
      </c>
      <c r="B61" s="72">
        <v>22.120468177770004</v>
      </c>
      <c r="C61" s="109">
        <f>'T12a. MeHg SE 2010-18'!C61/'T9a. MeHg loads daily calib'!C61</f>
        <v>0.1781433582725637</v>
      </c>
      <c r="D61" s="260">
        <v>0.19582123256339276</v>
      </c>
      <c r="E61" s="183">
        <f>'T12a. MeHg SE 2010-18'!E61/'T9a. MeHg loads daily calib'!E61</f>
        <v>0.15877928644617023</v>
      </c>
      <c r="F61" s="183">
        <f>'T12a. MeHg SE 2010-18'!F61/'T9a. MeHg loads daily calib'!F61</f>
        <v>0.3442704076669717</v>
      </c>
      <c r="G61" s="26"/>
      <c r="H61" s="31"/>
      <c r="J61" s="56">
        <f>'T12a. MeHg SE 2010-18'!J61/'T9a. MeHg loads daily calib'!K61</f>
        <v>0.17181353766646221</v>
      </c>
      <c r="K61" s="109">
        <f>'T12a. MeHg SE 2010-18'!K61/'T9a. MeHg loads daily calib'!L61</f>
        <v>0.17181353766646218</v>
      </c>
      <c r="L61" s="4" t="s">
        <v>32</v>
      </c>
      <c r="M61" s="4" t="s">
        <v>32</v>
      </c>
    </row>
    <row r="62" spans="1:13">
      <c r="A62" s="2" t="s">
        <v>4</v>
      </c>
      <c r="B62" s="72">
        <v>39</v>
      </c>
      <c r="C62" s="109">
        <f>'T12a. MeHg SE 2010-18'!C62/'T9a. MeHg loads daily calib'!C62</f>
        <v>0.19052232545190775</v>
      </c>
      <c r="D62" s="260">
        <v>0.11300676600634843</v>
      </c>
      <c r="E62" s="183">
        <f>'T12a. MeHg SE 2010-18'!E62/'T9a. MeHg loads daily calib'!E62</f>
        <v>0.17468795639239881</v>
      </c>
      <c r="F62" s="183">
        <f>'T12a. MeHg SE 2010-18'!F62/'T9a. MeHg loads daily calib'!F62</f>
        <v>0.35627727847426788</v>
      </c>
      <c r="G62" s="26"/>
      <c r="H62" s="31"/>
      <c r="J62" s="56">
        <f>'T12a. MeHg SE 2010-18'!J62/'T9a. MeHg loads daily calib'!K62</f>
        <v>0.37858381734057667</v>
      </c>
      <c r="K62" s="109">
        <f>'T12a. MeHg SE 2010-18'!K62/'T9a. MeHg loads daily calib'!L62</f>
        <v>0.37858381734057667</v>
      </c>
      <c r="L62" s="4" t="s">
        <v>32</v>
      </c>
      <c r="M62" s="4" t="s">
        <v>32</v>
      </c>
    </row>
    <row r="63" spans="1:13">
      <c r="A63" s="2" t="s">
        <v>5</v>
      </c>
      <c r="B63" s="85">
        <v>0.65</v>
      </c>
      <c r="C63" s="109">
        <f>'T12a. MeHg SE 2010-18'!C63/'T9a. MeHg loads daily calib'!C63</f>
        <v>0.2740191128017353</v>
      </c>
      <c r="D63" s="260">
        <v>0.15131077203381554</v>
      </c>
      <c r="E63" s="183">
        <f>'T12a. MeHg SE 2010-18'!E63/'T9a. MeHg loads daily calib'!E63</f>
        <v>0.2528164381443993</v>
      </c>
      <c r="F63" s="183">
        <f>'T12a. MeHg SE 2010-18'!F63/'T9a. MeHg loads daily calib'!F63</f>
        <v>0.31239841106910782</v>
      </c>
      <c r="G63" s="26"/>
      <c r="H63" s="31"/>
      <c r="J63" s="56">
        <f>'T12a. MeHg SE 2010-18'!J63/'T9a. MeHg loads daily calib'!K63</f>
        <v>0.40054319962552143</v>
      </c>
      <c r="K63" s="109" t="s">
        <v>32</v>
      </c>
      <c r="L63" s="13" t="s">
        <v>32</v>
      </c>
      <c r="M63" s="4" t="s">
        <v>32</v>
      </c>
    </row>
    <row r="64" spans="1:13">
      <c r="A64" s="2" t="s">
        <v>88</v>
      </c>
      <c r="B64" s="72">
        <v>17</v>
      </c>
      <c r="C64" s="109">
        <f>'T12a. MeHg SE 2010-18'!C64/'T9a. MeHg loads daily calib'!C64</f>
        <v>0.31089240127642148</v>
      </c>
      <c r="D64" s="260">
        <v>0.17557684217280659</v>
      </c>
      <c r="E64" s="183">
        <f>'T12a. MeHg SE 2010-18'!E64/'T9a. MeHg loads daily calib'!E64</f>
        <v>0.27871569545849528</v>
      </c>
      <c r="F64" s="183">
        <f>'T12a. MeHg SE 2010-18'!F64/'T9a. MeHg loads daily calib'!F64</f>
        <v>0.41582184631852925</v>
      </c>
      <c r="G64" s="26"/>
      <c r="H64" s="31"/>
      <c r="J64" s="56">
        <f>'T12a. MeHg SE 2010-18'!J64/'T9a. MeHg loads daily calib'!K64</f>
        <v>0.16480232363452541</v>
      </c>
      <c r="K64" s="109">
        <f>'T12a. MeHg SE 2010-18'!K64/'T9a. MeHg loads daily calib'!L64</f>
        <v>0.16480232363452541</v>
      </c>
      <c r="L64" s="13" t="s">
        <v>32</v>
      </c>
      <c r="M64" s="4" t="s">
        <v>32</v>
      </c>
    </row>
    <row r="65" spans="1:13">
      <c r="A65" s="2" t="s">
        <v>95</v>
      </c>
      <c r="B65" s="72">
        <v>52.023969000000001</v>
      </c>
      <c r="C65" s="109">
        <f>'T12a. MeHg SE 2010-18'!C65/'T9a. MeHg loads daily calib'!C65</f>
        <v>0.14666982844405285</v>
      </c>
      <c r="D65" s="260">
        <v>0.23399428061329541</v>
      </c>
      <c r="E65" s="183">
        <f>'T12a. MeHg SE 2010-18'!E65/'T9a. MeHg loads daily calib'!E65</f>
        <v>0.14280531951732045</v>
      </c>
      <c r="F65" s="183">
        <f>'T12a. MeHg SE 2010-18'!F65/'T9a. MeHg loads daily calib'!F65</f>
        <v>0.13079486084770345</v>
      </c>
      <c r="G65" s="26"/>
      <c r="H65" s="31"/>
      <c r="J65" s="56">
        <f>'T12a. MeHg SE 2010-18'!J65/'T9a. MeHg loads daily calib'!K65</f>
        <v>0.31203126206946663</v>
      </c>
      <c r="K65" s="109">
        <f>'T12a. MeHg SE 2010-18'!K65/'T9a. MeHg loads daily calib'!L65</f>
        <v>0.31203126206946669</v>
      </c>
      <c r="L65" s="13" t="s">
        <v>32</v>
      </c>
      <c r="M65" s="4" t="s">
        <v>32</v>
      </c>
    </row>
    <row r="66" spans="1:13">
      <c r="A66" s="2" t="s">
        <v>125</v>
      </c>
      <c r="B66" s="72">
        <v>31</v>
      </c>
      <c r="C66" s="109">
        <f>'T12a. MeHg SE 2010-18'!C66/'T9a. MeHg loads daily calib'!C66</f>
        <v>0.21818052211551595</v>
      </c>
      <c r="D66" s="260">
        <v>0.13793385500653502</v>
      </c>
      <c r="E66" s="183">
        <f>'T12a. MeHg SE 2010-18'!E66/'T9a. MeHg loads daily calib'!E66</f>
        <v>0.20074728171917888</v>
      </c>
      <c r="F66" s="183">
        <f>'T12a. MeHg SE 2010-18'!F66/'T9a. MeHg loads daily calib'!F66</f>
        <v>0.19634669987581554</v>
      </c>
      <c r="G66" s="26"/>
      <c r="H66" s="31"/>
      <c r="J66" s="56">
        <f>'T12a. MeHg SE 2010-18'!J66/'T9a. MeHg loads daily calib'!K66</f>
        <v>0.2105610393709578</v>
      </c>
      <c r="K66" s="109">
        <f>'T12a. MeHg SE 2010-18'!K66/'T9a. MeHg loads daily calib'!L66</f>
        <v>0.2105610393709578</v>
      </c>
      <c r="L66" s="13" t="s">
        <v>32</v>
      </c>
      <c r="M66" s="4" t="s">
        <v>32</v>
      </c>
    </row>
    <row r="67" spans="1:13">
      <c r="A67" s="62" t="s">
        <v>128</v>
      </c>
      <c r="B67" s="93">
        <v>8.4</v>
      </c>
      <c r="C67" s="109">
        <f>'T12a. MeHg SE 2010-18'!C67/'T9a. MeHg loads daily calib'!C67</f>
        <v>0.10741724048172956</v>
      </c>
      <c r="D67" s="260">
        <v>0.15935619784823082</v>
      </c>
      <c r="E67" s="183">
        <f>'T12a. MeHg SE 2010-18'!E67/'T9a. MeHg loads daily calib'!E67</f>
        <v>0.12742683658772549</v>
      </c>
      <c r="F67" s="183">
        <f>'T12a. MeHg SE 2010-18'!F67/'T9a. MeHg loads daily calib'!F67</f>
        <v>9.922639764762875E-2</v>
      </c>
      <c r="G67" s="26"/>
      <c r="H67" s="31"/>
      <c r="J67" s="56">
        <f>'T12a. MeHg SE 2010-18'!J67/'T9a. MeHg loads daily calib'!K67</f>
        <v>0.18514391426416346</v>
      </c>
      <c r="K67" s="109">
        <f>'T12a. MeHg SE 2010-18'!K67/'T9a. MeHg loads daily calib'!L67</f>
        <v>0.18514391426416346</v>
      </c>
      <c r="L67" s="13" t="s">
        <v>32</v>
      </c>
      <c r="M67" s="4" t="s">
        <v>32</v>
      </c>
    </row>
    <row r="68" spans="1:13">
      <c r="A68" s="62" t="s">
        <v>247</v>
      </c>
      <c r="B68" s="93"/>
      <c r="C68" s="109"/>
      <c r="D68" s="260"/>
      <c r="E68" s="183"/>
      <c r="F68" s="183"/>
      <c r="G68" s="26"/>
      <c r="H68" s="31"/>
      <c r="J68" s="56"/>
      <c r="K68" s="109"/>
      <c r="L68" s="13"/>
      <c r="M68" s="4"/>
    </row>
    <row r="69" spans="1:13">
      <c r="A69" s="2" t="s">
        <v>253</v>
      </c>
      <c r="B69" s="146">
        <f>SUM(B59:B67)</f>
        <v>351.118058739285</v>
      </c>
      <c r="C69" s="256">
        <f>'T12a. MeHg SE 2010-18'!C69/'T9a. MeHg loads daily calib'!C69</f>
        <v>0.14111261533825989</v>
      </c>
      <c r="D69" s="261">
        <v>0.28589743589743594</v>
      </c>
      <c r="E69" s="58">
        <f>'T12a. MeHg SE 2010-18'!E69/'T9a. MeHg loads daily calib'!E69</f>
        <v>0.13998034819450925</v>
      </c>
      <c r="F69" s="58">
        <f>'T12a. MeHg SE 2010-18'!F69/'T9a. MeHg loads daily calib'!F69</f>
        <v>0.14000188396757871</v>
      </c>
      <c r="G69" s="26"/>
      <c r="H69" s="264"/>
      <c r="I69" s="10" t="s">
        <v>26</v>
      </c>
      <c r="J69" s="257">
        <f>'T12a. MeHg SE 2010-18'!J69/'T9a. MeHg loads daily calib'!K69</f>
        <v>8.1274179639546459E-2</v>
      </c>
      <c r="K69" s="56">
        <f>'T12a. MeHg SE 2010-18'!K69/'T9a. MeHg loads daily calib'!L69</f>
        <v>0.10003583523272325</v>
      </c>
      <c r="L69" s="11" t="s">
        <v>32</v>
      </c>
      <c r="M69" s="4" t="s">
        <v>32</v>
      </c>
    </row>
    <row r="70" spans="1:13">
      <c r="A70" s="2" t="s">
        <v>253</v>
      </c>
      <c r="B70" s="37"/>
      <c r="C70" s="38"/>
      <c r="D70" s="33"/>
      <c r="E70" s="33"/>
      <c r="F70" s="33"/>
      <c r="G70" s="26"/>
      <c r="H70" s="265"/>
      <c r="I70" s="87" t="s">
        <v>263</v>
      </c>
      <c r="J70" s="257">
        <f>'T12a. MeHg SE 2010-18'!J70/'T9a. MeHg loads daily calib'!K70</f>
        <v>8.1274179639546459E-2</v>
      </c>
      <c r="K70" s="56">
        <f>'T12a. MeHg SE 2010-18'!K70/'T9a. MeHg loads daily calib'!L70</f>
        <v>0.10543677358643863</v>
      </c>
      <c r="L70" s="11" t="s">
        <v>32</v>
      </c>
      <c r="M70" s="4" t="s">
        <v>32</v>
      </c>
    </row>
    <row r="71" spans="1:13" ht="16">
      <c r="A71" s="14" t="s">
        <v>25</v>
      </c>
      <c r="B71" s="37"/>
      <c r="C71" s="26"/>
      <c r="D71" s="26"/>
      <c r="E71" s="28"/>
      <c r="F71" s="26"/>
      <c r="G71" s="26"/>
      <c r="H71" s="6"/>
      <c r="K71" s="26"/>
      <c r="M71" s="26"/>
    </row>
    <row r="72" spans="1:13">
      <c r="A72" s="2" t="s">
        <v>1</v>
      </c>
      <c r="B72" s="72">
        <f t="shared" ref="B72:B80" si="0">SUM(B46,B59)</f>
        <v>171.40355571286602</v>
      </c>
      <c r="C72" s="109">
        <f>'T12a. MeHg SE 2010-18'!C72/'T9a. MeHg loads daily calib'!C72</f>
        <v>0.62926389964908791</v>
      </c>
      <c r="D72" s="260">
        <v>0.21500129658301062</v>
      </c>
      <c r="E72" s="183">
        <f>'T12a. MeHg SE 2010-18'!E72/'T9a. MeHg loads daily calib'!E72</f>
        <v>0.53882349371690708</v>
      </c>
      <c r="F72" s="183">
        <f>'T12a. MeHg SE 2010-18'!F72/'T9a. MeHg loads daily calib'!F72</f>
        <v>0.27232276591286597</v>
      </c>
      <c r="G72" s="26"/>
      <c r="H72" s="46"/>
      <c r="J72" s="56">
        <f>'T12a. MeHg SE 2010-18'!J72/'T9a. MeHg loads daily calib'!K72</f>
        <v>0.23781307215203812</v>
      </c>
      <c r="K72" s="109">
        <f>'T12a. MeHg SE 2010-18'!K72/'T9a. MeHg loads daily calib'!L72</f>
        <v>0.22817612120503691</v>
      </c>
      <c r="L72" s="4" t="s">
        <v>32</v>
      </c>
      <c r="M72" s="4" t="s">
        <v>32</v>
      </c>
    </row>
    <row r="73" spans="1:13">
      <c r="A73" s="2" t="s">
        <v>2</v>
      </c>
      <c r="B73" s="72">
        <f t="shared" si="0"/>
        <v>455.92362156151501</v>
      </c>
      <c r="C73" s="109">
        <f>'T12a. MeHg SE 2010-18'!C73/'T9a. MeHg loads daily calib'!C73</f>
        <v>0.78737812771759497</v>
      </c>
      <c r="D73" s="260">
        <v>0.21500129658301062</v>
      </c>
      <c r="E73" s="183">
        <f>'T12a. MeHg SE 2010-18'!E73/'T9a. MeHg loads daily calib'!E73</f>
        <v>0.70646302970970287</v>
      </c>
      <c r="F73" s="183">
        <f>'T12a. MeHg SE 2010-18'!F73/'T9a. MeHg loads daily calib'!F73</f>
        <v>0.26936762929506919</v>
      </c>
      <c r="G73" s="26"/>
      <c r="H73" s="31"/>
      <c r="J73" s="56">
        <f>'T12a. MeHg SE 2010-18'!J73/'T9a. MeHg loads daily calib'!K73</f>
        <v>0.14421573676076008</v>
      </c>
      <c r="K73" s="109">
        <f>'T12a. MeHg SE 2010-18'!K73/'T9a. MeHg loads daily calib'!L73</f>
        <v>0.14396946755716689</v>
      </c>
      <c r="L73" s="4" t="s">
        <v>32</v>
      </c>
      <c r="M73" s="4" t="s">
        <v>32</v>
      </c>
    </row>
    <row r="74" spans="1:13">
      <c r="A74" s="2" t="s">
        <v>3</v>
      </c>
      <c r="B74" s="72">
        <f t="shared" si="0"/>
        <v>22.120468177770004</v>
      </c>
      <c r="C74" s="109">
        <f>'T12a. MeHg SE 2010-18'!C74/'T9a. MeHg loads daily calib'!C74</f>
        <v>0.1781433582725637</v>
      </c>
      <c r="D74" s="260">
        <v>0.19582123256339276</v>
      </c>
      <c r="E74" s="183">
        <f>'T12a. MeHg SE 2010-18'!E74/'T9a. MeHg loads daily calib'!E74</f>
        <v>0.15877928644617023</v>
      </c>
      <c r="F74" s="183">
        <f>'T12a. MeHg SE 2010-18'!F74/'T9a. MeHg loads daily calib'!F74</f>
        <v>0.3442704076669717</v>
      </c>
      <c r="G74" s="26"/>
      <c r="H74" s="31"/>
      <c r="J74" s="56">
        <f>'T12a. MeHg SE 2010-18'!J74/'T9a. MeHg loads daily calib'!K74</f>
        <v>0.17181353766646221</v>
      </c>
      <c r="K74" s="109">
        <f>'T12a. MeHg SE 2010-18'!K74/'T9a. MeHg loads daily calib'!L74</f>
        <v>0.17181353766646218</v>
      </c>
      <c r="L74" s="4" t="s">
        <v>32</v>
      </c>
      <c r="M74" s="4" t="s">
        <v>32</v>
      </c>
    </row>
    <row r="75" spans="1:13">
      <c r="A75" s="2" t="s">
        <v>4</v>
      </c>
      <c r="B75" s="72">
        <f t="shared" si="0"/>
        <v>102.341694194967</v>
      </c>
      <c r="C75" s="109">
        <f>'T12a. MeHg SE 2010-18'!C75/'T9a. MeHg loads daily calib'!C75</f>
        <v>1.0814109884782284</v>
      </c>
      <c r="D75" s="260">
        <v>0.11300676600634843</v>
      </c>
      <c r="E75" s="183">
        <f>'T12a. MeHg SE 2010-18'!E75/'T9a. MeHg loads daily calib'!E75</f>
        <v>0.8823162363850714</v>
      </c>
      <c r="F75" s="183">
        <f>'T12a. MeHg SE 2010-18'!F75/'T9a. MeHg loads daily calib'!F75</f>
        <v>5.0998676547251884</v>
      </c>
      <c r="G75" s="26"/>
      <c r="H75" s="31"/>
      <c r="J75" s="56">
        <f>'T12a. MeHg SE 2010-18'!J75/'T9a. MeHg loads daily calib'!K75</f>
        <v>0.53130031460119553</v>
      </c>
      <c r="K75" s="109">
        <f>'T12a. MeHg SE 2010-18'!K75/'T9a. MeHg loads daily calib'!L75</f>
        <v>0.51301273809663894</v>
      </c>
      <c r="L75" s="4" t="s">
        <v>32</v>
      </c>
      <c r="M75" s="4" t="s">
        <v>32</v>
      </c>
    </row>
    <row r="76" spans="1:13">
      <c r="A76" s="2" t="s">
        <v>5</v>
      </c>
      <c r="B76" s="93">
        <f t="shared" si="0"/>
        <v>0.65</v>
      </c>
      <c r="C76" s="109">
        <f>'T12a. MeHg SE 2010-18'!C76/'T9a. MeHg loads daily calib'!C76</f>
        <v>0.2740191128017353</v>
      </c>
      <c r="D76" s="260">
        <v>0.15131077203381554</v>
      </c>
      <c r="E76" s="183">
        <f>'T12a. MeHg SE 2010-18'!E76/'T9a. MeHg loads daily calib'!E76</f>
        <v>0.2528164381443993</v>
      </c>
      <c r="F76" s="183">
        <f>'T12a. MeHg SE 2010-18'!F76/'T9a. MeHg loads daily calib'!F76</f>
        <v>0.31239841106910782</v>
      </c>
      <c r="G76" s="26"/>
      <c r="H76" s="31"/>
      <c r="J76" s="56">
        <f>'T12a. MeHg SE 2010-18'!J76/'T9a. MeHg loads daily calib'!K76</f>
        <v>0.40054319962552143</v>
      </c>
      <c r="K76" s="109" t="s">
        <v>32</v>
      </c>
      <c r="L76" s="13" t="s">
        <v>32</v>
      </c>
      <c r="M76" s="4" t="s">
        <v>32</v>
      </c>
    </row>
    <row r="77" spans="1:13">
      <c r="A77" s="2" t="s">
        <v>88</v>
      </c>
      <c r="B77" s="72">
        <f t="shared" si="0"/>
        <v>83.4</v>
      </c>
      <c r="C77" s="109">
        <f>'T12a. MeHg SE 2010-18'!C77/'T9a. MeHg loads daily calib'!C77</f>
        <v>0.62215277074665432</v>
      </c>
      <c r="D77" s="260">
        <v>0.17557684217280659</v>
      </c>
      <c r="E77" s="183">
        <f>'T12a. MeHg SE 2010-18'!E77/'T9a. MeHg loads daily calib'!E77</f>
        <v>0.51029666168582566</v>
      </c>
      <c r="F77" s="183">
        <f>'T12a. MeHg SE 2010-18'!F77/'T9a. MeHg loads daily calib'!F77</f>
        <v>0.49499618896075909</v>
      </c>
      <c r="G77" s="26"/>
      <c r="H77" s="32"/>
      <c r="J77" s="56">
        <f>'T12a. MeHg SE 2010-18'!J77/'T9a. MeHg loads daily calib'!K77</f>
        <v>0.52012881048429116</v>
      </c>
      <c r="K77" s="109">
        <f>'T12a. MeHg SE 2010-18'!K77/'T9a. MeHg loads daily calib'!L77</f>
        <v>0.52494468181233012</v>
      </c>
      <c r="L77" s="13" t="s">
        <v>32</v>
      </c>
      <c r="M77" s="4" t="s">
        <v>32</v>
      </c>
    </row>
    <row r="78" spans="1:13">
      <c r="A78" s="2" t="s">
        <v>95</v>
      </c>
      <c r="B78" s="72">
        <f t="shared" si="0"/>
        <v>113.22396900000001</v>
      </c>
      <c r="C78" s="109">
        <f>'T12a. MeHg SE 2010-18'!C78/'T9a. MeHg loads daily calib'!C78</f>
        <v>0.16263032817852777</v>
      </c>
      <c r="D78" s="260">
        <v>0.23399428061329541</v>
      </c>
      <c r="E78" s="183">
        <f>'T12a. MeHg SE 2010-18'!E78/'T9a. MeHg loads daily calib'!E78</f>
        <v>0.15439625498120599</v>
      </c>
      <c r="F78" s="183">
        <f>'T12a. MeHg SE 2010-18'!F78/'T9a. MeHg loads daily calib'!F78</f>
        <v>0.14590582307924346</v>
      </c>
      <c r="G78" s="26"/>
      <c r="H78" s="32"/>
      <c r="J78" s="56">
        <f>'T12a. MeHg SE 2010-18'!J78/'T9a. MeHg loads daily calib'!K78</f>
        <v>0.32760263976875931</v>
      </c>
      <c r="K78" s="109">
        <f>'T12a. MeHg SE 2010-18'!K78/'T9a. MeHg loads daily calib'!L78</f>
        <v>0.32691676230253819</v>
      </c>
      <c r="L78" s="13" t="s">
        <v>32</v>
      </c>
      <c r="M78" s="4" t="s">
        <v>32</v>
      </c>
    </row>
    <row r="79" spans="1:13">
      <c r="A79" s="2" t="s">
        <v>125</v>
      </c>
      <c r="B79" s="72">
        <f t="shared" si="0"/>
        <v>1057.16425</v>
      </c>
      <c r="C79" s="109">
        <f>'T12a. MeHg SE 2010-18'!C79/'T9a. MeHg loads daily calib'!C79</f>
        <v>0.11102775829663693</v>
      </c>
      <c r="D79" s="260">
        <v>0.13793385500653502</v>
      </c>
      <c r="E79" s="183">
        <f>'T12a. MeHg SE 2010-18'!E79/'T9a. MeHg loads daily calib'!E79</f>
        <v>0.10665060283522571</v>
      </c>
      <c r="F79" s="183">
        <f>'T12a. MeHg SE 2010-18'!F79/'T9a. MeHg loads daily calib'!F79</f>
        <v>9.6792795273965948E-2</v>
      </c>
      <c r="G79" s="26"/>
      <c r="H79" s="32"/>
      <c r="J79" s="56">
        <f>'T12a. MeHg SE 2010-18'!J79/'T9a. MeHg loads daily calib'!K79</f>
        <v>0.15679422775424406</v>
      </c>
      <c r="K79" s="109">
        <f>'T12a. MeHg SE 2010-18'!K79/'T9a. MeHg loads daily calib'!L79</f>
        <v>0.15688846462164546</v>
      </c>
      <c r="L79" s="13" t="s">
        <v>32</v>
      </c>
      <c r="M79" s="4" t="s">
        <v>32</v>
      </c>
    </row>
    <row r="80" spans="1:13">
      <c r="A80" s="62" t="s">
        <v>128</v>
      </c>
      <c r="B80" s="93">
        <f t="shared" si="0"/>
        <v>8.4</v>
      </c>
      <c r="C80" s="109">
        <f>'T12a. MeHg SE 2010-18'!C80/'T9a. MeHg loads daily calib'!C80</f>
        <v>0.10741724048172956</v>
      </c>
      <c r="D80" s="260">
        <v>0.15935619784823082</v>
      </c>
      <c r="E80" s="183">
        <f>'T12a. MeHg SE 2010-18'!E80/'T9a. MeHg loads daily calib'!E80</f>
        <v>0.12742683658772549</v>
      </c>
      <c r="F80" s="183">
        <f>'T12a. MeHg SE 2010-18'!F80/'T9a. MeHg loads daily calib'!F80</f>
        <v>9.922639764762875E-2</v>
      </c>
      <c r="G80" s="26"/>
      <c r="H80" s="32"/>
      <c r="J80" s="56">
        <f>'T12a. MeHg SE 2010-18'!J80/'T9a. MeHg loads daily calib'!K80</f>
        <v>0.18514391426416346</v>
      </c>
      <c r="K80" s="109">
        <f>'T12a. MeHg SE 2010-18'!K80/'T9a. MeHg loads daily calib'!L80</f>
        <v>0.18514391426416346</v>
      </c>
      <c r="L80" s="13" t="s">
        <v>32</v>
      </c>
      <c r="M80" s="4" t="s">
        <v>32</v>
      </c>
    </row>
    <row r="81" spans="1:13">
      <c r="A81" s="62" t="s">
        <v>247</v>
      </c>
      <c r="B81" s="93"/>
      <c r="C81" s="109"/>
      <c r="D81" s="260"/>
      <c r="E81" s="183"/>
      <c r="F81" s="183"/>
      <c r="G81" s="26"/>
      <c r="H81" s="32"/>
      <c r="J81" s="56"/>
      <c r="K81" s="109"/>
      <c r="L81" s="13"/>
      <c r="M81" s="4"/>
    </row>
    <row r="82" spans="1:13">
      <c r="A82" s="2" t="s">
        <v>253</v>
      </c>
      <c r="B82" s="146">
        <f>SUM(B72:B80)</f>
        <v>2014.6275586471181</v>
      </c>
      <c r="C82" s="256">
        <f>'T12a. MeHg SE 2010-18'!C82/'T9a. MeHg loads daily calib'!C82</f>
        <v>0.2202742271553032</v>
      </c>
      <c r="D82" s="261">
        <v>0.28589743589743594</v>
      </c>
      <c r="E82" s="58">
        <f>'T12a. MeHg SE 2010-18'!E82/'T9a. MeHg loads daily calib'!E82</f>
        <v>0.25025841654997821</v>
      </c>
      <c r="F82" s="58">
        <f>'T12a. MeHg SE 2010-18'!F82/'T9a. MeHg loads daily calib'!F82</f>
        <v>0.27295575109847214</v>
      </c>
      <c r="G82" s="26"/>
      <c r="H82" s="264"/>
      <c r="I82" s="10" t="s">
        <v>26</v>
      </c>
      <c r="J82" s="257">
        <f>'T12a. MeHg SE 2010-18'!J82/'T9a. MeHg loads daily calib'!K82</f>
        <v>0.13105673573628104</v>
      </c>
      <c r="K82" s="56">
        <f>'T12a. MeHg SE 2010-18'!K82/'T9a. MeHg loads daily calib'!L82</f>
        <v>9.8531145417002919E-2</v>
      </c>
      <c r="L82" s="11" t="s">
        <v>32</v>
      </c>
      <c r="M82" s="4" t="s">
        <v>32</v>
      </c>
    </row>
    <row r="83" spans="1:13">
      <c r="A83" s="2" t="s">
        <v>253</v>
      </c>
      <c r="B83" s="37"/>
      <c r="C83" s="33"/>
      <c r="D83" s="33"/>
      <c r="E83" s="33"/>
      <c r="F83" s="33"/>
      <c r="G83" s="26"/>
      <c r="H83" s="31"/>
      <c r="I83" s="87" t="s">
        <v>263</v>
      </c>
      <c r="J83" s="257">
        <f>'T12a. MeHg SE 2010-18'!J83/'T9a. MeHg loads daily calib'!K83</f>
        <v>0.13105673573628102</v>
      </c>
      <c r="K83" s="56">
        <f>'T12a. MeHg SE 2010-18'!K83/'T9a. MeHg loads daily calib'!L83</f>
        <v>0.1136434162110269</v>
      </c>
      <c r="L83" s="11" t="s">
        <v>32</v>
      </c>
      <c r="M83" s="4" t="s">
        <v>32</v>
      </c>
    </row>
    <row r="84" spans="1:13" ht="16">
      <c r="A84" s="14" t="s">
        <v>33</v>
      </c>
      <c r="B84" s="37"/>
      <c r="C84" s="26"/>
      <c r="D84" s="26"/>
      <c r="E84" s="28"/>
      <c r="F84" s="26"/>
      <c r="G84" s="26"/>
      <c r="H84" s="48"/>
      <c r="K84" s="26"/>
    </row>
    <row r="85" spans="1:13">
      <c r="A85" s="2" t="s">
        <v>1</v>
      </c>
      <c r="B85" s="72">
        <f t="shared" ref="B85:B93" si="1">B72</f>
        <v>171.40355571286602</v>
      </c>
      <c r="C85" s="109">
        <f>'T12a. MeHg SE 2010-18'!C85/'T9a. MeHg loads daily calib'!C85</f>
        <v>0.2212664015634056</v>
      </c>
      <c r="D85" s="260">
        <v>0.21500129658301062</v>
      </c>
      <c r="E85" s="183">
        <f>'T12a. MeHg SE 2010-18'!E85/'T9a. MeHg loads daily calib'!E85</f>
        <v>0.19189917137430315</v>
      </c>
      <c r="F85" s="183">
        <f>'T12a. MeHg SE 2010-18'!F85/'T9a. MeHg loads daily calib'!F85</f>
        <v>0.11331157509673515</v>
      </c>
      <c r="G85" s="26"/>
      <c r="H85" s="31"/>
      <c r="J85" s="56">
        <f>'T12a. MeHg SE 2010-18'!J85/'T9a. MeHg loads daily calib'!K85</f>
        <v>0.19533014780320235</v>
      </c>
      <c r="K85" s="109">
        <f>'T12a. MeHg SE 2010-18'!K85/'T9a. MeHg loads daily calib'!L85</f>
        <v>0.4085412767819403</v>
      </c>
      <c r="L85" s="4" t="s">
        <v>32</v>
      </c>
      <c r="M85" s="36" t="s">
        <v>32</v>
      </c>
    </row>
    <row r="86" spans="1:13">
      <c r="A86" s="2" t="s">
        <v>2</v>
      </c>
      <c r="B86" s="72">
        <f t="shared" si="1"/>
        <v>455.92362156151501</v>
      </c>
      <c r="C86" s="109">
        <f>'T12a. MeHg SE 2010-18'!C86/'T9a. MeHg loads daily calib'!C86</f>
        <v>0.30423419319160333</v>
      </c>
      <c r="D86" s="260">
        <v>0.21500129658301062</v>
      </c>
      <c r="E86" s="183">
        <f>'T12a. MeHg SE 2010-18'!E86/'T9a. MeHg loads daily calib'!E86</f>
        <v>0.28049035511098802</v>
      </c>
      <c r="F86" s="183">
        <f>'T12a. MeHg SE 2010-18'!F86/'T9a. MeHg loads daily calib'!F86</f>
        <v>0.19078146745843375</v>
      </c>
      <c r="G86" s="26"/>
      <c r="H86" s="31"/>
      <c r="J86" s="56">
        <f>'T12a. MeHg SE 2010-18'!J86/'T9a. MeHg loads daily calib'!K86</f>
        <v>0.19400057052363393</v>
      </c>
      <c r="K86" s="109">
        <f>'T12a. MeHg SE 2010-18'!K86/'T9a. MeHg loads daily calib'!L86</f>
        <v>0.1940005705236339</v>
      </c>
      <c r="L86" s="4" t="s">
        <v>32</v>
      </c>
      <c r="M86" s="36" t="s">
        <v>32</v>
      </c>
    </row>
    <row r="87" spans="1:13">
      <c r="A87" s="2" t="s">
        <v>3</v>
      </c>
      <c r="B87" s="72">
        <f t="shared" si="1"/>
        <v>22.120468177770004</v>
      </c>
      <c r="C87" s="109">
        <f>'T12a. MeHg SE 2010-18'!C87/'T9a. MeHg loads daily calib'!C87</f>
        <v>0.21023832722007266</v>
      </c>
      <c r="D87" s="260">
        <v>0.19582123256339276</v>
      </c>
      <c r="E87" s="183">
        <f>'T12a. MeHg SE 2010-18'!E87/'T9a. MeHg loads daily calib'!E87</f>
        <v>0.19488222211240863</v>
      </c>
      <c r="F87" s="183">
        <f>'T12a. MeHg SE 2010-18'!F87/'T9a. MeHg loads daily calib'!F87</f>
        <v>0.59497311741480452</v>
      </c>
      <c r="G87" s="26"/>
      <c r="H87" s="31"/>
      <c r="J87" s="56">
        <f>'T12a. MeHg SE 2010-18'!J87/'T9a. MeHg loads daily calib'!K87</f>
        <v>0.22306198580989728</v>
      </c>
      <c r="K87" s="109">
        <f>'T12a. MeHg SE 2010-18'!K87/'T9a. MeHg loads daily calib'!L87</f>
        <v>0.22306198580989731</v>
      </c>
      <c r="L87" s="4" t="s">
        <v>32</v>
      </c>
      <c r="M87" s="36" t="s">
        <v>32</v>
      </c>
    </row>
    <row r="88" spans="1:13">
      <c r="A88" s="2" t="s">
        <v>4</v>
      </c>
      <c r="B88" s="72">
        <f t="shared" si="1"/>
        <v>102.341694194967</v>
      </c>
      <c r="C88" s="109">
        <f>'T12a. MeHg SE 2010-18'!C88/'T9a. MeHg loads daily calib'!C88</f>
        <v>0.34815093205954017</v>
      </c>
      <c r="D88" s="260">
        <v>0.11300676600634843</v>
      </c>
      <c r="E88" s="183">
        <f>'T12a. MeHg SE 2010-18'!E88/'T9a. MeHg loads daily calib'!E88</f>
        <v>0.30706787987167267</v>
      </c>
      <c r="F88" s="183">
        <f>'T12a. MeHg SE 2010-18'!F88/'T9a. MeHg loads daily calib'!F88</f>
        <v>0.42315485759190102</v>
      </c>
      <c r="G88" s="26"/>
      <c r="H88" s="31"/>
      <c r="J88" s="56">
        <f>'T12a. MeHg SE 2010-18'!J88/'T9a. MeHg loads daily calib'!K88</f>
        <v>0.64715815768802254</v>
      </c>
      <c r="K88" s="109">
        <f>'T12a. MeHg SE 2010-18'!K88/'T9a. MeHg loads daily calib'!L88</f>
        <v>0.64715815768802243</v>
      </c>
      <c r="L88" s="4" t="s">
        <v>32</v>
      </c>
      <c r="M88" s="36" t="s">
        <v>32</v>
      </c>
    </row>
    <row r="89" spans="1:13">
      <c r="A89" s="2" t="s">
        <v>5</v>
      </c>
      <c r="B89" s="93">
        <f t="shared" si="1"/>
        <v>0.65</v>
      </c>
      <c r="C89" s="109">
        <f>'T12a. MeHg SE 2010-18'!C89/'T9a. MeHg loads daily calib'!C89</f>
        <v>0.23131046009162662</v>
      </c>
      <c r="D89" s="260">
        <v>0.15131077203381554</v>
      </c>
      <c r="E89" s="183">
        <f>'T12a. MeHg SE 2010-18'!E89/'T9a. MeHg loads daily calib'!E89</f>
        <v>0.23244672008093131</v>
      </c>
      <c r="F89" s="183">
        <f>'T12a. MeHg SE 2010-18'!F89/'T9a. MeHg loads daily calib'!F89</f>
        <v>1.4240462708571617</v>
      </c>
      <c r="G89" s="26"/>
      <c r="H89" s="31"/>
      <c r="J89" s="56">
        <f>'T12a. MeHg SE 2010-18'!J89/'T9a. MeHg loads daily calib'!K89</f>
        <v>0.56985123476535537</v>
      </c>
      <c r="K89" s="109" t="s">
        <v>32</v>
      </c>
      <c r="L89" s="13" t="s">
        <v>32</v>
      </c>
      <c r="M89" s="36" t="s">
        <v>32</v>
      </c>
    </row>
    <row r="90" spans="1:13">
      <c r="A90" s="2" t="s">
        <v>88</v>
      </c>
      <c r="B90" s="72">
        <f t="shared" si="1"/>
        <v>83.4</v>
      </c>
      <c r="C90" s="109">
        <f>'T12a. MeHg SE 2010-18'!C90/'T9a. MeHg loads daily calib'!C90</f>
        <v>0.35673224178126806</v>
      </c>
      <c r="D90" s="260">
        <v>0.17557684217280659</v>
      </c>
      <c r="E90" s="183">
        <f>'T12a. MeHg SE 2010-18'!E90/'T9a. MeHg loads daily calib'!E90</f>
        <v>0.32537209805401374</v>
      </c>
      <c r="F90" s="183">
        <f>'T12a. MeHg SE 2010-18'!F90/'T9a. MeHg loads daily calib'!F90</f>
        <v>0.61320467708334381</v>
      </c>
      <c r="G90" s="26"/>
      <c r="H90" s="31"/>
      <c r="J90" s="56">
        <f>'T12a. MeHg SE 2010-18'!J90/'T9a. MeHg loads daily calib'!K90</f>
        <v>1.1495461990348803</v>
      </c>
      <c r="K90" s="109">
        <f>'T12a. MeHg SE 2010-18'!K90/'T9a. MeHg loads daily calib'!L90</f>
        <v>1.1495461990348801</v>
      </c>
      <c r="L90" s="13" t="s">
        <v>32</v>
      </c>
      <c r="M90" s="36" t="s">
        <v>32</v>
      </c>
    </row>
    <row r="91" spans="1:13">
      <c r="A91" s="2" t="s">
        <v>95</v>
      </c>
      <c r="B91" s="72">
        <f t="shared" si="1"/>
        <v>113.22396900000001</v>
      </c>
      <c r="C91" s="109">
        <f>'T12a. MeHg SE 2010-18'!C91/'T9a. MeHg loads daily calib'!C91</f>
        <v>0.11233988929901986</v>
      </c>
      <c r="D91" s="260">
        <v>0.23399428061329541</v>
      </c>
      <c r="E91" s="183">
        <f>'T12a. MeHg SE 2010-18'!E91/'T9a. MeHg loads daily calib'!E91</f>
        <v>0.11176319715422572</v>
      </c>
      <c r="F91" s="183">
        <f>'T12a. MeHg SE 2010-18'!F91/'T9a. MeHg loads daily calib'!F91</f>
        <v>0.10009472126391743</v>
      </c>
      <c r="G91" s="26"/>
      <c r="H91" s="31"/>
      <c r="J91" s="56">
        <f>'T12a. MeHg SE 2010-18'!J91/'T9a. MeHg loads daily calib'!K91</f>
        <v>0.29609585075663752</v>
      </c>
      <c r="K91" s="109">
        <f>'T12a. MeHg SE 2010-18'!K91/'T9a. MeHg loads daily calib'!L91</f>
        <v>0.29593506508147405</v>
      </c>
      <c r="L91" s="13" t="s">
        <v>32</v>
      </c>
      <c r="M91" s="36" t="s">
        <v>32</v>
      </c>
    </row>
    <row r="92" spans="1:13">
      <c r="A92" s="2" t="s">
        <v>125</v>
      </c>
      <c r="B92" s="72">
        <f t="shared" si="1"/>
        <v>1057.16425</v>
      </c>
      <c r="C92" s="109">
        <f>'T12a. MeHg SE 2010-18'!C92/'T9a. MeHg loads daily calib'!C92</f>
        <v>0.12611747405906543</v>
      </c>
      <c r="D92" s="260">
        <v>0.13793385500653502</v>
      </c>
      <c r="E92" s="183">
        <f>'T12a. MeHg SE 2010-18'!E92/'T9a. MeHg loads daily calib'!E92</f>
        <v>0.12412069751150202</v>
      </c>
      <c r="F92" s="183">
        <f>'T12a. MeHg SE 2010-18'!F92/'T9a. MeHg loads daily calib'!F92</f>
        <v>0.12200527248405123</v>
      </c>
      <c r="G92" s="26"/>
      <c r="H92" s="31"/>
      <c r="J92" s="56">
        <f>'T12a. MeHg SE 2010-18'!J92/'T9a. MeHg loads daily calib'!K92</f>
        <v>0.16292067040914612</v>
      </c>
      <c r="K92" s="109">
        <f>'T12a. MeHg SE 2010-18'!K92/'T9a. MeHg loads daily calib'!L92</f>
        <v>0.16291390043325832</v>
      </c>
      <c r="L92" s="13" t="s">
        <v>32</v>
      </c>
      <c r="M92" s="36" t="s">
        <v>32</v>
      </c>
    </row>
    <row r="93" spans="1:13">
      <c r="A93" s="62" t="s">
        <v>128</v>
      </c>
      <c r="B93" s="93">
        <f t="shared" si="1"/>
        <v>8.4</v>
      </c>
      <c r="C93" s="109">
        <f>'T12a. MeHg SE 2010-18'!C93/'T9a. MeHg loads daily calib'!C93</f>
        <v>8.1784674472340391E-2</v>
      </c>
      <c r="D93" s="260">
        <v>0.15935619784823082</v>
      </c>
      <c r="E93" s="183">
        <f>'T12a. MeHg SE 2010-18'!E93/'T9a. MeHg loads daily calib'!E93</f>
        <v>9.3378743262200775E-2</v>
      </c>
      <c r="F93" s="183">
        <f>'T12a. MeHg SE 2010-18'!F93/'T9a. MeHg loads daily calib'!F93</f>
        <v>0.14743293504185992</v>
      </c>
      <c r="G93" s="26"/>
      <c r="H93" s="31"/>
      <c r="J93" s="56">
        <f>'T12a. MeHg SE 2010-18'!J93/'T9a. MeHg loads daily calib'!K93</f>
        <v>0.19969579441511279</v>
      </c>
      <c r="K93" s="109">
        <f>'T12a. MeHg SE 2010-18'!K93/'T9a. MeHg loads daily calib'!L93</f>
        <v>0.19969579441511282</v>
      </c>
      <c r="L93" s="13" t="s">
        <v>32</v>
      </c>
      <c r="M93" s="36" t="s">
        <v>32</v>
      </c>
    </row>
    <row r="94" spans="1:13">
      <c r="A94" s="62" t="s">
        <v>247</v>
      </c>
      <c r="B94" s="93"/>
      <c r="C94" s="109"/>
      <c r="D94" s="260"/>
      <c r="E94" s="183"/>
      <c r="F94" s="183"/>
      <c r="G94" s="26"/>
      <c r="H94" s="31"/>
      <c r="J94" s="56"/>
      <c r="K94" s="109"/>
      <c r="L94" s="13"/>
      <c r="M94" s="36"/>
    </row>
    <row r="95" spans="1:13">
      <c r="A95" s="2" t="s">
        <v>253</v>
      </c>
      <c r="B95" s="146">
        <f>SUM(B85:B93)</f>
        <v>2014.6275586471181</v>
      </c>
      <c r="C95" s="256">
        <f>'T12a. MeHg SE 2010-18'!C95/'T9a. MeHg loads daily calib'!C95</f>
        <v>7.4499137514721689E-2</v>
      </c>
      <c r="D95" s="261">
        <v>0.28589743589743594</v>
      </c>
      <c r="E95" s="58">
        <f>'T12a. MeHg SE 2010-18'!E95/'T9a. MeHg loads daily calib'!E95</f>
        <v>0.12744810698703049</v>
      </c>
      <c r="F95" s="58">
        <f>'T12a. MeHg SE 2010-18'!F95/'T9a. MeHg loads daily calib'!F95</f>
        <v>0.13447326942311588</v>
      </c>
      <c r="G95" s="26"/>
      <c r="H95" s="264"/>
      <c r="I95" s="10" t="s">
        <v>26</v>
      </c>
      <c r="J95" s="257">
        <f>'T12a. MeHg SE 2010-18'!J95/'T9a. MeHg loads daily calib'!K95</f>
        <v>0.14350681620455033</v>
      </c>
      <c r="K95" s="56">
        <f>'T12a. MeHg SE 2010-18'!K95/'T9a. MeHg loads daily calib'!L95</f>
        <v>9.544439556529416E-2</v>
      </c>
      <c r="L95" s="11" t="s">
        <v>32</v>
      </c>
      <c r="M95" s="36" t="s">
        <v>32</v>
      </c>
    </row>
    <row r="96" spans="1:13">
      <c r="A96" s="2" t="s">
        <v>253</v>
      </c>
      <c r="C96" s="33"/>
      <c r="D96" s="33"/>
      <c r="E96" s="33"/>
      <c r="F96" s="33"/>
      <c r="G96" s="26"/>
      <c r="H96" s="265"/>
      <c r="I96" s="87" t="s">
        <v>263</v>
      </c>
      <c r="J96" s="257">
        <f>'T12a. MeHg SE 2010-18'!J96/'T9a. MeHg loads daily calib'!K96</f>
        <v>0.14350681620455033</v>
      </c>
      <c r="K96" s="56">
        <f>'T12a. MeHg SE 2010-18'!K96/'T9a. MeHg loads daily calib'!L96</f>
        <v>0.14350681620455033</v>
      </c>
      <c r="L96" s="11" t="s">
        <v>32</v>
      </c>
      <c r="M96" s="36" t="s">
        <v>32</v>
      </c>
    </row>
  </sheetData>
  <mergeCells count="2">
    <mergeCell ref="A1:M1"/>
    <mergeCell ref="A2:M2"/>
  </mergeCells>
  <pageMargins left="0.7" right="0.7" top="0.75" bottom="0.75" header="0.3" footer="0.3"/>
  <pageSetup scale="63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59999389629810485"/>
    <pageSetUpPr fitToPage="1"/>
  </sheetPr>
  <dimension ref="A1:BZ31"/>
  <sheetViews>
    <sheetView topLeftCell="A4" zoomScaleNormal="100" workbookViewId="0">
      <selection activeCell="F18" sqref="F18"/>
    </sheetView>
  </sheetViews>
  <sheetFormatPr baseColWidth="10" defaultColWidth="8.83203125" defaultRowHeight="15"/>
  <cols>
    <col min="2" max="2" width="10.1640625" customWidth="1"/>
    <col min="5" max="5" width="10.1640625" bestFit="1" customWidth="1"/>
    <col min="6" max="6" width="11" bestFit="1" customWidth="1"/>
    <col min="7" max="7" width="2.5" customWidth="1"/>
    <col min="8" max="8" width="4.5" customWidth="1"/>
    <col min="9" max="9" width="2.5" customWidth="1"/>
    <col min="13" max="13" width="10.5" customWidth="1"/>
    <col min="14" max="15" width="16.83203125" customWidth="1"/>
    <col min="16" max="16" width="1.5" customWidth="1"/>
    <col min="24" max="24" width="3" customWidth="1"/>
    <col min="29" max="29" width="2.5" customWidth="1"/>
  </cols>
  <sheetData>
    <row r="1" spans="1:78" ht="18.75" customHeight="1">
      <c r="A1" s="618" t="s">
        <v>207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</row>
    <row r="2" spans="1:78" ht="63.75" customHeight="1">
      <c r="A2" s="626" t="s">
        <v>121</v>
      </c>
      <c r="B2" s="626"/>
      <c r="C2" s="626"/>
      <c r="D2" s="626"/>
      <c r="E2" s="626"/>
      <c r="F2" s="626"/>
      <c r="G2" s="626"/>
      <c r="H2" s="626"/>
      <c r="I2" s="626"/>
      <c r="J2" s="626"/>
      <c r="K2" s="626"/>
      <c r="L2" s="626"/>
      <c r="M2" s="626"/>
      <c r="N2" s="626"/>
      <c r="O2" s="626"/>
      <c r="U2" t="s">
        <v>50</v>
      </c>
    </row>
    <row r="3" spans="1:78">
      <c r="U3" t="s">
        <v>51</v>
      </c>
    </row>
    <row r="4" spans="1:78">
      <c r="Q4" t="s">
        <v>20</v>
      </c>
      <c r="AD4" t="s">
        <v>21</v>
      </c>
      <c r="AL4" t="s">
        <v>22</v>
      </c>
      <c r="AT4" t="s">
        <v>23</v>
      </c>
      <c r="BB4" t="s">
        <v>16</v>
      </c>
      <c r="BJ4" t="s">
        <v>24</v>
      </c>
      <c r="BT4" t="s">
        <v>94</v>
      </c>
    </row>
    <row r="5" spans="1:78">
      <c r="U5" t="s">
        <v>46</v>
      </c>
      <c r="V5" t="s">
        <v>49</v>
      </c>
      <c r="W5" t="s">
        <v>47</v>
      </c>
      <c r="Y5" t="s">
        <v>52</v>
      </c>
      <c r="Z5" t="s">
        <v>53</v>
      </c>
      <c r="AA5" t="s">
        <v>54</v>
      </c>
      <c r="AB5" t="s">
        <v>55</v>
      </c>
      <c r="AH5" t="s">
        <v>46</v>
      </c>
      <c r="AI5" t="s">
        <v>49</v>
      </c>
      <c r="AJ5" t="s">
        <v>47</v>
      </c>
      <c r="AP5" t="s">
        <v>46</v>
      </c>
      <c r="AQ5" t="s">
        <v>49</v>
      </c>
      <c r="AR5" t="s">
        <v>47</v>
      </c>
      <c r="BF5" t="s">
        <v>46</v>
      </c>
      <c r="BG5" t="s">
        <v>49</v>
      </c>
      <c r="BH5" t="s">
        <v>47</v>
      </c>
      <c r="BN5" t="s">
        <v>46</v>
      </c>
      <c r="BO5" t="s">
        <v>49</v>
      </c>
      <c r="BP5" t="s">
        <v>47</v>
      </c>
      <c r="BX5" t="s">
        <v>46</v>
      </c>
      <c r="BY5" t="s">
        <v>49</v>
      </c>
      <c r="BZ5" t="s">
        <v>47</v>
      </c>
    </row>
    <row r="6" spans="1:78">
      <c r="B6" s="42" t="s">
        <v>27</v>
      </c>
      <c r="C6" s="55" t="s">
        <v>62</v>
      </c>
      <c r="D6" s="40" t="s">
        <v>63</v>
      </c>
      <c r="E6" s="57" t="s">
        <v>64</v>
      </c>
      <c r="F6" s="57" t="s">
        <v>65</v>
      </c>
      <c r="G6" s="43"/>
      <c r="H6" s="44"/>
      <c r="I6" s="44"/>
      <c r="J6" s="40" t="s">
        <v>16</v>
      </c>
      <c r="K6" s="55" t="s">
        <v>66</v>
      </c>
      <c r="L6" s="40" t="s">
        <v>17</v>
      </c>
      <c r="M6" s="55" t="s">
        <v>67</v>
      </c>
      <c r="N6" s="40" t="s">
        <v>73</v>
      </c>
      <c r="O6" s="40" t="s">
        <v>74</v>
      </c>
      <c r="Q6" t="s">
        <v>40</v>
      </c>
      <c r="R6" t="s">
        <v>42</v>
      </c>
      <c r="S6" t="s">
        <v>41</v>
      </c>
      <c r="T6" t="s">
        <v>43</v>
      </c>
      <c r="U6" t="s">
        <v>44</v>
      </c>
      <c r="V6" t="s">
        <v>45</v>
      </c>
      <c r="W6" t="s">
        <v>48</v>
      </c>
      <c r="AD6" t="s">
        <v>40</v>
      </c>
      <c r="AE6" t="s">
        <v>42</v>
      </c>
      <c r="AF6" t="s">
        <v>41</v>
      </c>
      <c r="AG6" t="s">
        <v>43</v>
      </c>
      <c r="AH6" t="s">
        <v>44</v>
      </c>
      <c r="AI6" t="s">
        <v>45</v>
      </c>
      <c r="AJ6" t="s">
        <v>48</v>
      </c>
      <c r="AL6" t="s">
        <v>40</v>
      </c>
      <c r="AM6" t="s">
        <v>42</v>
      </c>
      <c r="AN6" t="s">
        <v>41</v>
      </c>
      <c r="AO6" t="s">
        <v>43</v>
      </c>
      <c r="AP6" t="s">
        <v>44</v>
      </c>
      <c r="AQ6" t="s">
        <v>45</v>
      </c>
      <c r="AR6" t="s">
        <v>48</v>
      </c>
      <c r="AT6" t="s">
        <v>40</v>
      </c>
      <c r="AU6" t="s">
        <v>42</v>
      </c>
      <c r="AV6" t="s">
        <v>41</v>
      </c>
      <c r="AW6" t="s">
        <v>43</v>
      </c>
      <c r="AX6" t="s">
        <v>44</v>
      </c>
      <c r="AY6" t="s">
        <v>45</v>
      </c>
      <c r="AZ6" t="s">
        <v>48</v>
      </c>
      <c r="BB6" t="s">
        <v>40</v>
      </c>
      <c r="BC6" t="s">
        <v>42</v>
      </c>
      <c r="BD6" t="s">
        <v>41</v>
      </c>
      <c r="BE6" t="s">
        <v>43</v>
      </c>
      <c r="BF6" t="s">
        <v>44</v>
      </c>
      <c r="BG6" t="s">
        <v>45</v>
      </c>
      <c r="BH6" t="s">
        <v>48</v>
      </c>
      <c r="BJ6" t="s">
        <v>40</v>
      </c>
      <c r="BK6" t="s">
        <v>42</v>
      </c>
      <c r="BL6" t="s">
        <v>41</v>
      </c>
      <c r="BM6" t="s">
        <v>43</v>
      </c>
      <c r="BN6" t="s">
        <v>44</v>
      </c>
      <c r="BO6" t="s">
        <v>45</v>
      </c>
      <c r="BP6" t="s">
        <v>48</v>
      </c>
      <c r="BT6" t="s">
        <v>40</v>
      </c>
      <c r="BU6" t="s">
        <v>42</v>
      </c>
      <c r="BV6" t="s">
        <v>41</v>
      </c>
      <c r="BW6" t="s">
        <v>43</v>
      </c>
      <c r="BX6" t="s">
        <v>44</v>
      </c>
      <c r="BY6" t="s">
        <v>45</v>
      </c>
      <c r="BZ6" t="s">
        <v>48</v>
      </c>
    </row>
    <row r="7" spans="1:78">
      <c r="B7" s="41" t="s">
        <v>39</v>
      </c>
      <c r="C7" s="55" t="s">
        <v>39</v>
      </c>
      <c r="D7" s="41" t="s">
        <v>39</v>
      </c>
      <c r="E7" s="57" t="s">
        <v>39</v>
      </c>
      <c r="F7" s="57" t="s">
        <v>39</v>
      </c>
      <c r="G7" s="43"/>
      <c r="H7" s="44"/>
      <c r="I7" s="44"/>
      <c r="J7" s="41" t="s">
        <v>39</v>
      </c>
      <c r="K7" s="55" t="s">
        <v>39</v>
      </c>
      <c r="L7" s="41" t="s">
        <v>39</v>
      </c>
      <c r="M7" s="55" t="s">
        <v>39</v>
      </c>
      <c r="N7" s="106" t="s">
        <v>39</v>
      </c>
      <c r="O7" s="55" t="s">
        <v>39</v>
      </c>
      <c r="Q7">
        <v>1000</v>
      </c>
      <c r="R7">
        <v>200</v>
      </c>
      <c r="S7">
        <v>250</v>
      </c>
      <c r="T7">
        <v>50</v>
      </c>
      <c r="U7">
        <f>((T7^2)*((1/Q7)^2))</f>
        <v>2.5000000000000001E-3</v>
      </c>
      <c r="V7">
        <f>((R7*R7)*((-S7/(Q7*Q7))^2))</f>
        <v>2.5000000000000001E-3</v>
      </c>
      <c r="W7">
        <f>SQRT(U7+V7)</f>
        <v>7.0710678118654752E-2</v>
      </c>
      <c r="Y7">
        <f>(T7/S7)^2</f>
        <v>4.0000000000000008E-2</v>
      </c>
      <c r="Z7">
        <f>(R7/Q7)^2</f>
        <v>4.0000000000000008E-2</v>
      </c>
      <c r="AA7">
        <f>SQRT(Y7+Z7)</f>
        <v>0.28284271247461906</v>
      </c>
      <c r="AB7">
        <f>(S7/Q7)*AA7</f>
        <v>7.0710678118654766E-2</v>
      </c>
      <c r="AD7">
        <v>1000</v>
      </c>
      <c r="AE7">
        <v>200</v>
      </c>
      <c r="AF7">
        <v>250</v>
      </c>
      <c r="AG7">
        <v>50</v>
      </c>
      <c r="AH7">
        <f>((AG7^2)*((1/AD7)^2))</f>
        <v>2.5000000000000001E-3</v>
      </c>
      <c r="AI7">
        <f>((AE7*AE7)*((-AF7/(AD7*AD7))^2))</f>
        <v>2.5000000000000001E-3</v>
      </c>
      <c r="AJ7">
        <f>SQRT(AH7+AI7)</f>
        <v>7.0710678118654752E-2</v>
      </c>
      <c r="AL7">
        <v>1000</v>
      </c>
      <c r="AM7">
        <v>200</v>
      </c>
      <c r="AN7">
        <v>250</v>
      </c>
      <c r="AO7">
        <v>50</v>
      </c>
      <c r="AP7">
        <f>((AO7^2)*((1/AL7)^2))</f>
        <v>2.5000000000000001E-3</v>
      </c>
      <c r="AQ7">
        <f>((AM7*AM7)*((-AN7/(AL7*AL7))^2))</f>
        <v>2.5000000000000001E-3</v>
      </c>
      <c r="AR7">
        <f>SQRT(AP7+AQ7)</f>
        <v>7.0710678118654752E-2</v>
      </c>
      <c r="AT7">
        <v>1000</v>
      </c>
      <c r="AU7">
        <v>200</v>
      </c>
      <c r="AV7">
        <v>250</v>
      </c>
      <c r="AW7">
        <v>50</v>
      </c>
      <c r="AX7">
        <f>((AW7^2)*((1/AT7)^2))</f>
        <v>2.5000000000000001E-3</v>
      </c>
      <c r="AY7">
        <f>((AU7*AU7)*((-AV7/(AT7*AT7))^2))</f>
        <v>2.5000000000000001E-3</v>
      </c>
      <c r="AZ7">
        <f>SQRT(AX7+AY7)</f>
        <v>7.0710678118654752E-2</v>
      </c>
      <c r="BB7">
        <v>1000</v>
      </c>
      <c r="BC7">
        <v>200</v>
      </c>
      <c r="BD7">
        <v>250</v>
      </c>
      <c r="BE7">
        <v>50</v>
      </c>
      <c r="BF7">
        <f>((BE7^2)*((1/BB7)^2))</f>
        <v>2.5000000000000001E-3</v>
      </c>
      <c r="BG7">
        <f>((BC7*BC7)*((-BD7/(BB7*BB7))^2))</f>
        <v>2.5000000000000001E-3</v>
      </c>
      <c r="BH7">
        <f>SQRT(BF7+BG7)</f>
        <v>7.0710678118654752E-2</v>
      </c>
      <c r="BJ7">
        <v>1000</v>
      </c>
      <c r="BK7">
        <v>200</v>
      </c>
      <c r="BL7">
        <v>250</v>
      </c>
      <c r="BM7">
        <v>50</v>
      </c>
      <c r="BN7">
        <f>((BM7^2)*((1/BJ7)^2))</f>
        <v>2.5000000000000001E-3</v>
      </c>
      <c r="BO7">
        <f>((BK7*BK7)*((-BL7/(BJ7*BJ7))^2))</f>
        <v>2.5000000000000001E-3</v>
      </c>
      <c r="BP7">
        <f>SQRT(BN7+BO7)</f>
        <v>7.0710678118654752E-2</v>
      </c>
    </row>
    <row r="8" spans="1:78" ht="16">
      <c r="A8" s="1" t="s">
        <v>36</v>
      </c>
      <c r="C8" s="6"/>
      <c r="D8" s="6"/>
      <c r="E8" s="26"/>
      <c r="F8" s="26"/>
      <c r="G8" s="26"/>
      <c r="H8" s="27"/>
      <c r="I8" s="26"/>
      <c r="J8" s="26"/>
      <c r="K8" s="26"/>
      <c r="L8" s="26"/>
      <c r="M8" s="26"/>
    </row>
    <row r="9" spans="1:78">
      <c r="A9" s="2" t="s">
        <v>1</v>
      </c>
      <c r="B9" s="45"/>
      <c r="C9" s="56">
        <f>W9</f>
        <v>0.32316161625119438</v>
      </c>
      <c r="D9" s="53">
        <f>AJ9</f>
        <v>0.29289415770271227</v>
      </c>
      <c r="E9" s="58">
        <f>AR9</f>
        <v>0.3200878272333223</v>
      </c>
      <c r="F9" s="58" t="str">
        <f>AZ9</f>
        <v>nd</v>
      </c>
      <c r="G9" s="26"/>
      <c r="H9" s="26"/>
      <c r="I9" s="26"/>
      <c r="J9" s="53">
        <f>BH9</f>
        <v>0.10435368398046158</v>
      </c>
      <c r="K9" s="56">
        <f>BP9</f>
        <v>0.25921866682244243</v>
      </c>
      <c r="L9" s="45" t="s">
        <v>32</v>
      </c>
      <c r="M9" s="56" t="s">
        <v>32</v>
      </c>
      <c r="N9" s="58">
        <f>BZ9</f>
        <v>0.33958720679431376</v>
      </c>
      <c r="O9" s="56" t="s">
        <v>32</v>
      </c>
      <c r="Q9" s="51">
        <f>'T9a. MeHg loads daily calib'!C22</f>
        <v>0.19671196304996197</v>
      </c>
      <c r="R9" s="51">
        <f>'T12a. MeHg SE 2010-18'!C22</f>
        <v>3.8021033574781871E-2</v>
      </c>
      <c r="S9" s="51">
        <f>'T9a. MeHg loads daily calib'!C72</f>
        <v>9.6569619740713375E-2</v>
      </c>
      <c r="T9" s="51">
        <f>'T12a. MeHg SE 2010-18'!C72</f>
        <v>6.0767775505670842E-2</v>
      </c>
      <c r="U9" s="51">
        <f>((T9^2)*((1/Q9)^2))</f>
        <v>9.5430045865438573E-2</v>
      </c>
      <c r="V9" s="51">
        <f>((R9*R9)*((-S9/(Q9*Q9))^2))</f>
        <v>9.0033843526456693E-3</v>
      </c>
      <c r="W9" s="51">
        <f>SQRT(U9+V9)</f>
        <v>0.32316161625119438</v>
      </c>
      <c r="AD9" s="35">
        <f>'T9a. MeHg loads daily calib'!D22</f>
        <v>2.1832013545905447E-2</v>
      </c>
      <c r="AE9" s="35">
        <f>'T12a. MeHg SE 2010-18'!D22</f>
        <v>3.0139948964169106E-3</v>
      </c>
      <c r="AF9" s="35">
        <f>'T9a. MeHg loads daily calib'!D72</f>
        <v>2.6025928645789738E-2</v>
      </c>
      <c r="AG9" s="35">
        <f>'T12a. MeHg SE 2010-18'!D72</f>
        <v>5.2895861900848998E-3</v>
      </c>
      <c r="AH9">
        <f>((AG9^2)*((1/AD9)^2))</f>
        <v>5.8702393844313125E-2</v>
      </c>
      <c r="AI9">
        <f>((AE9*AE9)*((-AF9/(AD9*AD9))^2))</f>
        <v>2.7084593772068153E-2</v>
      </c>
      <c r="AJ9">
        <f>SQRT(AH9+AI9)</f>
        <v>0.29289415770271227</v>
      </c>
      <c r="AL9" s="51">
        <f>'T9a. MeHg loads daily calib'!E22</f>
        <v>0.21854397659586741</v>
      </c>
      <c r="AM9" s="51">
        <f>'T12a. MeHg SE 2010-18'!E22</f>
        <v>4.1035028471198783E-2</v>
      </c>
      <c r="AN9" s="51">
        <f>'T9a. MeHg loads daily calib'!E72</f>
        <v>0.12259554838650311</v>
      </c>
      <c r="AO9" s="51">
        <f>'T12a. MeHg SE 2010-18'!E72</f>
        <v>6.605736169575574E-2</v>
      </c>
      <c r="AP9">
        <f>((AO9^2)*((1/AL9)^2))</f>
        <v>9.1361824940347613E-2</v>
      </c>
      <c r="AQ9">
        <f>((AM9*AM9)*((-AN9/(AL9*AL9))^2))</f>
        <v>1.1094392202601578E-2</v>
      </c>
      <c r="AR9">
        <f>SQRT(AP9+AQ9)</f>
        <v>0.3200878272333223</v>
      </c>
      <c r="AT9" s="51">
        <f>'T9a. MeHg loads daily calib'!F22</f>
        <v>0.21740883296666297</v>
      </c>
      <c r="AU9" s="51">
        <f>'T12a. MeHg SE 2010-18'!F22</f>
        <v>2.8542436963802886E-2</v>
      </c>
      <c r="AV9" s="51">
        <f>'T9a. MeHg loads daily calib'!F72</f>
        <v>0.14675656383888108</v>
      </c>
      <c r="AW9" s="51">
        <f>'T12a. MeHg SE 2010-18'!F72</f>
        <v>3.9965153380472185E-2</v>
      </c>
      <c r="AX9" t="s">
        <v>32</v>
      </c>
      <c r="AY9">
        <f>((AU9*AU9)*((-AV9/(AT9*AT9))^2))</f>
        <v>7.853593730170725E-3</v>
      </c>
      <c r="AZ9" t="s">
        <v>32</v>
      </c>
      <c r="BB9" s="37">
        <f>'T4a. THg loads daily calib'!K22</f>
        <v>164.26473846867469</v>
      </c>
      <c r="BC9">
        <f>'T7a. THg SE 2010-19'!J22</f>
        <v>22.327058892311701</v>
      </c>
      <c r="BD9" s="37">
        <f>'T4a. THg loads daily calib'!K72</f>
        <v>47.671597299689054</v>
      </c>
      <c r="BE9" s="37">
        <f>'T7a. THg SE 2010-19'!J72</f>
        <v>15.869799596929466</v>
      </c>
      <c r="BF9">
        <f>((BE9^2)*((1/BB9)^2))</f>
        <v>9.3337076101058635E-3</v>
      </c>
      <c r="BG9">
        <f>((BC9*BC9)*((-BD9/(BB9*BB9))^2))</f>
        <v>1.5559837501881793E-3</v>
      </c>
      <c r="BH9">
        <f>SQRT(BF9+BG9)</f>
        <v>0.10435368398046158</v>
      </c>
      <c r="BJ9" s="35">
        <f>'T9a. MeHg loads daily calib'!L22</f>
        <v>0.6032763509676583</v>
      </c>
      <c r="BK9" s="35">
        <f>'T12a. MeHg SE 2010-18'!K22</f>
        <v>8.1998040126928559E-2</v>
      </c>
      <c r="BL9" s="35">
        <f>'T9a. MeHg loads daily calib'!L72</f>
        <v>0.58880053207146499</v>
      </c>
      <c r="BM9" s="35">
        <f>'T12a. MeHg SE 2010-18'!K72</f>
        <v>0.13435022157152882</v>
      </c>
      <c r="BN9">
        <f>((BM9^2)*((1/BJ9)^2))</f>
        <v>4.9595716895148668E-2</v>
      </c>
      <c r="BO9">
        <f>((BK9*BK9)*((-BL9/(BJ9*BJ9))^2))</f>
        <v>1.7598600334055758E-2</v>
      </c>
      <c r="BP9">
        <f>SQRT(BN9+BO9)</f>
        <v>0.25921866682244243</v>
      </c>
      <c r="BT9" s="35">
        <f>'T9a. MeHg loads daily calib'!P22</f>
        <v>0.62510836451356377</v>
      </c>
      <c r="BU9" s="35">
        <f>'T12a. MeHg SE 2010-18'!D22+'T12a. MeHg SE 2010-18'!K22</f>
        <v>8.5012035023345464E-2</v>
      </c>
      <c r="BV9" s="35">
        <f>'T9a. MeHg loads daily calib'!P72</f>
        <v>0.61482646071725477</v>
      </c>
      <c r="BW9" s="35">
        <f>'T12a. MeHg SE 2010-18'!C72+'T12a. MeHg SE 2010-18'!K72</f>
        <v>0.19511799707719965</v>
      </c>
      <c r="BX9">
        <f>((BW9^2)*((1/BT9)^2))</f>
        <v>9.7428056216151429E-2</v>
      </c>
      <c r="BY9">
        <f>((BU9*BU9)*((-BV9/(BT9*BT9))^2))</f>
        <v>1.78914148022126E-2</v>
      </c>
      <c r="BZ9">
        <f>SQRT(BX9+BY9)</f>
        <v>0.33958720679431376</v>
      </c>
    </row>
    <row r="10" spans="1:78">
      <c r="A10" s="2" t="s">
        <v>2</v>
      </c>
      <c r="B10" s="45"/>
      <c r="C10" s="56">
        <f>W10</f>
        <v>0.34460582513887394</v>
      </c>
      <c r="D10" s="53">
        <f>AJ10</f>
        <v>0.23629783534718735</v>
      </c>
      <c r="E10" s="58">
        <f>AR10</f>
        <v>0.33828315347897719</v>
      </c>
      <c r="F10" s="58">
        <f>AZ10</f>
        <v>0.2067508727182896</v>
      </c>
      <c r="G10" s="26"/>
      <c r="H10" s="26"/>
      <c r="I10" s="26"/>
      <c r="J10" s="53">
        <f t="shared" ref="J10:J19" si="0">BH10</f>
        <v>5.8601046182453972E-2</v>
      </c>
      <c r="K10" s="56">
        <f t="shared" ref="K10:K19" si="1">BP10</f>
        <v>8.0372669690887771E-2</v>
      </c>
      <c r="L10" s="45" t="s">
        <v>32</v>
      </c>
      <c r="M10" s="56" t="s">
        <v>32</v>
      </c>
      <c r="N10" s="58">
        <f t="shared" ref="N10:N31" si="2">BZ10</f>
        <v>0.18530291680477054</v>
      </c>
      <c r="O10" s="56" t="s">
        <v>32</v>
      </c>
      <c r="Q10" s="51">
        <f>'T9a. MeHg loads daily calib'!C23</f>
        <v>0.71830172551149296</v>
      </c>
      <c r="R10" s="51">
        <f>'T12a. MeHg SE 2010-18'!C23</f>
        <v>0.13631422510280944</v>
      </c>
      <c r="S10" s="51">
        <f>'T9a. MeHg loads daily calib'!C73</f>
        <v>0.30562217333402658</v>
      </c>
      <c r="T10" s="51">
        <f>'T12a. MeHg SE 2010-18'!C73</f>
        <v>0.24064021462872812</v>
      </c>
      <c r="U10" s="51">
        <f>((T10^2)*((1/Q10)^2))</f>
        <v>0.11223352236071614</v>
      </c>
      <c r="V10" s="51">
        <f>((R10*R10)*((-S10/(Q10*Q10))^2))</f>
        <v>6.5196523589280131E-3</v>
      </c>
      <c r="W10" s="51">
        <f>SQRT(U10+V10)</f>
        <v>0.34460582513887394</v>
      </c>
      <c r="AD10" s="35">
        <f>'T9a. MeHg loads daily calib'!D23</f>
        <v>4.0659015901341362E-2</v>
      </c>
      <c r="AE10" s="35">
        <f>'T12a. MeHg SE 2010-18'!D23</f>
        <v>5.2219443521433649E-3</v>
      </c>
      <c r="AF10" s="35">
        <f>'T9a. MeHg loads daily calib'!D73</f>
        <v>4.576265346336468E-2</v>
      </c>
      <c r="AG10" s="35">
        <f>'T12a. MeHg SE 2010-18'!D73</f>
        <v>7.6001747045760897E-3</v>
      </c>
      <c r="AH10">
        <f t="shared" ref="AH10:AH18" si="3">((AG10^2)*((1/AD10)^2))</f>
        <v>3.4940846733514129E-2</v>
      </c>
      <c r="AI10">
        <f t="shared" ref="AI10:AI18" si="4">((AE10*AE10)*((-AF10/(AD10*AD10))^2))</f>
        <v>2.0895820256252324E-2</v>
      </c>
      <c r="AJ10">
        <f t="shared" ref="AJ10:AJ18" si="5">SQRT(AH10+AI10)</f>
        <v>0.23629783534718735</v>
      </c>
      <c r="AL10" s="51">
        <f>'T9a. MeHg loads daily calib'!E23</f>
        <v>0.75896074141283432</v>
      </c>
      <c r="AM10" s="51">
        <f>'T12a. MeHg SE 2010-18'!E23</f>
        <v>0.14153616945495281</v>
      </c>
      <c r="AN10" s="51">
        <f>'T9a. MeHg loads daily calib'!E73</f>
        <v>0.35138482679739125</v>
      </c>
      <c r="AO10" s="51">
        <f>'T12a. MeHg SE 2010-18'!E73</f>
        <v>0.2482403893333042</v>
      </c>
      <c r="AP10">
        <f>((AO10^2)*((1/AL10)^2))</f>
        <v>0.10698090408941557</v>
      </c>
      <c r="AQ10">
        <f>((AM10*AM10)*((-AN10/(AL10*AL10))^2))</f>
        <v>7.4545878382656491E-3</v>
      </c>
      <c r="AR10">
        <f>SQRT(AP10+AQ10)</f>
        <v>0.33828315347897719</v>
      </c>
      <c r="AT10" s="51">
        <f>'T9a. MeHg loads daily calib'!F23</f>
        <v>0.7987738911958473</v>
      </c>
      <c r="AU10" s="51">
        <f>'T12a. MeHg SE 2010-18'!F23</f>
        <v>0.20743652721833258</v>
      </c>
      <c r="AV10" s="51">
        <f>'T9a. MeHg loads daily calib'!F73</f>
        <v>0.4413748896129519</v>
      </c>
      <c r="AW10" s="51">
        <f>'T12a. MeHg SE 2010-18'!F73</f>
        <v>0.11889210764541372</v>
      </c>
      <c r="AX10">
        <f>((AW10^2)*((1/AT10)^2))</f>
        <v>2.2154315181670606E-2</v>
      </c>
      <c r="AY10">
        <f>((AU10*AU10)*((-AV10/(AT10*AT10))^2))</f>
        <v>2.0591608188103773E-2</v>
      </c>
      <c r="AZ10">
        <f>SQRT(AX10+AY10)</f>
        <v>0.2067508727182896</v>
      </c>
      <c r="BB10" s="37">
        <f>'T4a. THg loads daily calib'!K23</f>
        <v>742.02202341103066</v>
      </c>
      <c r="BC10">
        <f>'T7a. THg SE 2010-19'!J23</f>
        <v>107.27957389764838</v>
      </c>
      <c r="BD10" s="37">
        <f>'T4a. THg loads daily calib'!K73</f>
        <v>141.88693961661494</v>
      </c>
      <c r="BE10" s="37">
        <f>'T7a. THg SE 2010-19'!J73</f>
        <v>38.340385947902114</v>
      </c>
      <c r="BF10">
        <f t="shared" ref="BF10:BF19" si="6">((BE10^2)*((1/BB10)^2))</f>
        <v>2.6698039407332284E-3</v>
      </c>
      <c r="BG10">
        <f t="shared" ref="BG10:BG19" si="7">((BC10*BC10)*((-BD10/(BB10*BB10))^2))</f>
        <v>7.6427867294487492E-4</v>
      </c>
      <c r="BH10">
        <f t="shared" ref="BH10:BH19" si="8">SQRT(BF10+BG10)</f>
        <v>5.8601046182453972E-2</v>
      </c>
      <c r="BJ10" s="35">
        <f>'T9a. MeHg loads daily calib'!L23</f>
        <v>1.9628404866445304</v>
      </c>
      <c r="BK10" s="35">
        <f>'T12a. MeHg SE 2010-18'!K23</f>
        <v>0.28378226574500848</v>
      </c>
      <c r="BL10" s="35">
        <f>'T9a. MeHg loads daily calib'!L73</f>
        <v>0.77319877077387056</v>
      </c>
      <c r="BM10" s="35">
        <f>'T12a. MeHg SE 2010-18'!K73</f>
        <v>0.11131701534417007</v>
      </c>
      <c r="BN10">
        <f t="shared" ref="BN10:BN19" si="9">((BM10^2)*((1/BJ10)^2))</f>
        <v>3.2162743856894898E-3</v>
      </c>
      <c r="BO10">
        <f t="shared" ref="BO10:BO19" si="10">((BK10*BK10)*((-BL10/(BJ10*BJ10))^2))</f>
        <v>3.2434916475510595E-3</v>
      </c>
      <c r="BP10">
        <f t="shared" ref="BP10:BP19" si="11">SQRT(BN10+BO10)</f>
        <v>8.0372669690887771E-2</v>
      </c>
      <c r="BT10" s="35">
        <f>'T9a. MeHg loads daily calib'!P23</f>
        <v>2.0034995025458717</v>
      </c>
      <c r="BU10" s="35">
        <f>'T12a. MeHg SE 2010-18'!D23+'T12a. MeHg SE 2010-18'!K23</f>
        <v>0.28900421009715183</v>
      </c>
      <c r="BV10" s="35">
        <f>'T9a. MeHg loads daily calib'!P73</f>
        <v>0.81896142423723528</v>
      </c>
      <c r="BW10" s="35">
        <f>'T12a. MeHg SE 2010-18'!C73+'T12a. MeHg SE 2010-18'!K73</f>
        <v>0.35195722997289819</v>
      </c>
      <c r="BX10">
        <f>((BW10^2)*((1/BT10)^2))</f>
        <v>3.0860382462496946E-2</v>
      </c>
      <c r="BY10">
        <f>((BU10*BU10)*((-BV10/(BT10*BT10))^2))</f>
        <v>3.4767885138587639E-3</v>
      </c>
      <c r="BZ10">
        <f>SQRT(BX10+BY10)</f>
        <v>0.18530291680477054</v>
      </c>
    </row>
    <row r="11" spans="1:78">
      <c r="A11" s="2" t="s">
        <v>3</v>
      </c>
      <c r="B11" s="45"/>
      <c r="C11" s="56">
        <f>W11</f>
        <v>0.21581025095146161</v>
      </c>
      <c r="D11" s="53">
        <f>AJ11</f>
        <v>0.1670268130048726</v>
      </c>
      <c r="E11" s="58">
        <f>AR11</f>
        <v>0.20371167849683042</v>
      </c>
      <c r="F11" s="58">
        <f>AZ11</f>
        <v>0.86768201807414858</v>
      </c>
      <c r="G11" s="26"/>
      <c r="H11" s="26"/>
      <c r="I11" s="26"/>
      <c r="J11" s="53">
        <f t="shared" si="0"/>
        <v>8.0312342631622902E-2</v>
      </c>
      <c r="K11" s="56">
        <f t="shared" si="1"/>
        <v>0.10460117081966648</v>
      </c>
      <c r="L11" s="45" t="s">
        <v>32</v>
      </c>
      <c r="M11" s="56" t="s">
        <v>32</v>
      </c>
      <c r="N11" s="58">
        <f t="shared" si="2"/>
        <v>0.16288922906432088</v>
      </c>
      <c r="O11" s="56" t="s">
        <v>32</v>
      </c>
      <c r="Q11" s="51">
        <f>'T9a. MeHg loads daily calib'!C24</f>
        <v>1.1956451156477399E-2</v>
      </c>
      <c r="R11" s="51">
        <f>'T12a. MeHg SE 2010-18'!C24</f>
        <v>1.4165532631741475E-3</v>
      </c>
      <c r="S11" s="51">
        <f>'T9a. MeHg loads daily calib'!C74</f>
        <v>1.206080114931129E-2</v>
      </c>
      <c r="T11" s="51">
        <f>'T12a. MeHg SE 2010-18'!C74</f>
        <v>2.1485516201959092E-3</v>
      </c>
      <c r="U11" s="51">
        <f>((T11^2)*((1/Q11)^2))</f>
        <v>3.2291409086432035E-2</v>
      </c>
      <c r="V11" s="51">
        <f>((R11*R11)*((-S11/(Q11*Q11))^2))</f>
        <v>1.4282655329300805E-2</v>
      </c>
      <c r="W11" s="51">
        <f>SQRT(U11+V11)</f>
        <v>0.21581025095146161</v>
      </c>
      <c r="AD11" s="35">
        <f>'T9a. MeHg loads daily calib'!D24</f>
        <v>3.8530005774709626E-3</v>
      </c>
      <c r="AE11" s="35">
        <f>'T12a. MeHg SE 2010-18'!D24</f>
        <v>3.8626072432682078E-4</v>
      </c>
      <c r="AF11" s="35">
        <f>'T9a. MeHg loads daily calib'!D74</f>
        <v>4.4139201607474457E-3</v>
      </c>
      <c r="AG11" s="35">
        <f>'T12a. MeHg SE 2010-18'!D74</f>
        <v>4.6729287381473158E-4</v>
      </c>
      <c r="AH11">
        <f t="shared" si="3"/>
        <v>1.4708899073359248E-2</v>
      </c>
      <c r="AI11">
        <f t="shared" si="4"/>
        <v>1.3189057189205431E-2</v>
      </c>
      <c r="AJ11">
        <f t="shared" si="5"/>
        <v>0.1670268130048726</v>
      </c>
      <c r="AL11" s="51">
        <f>'T9a. MeHg loads daily calib'!E24</f>
        <v>1.5809451733948363E-2</v>
      </c>
      <c r="AM11" s="51">
        <f>'T12a. MeHg SE 2010-18'!E24</f>
        <v>1.8028139875009683E-3</v>
      </c>
      <c r="AN11" s="51">
        <f>'T9a. MeHg loads daily calib'!E74</f>
        <v>1.6474721310058737E-2</v>
      </c>
      <c r="AO11" s="51">
        <f>'T12a. MeHg SE 2010-18'!E74</f>
        <v>2.615844494010641E-3</v>
      </c>
      <c r="AP11">
        <f>((AO11^2)*((1/AL11)^2))</f>
        <v>2.7377275552744273E-2</v>
      </c>
      <c r="AQ11">
        <f>((AM11*AM11)*((-AN11/(AL11*AL11))^2))</f>
        <v>1.4121172403251727E-2</v>
      </c>
      <c r="AR11">
        <f>SQRT(AP11+AQ11)</f>
        <v>0.20371167849683042</v>
      </c>
      <c r="AT11" s="51">
        <f>'T9a. MeHg loads daily calib'!F24</f>
        <v>1.4988337242504436E-2</v>
      </c>
      <c r="AU11" s="51">
        <f>'T12a. MeHg SE 2010-18'!F24</f>
        <v>9.6858483279930983E-3</v>
      </c>
      <c r="AV11" s="51">
        <f>'T9a. MeHg loads daily calib'!F74</f>
        <v>1.776147816267945E-2</v>
      </c>
      <c r="AW11" s="51">
        <f>'T12a. MeHg SE 2010-18'!F74</f>
        <v>6.1147513278336698E-3</v>
      </c>
      <c r="AX11">
        <f>((AW11^2)*((1/AT11)^2))</f>
        <v>0.16643730978632398</v>
      </c>
      <c r="AY11">
        <f>((AU11*AU11)*((-AV11/(AT11*AT11))^2))</f>
        <v>0.58643477470290306</v>
      </c>
      <c r="AZ11">
        <f>SQRT(AX11+AY11)</f>
        <v>0.86768201807414858</v>
      </c>
      <c r="BB11" s="37">
        <f>'T4a. THg loads daily calib'!K24</f>
        <v>5.1046671737027536</v>
      </c>
      <c r="BC11">
        <f>'T7a. THg SE 2010-19'!J24</f>
        <v>0.51232322347670534</v>
      </c>
      <c r="BD11" s="37">
        <f>'T4a. THg loads daily calib'!K74</f>
        <v>2.0603539177425971</v>
      </c>
      <c r="BE11" s="37">
        <f>'T7a. THg SE 2010-19'!J74</f>
        <v>0.35399669545231066</v>
      </c>
      <c r="BF11">
        <f t="shared" si="6"/>
        <v>4.8090971833711239E-3</v>
      </c>
      <c r="BG11">
        <f t="shared" si="7"/>
        <v>1.6409751956080693E-3</v>
      </c>
      <c r="BH11">
        <f t="shared" si="8"/>
        <v>8.0312342631622902E-2</v>
      </c>
      <c r="BJ11" s="35">
        <f>'T9a. MeHg loads daily calib'!L24</f>
        <v>2.5771457910212691E-2</v>
      </c>
      <c r="BK11" s="35">
        <f>'T12a. MeHg SE 2010-18'!K24</f>
        <v>2.5865185605582122E-3</v>
      </c>
      <c r="BL11" s="35">
        <f>'T9a. MeHg loads daily calib'!L74</f>
        <v>1.3547764411800278E-2</v>
      </c>
      <c r="BM11" s="35">
        <f>'T12a. MeHg SE 2010-18'!K74</f>
        <v>2.3276893310632029E-3</v>
      </c>
      <c r="BN11">
        <f t="shared" si="9"/>
        <v>8.1577812731819192E-3</v>
      </c>
      <c r="BO11">
        <f t="shared" si="10"/>
        <v>2.7836236636631269E-3</v>
      </c>
      <c r="BP11">
        <f t="shared" si="11"/>
        <v>0.10460117081966648</v>
      </c>
      <c r="BT11" s="35">
        <f>'T9a. MeHg loads daily calib'!P24</f>
        <v>2.9624458487683653E-2</v>
      </c>
      <c r="BU11" s="35">
        <f>'T12a. MeHg SE 2010-18'!D24+'T12a. MeHg SE 2010-18'!K24</f>
        <v>2.9727792848850331E-3</v>
      </c>
      <c r="BV11" s="35">
        <f>'T9a. MeHg loads daily calib'!P74</f>
        <v>1.7961684572547723E-2</v>
      </c>
      <c r="BW11" s="35">
        <f>'T12a. MeHg SE 2010-18'!C74+'T12a. MeHg SE 2010-18'!K74</f>
        <v>4.4762409512591125E-3</v>
      </c>
      <c r="BX11">
        <f>((BW11^2)*((1/BT11)^2))</f>
        <v>2.2831059777529146E-2</v>
      </c>
      <c r="BY11">
        <f>((BU11*BU11)*((-BV11/(BT11*BT11))^2))</f>
        <v>3.7018411676396495E-3</v>
      </c>
      <c r="BZ11">
        <f>SQRT(BX11+BY11)</f>
        <v>0.16288922906432088</v>
      </c>
    </row>
    <row r="12" spans="1:78">
      <c r="A12" s="2" t="s">
        <v>4</v>
      </c>
      <c r="B12" s="45"/>
      <c r="C12" s="56">
        <f>W12</f>
        <v>0.41788915023688067</v>
      </c>
      <c r="D12" s="53">
        <f>AJ12</f>
        <v>0.44704896387316262</v>
      </c>
      <c r="E12" s="58">
        <f>AR12</f>
        <v>0.42079887870452121</v>
      </c>
      <c r="F12" s="58">
        <f>AZ12</f>
        <v>2.3443239184438056</v>
      </c>
      <c r="G12" s="26"/>
      <c r="H12" s="26"/>
      <c r="I12" s="26"/>
      <c r="J12" s="53">
        <f t="shared" si="0"/>
        <v>0.15687038540677584</v>
      </c>
      <c r="K12" s="56">
        <f t="shared" si="1"/>
        <v>7.6557702476537842E-2</v>
      </c>
      <c r="L12" s="45" t="s">
        <v>32</v>
      </c>
      <c r="M12" s="56" t="s">
        <v>32</v>
      </c>
      <c r="N12" s="58">
        <f t="shared" si="2"/>
        <v>0.1926997827678735</v>
      </c>
      <c r="O12" s="56" t="s">
        <v>32</v>
      </c>
      <c r="Q12" s="51">
        <f>'T9a. MeHg loads daily calib'!C25</f>
        <v>0.11067140985297311</v>
      </c>
      <c r="R12" s="51">
        <f>'T12a. MeHg SE 2010-18'!C25</f>
        <v>1.8330857824502056E-2</v>
      </c>
      <c r="S12" s="51">
        <f>'T9a. MeHg loads daily calib'!C75</f>
        <v>4.2273722617520888E-2</v>
      </c>
      <c r="T12" s="51">
        <f>'T12a. MeHg SE 2010-18'!C75</f>
        <v>4.5715268162467702E-2</v>
      </c>
      <c r="U12" s="51">
        <f>((T12^2)*((1/Q12)^2))</f>
        <v>0.17062853355606547</v>
      </c>
      <c r="V12" s="51">
        <f>((R12*R12)*((-S12/(Q12*Q12))^2))</f>
        <v>4.0028083296367424E-3</v>
      </c>
      <c r="W12" s="51">
        <f>SQRT(U12+V12)</f>
        <v>0.41788915023688067</v>
      </c>
      <c r="AD12" s="35">
        <f>'T9a. MeHg loads daily calib'!D25</f>
        <v>9.819969958490422E-3</v>
      </c>
      <c r="AE12" s="35">
        <f>'T12a. MeHg SE 2010-18'!D25</f>
        <v>9.3414127601572881E-4</v>
      </c>
      <c r="AF12" s="35">
        <f>'T9a. MeHg loads daily calib'!D75</f>
        <v>1.4270750788287722E-2</v>
      </c>
      <c r="AG12" s="35">
        <f>'T12a. MeHg SE 2010-18'!D75</f>
        <v>4.1748388013211112E-3</v>
      </c>
      <c r="AH12">
        <f t="shared" si="3"/>
        <v>0.18074200846804753</v>
      </c>
      <c r="AI12">
        <f t="shared" si="4"/>
        <v>1.9110767632020704E-2</v>
      </c>
      <c r="AJ12">
        <f t="shared" si="5"/>
        <v>0.44704896387316262</v>
      </c>
      <c r="AL12" s="51">
        <f>'T9a. MeHg loads daily calib'!E25</f>
        <v>0.12049137981146353</v>
      </c>
      <c r="AM12" s="51">
        <f>'T12a. MeHg SE 2010-18'!E25</f>
        <v>1.9264999100517786E-2</v>
      </c>
      <c r="AN12" s="51">
        <f>'T9a. MeHg loads daily calib'!E75</f>
        <v>5.6544473405808607E-2</v>
      </c>
      <c r="AO12" s="51">
        <f>'T12a. MeHg SE 2010-18'!E75</f>
        <v>4.9890106963788809E-2</v>
      </c>
      <c r="AP12">
        <f>((AO12^2)*((1/AL12)^2))</f>
        <v>0.1714418777014359</v>
      </c>
      <c r="AQ12">
        <f>((AM12*AM12)*((-AN12/(AL12*AL12))^2))</f>
        <v>5.6298186175464298E-3</v>
      </c>
      <c r="AR12">
        <f>SQRT(AP12+AQ12)</f>
        <v>0.42079887870452121</v>
      </c>
      <c r="AT12" s="51">
        <f>'T9a. MeHg loads daily calib'!F25</f>
        <v>0.1223466955750377</v>
      </c>
      <c r="AU12" s="51">
        <f>'T12a. MeHg SE 2010-18'!F25</f>
        <v>4.8174294711777491E-2</v>
      </c>
      <c r="AV12" s="51">
        <f>'T9a. MeHg loads daily calib'!F75</f>
        <v>5.6073847624072623E-2</v>
      </c>
      <c r="AW12" s="51">
        <f>'T12a. MeHg SE 2010-18'!F75</f>
        <v>0.28596920177399682</v>
      </c>
      <c r="AX12">
        <f>((AW12^2)*((1/AT12)^2))</f>
        <v>5.4632872810938231</v>
      </c>
      <c r="AY12">
        <f>((AU12*AU12)*((-AV12/(AT12*AT12))^2))</f>
        <v>3.2567353493894814E-2</v>
      </c>
      <c r="AZ12">
        <f>SQRT(AX12+AY12)</f>
        <v>2.3443239184438056</v>
      </c>
      <c r="BB12" s="37">
        <f>'T4a. THg loads daily calib'!K25</f>
        <v>90.254843187279519</v>
      </c>
      <c r="BC12">
        <f>'T7a. THg SE 2010-19'!J25</f>
        <v>25.351281027735499</v>
      </c>
      <c r="BD12" s="37">
        <f>'T4a. THg loads daily calib'!K75</f>
        <v>24.137200663094525</v>
      </c>
      <c r="BE12" s="37">
        <f>'T7a. THg SE 2010-19'!J75</f>
        <v>12.429490582692964</v>
      </c>
      <c r="BF12">
        <f t="shared" si="6"/>
        <v>1.8965558103275132E-2</v>
      </c>
      <c r="BG12">
        <f t="shared" si="7"/>
        <v>5.6427597143952589E-3</v>
      </c>
      <c r="BH12">
        <f t="shared" si="8"/>
        <v>0.15687038540677584</v>
      </c>
      <c r="BJ12" s="35">
        <f>'T9a. MeHg loads daily calib'!L25</f>
        <v>0.3654712067352075</v>
      </c>
      <c r="BK12" s="35">
        <f>'T12a. MeHg SE 2010-18'!K25</f>
        <v>0.10265557993674175</v>
      </c>
      <c r="BL12" s="35">
        <f>'T9a. MeHg loads daily calib'!L75</f>
        <v>4.7838659770003622E-2</v>
      </c>
      <c r="BM12" s="35">
        <f>'T12a. MeHg SE 2010-18'!K75</f>
        <v>2.4541841835483087E-2</v>
      </c>
      <c r="BN12">
        <f t="shared" si="9"/>
        <v>4.5092879748044132E-3</v>
      </c>
      <c r="BO12">
        <f t="shared" si="10"/>
        <v>1.3517938336816756E-3</v>
      </c>
      <c r="BP12">
        <f t="shared" si="11"/>
        <v>7.6557702476537842E-2</v>
      </c>
      <c r="BT12" s="35">
        <f>'T9a. MeHg loads daily calib'!P25</f>
        <v>0.37529117669369794</v>
      </c>
      <c r="BU12" s="35">
        <f>'T12a. MeHg SE 2010-18'!D25+'T12a. MeHg SE 2010-18'!K25</f>
        <v>0.10358972121275747</v>
      </c>
      <c r="BV12" s="35">
        <f>'T9a. MeHg loads daily calib'!P75</f>
        <v>6.2109410558291347E-2</v>
      </c>
      <c r="BW12" s="35">
        <f>'T12a. MeHg SE 2010-18'!C75+'T12a. MeHg SE 2010-18'!K75</f>
        <v>7.025710999795079E-2</v>
      </c>
      <c r="BX12">
        <f>((BW12^2)*((1/BT12)^2))</f>
        <v>3.5046435590833043E-2</v>
      </c>
      <c r="BY12">
        <f>((BU12*BU12)*((-BV12/(BT12*BT12))^2))</f>
        <v>2.0867706879526002E-3</v>
      </c>
      <c r="BZ12">
        <f>SQRT(BX12+BY12)</f>
        <v>0.1926997827678735</v>
      </c>
    </row>
    <row r="13" spans="1:78">
      <c r="A13" s="2" t="s">
        <v>5</v>
      </c>
      <c r="B13" s="45"/>
      <c r="C13" s="56" t="s">
        <v>32</v>
      </c>
      <c r="D13" s="53" t="s">
        <v>32</v>
      </c>
      <c r="E13" s="58" t="s">
        <v>32</v>
      </c>
      <c r="F13" s="58" t="s">
        <v>32</v>
      </c>
      <c r="G13" s="26"/>
      <c r="H13" s="26"/>
      <c r="I13" s="26"/>
      <c r="J13" s="53" t="s">
        <v>32</v>
      </c>
      <c r="K13" s="56" t="s">
        <v>32</v>
      </c>
      <c r="L13" s="45" t="s">
        <v>32</v>
      </c>
      <c r="M13" s="56" t="s">
        <v>32</v>
      </c>
      <c r="N13" s="58" t="s">
        <v>32</v>
      </c>
      <c r="O13" s="56" t="s">
        <v>32</v>
      </c>
      <c r="Q13" s="51"/>
      <c r="R13" s="51"/>
      <c r="S13" s="51"/>
      <c r="T13" s="51"/>
      <c r="U13" s="51"/>
      <c r="V13" s="51"/>
      <c r="W13" s="51"/>
      <c r="AD13" s="35"/>
      <c r="AE13" s="35"/>
      <c r="AF13" s="35"/>
      <c r="AG13" s="35"/>
      <c r="AL13" s="51"/>
      <c r="AM13" s="51"/>
      <c r="AN13" s="51"/>
      <c r="AO13" s="51"/>
      <c r="AT13" s="51"/>
      <c r="AU13" s="51"/>
      <c r="AV13" s="51"/>
      <c r="AW13" s="51"/>
      <c r="BB13" s="37"/>
      <c r="BD13" s="37"/>
      <c r="BE13" s="37"/>
      <c r="BJ13" s="37"/>
      <c r="BL13" s="37"/>
      <c r="BT13" s="35"/>
      <c r="BU13" s="35"/>
      <c r="BV13" s="35"/>
      <c r="BW13" s="35"/>
    </row>
    <row r="14" spans="1:78">
      <c r="A14" s="2" t="s">
        <v>88</v>
      </c>
      <c r="B14" s="45"/>
      <c r="C14" s="56">
        <f>W14</f>
        <v>0.19970408776677848</v>
      </c>
      <c r="D14" s="53">
        <f>AJ14</f>
        <v>0.36232064878403342</v>
      </c>
      <c r="E14" s="58">
        <f>AR14</f>
        <v>0.21050410744636516</v>
      </c>
      <c r="F14" s="58">
        <f>AZ14</f>
        <v>0.20359493628115061</v>
      </c>
      <c r="G14" s="26"/>
      <c r="H14" s="26"/>
      <c r="I14" s="26"/>
      <c r="J14" s="53">
        <f>BH14</f>
        <v>0.12830685770839664</v>
      </c>
      <c r="K14" s="56">
        <f>BP14</f>
        <v>0.15812800311720199</v>
      </c>
      <c r="L14" s="45" t="s">
        <v>32</v>
      </c>
      <c r="M14" s="56" t="s">
        <v>32</v>
      </c>
      <c r="N14" s="58">
        <f t="shared" si="2"/>
        <v>0.33859982268952032</v>
      </c>
      <c r="O14" s="56" t="s">
        <v>32</v>
      </c>
      <c r="Q14" s="51">
        <f>'T9a. MeHg loads daily calib'!C27</f>
        <v>9.9063187088182209E-2</v>
      </c>
      <c r="R14" s="51">
        <f>'T12a. MeHg SE 2010-18'!C27</f>
        <v>2.8631728849142207E-2</v>
      </c>
      <c r="S14" s="51">
        <f>'T9a. MeHg loads daily calib'!C77</f>
        <v>2.8838251158912906E-2</v>
      </c>
      <c r="T14" s="51">
        <f>'T12a. MeHg SE 2010-18'!C77</f>
        <v>1.794179786200558E-2</v>
      </c>
      <c r="U14" s="51">
        <f>((T14^2)*((1/Q14)^2))</f>
        <v>3.2802528893871377E-2</v>
      </c>
      <c r="V14" s="51">
        <f>((R14*R14)*((-S14/(Q14*Q14))^2))</f>
        <v>7.0791937768897818E-3</v>
      </c>
      <c r="W14" s="51">
        <f>SQRT(U14+V14)</f>
        <v>0.19970408776677848</v>
      </c>
      <c r="AD14" s="35">
        <f>'T9a. MeHg loads daily calib'!D27</f>
        <v>5.4995433058262324E-3</v>
      </c>
      <c r="AE14" s="35">
        <f>'T12a. MeHg SE 2010-18'!D27</f>
        <v>9.2746244865470127E-4</v>
      </c>
      <c r="AF14" s="35">
        <f>'T9a. MeHg loads daily calib'!D77</f>
        <v>8.8924507079237488E-3</v>
      </c>
      <c r="AG14" s="35">
        <f>'T12a. MeHg SE 2010-18'!D77</f>
        <v>1.3120533437043177E-3</v>
      </c>
      <c r="AH14">
        <f>((AG14^2)*((1/AD14)^2))</f>
        <v>5.6918013230730209E-2</v>
      </c>
      <c r="AI14">
        <f>((AE14*AE14)*((-AF14/(AD14*AD14))^2))</f>
        <v>7.4358239304552681E-2</v>
      </c>
      <c r="AJ14">
        <f>SQRT(AH14+AI14)</f>
        <v>0.36232064878403342</v>
      </c>
      <c r="AL14" s="51">
        <f>'T9a. MeHg loads daily calib'!E27</f>
        <v>0.10456273039400844</v>
      </c>
      <c r="AM14" s="51">
        <f>'T12a. MeHg SE 2010-18'!E27</f>
        <v>2.9559191297796907E-2</v>
      </c>
      <c r="AN14" s="51">
        <f>'T9a. MeHg loads daily calib'!E77</f>
        <v>3.7730701866836656E-2</v>
      </c>
      <c r="AO14" s="51">
        <f>'T12a. MeHg SE 2010-18'!E77</f>
        <v>1.9253851205709896E-2</v>
      </c>
      <c r="AP14">
        <f>((AO14^2)*((1/AL14)^2))</f>
        <v>3.3906377427232057E-2</v>
      </c>
      <c r="AQ14">
        <f>((AM14*AM14)*((-AN14/(AL14*AL14))^2))</f>
        <v>1.0405601824558797E-2</v>
      </c>
      <c r="AR14">
        <f>SQRT(AP14+AQ14)</f>
        <v>0.21050410744636516</v>
      </c>
      <c r="AT14" s="51">
        <f>'T9a. MeHg loads daily calib'!F27</f>
        <v>0.11121819295025021</v>
      </c>
      <c r="AU14" s="51">
        <f>'T12a. MeHg SE 2010-18'!F27</f>
        <v>3.6537785746638816E-2</v>
      </c>
      <c r="AV14" s="51">
        <f>'T9a. MeHg loads daily calib'!F77</f>
        <v>3.8114207613121322E-2</v>
      </c>
      <c r="AW14" s="51">
        <f>'T12a. MeHg SE 2010-18'!F77</f>
        <v>1.8866387513754204E-2</v>
      </c>
      <c r="AX14">
        <f>((AW14^2)*((1/AT14)^2))</f>
        <v>2.8775695697305499E-2</v>
      </c>
      <c r="AY14">
        <f>((AU14*AU14)*((-AV14/(AT14*AT14))^2))</f>
        <v>1.2675202382020278E-2</v>
      </c>
      <c r="AZ14">
        <f>SQRT(AX14+AY14)</f>
        <v>0.20359493628115061</v>
      </c>
      <c r="BB14" s="37">
        <f>'T4a. THg loads daily calib'!K27</f>
        <v>97.488949720917674</v>
      </c>
      <c r="BC14">
        <f>'T7a. THg SE 2010-19'!J27</f>
        <v>31.892775586674372</v>
      </c>
      <c r="BD14" s="37">
        <f>'T4a. THg loads daily calib'!K77</f>
        <v>20.317975179827485</v>
      </c>
      <c r="BE14" s="37">
        <f>'T7a. THg SE 2010-19'!J77</f>
        <v>10.596304908286474</v>
      </c>
      <c r="BF14">
        <f>((BE14^2)*((1/BB14)^2))</f>
        <v>1.1814031105139908E-2</v>
      </c>
      <c r="BG14">
        <f>((BC14*BC14)*((-BD14/(BB14*BB14))^2))</f>
        <v>4.6486186298628322E-3</v>
      </c>
      <c r="BH14">
        <f>SQRT(BF14+BG14)</f>
        <v>0.12830685770839664</v>
      </c>
      <c r="BJ14" s="35">
        <f>'T9a. MeHg loads daily calib'!L27</f>
        <v>8.6486259932865905E-2</v>
      </c>
      <c r="BK14" s="35">
        <f>'T12a. MeHg SE 2010-18'!K27</f>
        <v>2.8293328497905126E-2</v>
      </c>
      <c r="BL14" s="35">
        <f>'T9a. MeHg loads daily calib'!L77</f>
        <v>2.2110043617812054E-2</v>
      </c>
      <c r="BM14" s="35">
        <f>'T12a. MeHg SE 2010-18'!K77</f>
        <v>1.1606549811809089E-2</v>
      </c>
      <c r="BN14">
        <f>((BM14^2)*((1/BJ14)^2))</f>
        <v>1.8009930877608524E-2</v>
      </c>
      <c r="BO14">
        <f>((BK14*BK14)*((-BL14/(BJ14*BJ14))^2))</f>
        <v>6.9945344922253206E-3</v>
      </c>
      <c r="BP14">
        <f>SQRT(BN14+BO14)</f>
        <v>0.15812800311720199</v>
      </c>
      <c r="BT14" s="35">
        <f>'T9a. MeHg loads daily calib'!P27</f>
        <v>9.198580323869214E-2</v>
      </c>
      <c r="BU14" s="35">
        <f>'T12a. MeHg SE 2010-18'!D27+'T12a. MeHg SE 2010-18'!K27</f>
        <v>2.9220790946559827E-2</v>
      </c>
      <c r="BV14" s="35">
        <f>'T9a. MeHg loads daily calib'!P77</f>
        <v>3.1002494325735805E-2</v>
      </c>
      <c r="BW14" s="35">
        <f>'T12a. MeHg SE 2010-18'!C77+'T12a. MeHg SE 2010-18'!K77</f>
        <v>2.954834767381467E-2</v>
      </c>
      <c r="BX14">
        <f t="shared" ref="BX14:BX19" si="12">((BW14^2)*((1/BT14)^2))</f>
        <v>0.10318695354875129</v>
      </c>
      <c r="BY14">
        <f t="shared" ref="BY14:BY19" si="13">((BU14*BU14)*((-BV14/(BT14*BT14))^2))</f>
        <v>1.146288637662329E-2</v>
      </c>
      <c r="BZ14">
        <f t="shared" ref="BZ14:BZ19" si="14">SQRT(BX14+BY14)</f>
        <v>0.33859982268952032</v>
      </c>
    </row>
    <row r="15" spans="1:78">
      <c r="A15" s="2" t="s">
        <v>95</v>
      </c>
      <c r="B15" s="45"/>
      <c r="C15" s="56">
        <f>W15</f>
        <v>4.2273686943974376E-2</v>
      </c>
      <c r="D15" s="53">
        <f>AJ15</f>
        <v>0.20161449584343002</v>
      </c>
      <c r="E15" s="58">
        <f>AR15</f>
        <v>4.8612960766323515E-2</v>
      </c>
      <c r="F15" s="58">
        <f>AZ15</f>
        <v>6.1058400830336201E-2</v>
      </c>
      <c r="G15" s="26"/>
      <c r="H15" s="26"/>
      <c r="I15" s="26"/>
      <c r="J15" s="53">
        <f>BH15</f>
        <v>6.5899284243963102E-2</v>
      </c>
      <c r="K15" s="56">
        <f>BP15</f>
        <v>7.3910248037335202E-2</v>
      </c>
      <c r="L15" s="45" t="s">
        <v>32</v>
      </c>
      <c r="M15" s="56" t="s">
        <v>32</v>
      </c>
      <c r="N15" s="58">
        <f>BZ15</f>
        <v>0.11005787098516433</v>
      </c>
      <c r="O15" s="56" t="s">
        <v>32</v>
      </c>
      <c r="Q15" s="51">
        <f>'T9a. MeHg loads daily calib'!C28</f>
        <v>0.19558343112243343</v>
      </c>
      <c r="R15" s="51">
        <f>'T12a. MeHg SE 2010-18'!C28</f>
        <v>2.0528600730313557E-2</v>
      </c>
      <c r="S15" s="51">
        <f>'T9a. MeHg loads daily calib'!C78</f>
        <v>4.271564757157563E-2</v>
      </c>
      <c r="T15" s="51">
        <f>'T12a. MeHg SE 2010-18'!C78</f>
        <v>6.9468597829236778E-3</v>
      </c>
      <c r="U15" s="51">
        <f>((T15^2)*((1/Q15)^2))</f>
        <v>1.2615746238869305E-3</v>
      </c>
      <c r="V15" s="51">
        <f>((R15*R15)*((-S15/(Q15*Q15))^2))</f>
        <v>5.2548998395021934E-4</v>
      </c>
      <c r="W15" s="51">
        <f>SQRT(U15+V15)</f>
        <v>4.2273686943974376E-2</v>
      </c>
      <c r="AD15" s="35">
        <f>'T9a. MeHg loads daily calib'!D28</f>
        <v>9.3366044478843668E-3</v>
      </c>
      <c r="AE15" s="35">
        <f>'T12a. MeHg SE 2010-18'!D28</f>
        <v>1.2533734974745408E-3</v>
      </c>
      <c r="AF15" s="35">
        <f>'T9a. MeHg loads daily calib'!D78</f>
        <v>1.0428471066778463E-2</v>
      </c>
      <c r="AG15" s="35">
        <f>'T12a. MeHg SE 2010-18'!D78</f>
        <v>1.2583931091151032E-3</v>
      </c>
      <c r="AH15">
        <f>((AG15^2)*((1/AD15)^2))</f>
        <v>1.8165808971876158E-2</v>
      </c>
      <c r="AI15">
        <f>((AE15*AE15)*((-AF15/(AD15*AD15))^2))</f>
        <v>2.2482595962324301E-2</v>
      </c>
      <c r="AJ15">
        <f>SQRT(AH15+AI15)</f>
        <v>0.20161449584343002</v>
      </c>
      <c r="AL15" s="51">
        <f>'T9a. MeHg loads daily calib'!E28</f>
        <v>0.20492003557031779</v>
      </c>
      <c r="AM15" s="51">
        <f>'T12a. MeHg SE 2010-18'!E28</f>
        <v>2.1781974227788096E-2</v>
      </c>
      <c r="AN15" s="51">
        <f>'T9a. MeHg loads daily calib'!E78</f>
        <v>5.3144118638354096E-2</v>
      </c>
      <c r="AO15" s="51">
        <f>'T12a. MeHg SE 2010-18'!E78</f>
        <v>8.2052528920387811E-3</v>
      </c>
      <c r="AP15">
        <f>((AO15^2)*((1/AL15)^2))</f>
        <v>1.6033011223044965E-3</v>
      </c>
      <c r="AQ15">
        <f>((AM15*AM15)*((-AN15/(AL15*AL15))^2))</f>
        <v>7.5991883216361292E-4</v>
      </c>
      <c r="AR15">
        <f>SQRT(AP15+AQ15)</f>
        <v>4.8612960766323515E-2</v>
      </c>
      <c r="AT15" s="51">
        <f>'T9a. MeHg loads daily calib'!F28</f>
        <v>0.20554775470414788</v>
      </c>
      <c r="AU15" s="51">
        <f>'T12a. MeHg SE 2010-18'!F28</f>
        <v>3.7369559707670065E-2</v>
      </c>
      <c r="AV15" s="51">
        <f>'T9a. MeHg loads daily calib'!F78</f>
        <v>5.3838436007029145E-2</v>
      </c>
      <c r="AW15" s="51">
        <f>'T12a. MeHg SE 2010-18'!F78</f>
        <v>7.8553413189047655E-3</v>
      </c>
      <c r="AX15">
        <f>((AW15^2)*((1/AT15)^2))</f>
        <v>1.4605103735075204E-3</v>
      </c>
      <c r="AY15">
        <f>((AU15*AU15)*((-AV15/(AT15*AT15))^2))</f>
        <v>2.2676179384504801E-3</v>
      </c>
      <c r="AZ15">
        <f>SQRT(AX15+AY15)</f>
        <v>6.1058400830336201E-2</v>
      </c>
      <c r="BB15" s="37">
        <f>'T4a. THg loads daily calib'!K28</f>
        <v>180.16586134755283</v>
      </c>
      <c r="BC15">
        <f>'T7a. THg SE 2010-19'!J28</f>
        <v>37</v>
      </c>
      <c r="BD15" s="37">
        <f>'T4a. THg loads daily calib'!K78</f>
        <v>31.347875581289742</v>
      </c>
      <c r="BE15" s="37">
        <f>'T7a. THg SE 2010-19'!J78</f>
        <v>9.975879390894077</v>
      </c>
      <c r="BF15">
        <f>((BE15^2)*((1/BB15)^2))</f>
        <v>3.0658956909334597E-3</v>
      </c>
      <c r="BG15">
        <f>((BC15*BC15)*((-BD15/(BB15*BB15))^2))</f>
        <v>1.2768199729331841E-3</v>
      </c>
      <c r="BH15">
        <f>SQRT(BF15+BG15)</f>
        <v>6.5899284243963102E-2</v>
      </c>
      <c r="BJ15" s="35">
        <f>'T9a. MeHg loads daily calib'!L28</f>
        <v>0.16639052037730653</v>
      </c>
      <c r="BK15" s="35">
        <f>'T12a. MeHg SE 2010-18'!K28</f>
        <v>3.4171008913193107E-2</v>
      </c>
      <c r="BL15" s="35">
        <f>'T9a. MeHg loads daily calib'!L78</f>
        <v>3.1854251342055794E-2</v>
      </c>
      <c r="BM15" s="35">
        <f>'T12a. MeHg SE 2010-18'!K78</f>
        <v>1.0413688714316163E-2</v>
      </c>
      <c r="BN15">
        <f>((BM15^2)*((1/BJ15)^2))</f>
        <v>3.9169860358217838E-3</v>
      </c>
      <c r="BO15">
        <f>((BK15*BK15)*((-BL15/(BJ15*BJ15))^2))</f>
        <v>1.5457387291186282E-3</v>
      </c>
      <c r="BP15">
        <f>SQRT(BN15+BO15)</f>
        <v>7.3910248037335202E-2</v>
      </c>
      <c r="BT15" s="35">
        <f>'T9a. MeHg loads daily calib'!P28</f>
        <v>0.1757271248251909</v>
      </c>
      <c r="BU15" s="35">
        <f>'T12a. MeHg SE 2010-18'!D28+'T12a. MeHg SE 2010-18'!K28</f>
        <v>3.542438241066765E-2</v>
      </c>
      <c r="BV15" s="35">
        <f>'T9a. MeHg loads daily calib'!P78</f>
        <v>4.2282722408834253E-2</v>
      </c>
      <c r="BW15" s="35">
        <f>'T12a. MeHg SE 2010-18'!C78+'T12a. MeHg SE 2010-18'!K78</f>
        <v>1.736054849723984E-2</v>
      </c>
      <c r="BX15">
        <f>((BW15^2)*((1/BT15)^2))</f>
        <v>9.7599878726633595E-3</v>
      </c>
      <c r="BY15">
        <f>((BU15*BU15)*((-BV15/(BT15*BT15))^2))</f>
        <v>2.3527470931237163E-3</v>
      </c>
      <c r="BZ15">
        <f>SQRT(BX15+BY15)</f>
        <v>0.11005787098516433</v>
      </c>
    </row>
    <row r="16" spans="1:78">
      <c r="A16" s="2" t="s">
        <v>125</v>
      </c>
      <c r="B16" s="45"/>
      <c r="C16" s="56">
        <f>W16</f>
        <v>0.14228566364540002</v>
      </c>
      <c r="D16" s="53">
        <f>AJ16</f>
        <v>0.3437348978117778</v>
      </c>
      <c r="E16" s="58">
        <f>AR16</f>
        <v>0.1505071000513131</v>
      </c>
      <c r="F16" s="58">
        <f>AZ16</f>
        <v>0.1134952119700102</v>
      </c>
      <c r="G16" s="26"/>
      <c r="H16" s="26"/>
      <c r="I16" s="26"/>
      <c r="J16" s="53">
        <f>BH16</f>
        <v>0.11289901725784769</v>
      </c>
      <c r="K16" s="56">
        <f>BP16</f>
        <v>0.14001256755559999</v>
      </c>
      <c r="L16" s="45" t="s">
        <v>32</v>
      </c>
      <c r="M16" s="56" t="s">
        <v>32</v>
      </c>
      <c r="N16" s="58">
        <f>BZ16</f>
        <v>0.17868432748913782</v>
      </c>
      <c r="O16" s="56" t="s">
        <v>32</v>
      </c>
      <c r="Q16" s="51">
        <f>'T9a. MeHg loads daily calib'!C29</f>
        <v>1.1649063950279102</v>
      </c>
      <c r="R16" s="51">
        <f>'T12a. MeHg SE 2010-18'!C29</f>
        <v>0.25416975064432834</v>
      </c>
      <c r="S16" s="51">
        <f>'T9a. MeHg loads daily calib'!C79</f>
        <v>0.67704415812548091</v>
      </c>
      <c r="T16" s="51">
        <f>'T12a. MeHg SE 2010-18'!C79</f>
        <v>7.5170695144505931E-2</v>
      </c>
      <c r="U16" s="51">
        <f>((T16^2)*((1/Q16)^2))</f>
        <v>4.1640417379566474E-3</v>
      </c>
      <c r="V16" s="51">
        <f>((R16*R16)*((-S16/(Q16*Q16))^2))</f>
        <v>1.6081168341055264E-2</v>
      </c>
      <c r="W16" s="51">
        <f>SQRT(U16+V16)</f>
        <v>0.14228566364540002</v>
      </c>
      <c r="AD16" s="35">
        <f>'T9a. MeHg loads daily calib'!D29</f>
        <v>4.3208553867884601E-2</v>
      </c>
      <c r="AE16" s="35">
        <f>'T12a. MeHg SE 2010-18'!D29</f>
        <v>8.0814133308909422E-3</v>
      </c>
      <c r="AF16" s="35">
        <f>'T9a. MeHg loads daily calib'!D79</f>
        <v>7.4757061463784344E-2</v>
      </c>
      <c r="AG16" s="35">
        <f>'T12a. MeHg SE 2010-18'!D79</f>
        <v>5.0093581369471092E-3</v>
      </c>
      <c r="AH16">
        <f>((AG16^2)*((1/AD16)^2))</f>
        <v>1.3440787085693923E-2</v>
      </c>
      <c r="AI16">
        <f>((AE16*AE16)*((-AF16/(AD16*AD16))^2))</f>
        <v>0.10471289288797941</v>
      </c>
      <c r="AJ16">
        <f>SQRT(AH16+AI16)</f>
        <v>0.3437348978117778</v>
      </c>
      <c r="AL16" s="51">
        <f>'T9a. MeHg loads daily calib'!E29</f>
        <v>1.2081149488957947</v>
      </c>
      <c r="AM16" s="51">
        <f>'T12a. MeHg SE 2010-18'!E29</f>
        <v>0.2622511639752193</v>
      </c>
      <c r="AN16" s="51">
        <f>'T9a. MeHg loads daily calib'!E79</f>
        <v>0.75180121958926527</v>
      </c>
      <c r="AO16" s="51">
        <f>'T12a. MeHg SE 2010-18'!E79</f>
        <v>8.0180053281453043E-2</v>
      </c>
      <c r="AP16">
        <f>((AO16^2)*((1/AL16)^2))</f>
        <v>4.4046982783683027E-3</v>
      </c>
      <c r="AQ16">
        <f>((AM16*AM16)*((-AN16/(AL16*AL16))^2))</f>
        <v>1.8247688887487668E-2</v>
      </c>
      <c r="AR16">
        <f>SQRT(AP16+AQ16)</f>
        <v>0.1505071000513131</v>
      </c>
      <c r="AT16" s="51">
        <f>'T9a. MeHg loads daily calib'!F29</f>
        <v>1.2056663052283245</v>
      </c>
      <c r="AU16" s="51">
        <f>'T12a. MeHg SE 2010-18'!F29</f>
        <v>0.18677129849205251</v>
      </c>
      <c r="AV16" s="51">
        <f>'T9a. MeHg loads daily calib'!F79</f>
        <v>0.74911817603561603</v>
      </c>
      <c r="AW16" s="51">
        <f>'T12a. MeHg SE 2010-18'!F79</f>
        <v>7.2509242249022166E-2</v>
      </c>
      <c r="AX16">
        <f>((AW16^2)*((1/AT16)^2))</f>
        <v>3.6168665535203019E-3</v>
      </c>
      <c r="AY16">
        <f>((AU16*AU16)*((-AV16/(AT16*AT16))^2))</f>
        <v>9.2642965865972447E-3</v>
      </c>
      <c r="AZ16">
        <f>SQRT(AX16+AY16)</f>
        <v>0.1134952119700102</v>
      </c>
      <c r="BB16" s="37">
        <f>'T4a. THg loads daily calib'!K29</f>
        <v>1223.8914557569726</v>
      </c>
      <c r="BC16">
        <f>'T7a. THg SE 2010-19'!J29</f>
        <v>237</v>
      </c>
      <c r="BD16" s="37">
        <f>'T4a. THg loads daily calib'!K79</f>
        <v>602.3386016961307</v>
      </c>
      <c r="BE16" s="37">
        <f>'T7a. THg SE 2010-19'!J79</f>
        <v>74.079975053467066</v>
      </c>
      <c r="BF16">
        <f>((BE16^2)*((1/BB16)^2))</f>
        <v>3.6636657885994084E-3</v>
      </c>
      <c r="BG16">
        <f>((BC16*BC16)*((-BD16/(BB16*BB16))^2))</f>
        <v>9.0825223091883841E-3</v>
      </c>
      <c r="BH16">
        <f>SQRT(BF16+BG16)</f>
        <v>0.11289901725784769</v>
      </c>
      <c r="BJ16" s="35">
        <f>'T9a. MeHg loads daily calib'!L29</f>
        <v>1.4321980405129759</v>
      </c>
      <c r="BK16" s="35">
        <f>'T12a. MeHg SE 2010-18'!K29</f>
        <v>0.2773374501512787</v>
      </c>
      <c r="BL16" s="35">
        <f>'T9a. MeHg loads daily calib'!L79</f>
        <v>0.80460278656258544</v>
      </c>
      <c r="BM16" s="35">
        <f>'T12a. MeHg SE 2010-18'!K79</f>
        <v>0.12623289581410155</v>
      </c>
      <c r="BN16">
        <f>((BM16^2)*((1/BJ16)^2))</f>
        <v>7.7685316580567839E-3</v>
      </c>
      <c r="BO16">
        <f>((BK16*BK16)*((-BL16/(BJ16*BJ16))^2))</f>
        <v>1.1834987415454667E-2</v>
      </c>
      <c r="BP16">
        <f>SQRT(BN16+BO16)</f>
        <v>0.14001256755559999</v>
      </c>
      <c r="BT16" s="35">
        <f>'T9a. MeHg loads daily calib'!P29</f>
        <v>1.4754065943808605</v>
      </c>
      <c r="BU16" s="35">
        <f>'T12a. MeHg SE 2010-18'!D29+'T12a. MeHg SE 2010-18'!K29</f>
        <v>0.28541886348216966</v>
      </c>
      <c r="BV16" s="35">
        <f>'T9a. MeHg loads daily calib'!P79</f>
        <v>0.87935984802636979</v>
      </c>
      <c r="BW16" s="35">
        <f>'T12a. MeHg SE 2010-18'!C79+'T12a. MeHg SE 2010-18'!K79</f>
        <v>0.20140359095860749</v>
      </c>
      <c r="BX16">
        <f>((BW16^2)*((1/BT16)^2))</f>
        <v>1.8634209711600035E-2</v>
      </c>
      <c r="BY16">
        <f>((BU16*BU16)*((-BV16/(BT16*BT16))^2))</f>
        <v>1.3293879178645423E-2</v>
      </c>
      <c r="BZ16">
        <f>SQRT(BX16+BY16)</f>
        <v>0.17868432748913782</v>
      </c>
    </row>
    <row r="17" spans="1:78">
      <c r="A17" s="62" t="s">
        <v>128</v>
      </c>
      <c r="B17" s="45"/>
      <c r="C17" s="56" t="e">
        <f>W17</f>
        <v>#REF!</v>
      </c>
      <c r="D17" s="53" t="e">
        <f>AJ17</f>
        <v>#REF!</v>
      </c>
      <c r="E17" s="58" t="e">
        <f>AR17</f>
        <v>#REF!</v>
      </c>
      <c r="F17" s="58" t="e">
        <f>AZ17</f>
        <v>#REF!</v>
      </c>
      <c r="G17" s="26"/>
      <c r="H17" s="26"/>
      <c r="I17" s="26"/>
      <c r="J17" s="53" t="e">
        <f>BH17</f>
        <v>#REF!</v>
      </c>
      <c r="K17" s="56" t="e">
        <f>BP17</f>
        <v>#REF!</v>
      </c>
      <c r="L17" s="45" t="s">
        <v>32</v>
      </c>
      <c r="M17" s="56" t="s">
        <v>32</v>
      </c>
      <c r="N17" s="58" t="e">
        <f>BZ17</f>
        <v>#REF!</v>
      </c>
      <c r="O17" s="56" t="s">
        <v>32</v>
      </c>
      <c r="Q17" s="51" t="e">
        <f>'T9a. MeHg loads daily calib'!#REF!</f>
        <v>#REF!</v>
      </c>
      <c r="R17" s="51" t="e">
        <f>'T12a. MeHg SE 2010-18'!#REF!</f>
        <v>#REF!</v>
      </c>
      <c r="S17" s="51">
        <f>'T9a. MeHg loads daily calib'!C80</f>
        <v>3.3837083013691935E-3</v>
      </c>
      <c r="T17" s="51">
        <f>'T12a. MeHg SE 2010-18'!C80</f>
        <v>3.6346860832819927E-4</v>
      </c>
      <c r="U17" s="51" t="e">
        <f>((T17^2)*((1/Q17)^2))</f>
        <v>#REF!</v>
      </c>
      <c r="V17" s="51" t="e">
        <f>((R17*R17)*((-S17/(Q17*Q17))^2))</f>
        <v>#REF!</v>
      </c>
      <c r="W17" s="51" t="e">
        <f>SQRT(U17+V17)</f>
        <v>#REF!</v>
      </c>
      <c r="AD17" s="35" t="e">
        <f>'T9a. MeHg loads daily calib'!#REF!</f>
        <v>#REF!</v>
      </c>
      <c r="AE17" s="35" t="e">
        <f>'T12a. MeHg SE 2010-18'!#REF!</f>
        <v>#REF!</v>
      </c>
      <c r="AF17" s="35">
        <f>'T9a. MeHg loads daily calib'!D80</f>
        <v>1.1199842480604557E-3</v>
      </c>
      <c r="AG17" s="35">
        <f>'T12a. MeHg SE 2010-18'!D80</f>
        <v>2.104226862093295E-4</v>
      </c>
      <c r="AH17" t="e">
        <f>((AG17^2)*((1/AD17)^2))</f>
        <v>#REF!</v>
      </c>
      <c r="AI17" t="e">
        <f>((AE17*AE17)*((-AF17/(AD17*AD17))^2))</f>
        <v>#REF!</v>
      </c>
      <c r="AJ17" t="e">
        <f>SQRT(AH17+AI17)</f>
        <v>#REF!</v>
      </c>
      <c r="AL17" s="51" t="e">
        <f>'T9a. MeHg loads daily calib'!#REF!</f>
        <v>#REF!</v>
      </c>
      <c r="AM17" s="51" t="e">
        <f>'T12a. MeHg SE 2010-18'!#REF!</f>
        <v>#REF!</v>
      </c>
      <c r="AN17" s="51">
        <f>'T9a. MeHg loads daily calib'!E80</f>
        <v>4.5036925494296495E-3</v>
      </c>
      <c r="AO17" s="51">
        <f>'T12a. MeHg SE 2010-18'!E80</f>
        <v>5.7389129453752879E-4</v>
      </c>
      <c r="AP17" t="e">
        <f>((AO17^2)*((1/AL17)^2))</f>
        <v>#REF!</v>
      </c>
      <c r="AQ17" t="e">
        <f>((AM17*AM17)*((-AN17/(AL17*AL17))^2))</f>
        <v>#REF!</v>
      </c>
      <c r="AR17" t="e">
        <f>SQRT(AP17+AQ17)</f>
        <v>#REF!</v>
      </c>
      <c r="AT17" s="51" t="e">
        <f>'T9a. MeHg loads daily calib'!#REF!</f>
        <v>#REF!</v>
      </c>
      <c r="AU17" s="51" t="e">
        <f>'T12a. MeHg SE 2010-18'!#REF!</f>
        <v>#REF!</v>
      </c>
      <c r="AV17" s="51">
        <f>'T9a. MeHg loads daily calib'!F80</f>
        <v>4.9602137016326615E-3</v>
      </c>
      <c r="AW17" s="51">
        <f>'T12a. MeHg SE 2010-18'!F80</f>
        <v>4.9218413717541903E-4</v>
      </c>
      <c r="AX17" t="e">
        <f>((AW17^2)*((1/AT17)^2))</f>
        <v>#REF!</v>
      </c>
      <c r="AY17" t="e">
        <f>((AU17*AU17)*((-AV17/(AT17*AT17))^2))</f>
        <v>#REF!</v>
      </c>
      <c r="AZ17" t="e">
        <f>SQRT(AX17+AY17)</f>
        <v>#REF!</v>
      </c>
      <c r="BB17" s="37" t="e">
        <f>'T4a. THg loads daily calib'!#REF!</f>
        <v>#REF!</v>
      </c>
      <c r="BC17" t="e">
        <f>'T7a. THg SE 2010-19'!#REF!</f>
        <v>#REF!</v>
      </c>
      <c r="BD17" s="37">
        <f>'T4a. THg loads daily calib'!K80</f>
        <v>0.61223333743979325</v>
      </c>
      <c r="BE17" s="37">
        <f>'T7a. THg SE 2010-19'!J80</f>
        <v>0.11335127653661574</v>
      </c>
      <c r="BF17" t="e">
        <f>((BE17^2)*((1/BB17)^2))</f>
        <v>#REF!</v>
      </c>
      <c r="BG17" t="e">
        <f>((BC17*BC17)*((-BD17/(BB17*BB17))^2))</f>
        <v>#REF!</v>
      </c>
      <c r="BH17" t="e">
        <f>SQRT(BF17+BG17)</f>
        <v>#REF!</v>
      </c>
      <c r="BJ17" s="35" t="e">
        <f>'T9a. MeHg loads daily calib'!#REF!</f>
        <v>#REF!</v>
      </c>
      <c r="BK17" s="35" t="e">
        <f>'T12a. MeHg SE 2010-18'!#REF!</f>
        <v>#REF!</v>
      </c>
      <c r="BL17" s="35">
        <f>'T9a. MeHg loads daily calib'!L80</f>
        <v>3.5037271544053235E-3</v>
      </c>
      <c r="BM17" s="35">
        <f>'T12a. MeHg SE 2010-18'!K80</f>
        <v>6.4869375988024064E-4</v>
      </c>
      <c r="BN17" t="e">
        <f>((BM17^2)*((1/BJ17)^2))</f>
        <v>#REF!</v>
      </c>
      <c r="BO17" t="e">
        <f>((BK17*BK17)*((-BL17/(BJ17*BJ17))^2))</f>
        <v>#REF!</v>
      </c>
      <c r="BP17" t="e">
        <f>SQRT(BN17+BO17)</f>
        <v>#REF!</v>
      </c>
      <c r="BT17" s="35" t="e">
        <f>'T9a. MeHg loads daily calib'!#REF!</f>
        <v>#REF!</v>
      </c>
      <c r="BU17" s="35" t="e">
        <f>'T12a. MeHg SE 2010-18'!#REF!+'T12a. MeHg SE 2010-18'!#REF!</f>
        <v>#REF!</v>
      </c>
      <c r="BV17" s="35">
        <f>'T9a. MeHg loads daily calib'!P80</f>
        <v>4.6237114024657794E-3</v>
      </c>
      <c r="BW17" s="35">
        <f>'T12a. MeHg SE 2010-18'!C80+'T12a. MeHg SE 2010-18'!K80</f>
        <v>1.0121623682084399E-3</v>
      </c>
      <c r="BX17" t="e">
        <f>((BW17^2)*((1/BT17)^2))</f>
        <v>#REF!</v>
      </c>
      <c r="BY17" t="e">
        <f>((BU17*BU17)*((-BV17/(BT17*BT17))^2))</f>
        <v>#REF!</v>
      </c>
      <c r="BZ17" t="e">
        <f>SQRT(BX17+BY17)</f>
        <v>#REF!</v>
      </c>
    </row>
    <row r="18" spans="1:78">
      <c r="A18" s="2" t="s">
        <v>129</v>
      </c>
      <c r="B18" s="45"/>
      <c r="C18" s="240">
        <f>W18</f>
        <v>0.19836066882427331</v>
      </c>
      <c r="D18" s="53">
        <f>AJ18</f>
        <v>0.31603717988683316</v>
      </c>
      <c r="E18" s="241">
        <f>AR18</f>
        <v>0.22961433584092697</v>
      </c>
      <c r="F18" s="241">
        <f>AZ18</f>
        <v>0.25860491086456511</v>
      </c>
      <c r="G18" s="26"/>
      <c r="H18" s="45" t="s">
        <v>26</v>
      </c>
      <c r="I18" s="26"/>
      <c r="J18" s="53">
        <f t="shared" si="0"/>
        <v>0.11493853489476073</v>
      </c>
      <c r="K18" s="240">
        <f t="shared" si="1"/>
        <v>0.12453888773856098</v>
      </c>
      <c r="L18" s="45" t="s">
        <v>32</v>
      </c>
      <c r="M18" s="56" t="s">
        <v>32</v>
      </c>
      <c r="N18" s="241">
        <f t="shared" si="2"/>
        <v>0.17735485923468677</v>
      </c>
      <c r="O18" s="56" t="s">
        <v>32</v>
      </c>
      <c r="Q18" s="51">
        <f>'T9a. MeHg loads daily calib'!C30</f>
        <v>2.4978021957085361</v>
      </c>
      <c r="R18" s="51">
        <f>'T12a. MeHg SE 2010-18'!C30</f>
        <v>0.4975402216368332</v>
      </c>
      <c r="S18" s="51">
        <f>'T9a. MeHg loads daily calib'!C82</f>
        <v>1.6683399837569581</v>
      </c>
      <c r="T18" s="51">
        <f>'T12a. MeHg SE 2010-18'!C82</f>
        <v>0.36749230055435506</v>
      </c>
      <c r="U18" s="51">
        <f>((T18^2)*((1/Q18)^2))</f>
        <v>2.1646137003592227E-2</v>
      </c>
      <c r="V18" s="51">
        <f>((R18*R18)*((-S18/(Q18*Q18))^2))</f>
        <v>1.77008179328208E-2</v>
      </c>
      <c r="W18" s="51">
        <f>SQRT(U18+V18)</f>
        <v>0.19836066882427331</v>
      </c>
      <c r="AD18" s="35">
        <f>'T9a. MeHg loads daily calib'!D30</f>
        <v>0.13450550140303336</v>
      </c>
      <c r="AE18" s="35">
        <f>'T12a. MeHg SE 2010-18'!D30</f>
        <v>1.9864892607766971E-2</v>
      </c>
      <c r="AF18" s="35">
        <f>'T9a. MeHg loads daily calib'!D82</f>
        <v>0.23101503532744377</v>
      </c>
      <c r="AG18" s="35">
        <f>'T12a. MeHg SE 2010-18'!D82</f>
        <v>2.5356255452203134E-2</v>
      </c>
      <c r="AH18">
        <f t="shared" si="3"/>
        <v>3.5537767468239792E-2</v>
      </c>
      <c r="AI18">
        <f t="shared" si="4"/>
        <v>6.4341731602582747E-2</v>
      </c>
      <c r="AJ18">
        <f t="shared" si="5"/>
        <v>0.31603717988683316</v>
      </c>
      <c r="AL18" s="51">
        <f>'T9a. MeHg loads daily calib'!E30</f>
        <v>2.6323076971115693</v>
      </c>
      <c r="AM18" s="51">
        <f>'T12a. MeHg SE 2010-18'!E30</f>
        <v>0.51740511424460012</v>
      </c>
      <c r="AN18" s="51">
        <f>'T9a. MeHg loads daily calib'!E82</f>
        <v>1.899355019084402</v>
      </c>
      <c r="AO18" s="51">
        <f>'T12a. MeHg SE 2010-18'!E82</f>
        <v>0.47532957954231608</v>
      </c>
      <c r="AP18">
        <f>((AO18^2)*((1/AL18)^2))</f>
        <v>3.260741529555497E-2</v>
      </c>
      <c r="AQ18">
        <f>((AM18*AM18)*((-AN18/(AL18*AL18))^2))</f>
        <v>2.0115327928115028E-2</v>
      </c>
      <c r="AR18">
        <f>SQRT(AP18+AQ18)</f>
        <v>0.22961433584092697</v>
      </c>
      <c r="AT18" s="51">
        <f>'T9a. MeHg loads daily calib'!F30</f>
        <v>2.6768655285284213</v>
      </c>
      <c r="AU18" s="51">
        <f>'T12a. MeHg SE 2010-18'!F30</f>
        <v>0.55519483329958152</v>
      </c>
      <c r="AV18" s="51">
        <f>'T9a. MeHg loads daily calib'!F82</f>
        <v>2.0193168384172044</v>
      </c>
      <c r="AW18" s="51">
        <f>'T12a. MeHg SE 2010-18'!F82</f>
        <v>0.55118414433596019</v>
      </c>
      <c r="AX18">
        <f>((AW18^2)*((1/AT18)^2))</f>
        <v>4.239750710871637E-2</v>
      </c>
      <c r="AY18">
        <f>((AU18*AU18)*((-AV18/(AT18*AT18))^2))</f>
        <v>2.4478992814553308E-2</v>
      </c>
      <c r="AZ18">
        <f>SQRT(AX18+AY18)</f>
        <v>0.25860491086456511</v>
      </c>
      <c r="BB18" s="37">
        <f>'T4a. THg loads daily calib'!K30</f>
        <v>2503.3492564463045</v>
      </c>
      <c r="BC18">
        <f>'T7a. THg SE 2010-19'!J30</f>
        <v>461.37996725490893</v>
      </c>
      <c r="BD18" s="37">
        <f>'T4a. THg loads daily calib'!K82</f>
        <v>1291.0883508782322</v>
      </c>
      <c r="BE18" s="37">
        <f>'T7a. THg SE 2010-19'!J82</f>
        <v>161.76257098850641</v>
      </c>
      <c r="BF18">
        <f t="shared" si="6"/>
        <v>4.1755452279515128E-3</v>
      </c>
      <c r="BG18">
        <f t="shared" si="7"/>
        <v>9.0353215758026181E-3</v>
      </c>
      <c r="BH18">
        <f t="shared" si="8"/>
        <v>0.11493853489476073</v>
      </c>
      <c r="BJ18" s="35">
        <f>'T9a. MeHg loads daily calib'!L30</f>
        <v>4.6430118973641736</v>
      </c>
      <c r="BK18" s="35">
        <f>'T12a. MeHg SE 2010-18'!K30</f>
        <v>0.81082419193161392</v>
      </c>
      <c r="BL18" s="35">
        <f>'T9a. MeHg loads daily calib'!L82</f>
        <v>2.8837918882552787</v>
      </c>
      <c r="BM18" s="35">
        <f>'T12a. MeHg SE 2010-18'!K82</f>
        <v>0.28414331789405428</v>
      </c>
      <c r="BN18">
        <f t="shared" si="9"/>
        <v>3.7452024744380934E-3</v>
      </c>
      <c r="BO18">
        <f t="shared" si="10"/>
        <v>1.1764732084719801E-2</v>
      </c>
      <c r="BP18">
        <f t="shared" si="11"/>
        <v>0.12453888773856098</v>
      </c>
      <c r="BT18" s="35">
        <f>'T9a. MeHg loads daily calib'!P30</f>
        <v>4.7775173987672073</v>
      </c>
      <c r="BU18" s="35">
        <f>'T12a. MeHg SE 2010-18'!D30+'T12a. MeHg SE 2010-18'!K30</f>
        <v>0.83068908453938084</v>
      </c>
      <c r="BV18" s="35">
        <f>'T9a. MeHg loads daily calib'!P82</f>
        <v>3.1148069235827225</v>
      </c>
      <c r="BW18" s="35">
        <f>'T12a. MeHg SE 2010-18'!C82+'T12a. MeHg SE 2010-18'!K82</f>
        <v>0.65163561844840934</v>
      </c>
      <c r="BX18">
        <f t="shared" si="12"/>
        <v>1.860394620400024E-2</v>
      </c>
      <c r="BY18">
        <f t="shared" si="13"/>
        <v>1.2850799890155324E-2</v>
      </c>
      <c r="BZ18">
        <f t="shared" si="14"/>
        <v>0.17735485923468677</v>
      </c>
    </row>
    <row r="19" spans="1:78">
      <c r="A19" s="2" t="s">
        <v>129</v>
      </c>
      <c r="B19" s="2"/>
      <c r="C19" s="26"/>
      <c r="D19" s="26"/>
      <c r="E19" s="26"/>
      <c r="F19" s="26"/>
      <c r="G19" s="26"/>
      <c r="H19" s="69" t="s">
        <v>130</v>
      </c>
      <c r="I19" s="26"/>
      <c r="J19" s="53">
        <f t="shared" si="0"/>
        <v>0.11493853489476073</v>
      </c>
      <c r="K19" s="240">
        <f t="shared" si="1"/>
        <v>0.10813101627374319</v>
      </c>
      <c r="L19" s="45" t="s">
        <v>32</v>
      </c>
      <c r="M19" s="56" t="s">
        <v>32</v>
      </c>
      <c r="N19" s="241">
        <f t="shared" si="2"/>
        <v>0.11021172092442588</v>
      </c>
      <c r="O19" s="56" t="s">
        <v>32</v>
      </c>
      <c r="Q19" s="37"/>
      <c r="S19" s="37"/>
      <c r="BB19" s="37">
        <f>'T4a. THg loads daily calib'!K31</f>
        <v>2503.3492564463045</v>
      </c>
      <c r="BC19">
        <f>'T7a. THg SE 2010-19'!J31</f>
        <v>461.37996725490893</v>
      </c>
      <c r="BD19" s="37">
        <f>'T4a. THg loads daily calib'!K83</f>
        <v>1291.0883508782319</v>
      </c>
      <c r="BE19" s="37">
        <f>'T7a. THg SE 2010-19'!J83</f>
        <v>161.76257098850641</v>
      </c>
      <c r="BF19">
        <f t="shared" si="6"/>
        <v>4.1755452279515128E-3</v>
      </c>
      <c r="BG19">
        <f t="shared" si="7"/>
        <v>9.0353215758026163E-3</v>
      </c>
      <c r="BH19">
        <f t="shared" si="8"/>
        <v>0.11493853489476073</v>
      </c>
      <c r="BJ19" s="35">
        <f>'T9a. MeHg loads daily calib'!L31</f>
        <v>5.0066985128926094</v>
      </c>
      <c r="BK19" s="35">
        <f>'T12a. MeHg SE 2010-18'!K31</f>
        <v>0.92275993450981786</v>
      </c>
      <c r="BL19" s="35">
        <f>'T9a. MeHg loads daily calib'!L83</f>
        <v>2.5003060218325577</v>
      </c>
      <c r="BM19" s="35">
        <f>'T12a. MeHg SE 2010-18'!K83</f>
        <v>0.28414331789405428</v>
      </c>
      <c r="BN19">
        <f t="shared" si="9"/>
        <v>3.2208612311494028E-3</v>
      </c>
      <c r="BO19">
        <f t="shared" si="10"/>
        <v>8.4714554492431125E-3</v>
      </c>
      <c r="BP19">
        <f t="shared" si="11"/>
        <v>0.10813101627374319</v>
      </c>
      <c r="BT19" s="35">
        <f>'T9a. MeHg loads daily calib'!P31</f>
        <v>5.141204014295643</v>
      </c>
      <c r="BU19" s="35">
        <f>'T12a. MeHg SE 2010-18'!D31+'T12a. MeHg SE 2010-18'!K31</f>
        <v>0.92275993450981786</v>
      </c>
      <c r="BV19" s="35">
        <f>'T9a. MeHg loads daily calib'!P83</f>
        <v>2.7313210571600015</v>
      </c>
      <c r="BW19" s="35">
        <f>'T12a. MeHg SE 2010-18'!C83+'T12a. MeHg SE 2010-18'!K83</f>
        <v>0.28414331789405428</v>
      </c>
      <c r="BX19">
        <f t="shared" si="12"/>
        <v>3.0545357942917406E-3</v>
      </c>
      <c r="BY19">
        <f t="shared" si="13"/>
        <v>9.0920876348317935E-3</v>
      </c>
      <c r="BZ19">
        <f t="shared" si="14"/>
        <v>0.11021172092442588</v>
      </c>
    </row>
    <row r="20" spans="1:78" ht="16">
      <c r="A20" s="1" t="s">
        <v>38</v>
      </c>
      <c r="C20" s="6"/>
      <c r="D20" s="6"/>
      <c r="E20" s="26"/>
      <c r="F20" s="26"/>
      <c r="G20" s="26"/>
      <c r="H20" s="27"/>
      <c r="I20" s="26"/>
      <c r="J20" s="26"/>
      <c r="K20" s="26"/>
      <c r="L20" s="26"/>
      <c r="M20" s="26"/>
      <c r="N20" s="61"/>
      <c r="O20" s="26"/>
    </row>
    <row r="21" spans="1:78">
      <c r="A21" s="2" t="s">
        <v>1</v>
      </c>
      <c r="B21" s="45"/>
      <c r="C21" s="56">
        <f>W21</f>
        <v>0.13048972241757409</v>
      </c>
      <c r="D21" s="53">
        <f>AJ21</f>
        <v>0.23289523751812286</v>
      </c>
      <c r="E21" s="58">
        <f>AR21</f>
        <v>0.14340577600084298</v>
      </c>
      <c r="F21" s="58">
        <f>AZ21</f>
        <v>0.13322066338377545</v>
      </c>
      <c r="G21" s="26"/>
      <c r="H21" s="27"/>
      <c r="I21" s="26"/>
      <c r="J21" s="53">
        <f>BH21</f>
        <v>7.6224497240061681E-2</v>
      </c>
      <c r="K21" s="56">
        <f>BP21</f>
        <v>0.20274216892717176</v>
      </c>
      <c r="L21" s="45" t="s">
        <v>32</v>
      </c>
      <c r="M21" s="56" t="s">
        <v>32</v>
      </c>
      <c r="N21" s="58">
        <f t="shared" si="2"/>
        <v>0.22706262342045538</v>
      </c>
      <c r="O21" s="56" t="s">
        <v>32</v>
      </c>
      <c r="Q21" s="51">
        <f t="shared" ref="Q21:R24" si="15">Q9</f>
        <v>0.19671196304996197</v>
      </c>
      <c r="R21" s="51">
        <f t="shared" si="15"/>
        <v>3.8021033574781871E-2</v>
      </c>
      <c r="S21" s="51">
        <f>'T9a. MeHg loads daily calib'!C85</f>
        <v>8.7369285398788799E-2</v>
      </c>
      <c r="T21" s="51">
        <f>'T12a. MeHg SE 2010-18'!C85</f>
        <v>1.9331887387356191E-2</v>
      </c>
      <c r="U21" s="51">
        <f>((T21^2)*((1/Q21)^2))</f>
        <v>9.6579948278070482E-3</v>
      </c>
      <c r="V21" s="51">
        <f>((R21*R21)*((-S21/(Q21*Q21))^2))</f>
        <v>7.3695728288084893E-3</v>
      </c>
      <c r="W21" s="51">
        <f>SQRT(U21+V21)</f>
        <v>0.13048972241757409</v>
      </c>
      <c r="AD21" s="35">
        <f t="shared" ref="AD21:AE24" si="16">AD9</f>
        <v>2.1832013545905447E-2</v>
      </c>
      <c r="AE21" s="35">
        <f t="shared" si="16"/>
        <v>3.0139948964169106E-3</v>
      </c>
      <c r="AF21" s="35">
        <f>'T9a. MeHg loads daily calib'!D85</f>
        <v>2.9363945950310881E-2</v>
      </c>
      <c r="AG21" s="35">
        <f>'T12a. MeHg SE 2010-18'!D85</f>
        <v>3.0691229803808677E-3</v>
      </c>
      <c r="AH21">
        <f>((AG21^2)*((1/AD21)^2))</f>
        <v>1.9762459724059031E-2</v>
      </c>
      <c r="AI21">
        <f>((AE21*AE21)*((-AF21/(AD21*AD21))^2))</f>
        <v>3.4477731934563827E-2</v>
      </c>
      <c r="AJ21">
        <f>SQRT(AH21+AI21)</f>
        <v>0.23289523751812286</v>
      </c>
      <c r="AL21" s="51">
        <f t="shared" ref="AL21:AM24" si="17">AL9</f>
        <v>0.21854397659586741</v>
      </c>
      <c r="AM21" s="51">
        <f t="shared" si="17"/>
        <v>4.1035028471198783E-2</v>
      </c>
      <c r="AN21" s="51">
        <f>'T9a. MeHg loads daily calib'!E85</f>
        <v>0.11673323134909969</v>
      </c>
      <c r="AO21" s="51">
        <f>'T12a. MeHg SE 2010-18'!E85</f>
        <v>2.2401010367737059E-2</v>
      </c>
      <c r="AP21">
        <f>((AO21^2)*((1/AL21)^2))</f>
        <v>1.0506487103115763E-2</v>
      </c>
      <c r="AQ21">
        <f>((AM21*AM21)*((-AN21/(AL21*AL21))^2))</f>
        <v>1.0058729487288191E-2</v>
      </c>
      <c r="AR21">
        <f>SQRT(AP21+AQ21)</f>
        <v>0.14340577600084298</v>
      </c>
      <c r="AT21" s="35">
        <f t="shared" ref="AT21:AU24" si="18">AT9</f>
        <v>0.21740883296666297</v>
      </c>
      <c r="AU21" s="35">
        <f t="shared" si="18"/>
        <v>2.8542436963802886E-2</v>
      </c>
      <c r="AV21" s="51">
        <f>'T9a. MeHg loads daily calib'!F85</f>
        <v>0.1670108793821744</v>
      </c>
      <c r="AW21" s="51">
        <f>'T12a. MeHg SE 2010-18'!F85</f>
        <v>1.8924265801085031E-2</v>
      </c>
      <c r="AX21">
        <f>((AW21^2)*((1/AT21)^2))</f>
        <v>7.5767631090585064E-3</v>
      </c>
      <c r="AY21">
        <f>((AU21*AU21)*((-AV21/(AT21*AT21))^2))</f>
        <v>1.0170982043354699E-2</v>
      </c>
      <c r="AZ21">
        <f>SQRT(AX21+AY21)</f>
        <v>0.13322066338377545</v>
      </c>
      <c r="BB21" s="37">
        <f t="shared" ref="BB21:BC24" si="19">BB9</f>
        <v>164.26473846867469</v>
      </c>
      <c r="BC21">
        <f t="shared" si="19"/>
        <v>22.327058892311701</v>
      </c>
      <c r="BD21" s="37">
        <f>'T4a. THg loads daily calib'!K85</f>
        <v>52.616460331655674</v>
      </c>
      <c r="BE21" s="37">
        <f>'T7a. THg SE 2010-19'!J85</f>
        <v>10.277580973463635</v>
      </c>
      <c r="BF21">
        <f>((BE21^2)*((1/BB21)^2))</f>
        <v>3.914651642956399E-3</v>
      </c>
      <c r="BG21">
        <f>((BC21*BC21)*((-BD21/(BB21*BB21))^2))</f>
        <v>1.8955223365437713E-3</v>
      </c>
      <c r="BH21">
        <f>SQRT(BF21+BG21)</f>
        <v>7.6224497240061681E-2</v>
      </c>
      <c r="BJ21" s="35">
        <f t="shared" ref="BJ21:BK24" si="20">BJ9</f>
        <v>0.6032763509676583</v>
      </c>
      <c r="BK21" s="35">
        <f t="shared" si="20"/>
        <v>8.1998040126928559E-2</v>
      </c>
      <c r="BL21" s="35">
        <f>'T9a. MeHg loads daily calib'!L85</f>
        <v>0.28407192340647008</v>
      </c>
      <c r="BM21" s="35">
        <f>'T12a. MeHg SE 2010-18'!K85</f>
        <v>0.11605510628638084</v>
      </c>
      <c r="BN21">
        <f>((BM21^2)*((1/BJ21)^2))</f>
        <v>3.7008024722966014E-2</v>
      </c>
      <c r="BO21">
        <f>((BK21*BK21)*((-BL21/(BJ21*BJ21))^2))</f>
        <v>4.0963623383278398E-3</v>
      </c>
      <c r="BP21">
        <f>SQRT(BN21+BO21)</f>
        <v>0.20274216892717176</v>
      </c>
      <c r="BT21" s="35">
        <f t="shared" ref="BT21:BU24" si="21">BT9</f>
        <v>0.62510836451356377</v>
      </c>
      <c r="BU21" s="35">
        <f t="shared" si="21"/>
        <v>8.5012035023345464E-2</v>
      </c>
      <c r="BV21" s="35">
        <f>'T9a. MeHg loads daily calib'!P85</f>
        <v>0.31343586935678097</v>
      </c>
      <c r="BW21" s="35">
        <f>'T12a. MeHg SE 2010-18'!C85+'T12a. MeHg SE 2010-18'!K85</f>
        <v>0.13538699367373702</v>
      </c>
      <c r="BX21">
        <f>((BW21^2)*((1/BT21)^2))</f>
        <v>4.690760602955623E-2</v>
      </c>
      <c r="BY21">
        <f>((BU21*BU21)*((-BV21/(BT21*BT21))^2))</f>
        <v>4.6498289250233122E-3</v>
      </c>
      <c r="BZ21">
        <f>SQRT(BX21+BY21)</f>
        <v>0.22706262342045538</v>
      </c>
    </row>
    <row r="22" spans="1:78">
      <c r="A22" s="2" t="s">
        <v>2</v>
      </c>
      <c r="B22" s="45"/>
      <c r="C22" s="56">
        <f>W22</f>
        <v>0.16301257087714302</v>
      </c>
      <c r="D22" s="53">
        <f>AJ22</f>
        <v>0.27465383329735854</v>
      </c>
      <c r="E22" s="58">
        <f>AR22</f>
        <v>0.17044530042233713</v>
      </c>
      <c r="F22" s="58">
        <f>AZ22</f>
        <v>0.21772372347175159</v>
      </c>
      <c r="G22" s="26"/>
      <c r="H22" s="27"/>
      <c r="I22" s="26"/>
      <c r="J22" s="53">
        <f>BH22</f>
        <v>8.4055642980158135E-2</v>
      </c>
      <c r="K22" s="56">
        <f>BP22</f>
        <v>9.2850721439429712E-2</v>
      </c>
      <c r="L22" s="45" t="s">
        <v>32</v>
      </c>
      <c r="M22" s="56" t="s">
        <v>32</v>
      </c>
      <c r="N22" s="58">
        <f t="shared" si="2"/>
        <v>0.13572199326695961</v>
      </c>
      <c r="O22" s="56" t="s">
        <v>32</v>
      </c>
      <c r="Q22" s="51">
        <f t="shared" si="15"/>
        <v>0.71830172551149296</v>
      </c>
      <c r="R22" s="51">
        <f t="shared" si="15"/>
        <v>0.13631422510280944</v>
      </c>
      <c r="S22" s="51">
        <f>'T9a. MeHg loads daily calib'!C86</f>
        <v>0.32655358158668812</v>
      </c>
      <c r="T22" s="51">
        <f>'T12a. MeHg SE 2010-18'!C86</f>
        <v>9.934876542785448E-2</v>
      </c>
      <c r="U22" s="51">
        <f>((T22^2)*((1/Q22)^2))</f>
        <v>1.9129830849401813E-2</v>
      </c>
      <c r="V22" s="51">
        <f>((R22*R22)*((-S22/(Q22*Q22))^2))</f>
        <v>7.4432674145737615E-3</v>
      </c>
      <c r="W22" s="51">
        <f>SQRT(U22+V22)</f>
        <v>0.16301257087714302</v>
      </c>
      <c r="AD22" s="35">
        <f t="shared" si="16"/>
        <v>4.0659015901341362E-2</v>
      </c>
      <c r="AE22" s="35">
        <f t="shared" si="16"/>
        <v>5.2219443521433649E-3</v>
      </c>
      <c r="AF22" s="35">
        <f>'T9a. MeHg loads daily calib'!D86</f>
        <v>5.7505411079106776E-2</v>
      </c>
      <c r="AG22" s="35">
        <f>'T12a. MeHg SE 2010-18'!D86</f>
        <v>8.3760778085426851E-3</v>
      </c>
      <c r="AH22">
        <f>((AG22^2)*((1/AD22)^2))</f>
        <v>4.2439248038962964E-2</v>
      </c>
      <c r="AI22">
        <f>((AE22*AE22)*((-AF22/(AD22*AD22))^2))</f>
        <v>3.2995480105970247E-2</v>
      </c>
      <c r="AJ22">
        <f>SQRT(AH22+AI22)</f>
        <v>0.27465383329735854</v>
      </c>
      <c r="AL22" s="51">
        <f t="shared" si="17"/>
        <v>0.75896074141283432</v>
      </c>
      <c r="AM22" s="51">
        <f t="shared" si="17"/>
        <v>0.14153616945495281</v>
      </c>
      <c r="AN22" s="51">
        <f>'T9a. MeHg loads daily calib'!E86</f>
        <v>0.38405899266579491</v>
      </c>
      <c r="AO22" s="51">
        <f>'T12a. MeHg SE 2010-18'!E86</f>
        <v>0.10772484323639717</v>
      </c>
      <c r="AP22">
        <f>((AO22^2)*((1/AL22)^2))</f>
        <v>2.0146198924490835E-2</v>
      </c>
      <c r="AQ22">
        <f>((AM22*AM22)*((-AN22/(AL22*AL22))^2))</f>
        <v>8.9054015115699204E-3</v>
      </c>
      <c r="AR22">
        <f>SQRT(AP22+AQ22)</f>
        <v>0.17044530042233713</v>
      </c>
      <c r="AT22" s="35">
        <f t="shared" si="18"/>
        <v>0.7987738911958473</v>
      </c>
      <c r="AU22" s="35">
        <f t="shared" si="18"/>
        <v>0.20743652721833258</v>
      </c>
      <c r="AV22" s="51">
        <f>'T9a. MeHg loads daily calib'!F86</f>
        <v>0.53969783560239548</v>
      </c>
      <c r="AW22" s="51">
        <f>'T12a. MeHg SE 2010-18'!F86</f>
        <v>0.10296434506036554</v>
      </c>
      <c r="AX22">
        <f>((AW22^2)*((1/AT22)^2))</f>
        <v>1.661598152527231E-2</v>
      </c>
      <c r="AY22">
        <f>((AU22*AU22)*((-AV22/(AT22*AT22))^2))</f>
        <v>3.0787638237131449E-2</v>
      </c>
      <c r="AZ22">
        <f>SQRT(AX22+AY22)</f>
        <v>0.21772372347175159</v>
      </c>
      <c r="BB22" s="37">
        <f t="shared" si="19"/>
        <v>742.02202341103066</v>
      </c>
      <c r="BC22">
        <f t="shared" si="19"/>
        <v>107.27957389764838</v>
      </c>
      <c r="BD22" s="37">
        <f>'T4a. THg loads daily calib'!K86</f>
        <v>257.78737910328528</v>
      </c>
      <c r="BE22" s="37">
        <f>'T7a. THg SE 2010-19'!J86</f>
        <v>50.010898619829646</v>
      </c>
      <c r="BF22">
        <f>((BE22^2)*((1/BB22)^2))</f>
        <v>4.5425082586843862E-3</v>
      </c>
      <c r="BG22">
        <f>((BC22*BC22)*((-BD22/(BB22*BB22))^2))</f>
        <v>2.5228428581234204E-3</v>
      </c>
      <c r="BH22">
        <f>SQRT(BF22+BG22)</f>
        <v>8.4055642980158135E-2</v>
      </c>
      <c r="BJ22" s="35">
        <f t="shared" si="20"/>
        <v>1.9628404866445304</v>
      </c>
      <c r="BK22" s="35">
        <f t="shared" si="20"/>
        <v>0.28378226574500848</v>
      </c>
      <c r="BL22" s="35">
        <f>'T9a. MeHg loads daily calib'!L86</f>
        <v>0.7532658364913648</v>
      </c>
      <c r="BM22" s="35">
        <f>'T12a. MeHg SE 2010-18'!K86</f>
        <v>0.14613400203528709</v>
      </c>
      <c r="BN22">
        <f>((BM22^2)*((1/BJ22)^2))</f>
        <v>5.5428425390391728E-3</v>
      </c>
      <c r="BO22">
        <f>((BK22*BK22)*((-BL22/(BJ22*BJ22))^2))</f>
        <v>3.0784139327833986E-3</v>
      </c>
      <c r="BP22">
        <f>SQRT(BN22+BO22)</f>
        <v>9.2850721439429712E-2</v>
      </c>
      <c r="BT22" s="35">
        <f t="shared" si="21"/>
        <v>2.0034995025458717</v>
      </c>
      <c r="BU22" s="35">
        <f t="shared" si="21"/>
        <v>0.28900421009715183</v>
      </c>
      <c r="BV22" s="35">
        <f>'T9a. MeHg loads daily calib'!P86</f>
        <v>0.81077124757047159</v>
      </c>
      <c r="BW22" s="35">
        <f>'T12a. MeHg SE 2010-18'!C86+'T12a. MeHg SE 2010-18'!K86</f>
        <v>0.24548276746314157</v>
      </c>
      <c r="BX22">
        <f>((BW22^2)*((1/BT22)^2))</f>
        <v>1.5012863761559478E-2</v>
      </c>
      <c r="BY22">
        <f>((BU22*BU22)*((-BV22/(BT22*BT22))^2))</f>
        <v>3.4075956947971467E-3</v>
      </c>
      <c r="BZ22">
        <f>SQRT(BX22+BY22)</f>
        <v>0.13572199326695961</v>
      </c>
    </row>
    <row r="23" spans="1:78">
      <c r="A23" s="2" t="s">
        <v>3</v>
      </c>
      <c r="B23" s="45"/>
      <c r="C23" s="56">
        <f>W23</f>
        <v>0.20977157878778435</v>
      </c>
      <c r="D23" s="53">
        <f>AJ23</f>
        <v>0.20900473117263821</v>
      </c>
      <c r="E23" s="58">
        <f>AR23</f>
        <v>0.20995162113928026</v>
      </c>
      <c r="F23" s="58">
        <f>AZ23</f>
        <v>0.84929419638485992</v>
      </c>
      <c r="G23" s="26"/>
      <c r="H23" s="27"/>
      <c r="I23" s="26"/>
      <c r="J23" s="53">
        <f>BH23</f>
        <v>9.8066348419644608E-2</v>
      </c>
      <c r="K23" s="56">
        <f>BP23</f>
        <v>0.12772451315179489</v>
      </c>
      <c r="L23" s="45" t="s">
        <v>32</v>
      </c>
      <c r="M23" s="56" t="s">
        <v>32</v>
      </c>
      <c r="N23" s="58">
        <f t="shared" si="2"/>
        <v>0.18513850269896689</v>
      </c>
      <c r="O23" s="56" t="s">
        <v>32</v>
      </c>
      <c r="Q23" s="51">
        <f t="shared" si="15"/>
        <v>1.1956451156477399E-2</v>
      </c>
      <c r="R23" s="51">
        <f t="shared" si="15"/>
        <v>1.4165532631741475E-3</v>
      </c>
      <c r="S23" s="51">
        <f>'T9a. MeHg loads daily calib'!C87</f>
        <v>1.0393227733648409E-2</v>
      </c>
      <c r="T23" s="51">
        <f>'T12a. MeHg SE 2010-18'!C87</f>
        <v>2.1850548131395085E-3</v>
      </c>
      <c r="U23" s="51">
        <f>((T23^2)*((1/Q23)^2))</f>
        <v>3.3397971037956782E-2</v>
      </c>
      <c r="V23" s="51">
        <f>((R23*R23)*((-S23/(Q23*Q23))^2))</f>
        <v>1.0606144229162841E-2</v>
      </c>
      <c r="W23" s="51">
        <f>SQRT(U23+V23)</f>
        <v>0.20977157878778435</v>
      </c>
      <c r="AD23" s="35">
        <f t="shared" si="16"/>
        <v>3.8530005774709626E-3</v>
      </c>
      <c r="AE23" s="35">
        <f t="shared" si="16"/>
        <v>3.8626072432682078E-4</v>
      </c>
      <c r="AF23" s="35">
        <f>'T9a. MeHg loads daily calib'!D87</f>
        <v>4.3070019262797851E-3</v>
      </c>
      <c r="AG23" s="35">
        <f>'T12a. MeHg SE 2010-18'!D87</f>
        <v>6.7975860855003472E-4</v>
      </c>
      <c r="AH23">
        <f>((AG23^2)*((1/AD23)^2))</f>
        <v>3.1125137903825834E-2</v>
      </c>
      <c r="AI23">
        <f>((AE23*AE23)*((-AF23/(AD23*AD23))^2))</f>
        <v>1.2557839748720937E-2</v>
      </c>
      <c r="AJ23">
        <f>SQRT(AH23+AI23)</f>
        <v>0.20900473117263821</v>
      </c>
      <c r="AL23" s="51">
        <f t="shared" si="17"/>
        <v>1.5809451733948363E-2</v>
      </c>
      <c r="AM23" s="51">
        <f t="shared" si="17"/>
        <v>1.8028139875009683E-3</v>
      </c>
      <c r="AN23" s="51">
        <f>'T9a. MeHg loads daily calib'!E87</f>
        <v>1.4700229659928194E-2</v>
      </c>
      <c r="AO23" s="51">
        <f>'T12a. MeHg SE 2010-18'!E87</f>
        <v>2.8648134216895434E-3</v>
      </c>
      <c r="AP23">
        <f>((AO23^2)*((1/AL23)^2))</f>
        <v>3.2836666892087404E-2</v>
      </c>
      <c r="AQ23">
        <f>((AM23*AM23)*((-AN23/(AL23*AL23))^2))</f>
        <v>1.1243016326924472E-2</v>
      </c>
      <c r="AR23">
        <f>SQRT(AP23+AQ23)</f>
        <v>0.20995162113928026</v>
      </c>
      <c r="AT23" s="35">
        <f t="shared" si="18"/>
        <v>1.4988337242504436E-2</v>
      </c>
      <c r="AU23" s="35">
        <f t="shared" si="18"/>
        <v>9.6858483279930983E-3</v>
      </c>
      <c r="AV23" s="51">
        <f>'T9a. MeHg loads daily calib'!F87</f>
        <v>1.4491566212437069E-2</v>
      </c>
      <c r="AW23" s="51">
        <f>'T12a. MeHg SE 2010-18'!F87</f>
        <v>8.6220923256367342E-3</v>
      </c>
      <c r="AX23">
        <f>((AW23^2)*((1/AT23)^2))</f>
        <v>0.33091650234717729</v>
      </c>
      <c r="AY23">
        <f>((AU23*AU23)*((-AV23/(AT23*AT23))^2))</f>
        <v>0.39038412966582781</v>
      </c>
      <c r="AZ23">
        <f>SQRT(AX23+AY23)</f>
        <v>0.84929419638485992</v>
      </c>
      <c r="BB23" s="37">
        <f t="shared" si="19"/>
        <v>5.1046671737027536</v>
      </c>
      <c r="BC23">
        <f t="shared" si="19"/>
        <v>0.51232322347670534</v>
      </c>
      <c r="BD23" s="37">
        <f>'T4a. THg loads daily calib'!K87</f>
        <v>2.0465844895796867</v>
      </c>
      <c r="BE23" s="37">
        <f>'T7a. THg SE 2010-19'!J87</f>
        <v>0.45651520037337995</v>
      </c>
      <c r="BF23">
        <f>((BE23^2)*((1/BB23)^2))</f>
        <v>7.9978936124008252E-3</v>
      </c>
      <c r="BG23">
        <f>((BC23*BC23)*((-BD23/(BB23*BB23))^2))</f>
        <v>1.6191150799623069E-3</v>
      </c>
      <c r="BH23">
        <f>SQRT(BF23+BG23)</f>
        <v>9.8066348419644608E-2</v>
      </c>
      <c r="BJ23" s="35">
        <f t="shared" si="20"/>
        <v>2.5771457910212691E-2</v>
      </c>
      <c r="BK23" s="35">
        <f t="shared" si="20"/>
        <v>2.5865185605582122E-3</v>
      </c>
      <c r="BL23" s="35">
        <f>'T9a. MeHg loads daily calib'!L87</f>
        <v>1.3457224156929548E-2</v>
      </c>
      <c r="BM23" s="35">
        <f>'T12a. MeHg SE 2010-18'!K87</f>
        <v>3.0017951439336261E-3</v>
      </c>
      <c r="BN23">
        <f>((BM23^2)*((1/BJ23)^2))</f>
        <v>1.3567009409115061E-2</v>
      </c>
      <c r="BO23">
        <f>((BK23*BK23)*((-BL23/(BJ23*BJ23))^2))</f>
        <v>2.7465418507479663E-3</v>
      </c>
      <c r="BP23">
        <f>SQRT(BN23+BO23)</f>
        <v>0.12772451315179489</v>
      </c>
      <c r="BT23" s="35">
        <f t="shared" si="21"/>
        <v>2.9624458487683653E-2</v>
      </c>
      <c r="BU23" s="35">
        <f t="shared" si="21"/>
        <v>2.9727792848850331E-3</v>
      </c>
      <c r="BV23" s="35">
        <f>'T9a. MeHg loads daily calib'!P87</f>
        <v>1.7764226083209333E-2</v>
      </c>
      <c r="BW23" s="35">
        <f>'T12a. MeHg SE 2010-18'!C87+'T12a. MeHg SE 2010-18'!K87</f>
        <v>5.1868499570731346E-3</v>
      </c>
      <c r="BX23">
        <f>((BW23^2)*((1/BT23)^2))</f>
        <v>3.0655367660943223E-2</v>
      </c>
      <c r="BY23">
        <f>((BU23*BU23)*((-BV23/(BT23*BT23))^2))</f>
        <v>3.6208975206721487E-3</v>
      </c>
      <c r="BZ23">
        <f>SQRT(BX23+BY23)</f>
        <v>0.18513850269896689</v>
      </c>
    </row>
    <row r="24" spans="1:78">
      <c r="A24" s="2" t="s">
        <v>4</v>
      </c>
      <c r="B24" s="45"/>
      <c r="C24" s="56">
        <f>W24</f>
        <v>0.17871732804438939</v>
      </c>
      <c r="D24" s="53">
        <f>AJ24</f>
        <v>0.26424358374242762</v>
      </c>
      <c r="E24" s="58">
        <f>AR24</f>
        <v>0.18790798785197838</v>
      </c>
      <c r="F24" s="58">
        <f>AZ24</f>
        <v>0.36009632888736037</v>
      </c>
      <c r="G24" s="26"/>
      <c r="H24" s="27"/>
      <c r="I24" s="26"/>
      <c r="J24" s="53">
        <f>BH24</f>
        <v>0.22034463118800512</v>
      </c>
      <c r="K24" s="56">
        <f>BP24</f>
        <v>0.12209109563721555</v>
      </c>
      <c r="L24" s="45" t="s">
        <v>32</v>
      </c>
      <c r="M24" s="56" t="s">
        <v>32</v>
      </c>
      <c r="N24" s="58">
        <f t="shared" si="2"/>
        <v>0.16666699754949377</v>
      </c>
      <c r="O24" s="56" t="s">
        <v>32</v>
      </c>
      <c r="Q24" s="51">
        <f t="shared" si="15"/>
        <v>0.11067140985297311</v>
      </c>
      <c r="R24" s="51">
        <f t="shared" si="15"/>
        <v>1.8330857824502056E-2</v>
      </c>
      <c r="S24" s="51">
        <f>'T9a. MeHg loads daily calib'!C88</f>
        <v>5.1301404710955956E-2</v>
      </c>
      <c r="T24" s="51">
        <f>'T12a. MeHg SE 2010-18'!C88</f>
        <v>1.7860631866083002E-2</v>
      </c>
      <c r="U24" s="51">
        <f>((T24^2)*((1/Q24)^2))</f>
        <v>2.6044903535120414E-2</v>
      </c>
      <c r="V24" s="51">
        <f>((R24*R24)*((-S24/(Q24*Q24))^2))</f>
        <v>5.8949798082054772E-3</v>
      </c>
      <c r="W24" s="51">
        <f>SQRT(U24+V24)</f>
        <v>0.17871732804438939</v>
      </c>
      <c r="AD24" s="35">
        <f t="shared" si="16"/>
        <v>9.819969958490422E-3</v>
      </c>
      <c r="AE24" s="35">
        <f t="shared" si="16"/>
        <v>9.3414127601572881E-4</v>
      </c>
      <c r="AF24" s="35">
        <f>'T9a. MeHg loads daily calib'!D88</f>
        <v>1.4098032731078868E-2</v>
      </c>
      <c r="AG24" s="35">
        <f>'T12a. MeHg SE 2010-18'!D88</f>
        <v>2.2214347340427198E-3</v>
      </c>
      <c r="AH24">
        <f>((AG24^2)*((1/AD24)^2))</f>
        <v>5.117369754177141E-2</v>
      </c>
      <c r="AI24">
        <f>((AE24*AE24)*((-AF24/(AD24*AD24))^2))</f>
        <v>1.8650974007269949E-2</v>
      </c>
      <c r="AJ24">
        <f>SQRT(AH24+AI24)</f>
        <v>0.26424358374242762</v>
      </c>
      <c r="AL24" s="51">
        <f t="shared" si="17"/>
        <v>0.12049137981146353</v>
      </c>
      <c r="AM24" s="51">
        <f t="shared" si="17"/>
        <v>1.9264999100517786E-2</v>
      </c>
      <c r="AN24" s="51">
        <f>'T9a. MeHg loads daily calib'!E88</f>
        <v>6.539943744203483E-2</v>
      </c>
      <c r="AO24" s="51">
        <f>'T12a. MeHg SE 2010-18'!E88</f>
        <v>2.0082066600125723E-2</v>
      </c>
      <c r="AP24">
        <f>((AO24^2)*((1/AL24)^2))</f>
        <v>2.7778247979052272E-2</v>
      </c>
      <c r="AQ24">
        <f>((AM24*AM24)*((-AN24/(AL24*AL24))^2))</f>
        <v>7.5311639195269793E-3</v>
      </c>
      <c r="AR24">
        <f>SQRT(AP24+AQ24)</f>
        <v>0.18790798785197838</v>
      </c>
      <c r="AT24" s="35">
        <f t="shared" si="18"/>
        <v>0.1223466955750377</v>
      </c>
      <c r="AU24" s="35">
        <f t="shared" si="18"/>
        <v>4.8174294711777491E-2</v>
      </c>
      <c r="AV24" s="51">
        <f>'T9a. MeHg loads daily calib'!F88</f>
        <v>7.6220554233105323E-2</v>
      </c>
      <c r="AW24" s="51">
        <f>'T12a. MeHg SE 2010-18'!F88</f>
        <v>3.2253097772085453E-2</v>
      </c>
      <c r="AX24">
        <f>((AW24^2)*((1/AT24)^2))</f>
        <v>6.9495771085295394E-2</v>
      </c>
      <c r="AY24">
        <f>((AU24*AU24)*((-AV24/(AT24*AT24))^2))</f>
        <v>6.0173594992858584E-2</v>
      </c>
      <c r="AZ24">
        <f>SQRT(AX24+AY24)</f>
        <v>0.36009632888736037</v>
      </c>
      <c r="BB24" s="37">
        <f t="shared" si="19"/>
        <v>90.254843187279519</v>
      </c>
      <c r="BC24">
        <f t="shared" si="19"/>
        <v>25.351281027735499</v>
      </c>
      <c r="BD24" s="37">
        <f>'T4a. THg loads daily calib'!K88</f>
        <v>28.189322851323972</v>
      </c>
      <c r="BE24" s="37">
        <f>'T7a. THg SE 2010-19'!J88</f>
        <v>18.242950242935695</v>
      </c>
      <c r="BF24">
        <f>((BE24^2)*((1/BB24)^2))</f>
        <v>4.0855366921739494E-2</v>
      </c>
      <c r="BG24">
        <f>((BC24*BC24)*((-BD24/(BB24*BB24))^2))</f>
        <v>7.6963895716385096E-3</v>
      </c>
      <c r="BH24">
        <f>SQRT(BF24+BG24)</f>
        <v>0.22034463118800512</v>
      </c>
      <c r="BJ24" s="35">
        <f t="shared" si="20"/>
        <v>0.3654712067352075</v>
      </c>
      <c r="BK24" s="35">
        <f t="shared" si="20"/>
        <v>0.10265557993674175</v>
      </c>
      <c r="BL24" s="35">
        <f>'T9a. MeHg loads daily calib'!L88</f>
        <v>6.3248293562330776E-2</v>
      </c>
      <c r="BM24" s="35">
        <f>'T12a. MeHg SE 2010-18'!K88</f>
        <v>4.0931649138709197E-2</v>
      </c>
      <c r="BN24">
        <f>((BM24^2)*((1/BJ24)^2))</f>
        <v>1.2543309866199779E-2</v>
      </c>
      <c r="BO24">
        <f>((BK24*BK24)*((-BL24/(BJ24*BJ24))^2))</f>
        <v>2.3629257676959351E-3</v>
      </c>
      <c r="BP24">
        <f>SQRT(BN24+BO24)</f>
        <v>0.12209109563721555</v>
      </c>
      <c r="BT24" s="35">
        <f t="shared" si="21"/>
        <v>0.37529117669369794</v>
      </c>
      <c r="BU24" s="35">
        <f t="shared" si="21"/>
        <v>0.10358972121275747</v>
      </c>
      <c r="BV24" s="35">
        <f>'T9a. MeHg loads daily calib'!P88</f>
        <v>7.7346326293409651E-2</v>
      </c>
      <c r="BW24" s="35">
        <f>'T12a. MeHg SE 2010-18'!C88+'T12a. MeHg SE 2010-18'!K88</f>
        <v>5.8792281004792196E-2</v>
      </c>
      <c r="BX24">
        <f>((BW24^2)*((1/BT24)^2))</f>
        <v>2.454165870740983E-2</v>
      </c>
      <c r="BY24">
        <f>((BU24*BU24)*((-BV24/(BT24*BT24))^2))</f>
        <v>3.2362293647531354E-3</v>
      </c>
      <c r="BZ24">
        <f>SQRT(BX24+BY24)</f>
        <v>0.16666699754949377</v>
      </c>
    </row>
    <row r="25" spans="1:78">
      <c r="A25" s="2" t="s">
        <v>5</v>
      </c>
      <c r="B25" s="45"/>
      <c r="C25" s="56" t="s">
        <v>32</v>
      </c>
      <c r="D25" s="53" t="s">
        <v>32</v>
      </c>
      <c r="E25" s="58" t="s">
        <v>32</v>
      </c>
      <c r="F25" s="58" t="s">
        <v>32</v>
      </c>
      <c r="G25" s="26"/>
      <c r="H25" s="27"/>
      <c r="I25" s="26"/>
      <c r="J25" s="53" t="s">
        <v>32</v>
      </c>
      <c r="K25" s="56" t="s">
        <v>32</v>
      </c>
      <c r="L25" s="45" t="s">
        <v>32</v>
      </c>
      <c r="M25" s="56" t="s">
        <v>32</v>
      </c>
      <c r="N25" s="58" t="s">
        <v>32</v>
      </c>
      <c r="O25" s="56" t="s">
        <v>32</v>
      </c>
      <c r="Q25" s="51"/>
      <c r="R25" s="51"/>
      <c r="S25" s="51"/>
      <c r="T25" s="51"/>
      <c r="U25" s="51"/>
      <c r="V25" s="51"/>
      <c r="W25" s="51"/>
      <c r="AD25" s="35"/>
      <c r="AE25" s="35"/>
      <c r="AF25" s="35"/>
      <c r="AG25" s="35"/>
      <c r="AL25" s="51"/>
      <c r="AM25" s="51"/>
      <c r="AN25" s="51"/>
      <c r="AO25" s="51"/>
      <c r="AT25" s="35"/>
      <c r="AU25" s="35"/>
      <c r="AV25" s="51"/>
      <c r="AW25" s="51"/>
      <c r="BB25" s="37"/>
      <c r="BD25" s="37"/>
      <c r="BE25" s="37"/>
      <c r="BJ25" s="35"/>
      <c r="BK25" s="35"/>
      <c r="BL25" s="37"/>
      <c r="BT25" s="35"/>
      <c r="BU25" s="35"/>
      <c r="BV25" s="35"/>
      <c r="BW25" s="35"/>
    </row>
    <row r="26" spans="1:78">
      <c r="A26" s="2" t="s">
        <v>88</v>
      </c>
      <c r="B26" s="45"/>
      <c r="C26" s="56">
        <f>W26</f>
        <v>0.18893333799812745</v>
      </c>
      <c r="D26" s="53">
        <f>AJ26</f>
        <v>0.4193228239120978</v>
      </c>
      <c r="E26" s="58">
        <f>AR26</f>
        <v>0.20588930294278882</v>
      </c>
      <c r="F26" s="58">
        <f>AZ26</f>
        <v>0.32528057367850599</v>
      </c>
      <c r="G26" s="26"/>
      <c r="H26" s="27"/>
      <c r="I26" s="26"/>
      <c r="J26" s="53">
        <f t="shared" ref="J26:J31" si="22">BH26</f>
        <v>0.28253141062901638</v>
      </c>
      <c r="K26" s="56">
        <f t="shared" ref="K26:K31" si="23">BP26</f>
        <v>0.29262351574912115</v>
      </c>
      <c r="L26" s="45" t="s">
        <v>32</v>
      </c>
      <c r="M26" s="56" t="s">
        <v>32</v>
      </c>
      <c r="N26" s="58">
        <f t="shared" si="2"/>
        <v>0.43552027342038196</v>
      </c>
      <c r="O26" s="56" t="s">
        <v>32</v>
      </c>
      <c r="Q26" s="51">
        <f t="shared" ref="Q26:R30" si="24">Q14</f>
        <v>9.9063187088182209E-2</v>
      </c>
      <c r="R26" s="51">
        <f t="shared" si="24"/>
        <v>2.8631728849142207E-2</v>
      </c>
      <c r="S26" s="51">
        <f>'T9a. MeHg loads daily calib'!C90</f>
        <v>4.0765474419816004E-2</v>
      </c>
      <c r="T26" s="51">
        <f>'T12a. MeHg SE 2010-18'!C90</f>
        <v>1.4542359077057901E-2</v>
      </c>
      <c r="U26" s="51">
        <f>((T26^2)*((1/Q26)^2))</f>
        <v>2.1549893870730585E-2</v>
      </c>
      <c r="V26" s="51">
        <f>((R26*R26)*((-S26/(Q26*Q26))^2))</f>
        <v>1.414591233638408E-2</v>
      </c>
      <c r="W26" s="51">
        <f>SQRT(U26+V26)</f>
        <v>0.18893333799812745</v>
      </c>
      <c r="AD26" s="35">
        <f t="shared" ref="AD26:AE30" si="25">AD14</f>
        <v>5.4995433058262324E-3</v>
      </c>
      <c r="AE26" s="35">
        <f t="shared" si="25"/>
        <v>9.2746244865470127E-4</v>
      </c>
      <c r="AF26" s="35">
        <f>'T9a. MeHg loads daily calib'!D90</f>
        <v>9.1813914717756261E-3</v>
      </c>
      <c r="AG26" s="35">
        <f>'T12a. MeHg SE 2010-18'!D90</f>
        <v>1.7089574693117241E-3</v>
      </c>
      <c r="AH26">
        <f>((AG26^2)*((1/AD26)^2))</f>
        <v>9.6562668015307274E-2</v>
      </c>
      <c r="AI26">
        <f>((AE26*AE26)*((-AF26/(AD26*AD26))^2))</f>
        <v>7.9268962638308918E-2</v>
      </c>
      <c r="AJ26">
        <f>SQRT(AH26+AI26)</f>
        <v>0.4193228239120978</v>
      </c>
      <c r="AL26" s="51">
        <f t="shared" ref="AL26:AM30" si="26">AL14</f>
        <v>0.10456273039400844</v>
      </c>
      <c r="AM26" s="51">
        <f t="shared" si="26"/>
        <v>2.9559191297796907E-2</v>
      </c>
      <c r="AN26" s="51">
        <f>'T9a. MeHg loads daily calib'!E90</f>
        <v>4.9946865891591627E-2</v>
      </c>
      <c r="AO26" s="51">
        <f>'T12a. MeHg SE 2010-18'!E90</f>
        <v>1.6251316546369625E-2</v>
      </c>
      <c r="AP26">
        <f>((AO26^2)*((1/AL26)^2))</f>
        <v>2.4155902547461128E-2</v>
      </c>
      <c r="AQ26">
        <f>((AM26*AM26)*((-AN26/(AL26*AL26))^2))</f>
        <v>1.8234502518806341E-2</v>
      </c>
      <c r="AR26">
        <f>SQRT(AP26+AQ26)</f>
        <v>0.20588930294278882</v>
      </c>
      <c r="AT26" s="35">
        <f t="shared" ref="AT26:AU30" si="27">AT14</f>
        <v>0.11121819295025021</v>
      </c>
      <c r="AU26" s="35">
        <f t="shared" si="27"/>
        <v>3.6537785746638816E-2</v>
      </c>
      <c r="AV26" s="51">
        <f>'T9a. MeHg loads daily calib'!F90</f>
        <v>5.2003763331952196E-2</v>
      </c>
      <c r="AW26" s="51">
        <f>'T12a. MeHg SE 2010-18'!F90</f>
        <v>3.1888950901088384E-2</v>
      </c>
      <c r="AX26">
        <f>((AW26^2)*((1/AT26)^2))</f>
        <v>8.221078492209441E-2</v>
      </c>
      <c r="AY26">
        <f>((AU26*AU26)*((-AV26/(AT26*AT26))^2))</f>
        <v>2.3596666690523575E-2</v>
      </c>
      <c r="AZ26">
        <f>SQRT(AX26+AY26)</f>
        <v>0.32528057367850599</v>
      </c>
      <c r="BB26" s="37">
        <f t="shared" ref="BB26:BC31" si="28">BB14</f>
        <v>97.488949720917674</v>
      </c>
      <c r="BC26">
        <f t="shared" si="28"/>
        <v>31.892775586674372</v>
      </c>
      <c r="BD26" s="37">
        <f>'T4a. THg loads daily calib'!K90</f>
        <v>23.045453104271306</v>
      </c>
      <c r="BE26" s="37">
        <f>'T7a. THg SE 2010-19'!J90</f>
        <v>26.491813021051662</v>
      </c>
      <c r="BF26">
        <f t="shared" ref="BF26:BF31" si="29">((BE26^2)*((1/BB26)^2))</f>
        <v>7.3843552035536317E-2</v>
      </c>
      <c r="BG26">
        <f t="shared" ref="BG26:BG31" si="30">((BC26*BC26)*((-BD26/(BB26*BB26))^2))</f>
        <v>5.9804459564855401E-3</v>
      </c>
      <c r="BH26">
        <f t="shared" ref="BH26:BH31" si="31">SQRT(BF26+BG26)</f>
        <v>0.28253141062901638</v>
      </c>
      <c r="BJ26" s="35">
        <f t="shared" ref="BJ26:BK31" si="32">BJ14</f>
        <v>8.6486259932865905E-2</v>
      </c>
      <c r="BK26" s="35">
        <f t="shared" si="32"/>
        <v>2.8293328497905126E-2</v>
      </c>
      <c r="BL26" s="35">
        <f>'T9a. MeHg loads daily calib'!L90</f>
        <v>2.1174807086423036E-2</v>
      </c>
      <c r="BM26" s="35">
        <f>'T12a. MeHg SE 2010-18'!K90</f>
        <v>2.4341419001494446E-2</v>
      </c>
      <c r="BN26">
        <f t="shared" ref="BN26:BN31" si="33">((BM26^2)*((1/BJ26)^2))</f>
        <v>7.9213198747620561E-2</v>
      </c>
      <c r="BO26">
        <f t="shared" ref="BO26:BO31" si="34">((BK26*BK26)*((-BL26/(BJ26*BJ26))^2))</f>
        <v>6.4153232217555841E-3</v>
      </c>
      <c r="BP26">
        <f t="shared" ref="BP26:BP31" si="35">SQRT(BN26+BO26)</f>
        <v>0.29262351574912115</v>
      </c>
      <c r="BT26" s="35">
        <f t="shared" ref="BT26:BU31" si="36">BT14</f>
        <v>9.198580323869214E-2</v>
      </c>
      <c r="BU26" s="35">
        <f t="shared" si="36"/>
        <v>2.9220790946559827E-2</v>
      </c>
      <c r="BV26" s="35">
        <f>'T9a. MeHg loads daily calib'!P90</f>
        <v>3.0356198558198662E-2</v>
      </c>
      <c r="BW26" s="35">
        <f>'T12a. MeHg SE 2010-18'!C90+'T12a. MeHg SE 2010-18'!K90</f>
        <v>3.8883778078552346E-2</v>
      </c>
      <c r="BX26">
        <f t="shared" ref="BX26:BX31" si="37">((BW26^2)*((1/BT26)^2))</f>
        <v>0.17868796444680893</v>
      </c>
      <c r="BY26">
        <f t="shared" ref="BY26:BY31" si="38">((BU26*BU26)*((-BV26/(BT26*BT26))^2))</f>
        <v>1.0989944113355325E-2</v>
      </c>
      <c r="BZ26">
        <f t="shared" ref="BZ26:BZ31" si="39">SQRT(BX26+BY26)</f>
        <v>0.43552027342038196</v>
      </c>
    </row>
    <row r="27" spans="1:78">
      <c r="A27" s="2" t="s">
        <v>95</v>
      </c>
      <c r="B27" s="45"/>
      <c r="C27" s="56">
        <f>W27</f>
        <v>4.5585520956599457E-2</v>
      </c>
      <c r="D27" s="53">
        <f>AJ27</f>
        <v>0.1958961347654358</v>
      </c>
      <c r="E27" s="58">
        <f>AR27</f>
        <v>5.1621312315844152E-2</v>
      </c>
      <c r="F27" s="58">
        <f>AZ27</f>
        <v>6.769030886962793E-2</v>
      </c>
      <c r="G27" s="26"/>
      <c r="H27" s="27"/>
      <c r="I27" s="26"/>
      <c r="J27" s="53">
        <f t="shared" si="22"/>
        <v>7.3299058414938292E-2</v>
      </c>
      <c r="K27" s="56">
        <f t="shared" si="23"/>
        <v>8.2111946645467171E-2</v>
      </c>
      <c r="L27" s="45" t="s">
        <v>32</v>
      </c>
      <c r="M27" s="56" t="s">
        <v>32</v>
      </c>
      <c r="N27" s="58">
        <f>BZ27</f>
        <v>0.11527736877145647</v>
      </c>
      <c r="O27" s="56" t="s">
        <v>32</v>
      </c>
      <c r="Q27" s="51">
        <f t="shared" si="24"/>
        <v>0.19558343112243343</v>
      </c>
      <c r="R27" s="51">
        <f t="shared" si="24"/>
        <v>2.0528600730313557E-2</v>
      </c>
      <c r="S27" s="51">
        <f>'T9a. MeHg loads daily calib'!C91</f>
        <v>5.799126026846059E-2</v>
      </c>
      <c r="T27" s="51">
        <f>'T12a. MeHg SE 2010-18'!C91</f>
        <v>6.5147317588695117E-3</v>
      </c>
      <c r="U27" s="51">
        <f>((T27^2)*((1/Q27)^2))</f>
        <v>1.1095042130530247E-3</v>
      </c>
      <c r="V27" s="51">
        <f>((R27*R27)*((-S27/(Q27*Q27))^2))</f>
        <v>9.685355078315435E-4</v>
      </c>
      <c r="W27" s="51">
        <f>SQRT(U27+V27)</f>
        <v>4.5585520956599457E-2</v>
      </c>
      <c r="AD27" s="35">
        <f t="shared" si="25"/>
        <v>9.3366044478843668E-3</v>
      </c>
      <c r="AE27" s="35">
        <f t="shared" si="25"/>
        <v>1.2533734974745408E-3</v>
      </c>
      <c r="AF27" s="35">
        <f>'T9a. MeHg loads daily calib'!D91</f>
        <v>1.0592223896085452E-2</v>
      </c>
      <c r="AG27" s="35">
        <f>'T12a. MeHg SE 2010-18'!D91</f>
        <v>1.1503777033363663E-3</v>
      </c>
      <c r="AH27">
        <f>((AG27^2)*((1/AD27)^2))</f>
        <v>1.5181091268061209E-2</v>
      </c>
      <c r="AI27">
        <f>((AE27*AE27)*((-AF27/(AD27*AD27))^2))</f>
        <v>2.3194204347976578E-2</v>
      </c>
      <c r="AJ27">
        <f>SQRT(AH27+AI27)</f>
        <v>0.1958961347654358</v>
      </c>
      <c r="AL27" s="51">
        <f t="shared" si="26"/>
        <v>0.20492003557031779</v>
      </c>
      <c r="AM27" s="51">
        <f t="shared" si="26"/>
        <v>2.1781974227788096E-2</v>
      </c>
      <c r="AN27" s="51">
        <f>'T9a. MeHg loads daily calib'!E91</f>
        <v>6.8583484164546044E-2</v>
      </c>
      <c r="AO27" s="51">
        <f>'T12a. MeHg SE 2010-18'!E91</f>
        <v>7.6651094622058775E-3</v>
      </c>
      <c r="AP27">
        <f>((AO27^2)*((1/AL27)^2))</f>
        <v>1.3991615994348883E-3</v>
      </c>
      <c r="AQ27">
        <f>((AM27*AM27)*((-AN27/(AL27*AL27))^2))</f>
        <v>1.2655982857750344E-3</v>
      </c>
      <c r="AR27">
        <f>SQRT(AP27+AQ27)</f>
        <v>5.1621312315844152E-2</v>
      </c>
      <c r="AT27" s="35">
        <f t="shared" si="27"/>
        <v>0.20554775470414788</v>
      </c>
      <c r="AU27" s="35">
        <f t="shared" si="27"/>
        <v>3.7369559707670065E-2</v>
      </c>
      <c r="AV27" s="51">
        <f>'T9a. MeHg loads daily calib'!F91</f>
        <v>6.7041249742309655E-2</v>
      </c>
      <c r="AW27" s="51">
        <f>'T12a. MeHg SE 2010-18'!F91</f>
        <v>6.710475206141161E-3</v>
      </c>
      <c r="AX27">
        <f>((AW27^2)*((1/AT27)^2))</f>
        <v>1.0658131588444763E-3</v>
      </c>
      <c r="AY27">
        <f>((AU27*AU27)*((-AV27/(AT27*AT27))^2))</f>
        <v>3.5161647560211524E-3</v>
      </c>
      <c r="AZ27">
        <f>SQRT(AX27+AY27)</f>
        <v>6.769030886962793E-2</v>
      </c>
      <c r="BB27" s="37">
        <f t="shared" si="28"/>
        <v>180.16586134755283</v>
      </c>
      <c r="BC27">
        <f t="shared" si="28"/>
        <v>37</v>
      </c>
      <c r="BD27" s="37">
        <f>'T4a. THg loads daily calib'!K91</f>
        <v>36.648240999820146</v>
      </c>
      <c r="BE27" s="37">
        <f>'T7a. THg SE 2010-19'!J91</f>
        <v>10.85139209757603</v>
      </c>
      <c r="BF27">
        <f t="shared" si="29"/>
        <v>3.6276544168086736E-3</v>
      </c>
      <c r="BG27">
        <f t="shared" si="30"/>
        <v>1.7450975477078631E-3</v>
      </c>
      <c r="BH27">
        <f t="shared" si="31"/>
        <v>7.3299058414938292E-2</v>
      </c>
      <c r="BJ27" s="35">
        <f t="shared" si="32"/>
        <v>0.16639052037730653</v>
      </c>
      <c r="BK27" s="35">
        <f t="shared" si="32"/>
        <v>3.4171008913193107E-2</v>
      </c>
      <c r="BL27" s="35">
        <f>'T9a. MeHg loads daily calib'!L91</f>
        <v>3.792943829167815E-2</v>
      </c>
      <c r="BM27" s="35">
        <f>'T12a. MeHg SE 2010-18'!K91</f>
        <v>1.1224650789351526E-2</v>
      </c>
      <c r="BN27">
        <f t="shared" si="33"/>
        <v>4.5508080443266907E-3</v>
      </c>
      <c r="BO27">
        <f t="shared" si="34"/>
        <v>2.1915637375813563E-3</v>
      </c>
      <c r="BP27">
        <f t="shared" si="35"/>
        <v>8.2111946645467171E-2</v>
      </c>
      <c r="BT27" s="35">
        <f t="shared" si="36"/>
        <v>0.1757271248251909</v>
      </c>
      <c r="BU27" s="35">
        <f t="shared" si="36"/>
        <v>3.542438241066765E-2</v>
      </c>
      <c r="BV27" s="35">
        <f>'T9a. MeHg loads daily calib'!P91</f>
        <v>4.8521662187763603E-2</v>
      </c>
      <c r="BW27" s="35">
        <f>'T12a. MeHg SE 2010-18'!C91+'T12a. MeHg SE 2010-18'!K91</f>
        <v>1.7739382548221036E-2</v>
      </c>
      <c r="BX27">
        <f t="shared" si="37"/>
        <v>1.0190591480884897E-2</v>
      </c>
      <c r="BY27">
        <f>((BU27*BU27)*((-BV27/(BT27*BT27))^2))</f>
        <v>3.0982802699854699E-3</v>
      </c>
      <c r="BZ27">
        <f t="shared" si="39"/>
        <v>0.11527736877145647</v>
      </c>
    </row>
    <row r="28" spans="1:78">
      <c r="A28" s="2" t="s">
        <v>125</v>
      </c>
      <c r="B28" s="45"/>
      <c r="C28" s="56">
        <f>W28</f>
        <v>0.18606649593684851</v>
      </c>
      <c r="D28" s="53">
        <f>AJ28</f>
        <v>0.33732121170517776</v>
      </c>
      <c r="E28" s="58">
        <f>AR28</f>
        <v>0.19226564175885547</v>
      </c>
      <c r="F28" s="58">
        <f>AZ28</f>
        <v>0.13708638149238414</v>
      </c>
      <c r="G28" s="26"/>
      <c r="H28" s="27"/>
      <c r="I28" s="26"/>
      <c r="J28" s="53">
        <f t="shared" si="22"/>
        <v>0.14842251856414287</v>
      </c>
      <c r="K28" s="56">
        <f t="shared" si="23"/>
        <v>0.22681237341187041</v>
      </c>
      <c r="L28" s="45" t="s">
        <v>32</v>
      </c>
      <c r="M28" s="56" t="s">
        <v>32</v>
      </c>
      <c r="N28" s="58">
        <f>BZ28</f>
        <v>0.27889811067584636</v>
      </c>
      <c r="O28" s="56" t="s">
        <v>32</v>
      </c>
      <c r="Q28" s="51">
        <f t="shared" si="24"/>
        <v>1.1649063950279102</v>
      </c>
      <c r="R28" s="51">
        <f t="shared" si="24"/>
        <v>0.25416975064432834</v>
      </c>
      <c r="S28" s="51">
        <f>'T9a. MeHg loads daily calib'!C92</f>
        <v>0.86006471937056062</v>
      </c>
      <c r="T28" s="51">
        <f>'T12a. MeHg SE 2010-18'!C92</f>
        <v>0.10846918993433408</v>
      </c>
      <c r="U28" s="51">
        <f>((T28^2)*((1/Q28)^2))</f>
        <v>8.6702323219171526E-3</v>
      </c>
      <c r="V28" s="51">
        <f>((R28*R28)*((-S28/(Q28*Q28))^2))</f>
        <v>2.5950508588300111E-2</v>
      </c>
      <c r="W28" s="51">
        <f>SQRT(U28+V28)</f>
        <v>0.18606649593684851</v>
      </c>
      <c r="AD28" s="35">
        <f t="shared" si="25"/>
        <v>4.3208553867884601E-2</v>
      </c>
      <c r="AE28" s="35">
        <f t="shared" si="25"/>
        <v>8.0814133308909422E-3</v>
      </c>
      <c r="AF28" s="35">
        <f>'T9a. MeHg loads daily calib'!D92</f>
        <v>6.8847940016509748E-2</v>
      </c>
      <c r="AG28" s="35">
        <f>'T12a. MeHg SE 2010-18'!D92</f>
        <v>6.8280972760533876E-3</v>
      </c>
      <c r="AH28">
        <f>((AG28^2)*((1/AD28)^2))</f>
        <v>2.4972380102249708E-2</v>
      </c>
      <c r="AI28">
        <f>((AE28*AE28)*((-AF28/(AD28*AD28))^2))</f>
        <v>8.881321976399964E-2</v>
      </c>
      <c r="AJ28">
        <f>SQRT(AH28+AI28)</f>
        <v>0.33732121170517776</v>
      </c>
      <c r="AL28" s="51">
        <f t="shared" si="26"/>
        <v>1.2081149488957947</v>
      </c>
      <c r="AM28" s="51">
        <f t="shared" si="26"/>
        <v>0.2622511639752193</v>
      </c>
      <c r="AN28" s="51">
        <f>'T9a. MeHg loads daily calib'!E92</f>
        <v>0.92891265938707035</v>
      </c>
      <c r="AO28" s="51">
        <f>'T12a. MeHg SE 2010-18'!E92</f>
        <v>0.11529728721038747</v>
      </c>
      <c r="AP28">
        <f>((AO28^2)*((1/AL28)^2))</f>
        <v>9.107971472931204E-3</v>
      </c>
      <c r="AQ28">
        <f>((AM28*AM28)*((-AN28/(AL28*AL28))^2))</f>
        <v>2.7858105528013339E-2</v>
      </c>
      <c r="AR28">
        <f>SQRT(AP28+AQ28)</f>
        <v>0.19226564175885547</v>
      </c>
      <c r="AT28" s="35">
        <f t="shared" si="27"/>
        <v>1.2056663052283245</v>
      </c>
      <c r="AU28" s="35">
        <f t="shared" si="27"/>
        <v>0.18677129849205251</v>
      </c>
      <c r="AV28" s="51">
        <f>'T9a. MeHg loads daily calib'!F92</f>
        <v>0.83819050669408746</v>
      </c>
      <c r="AW28" s="51">
        <f>'T12a. MeHg SE 2010-18'!F92</f>
        <v>0.10226366116275711</v>
      </c>
      <c r="AX28">
        <f>((AW28^2)*((1/AT28)^2))</f>
        <v>7.1942980515166174E-3</v>
      </c>
      <c r="AY28">
        <f>((AU28*AU28)*((-AV28/(AT28*AT28))^2))</f>
        <v>1.1598377939158865E-2</v>
      </c>
      <c r="AZ28">
        <f>SQRT(AX28+AY28)</f>
        <v>0.13708638149238414</v>
      </c>
      <c r="BB28" s="37">
        <f t="shared" si="28"/>
        <v>1223.8914557569726</v>
      </c>
      <c r="BC28">
        <f t="shared" si="28"/>
        <v>237</v>
      </c>
      <c r="BD28" s="37">
        <f>'T4a. THg loads daily calib'!K92</f>
        <v>717.81468992877888</v>
      </c>
      <c r="BE28" s="37">
        <f>'T7a. THg SE 2010-19'!J92</f>
        <v>116.94685051273001</v>
      </c>
      <c r="BF28">
        <f t="shared" si="29"/>
        <v>9.1304304978493903E-3</v>
      </c>
      <c r="BG28">
        <f t="shared" si="30"/>
        <v>1.2898813519073946E-2</v>
      </c>
      <c r="BH28">
        <f t="shared" si="31"/>
        <v>0.14842251856414287</v>
      </c>
      <c r="BJ28" s="35">
        <f t="shared" si="32"/>
        <v>1.4321980405129759</v>
      </c>
      <c r="BK28" s="35">
        <f t="shared" si="32"/>
        <v>0.2773374501512787</v>
      </c>
      <c r="BL28" s="35">
        <f>'T9a. MeHg loads daily calib'!L92</f>
        <v>1.2836509312591127</v>
      </c>
      <c r="BM28" s="35">
        <f>'T12a. MeHg SE 2010-18'!K92</f>
        <v>0.2091245800062064</v>
      </c>
      <c r="BN28">
        <f t="shared" si="33"/>
        <v>2.1320825372981619E-2</v>
      </c>
      <c r="BO28">
        <f t="shared" si="34"/>
        <v>3.012302735974412E-2</v>
      </c>
      <c r="BP28">
        <f t="shared" si="35"/>
        <v>0.22681237341187041</v>
      </c>
      <c r="BT28" s="35">
        <f t="shared" si="36"/>
        <v>1.4754065943808605</v>
      </c>
      <c r="BU28" s="35">
        <f t="shared" si="36"/>
        <v>0.28541886348216966</v>
      </c>
      <c r="BV28" s="35">
        <f>'T9a. MeHg loads daily calib'!P92</f>
        <v>1.3524988712756225</v>
      </c>
      <c r="BW28" s="35">
        <f>'T12a. MeHg SE 2010-18'!C92+'T12a. MeHg SE 2010-18'!K92</f>
        <v>0.31759376994054045</v>
      </c>
      <c r="BX28">
        <f t="shared" si="37"/>
        <v>4.6336210017374459E-2</v>
      </c>
      <c r="BY28">
        <f>((BU28*BU28)*((-BV28/(BT28*BT28))^2))</f>
        <v>3.1447946121182173E-2</v>
      </c>
      <c r="BZ28">
        <f t="shared" si="39"/>
        <v>0.27889811067584636</v>
      </c>
    </row>
    <row r="29" spans="1:78">
      <c r="A29" s="62" t="s">
        <v>128</v>
      </c>
      <c r="B29" s="45"/>
      <c r="C29" s="56" t="e">
        <f>W29</f>
        <v>#REF!</v>
      </c>
      <c r="D29" s="53" t="e">
        <f>AJ29</f>
        <v>#REF!</v>
      </c>
      <c r="E29" s="58" t="e">
        <f>AR29</f>
        <v>#REF!</v>
      </c>
      <c r="F29" s="58" t="e">
        <f>AZ29</f>
        <v>#REF!</v>
      </c>
      <c r="G29" s="26"/>
      <c r="H29" s="27"/>
      <c r="I29" s="26"/>
      <c r="J29" s="53" t="e">
        <f t="shared" si="22"/>
        <v>#REF!</v>
      </c>
      <c r="K29" s="56" t="e">
        <f t="shared" si="23"/>
        <v>#REF!</v>
      </c>
      <c r="L29" s="45" t="s">
        <v>32</v>
      </c>
      <c r="M29" s="56" t="s">
        <v>32</v>
      </c>
      <c r="N29" s="58" t="e">
        <f>BZ29</f>
        <v>#REF!</v>
      </c>
      <c r="O29" s="56" t="s">
        <v>32</v>
      </c>
      <c r="Q29" s="51" t="e">
        <f t="shared" si="24"/>
        <v>#REF!</v>
      </c>
      <c r="R29" s="51" t="e">
        <f t="shared" si="24"/>
        <v>#REF!</v>
      </c>
      <c r="S29" s="51">
        <f>'T9a. MeHg loads daily calib'!C93</f>
        <v>4.899207246715E-3</v>
      </c>
      <c r="T29" s="51">
        <f>'T12a. MeHg SE 2010-18'!C93</f>
        <v>4.0068006984511731E-4</v>
      </c>
      <c r="U29" s="51" t="e">
        <f>((T29^2)*((1/Q29)^2))</f>
        <v>#REF!</v>
      </c>
      <c r="V29" s="51" t="e">
        <f>((R29*R29)*((-S29/(Q29*Q29))^2))</f>
        <v>#REF!</v>
      </c>
      <c r="W29" s="51" t="e">
        <f>SQRT(U29+V29)</f>
        <v>#REF!</v>
      </c>
      <c r="AD29" s="35" t="e">
        <f t="shared" si="25"/>
        <v>#REF!</v>
      </c>
      <c r="AE29" s="35" t="e">
        <f t="shared" si="25"/>
        <v>#REF!</v>
      </c>
      <c r="AF29" s="35">
        <f>'T9a. MeHg loads daily calib'!D93</f>
        <v>1.0392877869347483E-3</v>
      </c>
      <c r="AG29" s="35">
        <f>'T12a. MeHg SE 2010-18'!D93</f>
        <v>1.5384913326591684E-4</v>
      </c>
      <c r="AH29" t="e">
        <f>((AG29^2)*((1/AD29)^2))</f>
        <v>#REF!</v>
      </c>
      <c r="AI29" t="e">
        <f>((AE29*AE29)*((-AF29/(AD29*AD29))^2))</f>
        <v>#REF!</v>
      </c>
      <c r="AJ29" t="e">
        <f>SQRT(AH29+AI29)</f>
        <v>#REF!</v>
      </c>
      <c r="AL29" s="51" t="e">
        <f t="shared" si="26"/>
        <v>#REF!</v>
      </c>
      <c r="AM29" s="51" t="e">
        <f t="shared" si="26"/>
        <v>#REF!</v>
      </c>
      <c r="AN29" s="51">
        <f>'T9a. MeHg loads daily calib'!E93</f>
        <v>5.9384950336497482E-3</v>
      </c>
      <c r="AO29" s="51">
        <f>'T12a. MeHg SE 2010-18'!E93</f>
        <v>5.5452920311103418E-4</v>
      </c>
      <c r="AP29" t="e">
        <f>((AO29^2)*((1/AL29)^2))</f>
        <v>#REF!</v>
      </c>
      <c r="AQ29" t="e">
        <f>((AM29*AM29)*((-AN29/(AL29*AL29))^2))</f>
        <v>#REF!</v>
      </c>
      <c r="AR29" t="e">
        <f>SQRT(AP29+AQ29)</f>
        <v>#REF!</v>
      </c>
      <c r="AT29" s="35" t="e">
        <f t="shared" si="27"/>
        <v>#REF!</v>
      </c>
      <c r="AU29" s="35" t="e">
        <f t="shared" si="27"/>
        <v>#REF!</v>
      </c>
      <c r="AV29" s="51">
        <f>'T9a. MeHg loads daily calib'!F93</f>
        <v>3.4526526505585724E-3</v>
      </c>
      <c r="AW29" s="51">
        <f>'T12a. MeHg SE 2010-18'!F93</f>
        <v>5.0903471395190747E-4</v>
      </c>
      <c r="AX29" t="e">
        <f>((AW29^2)*((1/AT29)^2))</f>
        <v>#REF!</v>
      </c>
      <c r="AY29" t="e">
        <f>((AU29*AU29)*((-AV29/(AT29*AT29))^2))</f>
        <v>#REF!</v>
      </c>
      <c r="AZ29" t="e">
        <f>SQRT(AX29+AY29)</f>
        <v>#REF!</v>
      </c>
      <c r="BB29" s="37" t="e">
        <f t="shared" si="28"/>
        <v>#REF!</v>
      </c>
      <c r="BC29" t="e">
        <f t="shared" si="28"/>
        <v>#REF!</v>
      </c>
      <c r="BD29" s="37">
        <f>'T4a. THg loads daily calib'!K93</f>
        <v>0.61366400388278586</v>
      </c>
      <c r="BE29" s="37">
        <f>'T7a. THg SE 2010-19'!J93</f>
        <v>0.12254612075933179</v>
      </c>
      <c r="BF29" t="e">
        <f t="shared" si="29"/>
        <v>#REF!</v>
      </c>
      <c r="BG29" t="e">
        <f t="shared" si="30"/>
        <v>#REF!</v>
      </c>
      <c r="BH29" t="e">
        <f t="shared" si="31"/>
        <v>#REF!</v>
      </c>
      <c r="BJ29" s="35" t="e">
        <f t="shared" si="32"/>
        <v>#REF!</v>
      </c>
      <c r="BK29" s="35" t="e">
        <f t="shared" si="32"/>
        <v>#REF!</v>
      </c>
      <c r="BL29" s="35">
        <f>'T9a. MeHg loads daily calib'!L93</f>
        <v>3.5119146616164982E-3</v>
      </c>
      <c r="BM29" s="35">
        <f>'T12a. MeHg SE 2010-18'!K93</f>
        <v>7.0131458826958872E-4</v>
      </c>
      <c r="BN29" t="e">
        <f t="shared" si="33"/>
        <v>#REF!</v>
      </c>
      <c r="BO29" t="e">
        <f t="shared" si="34"/>
        <v>#REF!</v>
      </c>
      <c r="BP29" t="e">
        <f t="shared" si="35"/>
        <v>#REF!</v>
      </c>
      <c r="BT29" s="35" t="e">
        <f t="shared" si="36"/>
        <v>#REF!</v>
      </c>
      <c r="BU29" s="35" t="e">
        <f t="shared" si="36"/>
        <v>#REF!</v>
      </c>
      <c r="BV29" s="35">
        <f>'T9a. MeHg loads daily calib'!P93</f>
        <v>4.5512024485512463E-3</v>
      </c>
      <c r="BW29" s="35">
        <f>'T12a. MeHg SE 2010-18'!C93+'T12a. MeHg SE 2010-18'!K93</f>
        <v>1.101994658114706E-3</v>
      </c>
      <c r="BX29" t="e">
        <f t="shared" si="37"/>
        <v>#REF!</v>
      </c>
      <c r="BY29" t="e">
        <f>((BU29*BU29)*((-BV29/(BT29*BT29))^2))</f>
        <v>#REF!</v>
      </c>
      <c r="BZ29" t="e">
        <f t="shared" si="39"/>
        <v>#REF!</v>
      </c>
    </row>
    <row r="30" spans="1:78">
      <c r="A30" s="2" t="s">
        <v>129</v>
      </c>
      <c r="B30" s="45"/>
      <c r="C30" s="240">
        <f>W30</f>
        <v>0.17542489513969134</v>
      </c>
      <c r="D30" s="53">
        <f>AJ30</f>
        <v>0.28387123565912598</v>
      </c>
      <c r="E30" s="241">
        <f>AR30</f>
        <v>0.20467571039842986</v>
      </c>
      <c r="F30" s="241">
        <f>AZ30</f>
        <v>0.20938867671874176</v>
      </c>
      <c r="G30" s="26"/>
      <c r="H30" s="45" t="s">
        <v>26</v>
      </c>
      <c r="I30" s="26"/>
      <c r="J30" s="53">
        <f t="shared" si="22"/>
        <v>0.15168316211792102</v>
      </c>
      <c r="K30" s="240">
        <f t="shared" si="23"/>
        <v>0.13747628275501927</v>
      </c>
      <c r="L30" s="45" t="s">
        <v>32</v>
      </c>
      <c r="M30" s="56" t="s">
        <v>32</v>
      </c>
      <c r="N30" s="241">
        <f t="shared" si="2"/>
        <v>0.1580874528718722</v>
      </c>
      <c r="O30" s="56" t="s">
        <v>32</v>
      </c>
      <c r="Q30" s="51">
        <f t="shared" si="24"/>
        <v>2.4978021957085361</v>
      </c>
      <c r="R30" s="51">
        <f t="shared" si="24"/>
        <v>0.4975402216368332</v>
      </c>
      <c r="S30" s="51">
        <f>'T9a. MeHg loads daily calib'!C95</f>
        <v>2.0603886409414409</v>
      </c>
      <c r="T30" s="51">
        <f>'T12a. MeHg SE 2010-18'!C95</f>
        <v>0.15349717669526694</v>
      </c>
      <c r="U30" s="51">
        <f>((T30^2)*((1/Q30)^2))</f>
        <v>3.7764583349602903E-3</v>
      </c>
      <c r="V30" s="51">
        <f>((R30*R30)*((-S30/(Q30*Q30))^2))</f>
        <v>2.6997435499811411E-2</v>
      </c>
      <c r="W30" s="51">
        <f>SQRT(U30+V30)</f>
        <v>0.17542489513969134</v>
      </c>
      <c r="AD30" s="35">
        <f t="shared" si="25"/>
        <v>0.13450550140303336</v>
      </c>
      <c r="AE30" s="35">
        <f t="shared" si="25"/>
        <v>1.9864892607766971E-2</v>
      </c>
      <c r="AF30" s="35">
        <f>'T9a. MeHg loads daily calib'!D95</f>
        <v>0.2394703286107763</v>
      </c>
      <c r="AG30" s="35">
        <f>'T12a. MeHg SE 2010-18'!D95</f>
        <v>1.4389611966289597E-2</v>
      </c>
      <c r="AH30">
        <f>((AG30^2)*((1/AD30)^2))</f>
        <v>1.1445059902893566E-2</v>
      </c>
      <c r="AI30">
        <f>((AE30*AE30)*((-AF30/(AD30*AD30))^2))</f>
        <v>6.9137818531745485E-2</v>
      </c>
      <c r="AJ30">
        <f>SQRT(AH30+AI30)</f>
        <v>0.28387123565912598</v>
      </c>
      <c r="AL30" s="51">
        <f t="shared" si="26"/>
        <v>2.6323076971115693</v>
      </c>
      <c r="AM30" s="51">
        <f t="shared" si="26"/>
        <v>0.51740511424460012</v>
      </c>
      <c r="AN30" s="51">
        <f>'T9a. MeHg loads daily calib'!E95</f>
        <v>2.2998589695522171</v>
      </c>
      <c r="AO30" s="51">
        <f>'T12a. MeHg SE 2010-18'!E95</f>
        <v>0.29311267200657265</v>
      </c>
      <c r="AP30">
        <f>((AO30^2)*((1/AL30)^2))</f>
        <v>1.2399263277663046E-2</v>
      </c>
      <c r="AQ30">
        <f>((AM30*AM30)*((-AN30/(AL30*AL30))^2))</f>
        <v>2.9492883149438879E-2</v>
      </c>
      <c r="AR30">
        <f>SQRT(AP30+AQ30)</f>
        <v>0.20467571039842986</v>
      </c>
      <c r="AT30" s="35">
        <f t="shared" si="27"/>
        <v>2.6768655285284213</v>
      </c>
      <c r="AU30" s="35">
        <f t="shared" si="27"/>
        <v>0.55519483329958152</v>
      </c>
      <c r="AV30" s="51">
        <f>'T9a. MeHg loads daily calib'!F95</f>
        <v>2.2675651432910313</v>
      </c>
      <c r="AW30" s="51">
        <f>'T12a. MeHg SE 2010-18'!F95</f>
        <v>0.30492689844824122</v>
      </c>
      <c r="AX30">
        <f>((AW30^2)*((1/AT30)^2))</f>
        <v>1.2975926072291604E-2</v>
      </c>
      <c r="AY30">
        <f>((AU30*AU30)*((-AV30/(AT30*AT30))^2))</f>
        <v>3.0867691865734143E-2</v>
      </c>
      <c r="AZ30">
        <f>SQRT(AX30+AY30)</f>
        <v>0.20938867671874176</v>
      </c>
      <c r="BB30" s="37">
        <f t="shared" si="28"/>
        <v>2503.3492564463045</v>
      </c>
      <c r="BC30">
        <f t="shared" si="28"/>
        <v>461.37996725490893</v>
      </c>
      <c r="BD30" s="37">
        <f>'T4a. THg loads daily calib'!K95</f>
        <v>1625.5915177849977</v>
      </c>
      <c r="BE30" s="37">
        <f>'T7a. THg SE 2010-19'!J95</f>
        <v>233.28346316644766</v>
      </c>
      <c r="BF30">
        <f t="shared" si="29"/>
        <v>8.684104050475875E-3</v>
      </c>
      <c r="BG30">
        <f t="shared" si="30"/>
        <v>1.4323677619615637E-2</v>
      </c>
      <c r="BH30">
        <f t="shared" si="31"/>
        <v>0.15168316211792102</v>
      </c>
      <c r="BJ30" s="35">
        <f t="shared" si="32"/>
        <v>4.6430118973641736</v>
      </c>
      <c r="BK30" s="35">
        <f t="shared" si="32"/>
        <v>0.81082419193161392</v>
      </c>
      <c r="BL30" s="35">
        <f>'T9a. MeHg loads daily calib'!L95</f>
        <v>3.2073392134888659</v>
      </c>
      <c r="BM30" s="35">
        <f>'T12a. MeHg SE 2010-18'!K95</f>
        <v>0.30612255260431076</v>
      </c>
      <c r="BN30">
        <f t="shared" si="33"/>
        <v>4.3470142018618855E-3</v>
      </c>
      <c r="BO30">
        <f t="shared" si="34"/>
        <v>1.4552714118276125E-2</v>
      </c>
      <c r="BP30">
        <f t="shared" si="35"/>
        <v>0.13747628275501927</v>
      </c>
      <c r="BT30" s="35">
        <f t="shared" si="36"/>
        <v>4.7775173987672073</v>
      </c>
      <c r="BU30" s="35">
        <f t="shared" si="36"/>
        <v>0.83068908453938084</v>
      </c>
      <c r="BV30" s="35">
        <f>'T9a. MeHg loads daily calib'!P95</f>
        <v>3.4468095420996421</v>
      </c>
      <c r="BW30" s="35">
        <f>'T12a. MeHg SE 2010-18'!C95+'T12a. MeHg SE 2010-18'!K95</f>
        <v>0.45961972929957773</v>
      </c>
      <c r="BX30">
        <f t="shared" si="37"/>
        <v>9.2553483780698186E-3</v>
      </c>
      <c r="BY30">
        <f t="shared" si="38"/>
        <v>1.5736294377446596E-2</v>
      </c>
      <c r="BZ30">
        <f t="shared" si="39"/>
        <v>0.1580874528718722</v>
      </c>
    </row>
    <row r="31" spans="1:78">
      <c r="A31" s="2" t="s">
        <v>129</v>
      </c>
      <c r="B31" s="101"/>
      <c r="D31" s="26"/>
      <c r="E31" s="26"/>
      <c r="F31" s="26"/>
      <c r="G31" s="26"/>
      <c r="H31" s="69" t="s">
        <v>130</v>
      </c>
      <c r="I31" s="26"/>
      <c r="J31" s="53">
        <f t="shared" si="22"/>
        <v>0.15168316211792102</v>
      </c>
      <c r="K31" s="240">
        <f t="shared" si="23"/>
        <v>0.21235642696508941</v>
      </c>
      <c r="L31" s="45" t="s">
        <v>32</v>
      </c>
      <c r="M31" s="56" t="s">
        <v>32</v>
      </c>
      <c r="N31" s="241">
        <f t="shared" si="2"/>
        <v>0.21004377568497065</v>
      </c>
      <c r="O31" s="56" t="s">
        <v>32</v>
      </c>
      <c r="Q31" s="37"/>
      <c r="R31" s="37"/>
      <c r="AD31" s="35"/>
      <c r="AE31" s="35"/>
      <c r="AL31" s="37"/>
      <c r="AM31" s="52"/>
      <c r="AT31" s="37"/>
      <c r="AU31" s="52"/>
      <c r="BB31" s="37">
        <f t="shared" si="28"/>
        <v>2503.3492564463045</v>
      </c>
      <c r="BC31">
        <f t="shared" si="28"/>
        <v>461.37996725490893</v>
      </c>
      <c r="BD31" s="37">
        <f>'T4a. THg loads daily calib'!K96</f>
        <v>1625.5915177849977</v>
      </c>
      <c r="BE31" s="37">
        <f>'T7a. THg SE 2010-19'!J96</f>
        <v>233.28346316644766</v>
      </c>
      <c r="BF31">
        <f t="shared" si="29"/>
        <v>8.684104050475875E-3</v>
      </c>
      <c r="BG31">
        <f t="shared" si="30"/>
        <v>1.4323677619615637E-2</v>
      </c>
      <c r="BH31">
        <f t="shared" si="31"/>
        <v>0.15168316211792102</v>
      </c>
      <c r="BJ31" s="35">
        <f t="shared" si="32"/>
        <v>5.0066985128926094</v>
      </c>
      <c r="BK31" s="35">
        <f t="shared" si="32"/>
        <v>0.92275993450981786</v>
      </c>
      <c r="BL31" s="35">
        <f>'T9a. MeHg loads daily calib'!L96</f>
        <v>4.5516562497979933</v>
      </c>
      <c r="BM31" s="35">
        <f>'T12a. MeHg SE 2010-18'!K96</f>
        <v>0.65319369686605344</v>
      </c>
      <c r="BN31">
        <f t="shared" si="33"/>
        <v>1.702084393893271E-2</v>
      </c>
      <c r="BO31">
        <f t="shared" si="34"/>
        <v>2.8074408134446643E-2</v>
      </c>
      <c r="BP31">
        <f t="shared" si="35"/>
        <v>0.21235642696508941</v>
      </c>
      <c r="BT31" s="35">
        <f t="shared" si="36"/>
        <v>5.141204014295643</v>
      </c>
      <c r="BU31" s="35">
        <f t="shared" si="36"/>
        <v>0.92275993450981786</v>
      </c>
      <c r="BV31" s="35">
        <f>'T9a. MeHg loads daily calib'!P96</f>
        <v>4.79112657840877</v>
      </c>
      <c r="BW31" s="35">
        <f>'T12a. MeHg SE 2010-18'!C96+'T12a. MeHg SE 2010-18'!K96</f>
        <v>0.65319369686605344</v>
      </c>
      <c r="BX31">
        <f t="shared" si="37"/>
        <v>1.614188669717076E-2</v>
      </c>
      <c r="BY31">
        <f t="shared" si="38"/>
        <v>2.7976501006827508E-2</v>
      </c>
      <c r="BZ31">
        <f t="shared" si="39"/>
        <v>0.21004377568497065</v>
      </c>
    </row>
  </sheetData>
  <mergeCells count="2">
    <mergeCell ref="A1:O1"/>
    <mergeCell ref="A2:O2"/>
  </mergeCells>
  <pageMargins left="0.7" right="0.7" top="0.75" bottom="0.75" header="0.3" footer="0.3"/>
  <pageSetup scale="88" orientation="landscape" verticalDpi="1200" r:id="rId1"/>
  <headerFooter>
    <oddHeader>&amp;LDraft Open-File Report&amp;RU.S. GEOLOGICAL SURVEY</oddHeader>
    <oddFooter>&amp;LPRELIMINARY - SUBJECT TO REVISION&amp;ROctober 21, 2019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33D9B-9EE1-45A4-A101-EA6FFD65094E}">
  <sheetPr>
    <tabColor rgb="FFFF0000"/>
    <pageSetUpPr fitToPage="1"/>
  </sheetPr>
  <dimension ref="A1:S79"/>
  <sheetViews>
    <sheetView zoomScale="110" zoomScaleNormal="110" workbookViewId="0">
      <pane xSplit="2" ySplit="7" topLeftCell="C29" activePane="bottomRight" state="frozen"/>
      <selection pane="topRight" activeCell="C1" sqref="C1"/>
      <selection pane="bottomLeft" activeCell="A8" sqref="A8"/>
      <selection pane="bottomRight" activeCell="M22" sqref="M22"/>
    </sheetView>
  </sheetViews>
  <sheetFormatPr baseColWidth="10" defaultColWidth="8.83203125" defaultRowHeight="15"/>
  <cols>
    <col min="1" max="1" width="17.5" customWidth="1"/>
    <col min="2" max="2" width="9.5" bestFit="1" customWidth="1"/>
    <col min="4" max="4" width="11.5" bestFit="1" customWidth="1"/>
    <col min="5" max="6" width="10.5" bestFit="1" customWidth="1"/>
    <col min="7" max="7" width="2.6640625" customWidth="1"/>
    <col min="8" max="9" width="10.1640625" customWidth="1"/>
    <col min="10" max="10" width="6.5" customWidth="1"/>
    <col min="11" max="11" width="8.5" customWidth="1"/>
    <col min="12" max="12" width="10.5" customWidth="1"/>
    <col min="13" max="13" width="9.83203125" customWidth="1"/>
    <col min="14" max="14" width="10.5" bestFit="1" customWidth="1"/>
    <col min="15" max="15" width="1.5" customWidth="1"/>
    <col min="16" max="16" width="12.33203125" bestFit="1" customWidth="1"/>
    <col min="17" max="17" width="12.83203125" bestFit="1" customWidth="1"/>
    <col min="19" max="19" width="15" customWidth="1"/>
  </cols>
  <sheetData>
    <row r="1" spans="1:19" ht="16">
      <c r="A1" s="618" t="s">
        <v>250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</row>
    <row r="2" spans="1:19">
      <c r="A2" s="619" t="s">
        <v>163</v>
      </c>
      <c r="B2" s="619"/>
      <c r="C2" s="619"/>
      <c r="D2" s="619"/>
      <c r="E2" s="619"/>
      <c r="F2" s="619"/>
      <c r="G2" s="619"/>
      <c r="H2" s="619"/>
      <c r="I2" s="619"/>
      <c r="J2" s="619"/>
      <c r="K2" s="619"/>
      <c r="L2" s="619"/>
      <c r="M2" s="619"/>
      <c r="N2" s="619"/>
      <c r="O2" s="619"/>
      <c r="P2" s="619"/>
      <c r="Q2" s="619"/>
    </row>
    <row r="4" spans="1:19">
      <c r="B4" s="42" t="s">
        <v>27</v>
      </c>
      <c r="C4" s="40" t="s">
        <v>56</v>
      </c>
      <c r="D4" s="40" t="s">
        <v>57</v>
      </c>
      <c r="E4" s="185" t="s">
        <v>58</v>
      </c>
      <c r="F4" s="185" t="s">
        <v>59</v>
      </c>
      <c r="G4" s="43"/>
      <c r="H4" s="40" t="s">
        <v>56</v>
      </c>
      <c r="I4" s="40" t="s">
        <v>56</v>
      </c>
      <c r="J4" s="44"/>
      <c r="K4" s="40" t="s">
        <v>16</v>
      </c>
      <c r="L4" s="40" t="s">
        <v>60</v>
      </c>
      <c r="M4" s="40" t="s">
        <v>17</v>
      </c>
      <c r="N4" s="40" t="s">
        <v>61</v>
      </c>
      <c r="P4" s="40" t="s">
        <v>68</v>
      </c>
      <c r="Q4" s="40" t="s">
        <v>69</v>
      </c>
    </row>
    <row r="5" spans="1:19">
      <c r="B5" s="185" t="s">
        <v>30</v>
      </c>
      <c r="C5" s="185" t="s">
        <v>31</v>
      </c>
      <c r="D5" s="185" t="s">
        <v>31</v>
      </c>
      <c r="E5" s="185" t="s">
        <v>31</v>
      </c>
      <c r="F5" s="185" t="s">
        <v>31</v>
      </c>
      <c r="G5" s="43"/>
      <c r="H5" s="40" t="s">
        <v>29</v>
      </c>
      <c r="I5" s="40" t="s">
        <v>29</v>
      </c>
      <c r="J5" s="44"/>
      <c r="K5" s="40" t="s">
        <v>31</v>
      </c>
      <c r="L5" s="185" t="s">
        <v>31</v>
      </c>
      <c r="M5" s="185" t="s">
        <v>31</v>
      </c>
      <c r="N5" s="185" t="s">
        <v>31</v>
      </c>
      <c r="P5" s="185" t="s">
        <v>31</v>
      </c>
      <c r="Q5" s="185" t="s">
        <v>31</v>
      </c>
    </row>
    <row r="6" spans="1:19" ht="46" customHeight="1">
      <c r="A6" s="162"/>
      <c r="B6" s="184" t="s">
        <v>28</v>
      </c>
      <c r="C6" s="18" t="s">
        <v>8</v>
      </c>
      <c r="D6" s="18" t="s">
        <v>8</v>
      </c>
      <c r="E6" s="184" t="s">
        <v>8</v>
      </c>
      <c r="F6" s="184" t="s">
        <v>8</v>
      </c>
      <c r="G6" s="20"/>
      <c r="H6" s="21" t="s">
        <v>136</v>
      </c>
      <c r="I6" s="371" t="s">
        <v>134</v>
      </c>
      <c r="J6" s="22"/>
      <c r="K6" s="18" t="s">
        <v>13</v>
      </c>
      <c r="L6" s="18" t="s">
        <v>8</v>
      </c>
      <c r="M6" s="18" t="s">
        <v>13</v>
      </c>
      <c r="N6" s="18" t="s">
        <v>8</v>
      </c>
      <c r="P6" s="18" t="s">
        <v>8</v>
      </c>
      <c r="Q6" s="18" t="s">
        <v>8</v>
      </c>
    </row>
    <row r="7" spans="1:19" ht="16">
      <c r="A7" s="164" t="s">
        <v>177</v>
      </c>
    </row>
    <row r="8" spans="1:19">
      <c r="A8" s="88" t="s">
        <v>4</v>
      </c>
      <c r="B8" s="72">
        <v>63.341694194967005</v>
      </c>
      <c r="C8" s="343">
        <v>5.6689987526512748</v>
      </c>
      <c r="D8" s="346">
        <v>0.4257231452189591</v>
      </c>
      <c r="E8" s="310">
        <f t="shared" ref="E8:E10" si="0">C8+D8</f>
        <v>6.094721897870234</v>
      </c>
      <c r="F8" s="350">
        <v>5.0126019366846322</v>
      </c>
      <c r="H8" s="339">
        <v>194</v>
      </c>
      <c r="I8" s="135">
        <f>1000*C8/K8</f>
        <v>229.21759929237481</v>
      </c>
      <c r="K8" s="358">
        <v>24.73195239000944</v>
      </c>
      <c r="L8" s="343">
        <f>K8*$H8/1000</f>
        <v>4.7979987636618313</v>
      </c>
      <c r="M8" s="143">
        <v>33.9</v>
      </c>
      <c r="N8" s="307">
        <f>M8*H8/1000</f>
        <v>6.5765999999999991</v>
      </c>
      <c r="P8" s="350">
        <f>L8+D8</f>
        <v>5.2237219088807905</v>
      </c>
      <c r="Q8" s="350">
        <f>N8+D8</f>
        <v>7.0023231452189583</v>
      </c>
    </row>
    <row r="9" spans="1:19">
      <c r="A9" s="88" t="s">
        <v>5</v>
      </c>
      <c r="B9" s="72">
        <v>0</v>
      </c>
      <c r="C9" s="344">
        <v>0</v>
      </c>
      <c r="D9" s="347">
        <v>0</v>
      </c>
      <c r="E9" s="309">
        <f t="shared" si="0"/>
        <v>0</v>
      </c>
      <c r="F9" s="349">
        <v>0</v>
      </c>
      <c r="H9" s="339" t="s">
        <v>19</v>
      </c>
      <c r="I9" s="135" t="s">
        <v>19</v>
      </c>
      <c r="K9" s="358">
        <v>0</v>
      </c>
      <c r="L9" s="306">
        <v>0</v>
      </c>
      <c r="M9" s="165">
        <v>0</v>
      </c>
      <c r="N9" s="306">
        <v>0</v>
      </c>
      <c r="P9" s="309">
        <v>0</v>
      </c>
      <c r="Q9" s="309">
        <f>D9+N9</f>
        <v>0</v>
      </c>
    </row>
    <row r="10" spans="1:19">
      <c r="A10" s="88" t="s">
        <v>88</v>
      </c>
      <c r="B10" s="72">
        <v>66.400000000000006</v>
      </c>
      <c r="C10" s="343">
        <v>5.4706231039565605</v>
      </c>
      <c r="D10" s="346">
        <v>0.44592543916670352</v>
      </c>
      <c r="E10" s="310">
        <f t="shared" si="0"/>
        <v>5.9165485431232643</v>
      </c>
      <c r="F10" s="350">
        <v>4.4850821163781482</v>
      </c>
      <c r="H10" s="339">
        <v>351</v>
      </c>
      <c r="I10" s="135">
        <f t="shared" ref="I10:I14" si="1">1000*C10/K10</f>
        <v>226.45157277013371</v>
      </c>
      <c r="K10" s="358">
        <v>24.158026535367348</v>
      </c>
      <c r="L10" s="307">
        <f>K10*$H10/1000</f>
        <v>8.4794673139139398</v>
      </c>
      <c r="M10" s="165">
        <v>25.4</v>
      </c>
      <c r="N10" s="307">
        <f>M10*H10/1000</f>
        <v>8.9154</v>
      </c>
      <c r="P10" s="310">
        <f>D10+L10</f>
        <v>8.9253927530806436</v>
      </c>
      <c r="Q10" s="310">
        <f>D10+N10</f>
        <v>9.3613254391667038</v>
      </c>
    </row>
    <row r="11" spans="1:19">
      <c r="A11" s="88" t="s">
        <v>95</v>
      </c>
      <c r="B11" s="72">
        <v>61.2</v>
      </c>
      <c r="C11" s="343">
        <v>5.803146042478132</v>
      </c>
      <c r="D11" s="346">
        <v>0.41575855819849972</v>
      </c>
      <c r="E11" s="310">
        <f t="shared" ref="E11:E14" si="2">C11+D11</f>
        <v>6.2189046006766322</v>
      </c>
      <c r="F11" s="350">
        <v>4.9300099704380722</v>
      </c>
      <c r="H11" s="339">
        <v>195</v>
      </c>
      <c r="I11" s="135">
        <f t="shared" si="1"/>
        <v>229.48237791807159</v>
      </c>
      <c r="K11" s="358">
        <v>25.287981130080219</v>
      </c>
      <c r="L11" s="307">
        <f>K11*$H11/1000</f>
        <v>4.9311563203656421</v>
      </c>
      <c r="M11" s="165">
        <v>13.3</v>
      </c>
      <c r="N11" s="307">
        <f>M11*H11/1000</f>
        <v>2.5935000000000001</v>
      </c>
      <c r="P11" s="310">
        <f>D11+L11</f>
        <v>5.3469148785641423</v>
      </c>
      <c r="Q11" s="310">
        <f>D11+N11</f>
        <v>3.0092585581984999</v>
      </c>
    </row>
    <row r="12" spans="1:19">
      <c r="A12" s="88" t="s">
        <v>125</v>
      </c>
      <c r="B12" s="72">
        <v>1026.16425</v>
      </c>
      <c r="C12" s="344">
        <v>182.98620215254729</v>
      </c>
      <c r="D12" s="319">
        <v>7.2954639081379868</v>
      </c>
      <c r="E12" s="309">
        <f t="shared" si="2"/>
        <v>190.28166606068527</v>
      </c>
      <c r="F12" s="349">
        <v>193.56126322095864</v>
      </c>
      <c r="H12" s="339">
        <v>254</v>
      </c>
      <c r="I12" s="135">
        <f>1000*C12/K12</f>
        <v>240.71875699893707</v>
      </c>
      <c r="K12" s="361">
        <v>760.16594815399151</v>
      </c>
      <c r="L12" s="306">
        <f>K12*$H12/1000</f>
        <v>193.08215083111384</v>
      </c>
      <c r="M12" s="298">
        <v>355</v>
      </c>
      <c r="N12" s="306">
        <f>M12*H12/1000</f>
        <v>90.17</v>
      </c>
      <c r="P12" s="309">
        <f t="shared" ref="P12:P14" si="3">D12+L12</f>
        <v>200.37761473925181</v>
      </c>
      <c r="Q12" s="309">
        <f t="shared" ref="Q12:Q14" si="4">D12+N12</f>
        <v>97.465463908137991</v>
      </c>
    </row>
    <row r="13" spans="1:19">
      <c r="A13" s="88" t="s">
        <v>128</v>
      </c>
      <c r="B13" s="72">
        <v>0</v>
      </c>
      <c r="C13" s="344">
        <v>0</v>
      </c>
      <c r="D13" s="347">
        <v>0</v>
      </c>
      <c r="E13" s="309">
        <f t="shared" si="2"/>
        <v>0</v>
      </c>
      <c r="F13" s="349">
        <v>0</v>
      </c>
      <c r="H13" s="339" t="s">
        <v>19</v>
      </c>
      <c r="I13" s="135" t="s">
        <v>19</v>
      </c>
      <c r="K13" s="358">
        <v>0</v>
      </c>
      <c r="L13" s="306">
        <v>0</v>
      </c>
      <c r="M13" s="165">
        <v>0</v>
      </c>
      <c r="N13" s="306">
        <v>0</v>
      </c>
      <c r="P13" s="309">
        <f t="shared" si="3"/>
        <v>0</v>
      </c>
      <c r="Q13" s="309">
        <f t="shared" si="4"/>
        <v>0</v>
      </c>
    </row>
    <row r="14" spans="1:19">
      <c r="A14" s="88" t="s">
        <v>247</v>
      </c>
      <c r="B14" s="73">
        <v>654</v>
      </c>
      <c r="C14" s="344">
        <v>106.75093889467254</v>
      </c>
      <c r="D14" s="319">
        <v>4.643652280401497</v>
      </c>
      <c r="E14" s="309">
        <f t="shared" si="2"/>
        <v>111.39459117507404</v>
      </c>
      <c r="F14" s="349">
        <v>110.91260636646642</v>
      </c>
      <c r="H14" s="103">
        <v>237.58783011392782</v>
      </c>
      <c r="I14" s="135">
        <f t="shared" si="1"/>
        <v>239.25344969313448</v>
      </c>
      <c r="K14" s="361">
        <v>446.18348881318479</v>
      </c>
      <c r="L14" s="306">
        <f>K14*$H14/1000</f>
        <v>106.00776693978656</v>
      </c>
      <c r="M14" s="298">
        <v>238</v>
      </c>
      <c r="N14" s="306">
        <f>M14*H14/1000</f>
        <v>56.54590356711482</v>
      </c>
      <c r="P14" s="309">
        <f t="shared" si="3"/>
        <v>110.65141922018806</v>
      </c>
      <c r="Q14" s="309">
        <f t="shared" si="4"/>
        <v>61.189555847516317</v>
      </c>
      <c r="S14" s="300" t="s">
        <v>252</v>
      </c>
    </row>
    <row r="15" spans="1:19" ht="16">
      <c r="A15" s="164" t="s">
        <v>187</v>
      </c>
      <c r="B15" s="360">
        <f>SUM(B8:B14)</f>
        <v>1871.1059441949669</v>
      </c>
      <c r="C15" s="415">
        <f>SUM(C8:C14)</f>
        <v>306.67990894630577</v>
      </c>
      <c r="D15" s="432">
        <f>SUM(D8:D14)</f>
        <v>13.226523331123646</v>
      </c>
      <c r="E15" s="415">
        <f>SUM(E8:E14)</f>
        <v>319.90643227742942</v>
      </c>
      <c r="F15" s="432">
        <f>SUM(F8:F14)</f>
        <v>318.9015636109259</v>
      </c>
      <c r="H15" s="356">
        <v>235</v>
      </c>
      <c r="I15" s="155">
        <f>1000*C15/K15</f>
        <v>239.49499999716537</v>
      </c>
      <c r="J15" s="10" t="s">
        <v>26</v>
      </c>
      <c r="K15" s="359">
        <f>SUM(K8:K14)</f>
        <v>1280.5273970226333</v>
      </c>
      <c r="L15" s="357">
        <f>SUM(L8:L14)</f>
        <v>317.29854016884178</v>
      </c>
      <c r="M15" s="239">
        <f>SUM(M8:M14)</f>
        <v>665.6</v>
      </c>
      <c r="N15" s="351">
        <f>M15*H15/1000</f>
        <v>156.416</v>
      </c>
      <c r="P15" s="367">
        <f>SUM(P8:P14)</f>
        <v>330.52506349996543</v>
      </c>
      <c r="Q15" s="367">
        <f>SUM(Q8:Q14)</f>
        <v>178.02792689823846</v>
      </c>
    </row>
    <row r="16" spans="1:19" ht="16">
      <c r="A16" s="164"/>
      <c r="I16" s="437">
        <f>1000*(F15-D15)/K16</f>
        <v>238.71026968304645</v>
      </c>
      <c r="J16" s="87" t="s">
        <v>188</v>
      </c>
      <c r="K16" s="360">
        <f>K15</f>
        <v>1280.5273970226333</v>
      </c>
      <c r="L16" s="351">
        <f>$H$15*K16/1000</f>
        <v>300.92393830031887</v>
      </c>
      <c r="M16" s="239">
        <f>M15</f>
        <v>665.6</v>
      </c>
      <c r="N16" s="351">
        <f>$H$15*M16/1000</f>
        <v>156.416</v>
      </c>
      <c r="O16" s="2"/>
      <c r="P16" s="362">
        <f>D15+L16</f>
        <v>314.15046163144251</v>
      </c>
      <c r="Q16" s="362">
        <f>D15+N16</f>
        <v>169.64252333112364</v>
      </c>
    </row>
    <row r="17" spans="1:19" ht="16">
      <c r="A17" s="1" t="s">
        <v>178</v>
      </c>
      <c r="B17" s="26"/>
      <c r="C17" s="26"/>
      <c r="D17" s="26"/>
      <c r="E17" s="26"/>
      <c r="F17" s="26"/>
      <c r="G17" s="26"/>
      <c r="H17" s="338" t="s">
        <v>272</v>
      </c>
      <c r="I17" s="338" t="s">
        <v>272</v>
      </c>
      <c r="J17" s="26"/>
      <c r="K17" s="26"/>
      <c r="L17" s="26"/>
      <c r="M17" s="26"/>
      <c r="N17" s="26"/>
      <c r="O17" s="26"/>
      <c r="P17" s="26"/>
      <c r="Q17" s="26"/>
    </row>
    <row r="18" spans="1:19">
      <c r="A18" s="88" t="s">
        <v>4</v>
      </c>
      <c r="B18" s="72">
        <v>63.341694194967005</v>
      </c>
      <c r="C18" s="343">
        <v>4.0734388707981379</v>
      </c>
      <c r="D18" s="346">
        <v>0.49632065820248489</v>
      </c>
      <c r="E18" s="310">
        <f>C18+D18</f>
        <v>4.5697595290006232</v>
      </c>
      <c r="F18" s="350">
        <v>4.7547235137427517</v>
      </c>
      <c r="H18" s="339">
        <v>293</v>
      </c>
      <c r="I18" s="135">
        <f>1000*C18/K18</f>
        <v>296.47333611672042</v>
      </c>
      <c r="J18" s="10"/>
      <c r="K18" s="358">
        <v>13.739646621018359</v>
      </c>
      <c r="L18" s="307">
        <f>K18*$H18/1000</f>
        <v>4.025716459958379</v>
      </c>
      <c r="M18" s="143">
        <v>16.2</v>
      </c>
      <c r="N18" s="307">
        <f>M18*H18/1000</f>
        <v>4.746599999999999</v>
      </c>
      <c r="P18" s="350">
        <f>L18+D18</f>
        <v>4.5220371181608643</v>
      </c>
      <c r="Q18" s="350">
        <f>N18+D18</f>
        <v>5.2429206582024843</v>
      </c>
    </row>
    <row r="19" spans="1:19">
      <c r="A19" s="88" t="s">
        <v>5</v>
      </c>
      <c r="B19" s="72">
        <v>0</v>
      </c>
      <c r="C19" s="344">
        <v>0</v>
      </c>
      <c r="D19" s="347">
        <v>0</v>
      </c>
      <c r="E19" s="309">
        <f t="shared" ref="E19:E20" si="5">C19+D19</f>
        <v>0</v>
      </c>
      <c r="F19" s="349">
        <v>0</v>
      </c>
      <c r="H19" s="339" t="s">
        <v>19</v>
      </c>
      <c r="I19" s="135" t="s">
        <v>19</v>
      </c>
      <c r="K19" s="358">
        <v>0</v>
      </c>
      <c r="L19" s="306">
        <v>0</v>
      </c>
      <c r="M19" s="165">
        <v>0</v>
      </c>
      <c r="N19" s="306">
        <v>0</v>
      </c>
      <c r="P19" s="309">
        <f>D19+L19</f>
        <v>0</v>
      </c>
      <c r="Q19" s="309">
        <f>D19+N19</f>
        <v>0</v>
      </c>
    </row>
    <row r="20" spans="1:19">
      <c r="A20" s="88" t="s">
        <v>88</v>
      </c>
      <c r="B20" s="72">
        <v>66.400000000000006</v>
      </c>
      <c r="C20" s="343">
        <v>4.0157150481508719</v>
      </c>
      <c r="D20" s="346">
        <v>0.53898857066644257</v>
      </c>
      <c r="E20" s="310">
        <f t="shared" si="5"/>
        <v>4.5547036188173147</v>
      </c>
      <c r="F20" s="350">
        <v>4.8201467697180131</v>
      </c>
      <c r="H20" s="339">
        <v>401</v>
      </c>
      <c r="I20" s="135">
        <f t="shared" ref="I20:I24" si="6">1000*C20/K20</f>
        <v>298.72674526939829</v>
      </c>
      <c r="K20" s="358">
        <v>13.442770397171543</v>
      </c>
      <c r="L20" s="307">
        <f>K20*$H20/1000</f>
        <v>5.3905509292657889</v>
      </c>
      <c r="M20" s="165">
        <v>27</v>
      </c>
      <c r="N20" s="306">
        <f>M20*H20/1000</f>
        <v>10.827</v>
      </c>
      <c r="P20" s="310">
        <f t="shared" ref="P20:P22" si="7">D20+L20</f>
        <v>5.9295394999322317</v>
      </c>
      <c r="Q20" s="309">
        <f t="shared" ref="Q20:Q22" si="8">D20+N20</f>
        <v>11.365988570666442</v>
      </c>
    </row>
    <row r="21" spans="1:19">
      <c r="A21" s="88" t="s">
        <v>95</v>
      </c>
      <c r="B21" s="72">
        <v>61.2</v>
      </c>
      <c r="C21" s="343">
        <v>4.1595715383789402</v>
      </c>
      <c r="D21" s="346">
        <v>0.48145627639395311</v>
      </c>
      <c r="E21" s="310">
        <f>C21+D21</f>
        <v>4.6410278147728929</v>
      </c>
      <c r="F21" s="350">
        <v>4.8668751967038242</v>
      </c>
      <c r="H21" s="339">
        <v>214</v>
      </c>
      <c r="I21" s="135">
        <f t="shared" si="6"/>
        <v>296.15585448772538</v>
      </c>
      <c r="J21" s="293"/>
      <c r="K21" s="358">
        <v>14.045211247212876</v>
      </c>
      <c r="L21" s="307">
        <f>K21*$H21/1000</f>
        <v>3.0056752069035557</v>
      </c>
      <c r="M21" s="165">
        <v>8.6999999999999993</v>
      </c>
      <c r="N21" s="307">
        <f>M21*H21/1000</f>
        <v>1.8617999999999999</v>
      </c>
      <c r="P21" s="310">
        <f t="shared" si="7"/>
        <v>3.4871314832975089</v>
      </c>
      <c r="Q21" s="310">
        <f t="shared" si="8"/>
        <v>2.3432562763939528</v>
      </c>
    </row>
    <row r="22" spans="1:19">
      <c r="A22" s="88" t="s">
        <v>125</v>
      </c>
      <c r="B22" s="72">
        <v>1026.16425</v>
      </c>
      <c r="C22" s="344">
        <v>120.260044664764</v>
      </c>
      <c r="D22" s="319">
        <v>7.1687265954090131</v>
      </c>
      <c r="E22" s="309">
        <f t="shared" ref="E22:E24" si="9">C22+D22</f>
        <v>127.42877126017301</v>
      </c>
      <c r="F22" s="349">
        <v>124.79979777726433</v>
      </c>
      <c r="H22" s="339">
        <v>284</v>
      </c>
      <c r="I22" s="135">
        <f>1000*C22/K22</f>
        <v>286.77975554108053</v>
      </c>
      <c r="K22" s="361">
        <v>419.34635322449395</v>
      </c>
      <c r="L22" s="306">
        <f>K22*$H22/1000</f>
        <v>119.09436431575628</v>
      </c>
      <c r="M22" s="298">
        <v>190</v>
      </c>
      <c r="N22" s="306">
        <f>M22*H22/1000</f>
        <v>53.96</v>
      </c>
      <c r="P22" s="309">
        <f t="shared" si="7"/>
        <v>126.26309091116529</v>
      </c>
      <c r="Q22" s="309">
        <f t="shared" si="8"/>
        <v>61.128726595409013</v>
      </c>
    </row>
    <row r="23" spans="1:19">
      <c r="A23" s="88" t="s">
        <v>128</v>
      </c>
      <c r="B23" s="72">
        <v>0</v>
      </c>
      <c r="C23" s="344">
        <v>0</v>
      </c>
      <c r="D23" s="346">
        <v>0</v>
      </c>
      <c r="E23" s="309">
        <f t="shared" si="9"/>
        <v>0</v>
      </c>
      <c r="F23" s="349">
        <v>0</v>
      </c>
      <c r="H23" s="339" t="s">
        <v>32</v>
      </c>
      <c r="I23" s="135" t="s">
        <v>19</v>
      </c>
      <c r="K23" s="358">
        <v>0</v>
      </c>
      <c r="L23" s="306">
        <v>0</v>
      </c>
      <c r="M23" s="165">
        <v>0</v>
      </c>
      <c r="N23" s="306">
        <v>0</v>
      </c>
      <c r="P23" s="309" t="s">
        <v>32</v>
      </c>
      <c r="Q23" s="309" t="s">
        <v>32</v>
      </c>
    </row>
    <row r="24" spans="1:19">
      <c r="A24" s="88" t="s">
        <v>247</v>
      </c>
      <c r="B24" s="73">
        <v>654</v>
      </c>
      <c r="C24" s="344">
        <v>70.954618124736839</v>
      </c>
      <c r="D24" s="346">
        <v>4.8046779252124816</v>
      </c>
      <c r="E24" s="309">
        <f t="shared" si="9"/>
        <v>75.759296049949327</v>
      </c>
      <c r="F24" s="350">
        <v>74.847025312075843</v>
      </c>
      <c r="H24" s="103">
        <v>264.66123452124936</v>
      </c>
      <c r="I24" s="135">
        <f t="shared" si="6"/>
        <v>288.01529279610634</v>
      </c>
      <c r="K24" s="361">
        <v>246.35712026224766</v>
      </c>
      <c r="L24" s="306">
        <f>K24*$H24/1000</f>
        <v>65.201179581706356</v>
      </c>
      <c r="M24" s="299">
        <v>152</v>
      </c>
      <c r="N24" s="306">
        <f>M24*H24/1000</f>
        <v>40.228507647229904</v>
      </c>
      <c r="P24" s="309">
        <f t="shared" ref="P24:P25" si="10">D24+L24</f>
        <v>70.005857506918844</v>
      </c>
      <c r="Q24" s="309">
        <f t="shared" ref="Q24:Q25" si="11">D24+N24</f>
        <v>45.033185572442385</v>
      </c>
      <c r="S24" s="300" t="s">
        <v>252</v>
      </c>
    </row>
    <row r="25" spans="1:19" ht="16">
      <c r="A25" s="164" t="s">
        <v>187</v>
      </c>
      <c r="B25" s="360">
        <f>SUM(B18:B24)</f>
        <v>1871.1059441949669</v>
      </c>
      <c r="C25" s="415">
        <f>SUM(C18:C24)</f>
        <v>203.4633882468288</v>
      </c>
      <c r="D25" s="432">
        <f t="shared" ref="D25" si="12">SUM(D18:D24)</f>
        <v>13.490170025884375</v>
      </c>
      <c r="E25" s="415">
        <f>SUM(E18:E24)</f>
        <v>216.95355827271317</v>
      </c>
      <c r="F25" s="432">
        <f>SUM(F18:F24)</f>
        <v>214.08856856950479</v>
      </c>
      <c r="H25" s="356">
        <v>282</v>
      </c>
      <c r="I25" s="155">
        <f>1000*C25/K25</f>
        <v>287.81218953663279</v>
      </c>
      <c r="J25" s="10" t="s">
        <v>26</v>
      </c>
      <c r="K25" s="359">
        <f>SUM(K18:K24)</f>
        <v>706.9311017521444</v>
      </c>
      <c r="L25" s="357">
        <f>SUM(L18:L24)</f>
        <v>196.71748649359037</v>
      </c>
      <c r="M25" s="239">
        <f>SUM(M18:M24)</f>
        <v>393.9</v>
      </c>
      <c r="N25" s="357">
        <f>SUM(N18:N24)</f>
        <v>111.6239076472299</v>
      </c>
      <c r="P25" s="362">
        <f t="shared" si="10"/>
        <v>210.20765651947474</v>
      </c>
      <c r="Q25" s="362">
        <f t="shared" si="11"/>
        <v>125.11407767311428</v>
      </c>
    </row>
    <row r="26" spans="1:19">
      <c r="I26" s="437">
        <f>1000*(F25-D25)/K25</f>
        <v>283.75947535259496</v>
      </c>
      <c r="J26" s="87" t="s">
        <v>188</v>
      </c>
      <c r="K26" s="360">
        <f>K25</f>
        <v>706.9311017521444</v>
      </c>
      <c r="L26" s="351">
        <f>$H$25*K26/1000</f>
        <v>199.35457069410472</v>
      </c>
      <c r="M26" s="239">
        <f>M25</f>
        <v>393.9</v>
      </c>
      <c r="N26" s="351">
        <f>$H$25*M26/1000</f>
        <v>111.07979999999999</v>
      </c>
      <c r="P26" s="362">
        <f>D25+L26</f>
        <v>212.84474071998909</v>
      </c>
      <c r="Q26" s="362">
        <f>D25+N26</f>
        <v>124.56997002588437</v>
      </c>
    </row>
    <row r="27" spans="1:19">
      <c r="K27" s="252"/>
      <c r="L27" s="252"/>
      <c r="M27" s="252"/>
      <c r="N27" s="252"/>
    </row>
    <row r="28" spans="1:19" ht="16">
      <c r="A28" s="164" t="s">
        <v>179</v>
      </c>
      <c r="B28" s="181"/>
      <c r="C28" s="181"/>
      <c r="D28" s="181"/>
      <c r="E28" s="181"/>
      <c r="F28" s="181"/>
      <c r="G28" s="162"/>
      <c r="H28" s="476" t="s">
        <v>271</v>
      </c>
      <c r="I28" s="476" t="s">
        <v>271</v>
      </c>
      <c r="J28" s="162"/>
      <c r="K28" s="263" t="s">
        <v>221</v>
      </c>
      <c r="L28" s="263" t="s">
        <v>221</v>
      </c>
      <c r="M28" s="263" t="s">
        <v>221</v>
      </c>
      <c r="N28" s="263" t="s">
        <v>221</v>
      </c>
      <c r="O28" s="162"/>
      <c r="P28" s="181"/>
      <c r="Q28" s="181"/>
    </row>
    <row r="29" spans="1:19">
      <c r="A29" s="284" t="s">
        <v>4</v>
      </c>
      <c r="B29" s="162"/>
      <c r="C29" s="7">
        <f>C8/C18</f>
        <v>1.3916984966416122</v>
      </c>
      <c r="D29" s="7">
        <f>D8/D18</f>
        <v>0.857758262089659</v>
      </c>
      <c r="E29" s="7">
        <f>E8/E18</f>
        <v>1.3337073557573194</v>
      </c>
      <c r="F29" s="7">
        <f>F8/F18</f>
        <v>1.054236260467412</v>
      </c>
      <c r="G29" s="62"/>
      <c r="H29" s="7">
        <f>H8/H18</f>
        <v>0.66211604095563137</v>
      </c>
      <c r="I29" s="137">
        <f>I8/I18</f>
        <v>0.77314743475660397</v>
      </c>
      <c r="J29" s="62"/>
      <c r="K29" s="7">
        <f>K8/K18</f>
        <v>1.8000428302264697</v>
      </c>
      <c r="L29" s="7">
        <f>L8/L18</f>
        <v>1.1918372323001201</v>
      </c>
      <c r="M29" s="7">
        <f>M8/M18</f>
        <v>2.0925925925925926</v>
      </c>
      <c r="N29" s="7">
        <f>N8/N18</f>
        <v>1.3855391227404881</v>
      </c>
      <c r="O29" s="62"/>
      <c r="P29" s="7">
        <f>P8/P18</f>
        <v>1.1551700643725156</v>
      </c>
      <c r="Q29" s="7">
        <f>Q8/Q18</f>
        <v>1.3355767904410132</v>
      </c>
    </row>
    <row r="30" spans="1:19">
      <c r="A30" s="88" t="s">
        <v>5</v>
      </c>
      <c r="B30" s="162"/>
      <c r="C30" s="7" t="s">
        <v>32</v>
      </c>
      <c r="D30" s="5" t="s">
        <v>32</v>
      </c>
      <c r="E30" s="8" t="s">
        <v>32</v>
      </c>
      <c r="F30" s="5" t="s">
        <v>32</v>
      </c>
      <c r="G30" s="62"/>
      <c r="H30" s="7" t="s">
        <v>32</v>
      </c>
      <c r="I30" s="137" t="s">
        <v>32</v>
      </c>
      <c r="J30" s="62"/>
      <c r="K30" s="7" t="s">
        <v>32</v>
      </c>
      <c r="L30" s="7" t="s">
        <v>32</v>
      </c>
      <c r="M30" s="5" t="s">
        <v>32</v>
      </c>
      <c r="N30" s="7" t="s">
        <v>32</v>
      </c>
      <c r="O30" s="62"/>
      <c r="P30" s="8" t="s">
        <v>212</v>
      </c>
      <c r="Q30" s="8" t="s">
        <v>32</v>
      </c>
    </row>
    <row r="31" spans="1:19">
      <c r="A31" s="88" t="s">
        <v>88</v>
      </c>
      <c r="B31" s="162"/>
      <c r="C31" s="7">
        <f>C10/C20</f>
        <v>1.3623036092851346</v>
      </c>
      <c r="D31" s="7">
        <f t="shared" ref="D31:F32" si="13">D10/D20</f>
        <v>0.82733746768568883</v>
      </c>
      <c r="E31" s="7">
        <f t="shared" si="13"/>
        <v>1.2989974844201981</v>
      </c>
      <c r="F31" s="7">
        <f>F10/F20</f>
        <v>0.93048662844773355</v>
      </c>
      <c r="G31" s="62"/>
      <c r="H31" s="7">
        <f t="shared" ref="H31:I33" si="14">H10/H20</f>
        <v>0.87531172069825436</v>
      </c>
      <c r="I31" s="137">
        <f t="shared" si="14"/>
        <v>0.75805590345087692</v>
      </c>
      <c r="J31" s="62"/>
      <c r="K31" s="7">
        <f t="shared" ref="K31:N33" si="15">K10/K20</f>
        <v>1.7971017745308193</v>
      </c>
      <c r="L31" s="7">
        <f t="shared" si="15"/>
        <v>1.5730242465344579</v>
      </c>
      <c r="M31" s="7">
        <f t="shared" si="15"/>
        <v>0.94074074074074066</v>
      </c>
      <c r="N31" s="7">
        <f t="shared" si="15"/>
        <v>0.82344139650872816</v>
      </c>
      <c r="O31" s="62"/>
      <c r="P31" s="7">
        <f>P10/P20</f>
        <v>1.5052421445514701</v>
      </c>
      <c r="Q31" s="7">
        <f>Q10/Q20</f>
        <v>0.82362615279471507</v>
      </c>
    </row>
    <row r="32" spans="1:19">
      <c r="A32" s="88" t="s">
        <v>95</v>
      </c>
      <c r="B32" s="162"/>
      <c r="C32" s="7">
        <f>C11/C21</f>
        <v>1.3951307217424904</v>
      </c>
      <c r="D32" s="7">
        <f t="shared" si="13"/>
        <v>0.86354374962660985</v>
      </c>
      <c r="E32" s="7">
        <f t="shared" si="13"/>
        <v>1.3399843415894184</v>
      </c>
      <c r="F32" s="7">
        <f t="shared" si="13"/>
        <v>1.0129723428652961</v>
      </c>
      <c r="G32" s="62"/>
      <c r="H32" s="7">
        <f t="shared" si="14"/>
        <v>0.91121495327102808</v>
      </c>
      <c r="I32" s="137">
        <f t="shared" si="14"/>
        <v>0.77487030710575677</v>
      </c>
      <c r="J32" s="62"/>
      <c r="K32" s="7">
        <f t="shared" si="15"/>
        <v>1.8004699740702264</v>
      </c>
      <c r="L32" s="7">
        <f t="shared" si="15"/>
        <v>1.6406151632882902</v>
      </c>
      <c r="M32" s="7">
        <f t="shared" si="15"/>
        <v>1.5287356321839083</v>
      </c>
      <c r="N32" s="7">
        <f t="shared" si="15"/>
        <v>1.3930067676442155</v>
      </c>
      <c r="O32" s="62"/>
      <c r="P32" s="7">
        <f>P11/P21</f>
        <v>1.5333275800395061</v>
      </c>
      <c r="Q32" s="7">
        <f>Q11/Q21</f>
        <v>1.2842208462274818</v>
      </c>
    </row>
    <row r="33" spans="1:17">
      <c r="A33" s="88" t="s">
        <v>125</v>
      </c>
      <c r="B33" s="162"/>
      <c r="C33" s="7">
        <f>C12/C22</f>
        <v>1.5215876782903106</v>
      </c>
      <c r="D33" s="7">
        <f t="shared" ref="D33:F33" si="16">D12/D22</f>
        <v>1.0176791946299275</v>
      </c>
      <c r="E33" s="7">
        <f t="shared" si="16"/>
        <v>1.4932394323428315</v>
      </c>
      <c r="F33" s="7">
        <f t="shared" si="16"/>
        <v>1.5509741735833251</v>
      </c>
      <c r="G33" s="62"/>
      <c r="H33" s="7">
        <f t="shared" si="14"/>
        <v>0.89436619718309862</v>
      </c>
      <c r="I33" s="137">
        <f t="shared" si="14"/>
        <v>0.83938545991421865</v>
      </c>
      <c r="J33" s="62"/>
      <c r="K33" s="7">
        <f t="shared" si="15"/>
        <v>1.8127400949330357</v>
      </c>
      <c r="L33" s="7">
        <f t="shared" si="15"/>
        <v>1.6212534651865882</v>
      </c>
      <c r="M33" s="7">
        <f>M12/M22</f>
        <v>1.868421052631579</v>
      </c>
      <c r="N33" s="7">
        <f t="shared" si="15"/>
        <v>1.6710526315789473</v>
      </c>
      <c r="O33" s="62"/>
      <c r="P33" s="7">
        <f t="shared" ref="P33:Q33" si="17">P12/P22</f>
        <v>1.5869848686044852</v>
      </c>
      <c r="Q33" s="7">
        <f t="shared" si="17"/>
        <v>1.5944298096250216</v>
      </c>
    </row>
    <row r="34" spans="1:17">
      <c r="A34" s="88" t="s">
        <v>128</v>
      </c>
      <c r="B34" s="162"/>
      <c r="C34" s="7" t="s">
        <v>32</v>
      </c>
      <c r="D34" s="7" t="s">
        <v>32</v>
      </c>
      <c r="E34" s="7" t="s">
        <v>32</v>
      </c>
      <c r="F34" s="7" t="s">
        <v>32</v>
      </c>
      <c r="G34" s="62"/>
      <c r="H34" s="7" t="s">
        <v>32</v>
      </c>
      <c r="I34" s="137" t="s">
        <v>32</v>
      </c>
      <c r="J34" s="62"/>
      <c r="K34" s="7" t="s">
        <v>32</v>
      </c>
      <c r="L34" s="7" t="s">
        <v>32</v>
      </c>
      <c r="M34" s="5" t="s">
        <v>32</v>
      </c>
      <c r="N34" s="8" t="s">
        <v>32</v>
      </c>
      <c r="O34" s="62"/>
      <c r="P34" s="7" t="s">
        <v>32</v>
      </c>
      <c r="Q34" s="7" t="s">
        <v>32</v>
      </c>
    </row>
    <row r="35" spans="1:17">
      <c r="A35" s="88" t="s">
        <v>247</v>
      </c>
      <c r="B35" s="162"/>
      <c r="C35" s="7">
        <f>C14/C24</f>
        <v>1.5044959963988034</v>
      </c>
      <c r="D35" s="7">
        <f t="shared" ref="D35:F36" si="18">D14/D24</f>
        <v>0.96648565266653885</v>
      </c>
      <c r="E35" s="7">
        <f t="shared" si="18"/>
        <v>1.470375214437444</v>
      </c>
      <c r="F35" s="7">
        <f t="shared" si="18"/>
        <v>1.4818572402044647</v>
      </c>
      <c r="G35" s="62"/>
      <c r="H35" s="7">
        <f>H14/H24</f>
        <v>0.89770544048018552</v>
      </c>
      <c r="I35" s="137">
        <f>I14/I24</f>
        <v>0.83069703476651269</v>
      </c>
      <c r="J35" s="5" t="s">
        <v>26</v>
      </c>
      <c r="K35" s="7">
        <f t="shared" ref="K35:N37" si="19">K14/K24</f>
        <v>1.8111247945187114</v>
      </c>
      <c r="L35" s="7">
        <f t="shared" si="19"/>
        <v>1.6258565814280055</v>
      </c>
      <c r="M35" s="7">
        <f t="shared" si="19"/>
        <v>1.5657894736842106</v>
      </c>
      <c r="N35" s="7">
        <f t="shared" si="19"/>
        <v>1.4056177291729219</v>
      </c>
      <c r="O35" s="62"/>
      <c r="P35" s="7">
        <f t="shared" ref="P35:Q35" si="20">P14/P24</f>
        <v>1.5806022975899141</v>
      </c>
      <c r="Q35" s="7">
        <f t="shared" si="20"/>
        <v>1.3587658760911789</v>
      </c>
    </row>
    <row r="36" spans="1:17" ht="16">
      <c r="A36" s="164" t="s">
        <v>187</v>
      </c>
      <c r="B36" s="162"/>
      <c r="C36" s="475">
        <f>C15/C25</f>
        <v>1.5072977580333091</v>
      </c>
      <c r="D36" s="475">
        <f t="shared" si="18"/>
        <v>0.98045638459301443</v>
      </c>
      <c r="E36" s="475">
        <f t="shared" si="18"/>
        <v>1.4745387668419951</v>
      </c>
      <c r="F36" s="475">
        <f t="shared" si="18"/>
        <v>1.4895777282353735</v>
      </c>
      <c r="G36" s="62"/>
      <c r="H36" s="475">
        <f>H15/H25</f>
        <v>0.83333333333333337</v>
      </c>
      <c r="I36" s="369">
        <f>I15/I25</f>
        <v>0.83212250454973313</v>
      </c>
      <c r="J36" s="5" t="s">
        <v>188</v>
      </c>
      <c r="K36" s="475">
        <f t="shared" si="19"/>
        <v>1.8113892483281862</v>
      </c>
      <c r="L36" s="475">
        <f t="shared" si="19"/>
        <v>1.6129656078092494</v>
      </c>
      <c r="M36" s="475">
        <f t="shared" si="19"/>
        <v>1.68976897689769</v>
      </c>
      <c r="N36" s="475">
        <f t="shared" si="19"/>
        <v>1.401276870671188</v>
      </c>
      <c r="O36" s="62"/>
      <c r="P36" s="475">
        <f>P15/P25</f>
        <v>1.5723740465625897</v>
      </c>
      <c r="Q36" s="475">
        <f>Q15/Q25</f>
        <v>1.4229248235627989</v>
      </c>
    </row>
    <row r="37" spans="1:17">
      <c r="C37" s="62"/>
      <c r="D37" s="62"/>
      <c r="E37" s="62"/>
      <c r="F37" s="62"/>
      <c r="G37" s="62"/>
      <c r="H37" s="62"/>
      <c r="I37" s="369">
        <f>I16/I26</f>
        <v>0.84124158104827651</v>
      </c>
      <c r="J37" s="62"/>
      <c r="K37" s="475">
        <f t="shared" si="19"/>
        <v>1.8113892483281862</v>
      </c>
      <c r="L37" s="475">
        <f t="shared" si="19"/>
        <v>1.5094910402734887</v>
      </c>
      <c r="M37" s="475">
        <f t="shared" si="19"/>
        <v>1.68976897689769</v>
      </c>
      <c r="N37" s="475">
        <f t="shared" si="19"/>
        <v>1.4081408140814082</v>
      </c>
      <c r="O37" s="62"/>
      <c r="P37" s="475">
        <f>P16/P26</f>
        <v>1.4759606489160453</v>
      </c>
      <c r="Q37" s="475">
        <f>Q16/Q26</f>
        <v>1.361825191865051</v>
      </c>
    </row>
    <row r="38" spans="1:17">
      <c r="K38" s="477" t="s">
        <v>16</v>
      </c>
      <c r="L38" s="477" t="s">
        <v>60</v>
      </c>
      <c r="M38" s="477" t="s">
        <v>17</v>
      </c>
      <c r="N38" s="477" t="s">
        <v>61</v>
      </c>
    </row>
    <row r="39" spans="1:17">
      <c r="K39" s="247" t="s">
        <v>31</v>
      </c>
      <c r="L39" s="247" t="s">
        <v>31</v>
      </c>
      <c r="M39" s="247" t="s">
        <v>31</v>
      </c>
      <c r="N39" s="247" t="s">
        <v>31</v>
      </c>
    </row>
    <row r="40" spans="1:17" ht="17">
      <c r="A40" s="164" t="s">
        <v>216</v>
      </c>
      <c r="H40" s="338" t="s">
        <v>272</v>
      </c>
      <c r="I40" s="338" t="s">
        <v>272</v>
      </c>
      <c r="K40" s="18" t="s">
        <v>13</v>
      </c>
      <c r="L40" s="18" t="s">
        <v>8</v>
      </c>
      <c r="M40" s="18" t="s">
        <v>13</v>
      </c>
      <c r="N40" s="18" t="s">
        <v>8</v>
      </c>
      <c r="P40" s="48"/>
      <c r="Q40" s="48"/>
    </row>
    <row r="41" spans="1:17">
      <c r="A41" s="88" t="s">
        <v>4</v>
      </c>
      <c r="B41" s="72">
        <v>63.341694194967005</v>
      </c>
      <c r="C41" s="307">
        <f>AVERAGE(C8,C18)</f>
        <v>4.8712188117247059</v>
      </c>
      <c r="D41" s="305">
        <f t="shared" ref="D41:F43" si="21">AVERAGE(D8,D18)</f>
        <v>0.46102190171072199</v>
      </c>
      <c r="E41" s="310">
        <f t="shared" si="21"/>
        <v>5.3322407134354286</v>
      </c>
      <c r="F41" s="310">
        <f t="shared" si="21"/>
        <v>4.8836627252136919</v>
      </c>
      <c r="H41" s="103">
        <f>AVERAGE(H8,H18)</f>
        <v>243.5</v>
      </c>
      <c r="I41" s="135">
        <f t="shared" ref="I41:I45" si="22">1000*C41/K41</f>
        <v>253.23713788597047</v>
      </c>
      <c r="K41" s="358">
        <f>AVERAGE(K8,K18)</f>
        <v>19.235799505513899</v>
      </c>
      <c r="L41" s="307">
        <f>AVERAGE(L8,L18)</f>
        <v>4.4118576118101052</v>
      </c>
      <c r="M41" s="143">
        <f t="shared" ref="K41:N47" si="23">AVERAGE(M8,M18)</f>
        <v>25.049999999999997</v>
      </c>
      <c r="N41" s="307">
        <f>AVERAGE(N8,N18)</f>
        <v>5.6615999999999991</v>
      </c>
      <c r="P41" s="350">
        <f>L41+D41</f>
        <v>4.8728795135208269</v>
      </c>
      <c r="Q41" s="350">
        <f>N41+D41</f>
        <v>6.1226219017107208</v>
      </c>
    </row>
    <row r="42" spans="1:17">
      <c r="A42" s="88" t="s">
        <v>5</v>
      </c>
      <c r="B42" s="72">
        <v>0</v>
      </c>
      <c r="C42" s="306">
        <f t="shared" ref="C42:E47" si="24">AVERAGE(C9,C19)</f>
        <v>0</v>
      </c>
      <c r="D42" s="345">
        <f t="shared" ref="D42:F42" si="25">AVERAGE(D9,D19)</f>
        <v>0</v>
      </c>
      <c r="E42" s="309">
        <f t="shared" si="25"/>
        <v>0</v>
      </c>
      <c r="F42" s="309">
        <f t="shared" si="25"/>
        <v>0</v>
      </c>
      <c r="H42" s="103" t="s">
        <v>32</v>
      </c>
      <c r="I42" s="135" t="s">
        <v>19</v>
      </c>
      <c r="K42" s="358">
        <f t="shared" si="23"/>
        <v>0</v>
      </c>
      <c r="L42" s="306">
        <f t="shared" si="23"/>
        <v>0</v>
      </c>
      <c r="M42" s="165">
        <f t="shared" si="23"/>
        <v>0</v>
      </c>
      <c r="N42" s="306">
        <f t="shared" si="23"/>
        <v>0</v>
      </c>
      <c r="P42" s="309">
        <v>0</v>
      </c>
      <c r="Q42" s="309">
        <f>D42+N42</f>
        <v>0</v>
      </c>
    </row>
    <row r="43" spans="1:17">
      <c r="A43" s="88" t="s">
        <v>88</v>
      </c>
      <c r="B43" s="72">
        <v>66.400000000000006</v>
      </c>
      <c r="C43" s="307">
        <f t="shared" si="24"/>
        <v>4.7431690760537162</v>
      </c>
      <c r="D43" s="305">
        <f t="shared" si="24"/>
        <v>0.49245700491657307</v>
      </c>
      <c r="E43" s="310">
        <f t="shared" si="24"/>
        <v>5.2356260809702899</v>
      </c>
      <c r="F43" s="310">
        <f t="shared" si="21"/>
        <v>4.6526144430480807</v>
      </c>
      <c r="H43" s="103">
        <f>AVERAGE(H10,H20)</f>
        <v>376</v>
      </c>
      <c r="I43" s="135">
        <f t="shared" si="22"/>
        <v>252.29088014084527</v>
      </c>
      <c r="K43" s="358">
        <f t="shared" si="23"/>
        <v>18.800398466269446</v>
      </c>
      <c r="L43" s="307">
        <f t="shared" si="23"/>
        <v>6.9350091215898644</v>
      </c>
      <c r="M43" s="143">
        <f t="shared" si="23"/>
        <v>26.2</v>
      </c>
      <c r="N43" s="307">
        <f t="shared" si="23"/>
        <v>9.8712</v>
      </c>
      <c r="P43" s="310">
        <f>D43+L43</f>
        <v>7.4274661265064372</v>
      </c>
      <c r="Q43" s="310">
        <f>D43+N43</f>
        <v>10.363657004916574</v>
      </c>
    </row>
    <row r="44" spans="1:17">
      <c r="A44" s="88" t="s">
        <v>95</v>
      </c>
      <c r="B44" s="72">
        <v>61.2</v>
      </c>
      <c r="C44" s="307">
        <f t="shared" si="24"/>
        <v>4.9813587904285361</v>
      </c>
      <c r="D44" s="305">
        <f t="shared" ref="D44:F44" si="26">AVERAGE(D11,D21)</f>
        <v>0.44860741729622644</v>
      </c>
      <c r="E44" s="310">
        <f t="shared" si="26"/>
        <v>5.4299662077247621</v>
      </c>
      <c r="F44" s="310">
        <f t="shared" si="26"/>
        <v>4.8984425835709482</v>
      </c>
      <c r="H44" s="103">
        <f>AVERAGE(H11,H21)</f>
        <v>204.5</v>
      </c>
      <c r="I44" s="135">
        <f t="shared" si="22"/>
        <v>253.29033772017223</v>
      </c>
      <c r="K44" s="358">
        <f t="shared" si="23"/>
        <v>19.666596188646547</v>
      </c>
      <c r="L44" s="307">
        <f t="shared" si="23"/>
        <v>3.9684157636345989</v>
      </c>
      <c r="M44" s="165">
        <f t="shared" si="23"/>
        <v>11</v>
      </c>
      <c r="N44" s="307">
        <f t="shared" si="23"/>
        <v>2.2276500000000001</v>
      </c>
      <c r="P44" s="310">
        <f>D44+L44</f>
        <v>4.4170231809308254</v>
      </c>
      <c r="Q44" s="310">
        <f>D44+N44</f>
        <v>2.6762574172962266</v>
      </c>
    </row>
    <row r="45" spans="1:17">
      <c r="A45" s="88" t="s">
        <v>125</v>
      </c>
      <c r="B45" s="72">
        <v>1026.16425</v>
      </c>
      <c r="C45" s="344">
        <f t="shared" si="24"/>
        <v>151.62312340865566</v>
      </c>
      <c r="D45" s="319">
        <f t="shared" ref="D45:F45" si="27">AVERAGE(D12,D22)</f>
        <v>7.2320952517735</v>
      </c>
      <c r="E45" s="349">
        <f t="shared" si="27"/>
        <v>158.85521866042913</v>
      </c>
      <c r="F45" s="349">
        <f t="shared" si="27"/>
        <v>159.18053049911148</v>
      </c>
      <c r="H45" s="363">
        <f>AVERAGE(H12,H22)</f>
        <v>269</v>
      </c>
      <c r="I45" s="135">
        <f t="shared" si="22"/>
        <v>257.09460296676019</v>
      </c>
      <c r="K45" s="361">
        <f t="shared" si="23"/>
        <v>589.75615068924276</v>
      </c>
      <c r="L45" s="344">
        <f t="shared" si="23"/>
        <v>156.08825757343504</v>
      </c>
      <c r="M45" s="299">
        <f t="shared" si="23"/>
        <v>272.5</v>
      </c>
      <c r="N45" s="306">
        <f t="shared" si="23"/>
        <v>72.064999999999998</v>
      </c>
      <c r="P45" s="309">
        <f t="shared" ref="P45:P47" si="28">D45+L45</f>
        <v>163.32035282520854</v>
      </c>
      <c r="Q45" s="309">
        <f t="shared" ref="Q45:Q47" si="29">D45+N45</f>
        <v>79.297095251773499</v>
      </c>
    </row>
    <row r="46" spans="1:17">
      <c r="A46" s="88" t="s">
        <v>128</v>
      </c>
      <c r="B46" s="72">
        <v>0</v>
      </c>
      <c r="C46" s="306">
        <f t="shared" si="24"/>
        <v>0</v>
      </c>
      <c r="D46" s="345">
        <f t="shared" ref="D46:F46" si="30">AVERAGE(D13,D23)</f>
        <v>0</v>
      </c>
      <c r="E46" s="309">
        <f t="shared" si="30"/>
        <v>0</v>
      </c>
      <c r="F46" s="309">
        <f t="shared" si="30"/>
        <v>0</v>
      </c>
      <c r="H46" s="103" t="s">
        <v>32</v>
      </c>
      <c r="I46" s="135" t="s">
        <v>19</v>
      </c>
      <c r="K46" s="358">
        <f t="shared" si="23"/>
        <v>0</v>
      </c>
      <c r="L46" s="306">
        <f t="shared" si="23"/>
        <v>0</v>
      </c>
      <c r="M46" s="165">
        <f t="shared" si="23"/>
        <v>0</v>
      </c>
      <c r="N46" s="306">
        <f t="shared" si="23"/>
        <v>0</v>
      </c>
      <c r="P46" s="309">
        <f t="shared" si="28"/>
        <v>0</v>
      </c>
      <c r="Q46" s="309">
        <f t="shared" si="29"/>
        <v>0</v>
      </c>
    </row>
    <row r="47" spans="1:17">
      <c r="A47" s="88" t="s">
        <v>247</v>
      </c>
      <c r="B47" s="73">
        <v>654</v>
      </c>
      <c r="C47" s="344">
        <f t="shared" si="24"/>
        <v>88.852778509704692</v>
      </c>
      <c r="D47" s="319">
        <f t="shared" ref="D47:F47" si="31">AVERAGE(D14,D24)</f>
        <v>4.7241651028069889</v>
      </c>
      <c r="E47" s="349">
        <f t="shared" si="31"/>
        <v>93.576943612511684</v>
      </c>
      <c r="F47" s="349">
        <f t="shared" si="31"/>
        <v>92.879815839271131</v>
      </c>
      <c r="H47" s="103">
        <f>AVERAGE(H14,H24)</f>
        <v>251.1245323175886</v>
      </c>
      <c r="I47" s="135">
        <f>1000*C47/K47</f>
        <v>256.59947545408625</v>
      </c>
      <c r="K47" s="361">
        <f t="shared" si="23"/>
        <v>346.27030453771624</v>
      </c>
      <c r="L47" s="344">
        <f t="shared" si="23"/>
        <v>85.60447326074646</v>
      </c>
      <c r="M47" s="299">
        <f t="shared" si="23"/>
        <v>195</v>
      </c>
      <c r="N47" s="306">
        <f t="shared" si="23"/>
        <v>48.387205607172362</v>
      </c>
      <c r="P47" s="309">
        <f t="shared" si="28"/>
        <v>90.328638363553452</v>
      </c>
      <c r="Q47" s="309">
        <f t="shared" si="29"/>
        <v>53.111370709979354</v>
      </c>
    </row>
    <row r="48" spans="1:17" ht="16">
      <c r="A48" s="164" t="s">
        <v>187</v>
      </c>
      <c r="B48" s="360">
        <f>SUM(B41:B47)</f>
        <v>1871.1059441949669</v>
      </c>
      <c r="C48" s="415">
        <f t="shared" ref="C48:F48" si="32">SUM(C41:C47)</f>
        <v>255.07164859656729</v>
      </c>
      <c r="D48" s="432">
        <f t="shared" si="32"/>
        <v>13.358346678504009</v>
      </c>
      <c r="E48" s="415">
        <f t="shared" si="32"/>
        <v>268.42999527507129</v>
      </c>
      <c r="F48" s="432">
        <f t="shared" si="32"/>
        <v>266.49506609021535</v>
      </c>
      <c r="H48" s="150">
        <f>AVERAGE(H15,H25)</f>
        <v>258.5</v>
      </c>
      <c r="I48" s="155">
        <f>1000*C48/K48</f>
        <v>256.68123259309618</v>
      </c>
      <c r="J48" s="10" t="s">
        <v>26</v>
      </c>
      <c r="K48" s="360">
        <f>SUM(K41:K47)</f>
        <v>993.7292493873889</v>
      </c>
      <c r="L48" s="351">
        <f>SUM(L41:L47)</f>
        <v>257.00801333121603</v>
      </c>
      <c r="M48" s="239">
        <f>SUM(M41:M47)</f>
        <v>529.75</v>
      </c>
      <c r="N48" s="351">
        <f>SUM(N41:N47)</f>
        <v>138.21265560717234</v>
      </c>
      <c r="P48" s="367">
        <f>SUM(P41:P47)</f>
        <v>270.3663600097201</v>
      </c>
      <c r="Q48" s="367">
        <f>SUM(Q41:Q47)</f>
        <v>151.57100228567637</v>
      </c>
    </row>
    <row r="49" spans="1:17">
      <c r="I49" s="437">
        <f>1000*(F48-D48)/K48</f>
        <v>254.73409338385108</v>
      </c>
      <c r="K49" s="360">
        <f>K48</f>
        <v>993.7292493873889</v>
      </c>
      <c r="L49" s="351">
        <f>$H$48*K49/1000</f>
        <v>256.87901096664001</v>
      </c>
      <c r="M49" s="239">
        <f>M48</f>
        <v>529.75</v>
      </c>
      <c r="N49" s="351">
        <f>$H$48*M49/1000</f>
        <v>136.94037499999999</v>
      </c>
      <c r="O49" s="2"/>
      <c r="P49" s="362">
        <f>D48+L49</f>
        <v>270.23735764514402</v>
      </c>
      <c r="Q49" s="362">
        <f>D48+N49</f>
        <v>150.29872167850399</v>
      </c>
    </row>
    <row r="50" spans="1:17" ht="16">
      <c r="A50" s="164" t="s">
        <v>282</v>
      </c>
      <c r="H50" s="338" t="s">
        <v>272</v>
      </c>
      <c r="I50" s="338" t="s">
        <v>272</v>
      </c>
      <c r="P50" s="48"/>
      <c r="Q50" s="48"/>
    </row>
    <row r="51" spans="1:17">
      <c r="A51" s="88" t="s">
        <v>4</v>
      </c>
      <c r="B51" s="72">
        <v>63.341694194967005</v>
      </c>
      <c r="C51" s="307">
        <v>4.6449574807609384</v>
      </c>
      <c r="D51" s="305">
        <v>0.4676738052218975</v>
      </c>
      <c r="E51" s="310">
        <f>C51+D51</f>
        <v>5.112631285982836</v>
      </c>
      <c r="F51" s="310">
        <v>5.1187956632543852</v>
      </c>
      <c r="H51" s="103">
        <v>243.5</v>
      </c>
      <c r="I51" s="135">
        <f t="shared" ref="I51:I57" si="33">1000*C51/K51</f>
        <v>266.34088895595067</v>
      </c>
      <c r="K51" s="16">
        <v>17.43989628843341</v>
      </c>
      <c r="L51" s="307">
        <f>K51*$H51/1000</f>
        <v>4.2466147462335355</v>
      </c>
      <c r="M51" s="364">
        <v>33.765076800000003</v>
      </c>
      <c r="N51" s="307">
        <f>M51*H51/1000</f>
        <v>8.2217962008000018</v>
      </c>
      <c r="O51" s="46"/>
      <c r="P51" s="350">
        <f>L51+D51</f>
        <v>4.7142885514554331</v>
      </c>
      <c r="Q51" s="350">
        <f>N51+D51</f>
        <v>8.6894700060218995</v>
      </c>
    </row>
    <row r="52" spans="1:17">
      <c r="A52" s="88" t="s">
        <v>5</v>
      </c>
      <c r="B52" s="72">
        <v>0</v>
      </c>
      <c r="C52" s="306">
        <v>0</v>
      </c>
      <c r="D52" s="345">
        <v>0</v>
      </c>
      <c r="E52" s="309">
        <f t="shared" ref="E52:E53" si="34">C52+D52</f>
        <v>0</v>
      </c>
      <c r="F52" s="309">
        <v>0</v>
      </c>
      <c r="H52" s="269" t="s">
        <v>32</v>
      </c>
      <c r="I52" s="135" t="s">
        <v>19</v>
      </c>
      <c r="J52" s="250"/>
      <c r="K52" s="16">
        <v>0</v>
      </c>
      <c r="L52" s="306">
        <v>0</v>
      </c>
      <c r="M52" s="365">
        <v>0</v>
      </c>
      <c r="N52" s="306">
        <v>0</v>
      </c>
      <c r="O52" s="46"/>
      <c r="P52" s="309">
        <v>0</v>
      </c>
      <c r="Q52" s="309">
        <f>D52+N52</f>
        <v>0</v>
      </c>
    </row>
    <row r="53" spans="1:17">
      <c r="A53" s="88" t="s">
        <v>88</v>
      </c>
      <c r="B53" s="72">
        <v>66.400000000000006</v>
      </c>
      <c r="C53" s="307">
        <v>4.5339865103171064</v>
      </c>
      <c r="D53" s="305">
        <v>0.49150247587509566</v>
      </c>
      <c r="E53" s="310">
        <f t="shared" si="34"/>
        <v>5.0254889861922019</v>
      </c>
      <c r="F53" s="310">
        <v>5.0688298255989688</v>
      </c>
      <c r="H53" s="103">
        <v>376</v>
      </c>
      <c r="I53" s="135">
        <f t="shared" si="33"/>
        <v>258.48080944382338</v>
      </c>
      <c r="J53" s="250"/>
      <c r="K53" s="16">
        <v>17.540901856787535</v>
      </c>
      <c r="L53" s="307">
        <f>K53*$H53/1000</f>
        <v>6.5953790981521134</v>
      </c>
      <c r="M53" s="364">
        <v>23.184403200000002</v>
      </c>
      <c r="N53" s="307">
        <f>M53*H53/1000</f>
        <v>8.7173356032000004</v>
      </c>
      <c r="O53" s="31"/>
      <c r="P53" s="310">
        <f>D53+L53</f>
        <v>7.0868815740272089</v>
      </c>
      <c r="Q53" s="310">
        <f>D53+N53</f>
        <v>9.2088380790750968</v>
      </c>
    </row>
    <row r="54" spans="1:17">
      <c r="A54" s="88" t="s">
        <v>95</v>
      </c>
      <c r="B54" s="72">
        <v>61.2</v>
      </c>
      <c r="C54" s="307">
        <v>4.7567092518645264</v>
      </c>
      <c r="D54" s="305">
        <v>0.45234192188940098</v>
      </c>
      <c r="E54" s="310">
        <f>C54+D54</f>
        <v>5.2090511737539273</v>
      </c>
      <c r="F54" s="310">
        <v>5.2268150519317329</v>
      </c>
      <c r="H54" s="103">
        <v>204.5</v>
      </c>
      <c r="I54" s="135">
        <f t="shared" si="33"/>
        <v>268.60056170066338</v>
      </c>
      <c r="J54" s="250"/>
      <c r="K54" s="16">
        <v>17.709230471251018</v>
      </c>
      <c r="L54" s="307">
        <f>K54*$H54/1000</f>
        <v>3.6215376313708334</v>
      </c>
      <c r="M54" s="364">
        <v>13.529073600000002</v>
      </c>
      <c r="N54" s="307">
        <f>M54*H54/1000</f>
        <v>2.7666955512000002</v>
      </c>
      <c r="O54" s="6"/>
      <c r="P54" s="310">
        <f>D54+L54</f>
        <v>4.0738795532602348</v>
      </c>
      <c r="Q54" s="310">
        <f>D54+N54</f>
        <v>3.2190374730894011</v>
      </c>
    </row>
    <row r="55" spans="1:17">
      <c r="A55" s="88" t="s">
        <v>125</v>
      </c>
      <c r="B55" s="72">
        <v>1026.16425</v>
      </c>
      <c r="C55" s="306">
        <v>143.72209211292426</v>
      </c>
      <c r="D55" s="304">
        <v>7.209479506620009</v>
      </c>
      <c r="E55" s="309">
        <f t="shared" ref="E55:E57" si="35">C55+D55</f>
        <v>150.93157161954426</v>
      </c>
      <c r="F55" s="309">
        <v>148.37273094145996</v>
      </c>
      <c r="H55" s="103">
        <v>269</v>
      </c>
      <c r="I55" s="366">
        <f t="shared" si="33"/>
        <v>309.73739303673165</v>
      </c>
      <c r="J55" s="250"/>
      <c r="K55" s="361">
        <v>464.0127260833512</v>
      </c>
      <c r="L55" s="306">
        <f>K55*$H55/1000</f>
        <v>124.81942331642146</v>
      </c>
      <c r="M55" s="368">
        <v>277.60320000000002</v>
      </c>
      <c r="N55" s="306">
        <f>M55*H55/1000</f>
        <v>74.675260800000004</v>
      </c>
      <c r="O55" s="31"/>
      <c r="P55" s="309">
        <f t="shared" ref="P55:P57" si="36">D55+L55</f>
        <v>132.02890282304148</v>
      </c>
      <c r="Q55" s="309">
        <f t="shared" ref="Q55:Q57" si="37">D55+N55</f>
        <v>81.884740306620017</v>
      </c>
    </row>
    <row r="56" spans="1:17">
      <c r="A56" s="88" t="s">
        <v>128</v>
      </c>
      <c r="B56" s="72">
        <v>0</v>
      </c>
      <c r="C56" s="306">
        <v>0</v>
      </c>
      <c r="D56" s="345">
        <v>0</v>
      </c>
      <c r="E56" s="309">
        <f t="shared" si="35"/>
        <v>0</v>
      </c>
      <c r="F56" s="309">
        <v>0</v>
      </c>
      <c r="H56" s="103" t="s">
        <v>32</v>
      </c>
      <c r="I56" s="135" t="s">
        <v>19</v>
      </c>
      <c r="J56" s="250"/>
      <c r="K56" s="16">
        <v>0</v>
      </c>
      <c r="L56" s="306">
        <v>0</v>
      </c>
      <c r="M56" s="365">
        <v>0</v>
      </c>
      <c r="N56" s="306">
        <v>0</v>
      </c>
      <c r="O56" s="48"/>
      <c r="P56" s="309">
        <f t="shared" si="36"/>
        <v>0</v>
      </c>
      <c r="Q56" s="309">
        <f t="shared" si="37"/>
        <v>0</v>
      </c>
    </row>
    <row r="57" spans="1:17">
      <c r="A57" s="88" t="s">
        <v>247</v>
      </c>
      <c r="B57" s="73">
        <v>654</v>
      </c>
      <c r="C57" s="306">
        <v>84.299261006287566</v>
      </c>
      <c r="D57" s="304">
        <v>4.6629636444014464</v>
      </c>
      <c r="E57" s="309">
        <f t="shared" si="35"/>
        <v>88.962224650689009</v>
      </c>
      <c r="F57" s="309">
        <v>87.763011987839633</v>
      </c>
      <c r="H57" s="103">
        <v>251.1245323175886</v>
      </c>
      <c r="I57" s="366">
        <f t="shared" si="33"/>
        <v>303.68172546735855</v>
      </c>
      <c r="J57" s="250"/>
      <c r="K57" s="299">
        <v>277.59082597595597</v>
      </c>
      <c r="L57" s="306">
        <f>K57*$H57/1000</f>
        <v>69.709866348865063</v>
      </c>
      <c r="M57" s="368">
        <v>188.69759999999999</v>
      </c>
      <c r="N57" s="306">
        <f>M57*H57/1000</f>
        <v>47.386596549451404</v>
      </c>
      <c r="O57" s="48"/>
      <c r="P57" s="309">
        <f t="shared" si="36"/>
        <v>74.372829993266507</v>
      </c>
      <c r="Q57" s="309">
        <f t="shared" si="37"/>
        <v>52.049560193852848</v>
      </c>
    </row>
    <row r="58" spans="1:17" ht="16">
      <c r="A58" s="164" t="s">
        <v>187</v>
      </c>
      <c r="B58" s="360">
        <f>SUM(B51:B57)</f>
        <v>1871.1059441949669</v>
      </c>
      <c r="C58" s="415">
        <f>SUM(C51:C57)</f>
        <v>241.9570063621544</v>
      </c>
      <c r="D58" s="432">
        <f>SUM(D51:D57)</f>
        <v>13.28396135400785</v>
      </c>
      <c r="E58" s="415">
        <f>SUM(E51:E57)</f>
        <v>255.24096771616223</v>
      </c>
      <c r="F58" s="432">
        <f>SUM(F51:F57)</f>
        <v>251.55018347008468</v>
      </c>
      <c r="H58" s="150">
        <f>H48</f>
        <v>258.5</v>
      </c>
      <c r="I58" s="155">
        <f>1000*C58/K58</f>
        <v>304.61911344706976</v>
      </c>
      <c r="J58" s="250"/>
      <c r="K58" s="360">
        <f>SUM(K51:K57)</f>
        <v>794.29358067577914</v>
      </c>
      <c r="L58" s="351">
        <f>SUM(L51:L57)</f>
        <v>208.99282114104301</v>
      </c>
      <c r="M58" s="239">
        <f>SUM(M51:M57)</f>
        <v>536.77935360000004</v>
      </c>
      <c r="N58" s="351">
        <f>SUM(N51:N57)</f>
        <v>141.7676847046514</v>
      </c>
      <c r="O58" s="6"/>
      <c r="P58" s="362">
        <f>SUM(P51:P57)</f>
        <v>222.27678249505084</v>
      </c>
      <c r="Q58" s="362">
        <f>SUM(Q51:Q57)</f>
        <v>155.05164605865926</v>
      </c>
    </row>
    <row r="59" spans="1:17">
      <c r="H59" s="46"/>
      <c r="I59" s="437">
        <f>1000*(F58-D58)/K58</f>
        <v>299.97248865257313</v>
      </c>
      <c r="J59" s="10" t="s">
        <v>26</v>
      </c>
      <c r="K59" s="360">
        <f>K58</f>
        <v>794.29358067577914</v>
      </c>
      <c r="L59" s="351">
        <f>$H$58*K59/1000</f>
        <v>205.3248906046889</v>
      </c>
      <c r="M59" s="239">
        <f>M58</f>
        <v>536.77935360000004</v>
      </c>
      <c r="N59" s="351">
        <f>$H$58*M59/1000</f>
        <v>138.75746290559999</v>
      </c>
      <c r="O59" s="2"/>
      <c r="P59" s="362">
        <f>D58+L59</f>
        <v>218.60885195869676</v>
      </c>
      <c r="Q59" s="362">
        <f>D58+N59</f>
        <v>152.04142425960785</v>
      </c>
    </row>
    <row r="60" spans="1:17" ht="16">
      <c r="A60" s="164" t="s">
        <v>270</v>
      </c>
      <c r="H60" s="370" t="s">
        <v>271</v>
      </c>
      <c r="I60" s="370" t="s">
        <v>271</v>
      </c>
      <c r="J60" s="250"/>
      <c r="K60" s="44" t="s">
        <v>222</v>
      </c>
      <c r="L60" s="44" t="s">
        <v>222</v>
      </c>
      <c r="M60" s="44" t="s">
        <v>222</v>
      </c>
      <c r="N60" s="44" t="s">
        <v>222</v>
      </c>
      <c r="O60" s="250"/>
      <c r="P60" s="48"/>
      <c r="Q60" s="48"/>
    </row>
    <row r="61" spans="1:17">
      <c r="A61" s="88" t="s">
        <v>4</v>
      </c>
      <c r="C61" s="7">
        <f>C41/C51</f>
        <v>1.0487111737622841</v>
      </c>
      <c r="D61" s="7">
        <f t="shared" ref="D61:F63" si="38">D41/D51</f>
        <v>0.98577661729841937</v>
      </c>
      <c r="E61" s="7">
        <f t="shared" si="38"/>
        <v>1.0429542861920611</v>
      </c>
      <c r="F61" s="7">
        <f t="shared" si="38"/>
        <v>0.95406479306673431</v>
      </c>
      <c r="G61" s="26"/>
      <c r="H61" s="7">
        <f>H41/H51</f>
        <v>1</v>
      </c>
      <c r="I61" s="137">
        <f>I41/I51</f>
        <v>0.95080082851211256</v>
      </c>
      <c r="J61" s="251"/>
      <c r="K61" s="474">
        <f>K41/K51</f>
        <v>1.1029767142750486</v>
      </c>
      <c r="L61" s="474">
        <f>L41/L51</f>
        <v>1.0389116685762769</v>
      </c>
      <c r="M61" s="7">
        <f>M41/M51</f>
        <v>0.74189080476191882</v>
      </c>
      <c r="N61" s="7">
        <f>N41/N51</f>
        <v>0.68860865213967615</v>
      </c>
      <c r="O61" s="26"/>
      <c r="P61" s="7">
        <f>P41/P51</f>
        <v>1.0336404868591322</v>
      </c>
      <c r="Q61" s="7">
        <f>Q41/Q51</f>
        <v>0.70460245532439558</v>
      </c>
    </row>
    <row r="62" spans="1:17">
      <c r="A62" s="88" t="s">
        <v>5</v>
      </c>
      <c r="C62" s="7" t="s">
        <v>32</v>
      </c>
      <c r="D62" s="8" t="s">
        <v>32</v>
      </c>
      <c r="E62" s="7" t="s">
        <v>32</v>
      </c>
      <c r="F62" s="7" t="s">
        <v>32</v>
      </c>
      <c r="G62" s="26"/>
      <c r="H62" s="7" t="s">
        <v>32</v>
      </c>
      <c r="I62" s="137" t="s">
        <v>32</v>
      </c>
      <c r="J62" s="48"/>
      <c r="K62" s="474" t="s">
        <v>32</v>
      </c>
      <c r="L62" s="474" t="s">
        <v>32</v>
      </c>
      <c r="M62" s="5" t="s">
        <v>32</v>
      </c>
      <c r="N62" s="7" t="s">
        <v>32</v>
      </c>
      <c r="O62" s="26"/>
      <c r="P62" s="5" t="s">
        <v>32</v>
      </c>
      <c r="Q62" s="7" t="s">
        <v>32</v>
      </c>
    </row>
    <row r="63" spans="1:17">
      <c r="A63" s="88" t="s">
        <v>88</v>
      </c>
      <c r="C63" s="7">
        <f>C43/C53</f>
        <v>1.0461365655280654</v>
      </c>
      <c r="D63" s="7">
        <f t="shared" si="38"/>
        <v>1.0019420635466341</v>
      </c>
      <c r="E63" s="7">
        <f t="shared" si="38"/>
        <v>1.0418142583448995</v>
      </c>
      <c r="F63" s="7">
        <f t="shared" si="38"/>
        <v>0.91788728427044697</v>
      </c>
      <c r="G63" s="26"/>
      <c r="H63" s="7">
        <f t="shared" ref="H63:I63" si="39">H43/H53</f>
        <v>1</v>
      </c>
      <c r="I63" s="137">
        <f t="shared" si="39"/>
        <v>0.97605265429067223</v>
      </c>
      <c r="J63" s="26"/>
      <c r="K63" s="474">
        <f t="shared" ref="K63:N67" si="40">K43/K53</f>
        <v>1.0718034123766871</v>
      </c>
      <c r="L63" s="474">
        <f t="shared" si="40"/>
        <v>1.0514951481004189</v>
      </c>
      <c r="M63" s="7">
        <f t="shared" si="40"/>
        <v>1.1300700636538272</v>
      </c>
      <c r="N63" s="7">
        <f t="shared" si="40"/>
        <v>1.1323643426526373</v>
      </c>
      <c r="O63" s="26"/>
      <c r="P63" s="7">
        <f t="shared" ref="P63:Q63" si="41">P43/P53</f>
        <v>1.048058451227327</v>
      </c>
      <c r="Q63" s="7">
        <f t="shared" si="41"/>
        <v>1.1254033262313006</v>
      </c>
    </row>
    <row r="64" spans="1:17">
      <c r="A64" s="88" t="s">
        <v>95</v>
      </c>
      <c r="C64" s="7">
        <f>C44/C54</f>
        <v>1.0472279314687885</v>
      </c>
      <c r="D64" s="7">
        <f t="shared" ref="D64:F64" si="42">D44/D54</f>
        <v>0.99174406701555373</v>
      </c>
      <c r="E64" s="7">
        <f t="shared" si="42"/>
        <v>1.0424098413707139</v>
      </c>
      <c r="F64" s="7">
        <f t="shared" si="42"/>
        <v>0.9371754184722062</v>
      </c>
      <c r="G64" s="26"/>
      <c r="H64" s="7">
        <f t="shared" ref="H64:I64" si="43">H44/H54</f>
        <v>1</v>
      </c>
      <c r="I64" s="137">
        <f t="shared" si="43"/>
        <v>0.94300002991969423</v>
      </c>
      <c r="J64" s="26"/>
      <c r="K64" s="474">
        <f t="shared" si="40"/>
        <v>1.1105279938940935</v>
      </c>
      <c r="L64" s="474">
        <f t="shared" si="40"/>
        <v>1.0957820041020709</v>
      </c>
      <c r="M64" s="7">
        <f t="shared" si="40"/>
        <v>0.81306380061381278</v>
      </c>
      <c r="N64" s="7">
        <f t="shared" si="40"/>
        <v>0.80516629270387208</v>
      </c>
      <c r="O64" s="26"/>
      <c r="P64" s="7">
        <f t="shared" ref="P64:Q64" si="44">P44/P54</f>
        <v>1.084230184811424</v>
      </c>
      <c r="Q64" s="7">
        <f t="shared" si="44"/>
        <v>0.83138436245905112</v>
      </c>
    </row>
    <row r="65" spans="1:17">
      <c r="A65" s="88" t="s">
        <v>125</v>
      </c>
      <c r="C65" s="474">
        <f>C45/C55</f>
        <v>1.0549743687944888</v>
      </c>
      <c r="D65" s="7">
        <f t="shared" ref="D65:F68" si="45">D45/D55</f>
        <v>1.0031369456189903</v>
      </c>
      <c r="E65" s="7">
        <f t="shared" si="45"/>
        <v>1.0524982742567481</v>
      </c>
      <c r="F65" s="7">
        <f t="shared" si="45"/>
        <v>1.0728422230222054</v>
      </c>
      <c r="G65" s="26"/>
      <c r="H65" s="7">
        <f t="shared" ref="H65:I65" si="46">H45/H55</f>
        <v>1</v>
      </c>
      <c r="I65" s="137">
        <f t="shared" si="46"/>
        <v>0.83004057226074557</v>
      </c>
      <c r="J65" s="26"/>
      <c r="K65" s="474">
        <f t="shared" si="40"/>
        <v>1.2709913274734281</v>
      </c>
      <c r="L65" s="474">
        <f t="shared" si="40"/>
        <v>1.2505125678857369</v>
      </c>
      <c r="M65" s="7">
        <f t="shared" si="40"/>
        <v>0.98161692660603328</v>
      </c>
      <c r="N65" s="7">
        <f t="shared" si="40"/>
        <v>0.96504517330055306</v>
      </c>
      <c r="O65" s="26"/>
      <c r="P65" s="7">
        <f t="shared" ref="P65:Q65" si="47">P45/P55</f>
        <v>1.2370045447102369</v>
      </c>
      <c r="Q65" s="7">
        <f t="shared" si="47"/>
        <v>0.96839893434164903</v>
      </c>
    </row>
    <row r="66" spans="1:17">
      <c r="A66" s="88" t="s">
        <v>128</v>
      </c>
      <c r="C66" s="7" t="s">
        <v>32</v>
      </c>
      <c r="D66" s="7" t="s">
        <v>32</v>
      </c>
      <c r="E66" s="8" t="s">
        <v>32</v>
      </c>
      <c r="F66" s="8" t="s">
        <v>32</v>
      </c>
      <c r="G66" s="26"/>
      <c r="H66" s="7" t="s">
        <v>32</v>
      </c>
      <c r="I66" s="137" t="s">
        <v>32</v>
      </c>
      <c r="J66" s="26"/>
      <c r="K66" s="474" t="s">
        <v>32</v>
      </c>
      <c r="L66" s="474" t="s">
        <v>32</v>
      </c>
      <c r="M66" s="5" t="s">
        <v>32</v>
      </c>
      <c r="N66" s="8" t="s">
        <v>32</v>
      </c>
      <c r="O66" s="26"/>
      <c r="P66" s="5" t="s">
        <v>32</v>
      </c>
      <c r="Q66" s="8" t="s">
        <v>32</v>
      </c>
    </row>
    <row r="67" spans="1:17">
      <c r="A67" s="88" t="s">
        <v>247</v>
      </c>
      <c r="C67" s="7">
        <f>C47/C57</f>
        <v>1.0540161022654457</v>
      </c>
      <c r="D67" s="7">
        <f t="shared" si="45"/>
        <v>1.0131250129901879</v>
      </c>
      <c r="E67" s="7">
        <f t="shared" si="45"/>
        <v>1.051872791850051</v>
      </c>
      <c r="F67" s="7">
        <f t="shared" si="45"/>
        <v>1.0583025096283214</v>
      </c>
      <c r="G67" s="26"/>
      <c r="H67" s="7">
        <f>H47/H57</f>
        <v>1</v>
      </c>
      <c r="I67" s="137">
        <f>I47/I57</f>
        <v>0.8449618595231112</v>
      </c>
      <c r="J67" s="26"/>
      <c r="K67" s="474">
        <f t="shared" si="40"/>
        <v>1.2474126380808748</v>
      </c>
      <c r="L67" s="474">
        <f t="shared" si="40"/>
        <v>1.2280108648083812</v>
      </c>
      <c r="M67" s="7">
        <f t="shared" si="40"/>
        <v>1.0333994708994709</v>
      </c>
      <c r="N67" s="7">
        <f t="shared" si="40"/>
        <v>1.0211158667341038</v>
      </c>
      <c r="O67" s="26"/>
      <c r="P67" s="7">
        <f t="shared" ref="P67:Q67" si="48">P47/P57</f>
        <v>1.2145381367326151</v>
      </c>
      <c r="Q67" s="7">
        <f t="shared" si="48"/>
        <v>1.0203999901665242</v>
      </c>
    </row>
    <row r="68" spans="1:17" ht="16">
      <c r="A68" s="164" t="s">
        <v>187</v>
      </c>
      <c r="C68" s="475">
        <f>C48/C58</f>
        <v>1.0542023660797954</v>
      </c>
      <c r="D68" s="475">
        <f t="shared" si="45"/>
        <v>1.0055996342140605</v>
      </c>
      <c r="E68" s="475">
        <f t="shared" si="45"/>
        <v>1.0516728473368577</v>
      </c>
      <c r="F68" s="475">
        <f t="shared" si="45"/>
        <v>1.0594111378253397</v>
      </c>
      <c r="G68" s="26"/>
      <c r="H68" s="475">
        <f>H48/H58</f>
        <v>1</v>
      </c>
      <c r="I68" s="369">
        <f>I48/I58</f>
        <v>0.84263009529668531</v>
      </c>
      <c r="J68" s="26"/>
      <c r="K68" s="475">
        <f t="shared" ref="K68:N69" si="49">K48/K58</f>
        <v>1.251085585435465</v>
      </c>
      <c r="L68" s="475">
        <f t="shared" si="49"/>
        <v>1.2297456531187212</v>
      </c>
      <c r="M68" s="475">
        <f t="shared" si="49"/>
        <v>0.98690457531040177</v>
      </c>
      <c r="N68" s="475">
        <f t="shared" si="49"/>
        <v>0.97492355817981113</v>
      </c>
      <c r="O68" s="26"/>
      <c r="P68" s="475">
        <f>P48/P58</f>
        <v>1.2163499803032285</v>
      </c>
      <c r="Q68" s="475">
        <f>Q48/Q58</f>
        <v>0.97755171350024828</v>
      </c>
    </row>
    <row r="69" spans="1:17">
      <c r="C69" s="26"/>
      <c r="D69" s="26"/>
      <c r="E69" s="26"/>
      <c r="F69" s="26"/>
      <c r="G69" s="26"/>
      <c r="H69" s="26"/>
      <c r="I69" s="438">
        <f>I49/I59</f>
        <v>0.84919151928923398</v>
      </c>
      <c r="J69" s="27" t="s">
        <v>26</v>
      </c>
      <c r="K69" s="475">
        <f t="shared" si="49"/>
        <v>1.251085585435465</v>
      </c>
      <c r="L69" s="475">
        <f t="shared" si="49"/>
        <v>1.251085585435465</v>
      </c>
      <c r="M69" s="475">
        <f t="shared" si="49"/>
        <v>0.98690457531040177</v>
      </c>
      <c r="N69" s="475">
        <f t="shared" si="49"/>
        <v>0.98690457531040177</v>
      </c>
      <c r="O69" s="26"/>
      <c r="P69" s="475">
        <f>P49/P59</f>
        <v>1.2361684132360833</v>
      </c>
      <c r="Q69" s="475">
        <f>Q49/Q59</f>
        <v>0.98853797516308306</v>
      </c>
    </row>
    <row r="70" spans="1:17" ht="16">
      <c r="A70" s="164" t="s">
        <v>281</v>
      </c>
      <c r="H70" s="392" t="s">
        <v>272</v>
      </c>
      <c r="I70" s="392" t="s">
        <v>272</v>
      </c>
      <c r="P70" s="48"/>
      <c r="Q70" s="48"/>
    </row>
    <row r="71" spans="1:17">
      <c r="A71" s="88" t="s">
        <v>4</v>
      </c>
      <c r="B71" s="72">
        <v>63.341694194967005</v>
      </c>
      <c r="C71" s="394">
        <v>11.075663294190027</v>
      </c>
      <c r="D71" s="395">
        <v>0.76083437332351189</v>
      </c>
      <c r="E71" s="397">
        <f>C71+D71</f>
        <v>11.836497667513539</v>
      </c>
      <c r="F71" s="397">
        <v>11.663643688217093</v>
      </c>
      <c r="H71" s="103">
        <v>243.5</v>
      </c>
      <c r="I71" s="135">
        <f t="shared" ref="I71" si="50">1000*C71/K71</f>
        <v>273.06872433392385</v>
      </c>
      <c r="K71" s="16">
        <v>40.559984748184057</v>
      </c>
      <c r="L71" s="394">
        <f>K71*$H71/1000</f>
        <v>9.8763562861828174</v>
      </c>
      <c r="M71" s="364">
        <v>33.765076800000003</v>
      </c>
      <c r="N71" s="394">
        <f>M71*H71/1000</f>
        <v>8.2217962008000018</v>
      </c>
      <c r="O71" s="46"/>
      <c r="P71" s="418">
        <f>L71+D71</f>
        <v>10.637190659506329</v>
      </c>
      <c r="Q71" s="418">
        <f>N71+D71</f>
        <v>8.9826305741235135</v>
      </c>
    </row>
    <row r="72" spans="1:17">
      <c r="A72" s="88" t="s">
        <v>5</v>
      </c>
      <c r="B72" s="72">
        <v>0</v>
      </c>
      <c r="C72" s="379">
        <v>0</v>
      </c>
      <c r="D72" s="413">
        <v>0</v>
      </c>
      <c r="E72" s="386">
        <f t="shared" ref="E72:E73" si="51">C72+D72</f>
        <v>0</v>
      </c>
      <c r="F72" s="386">
        <v>0</v>
      </c>
      <c r="H72" s="393" t="s">
        <v>32</v>
      </c>
      <c r="I72" s="135" t="s">
        <v>19</v>
      </c>
      <c r="J72" s="250"/>
      <c r="K72" s="16">
        <v>0</v>
      </c>
      <c r="L72" s="379">
        <v>0</v>
      </c>
      <c r="M72" s="365">
        <v>0</v>
      </c>
      <c r="N72" s="379">
        <v>0</v>
      </c>
      <c r="O72" s="46"/>
      <c r="P72" s="386">
        <v>0</v>
      </c>
      <c r="Q72" s="386">
        <f>D72+N72</f>
        <v>0</v>
      </c>
    </row>
    <row r="73" spans="1:17">
      <c r="A73" s="88" t="s">
        <v>88</v>
      </c>
      <c r="B73" s="72">
        <v>66.400000000000006</v>
      </c>
      <c r="C73" s="394">
        <v>6.0417401957449508</v>
      </c>
      <c r="D73" s="395">
        <v>0.52817807764414171</v>
      </c>
      <c r="E73" s="397">
        <f t="shared" si="51"/>
        <v>6.5699182733890922</v>
      </c>
      <c r="F73" s="397">
        <v>6.5726092539478085</v>
      </c>
      <c r="H73" s="103">
        <v>376</v>
      </c>
      <c r="I73" s="135">
        <f t="shared" ref="I73:I75" si="52">1000*C73/K73</f>
        <v>271.59869140620532</v>
      </c>
      <c r="J73" s="250"/>
      <c r="K73" s="16">
        <v>22.245100535881718</v>
      </c>
      <c r="L73" s="394">
        <f>K73*$H73/1000</f>
        <v>8.3641578014915261</v>
      </c>
      <c r="M73" s="364">
        <v>23.184403200000002</v>
      </c>
      <c r="N73" s="394">
        <f>M73*H73/1000</f>
        <v>8.7173356032000004</v>
      </c>
      <c r="O73" s="31"/>
      <c r="P73" s="397">
        <f>D73+L73</f>
        <v>8.8923358791356684</v>
      </c>
      <c r="Q73" s="397">
        <f>D73+N73</f>
        <v>9.2455136808441427</v>
      </c>
    </row>
    <row r="74" spans="1:17">
      <c r="A74" s="88" t="s">
        <v>95</v>
      </c>
      <c r="B74" s="72">
        <v>61.2</v>
      </c>
      <c r="C74" s="394">
        <v>4.8108812927250719</v>
      </c>
      <c r="D74" s="395">
        <v>0.39889188901254219</v>
      </c>
      <c r="E74" s="397">
        <f>C74+D74</f>
        <v>5.2097731817376145</v>
      </c>
      <c r="F74" s="397">
        <v>5.2125405164667606</v>
      </c>
      <c r="H74" s="103">
        <v>204.5</v>
      </c>
      <c r="I74" s="135">
        <f t="shared" si="52"/>
        <v>267.63639430041201</v>
      </c>
      <c r="J74" s="250"/>
      <c r="K74" s="16">
        <v>17.975437553253819</v>
      </c>
      <c r="L74" s="394">
        <f>K74*$H74/1000</f>
        <v>3.675976979640406</v>
      </c>
      <c r="M74" s="364">
        <v>13.529073600000002</v>
      </c>
      <c r="N74" s="394">
        <f>M74*H74/1000</f>
        <v>2.7666955512000002</v>
      </c>
      <c r="O74" s="6"/>
      <c r="P74" s="397">
        <f>D74+L74</f>
        <v>4.0748688686529482</v>
      </c>
      <c r="Q74" s="397">
        <f>D74+N74</f>
        <v>3.1655874402125423</v>
      </c>
    </row>
    <row r="75" spans="1:17">
      <c r="A75" s="88" t="s">
        <v>125</v>
      </c>
      <c r="B75" s="72">
        <v>1026.16425</v>
      </c>
      <c r="C75" s="379">
        <v>144.22947194622876</v>
      </c>
      <c r="D75" s="396">
        <v>7.111725887178209</v>
      </c>
      <c r="E75" s="386">
        <f t="shared" ref="E75:E77" si="53">C75+D75</f>
        <v>151.34119783340697</v>
      </c>
      <c r="F75" s="386">
        <v>148.88813415111301</v>
      </c>
      <c r="H75" s="103">
        <v>269</v>
      </c>
      <c r="I75" s="147">
        <f t="shared" si="52"/>
        <v>259.89116438175449</v>
      </c>
      <c r="J75" s="250"/>
      <c r="K75" s="361">
        <v>554.96104413295825</v>
      </c>
      <c r="L75" s="379">
        <f>K75*$H75/1000</f>
        <v>149.28452087176578</v>
      </c>
      <c r="M75" s="368">
        <v>277.60320000000002</v>
      </c>
      <c r="N75" s="379">
        <f>M75*H75/1000</f>
        <v>74.675260800000004</v>
      </c>
      <c r="O75" s="31"/>
      <c r="P75" s="386">
        <f t="shared" ref="P75:P77" si="54">D75+L75</f>
        <v>156.39624675894399</v>
      </c>
      <c r="Q75" s="386">
        <f t="shared" ref="Q75:Q77" si="55">D75+N75</f>
        <v>81.786986687178214</v>
      </c>
    </row>
    <row r="76" spans="1:17">
      <c r="A76" s="88" t="s">
        <v>128</v>
      </c>
      <c r="B76" s="72">
        <v>0</v>
      </c>
      <c r="C76" s="379">
        <v>0</v>
      </c>
      <c r="D76" s="413">
        <v>0</v>
      </c>
      <c r="E76" s="386">
        <f t="shared" si="53"/>
        <v>0</v>
      </c>
      <c r="F76" s="386">
        <v>0</v>
      </c>
      <c r="H76" s="103" t="s">
        <v>32</v>
      </c>
      <c r="I76" s="147" t="s">
        <v>19</v>
      </c>
      <c r="J76" s="250"/>
      <c r="K76" s="16">
        <v>0</v>
      </c>
      <c r="L76" s="379">
        <v>0</v>
      </c>
      <c r="M76" s="365">
        <v>0</v>
      </c>
      <c r="N76" s="379">
        <v>0</v>
      </c>
      <c r="O76" s="48"/>
      <c r="P76" s="386">
        <f t="shared" si="54"/>
        <v>0</v>
      </c>
      <c r="Q76" s="386">
        <f t="shared" si="55"/>
        <v>0</v>
      </c>
    </row>
    <row r="77" spans="1:17">
      <c r="A77" s="88" t="s">
        <v>247</v>
      </c>
      <c r="B77" s="73">
        <v>654</v>
      </c>
      <c r="C77" s="379">
        <v>46.546841420137575</v>
      </c>
      <c r="D77" s="396">
        <v>2.8663884607480701</v>
      </c>
      <c r="E77" s="386">
        <f t="shared" si="53"/>
        <v>49.413229880885645</v>
      </c>
      <c r="F77" s="386">
        <v>49.281638698190498</v>
      </c>
      <c r="H77" s="103">
        <v>251.1245323175886</v>
      </c>
      <c r="I77" s="147">
        <f t="shared" ref="I77" si="56">1000*C77/K77</f>
        <v>256.19928337438546</v>
      </c>
      <c r="J77" s="250"/>
      <c r="K77" s="299">
        <v>181.68216868943546</v>
      </c>
      <c r="L77" s="379">
        <f>K77*$H77/1000</f>
        <v>45.624849642579719</v>
      </c>
      <c r="M77" s="368">
        <v>188.69759999999999</v>
      </c>
      <c r="N77" s="379">
        <f>M77*H77/1000</f>
        <v>47.386596549451404</v>
      </c>
      <c r="O77" s="48"/>
      <c r="P77" s="386">
        <f t="shared" si="54"/>
        <v>48.491238103327788</v>
      </c>
      <c r="Q77" s="386">
        <f t="shared" si="55"/>
        <v>50.252985010199474</v>
      </c>
    </row>
    <row r="78" spans="1:17" ht="16">
      <c r="A78" s="164" t="s">
        <v>187</v>
      </c>
      <c r="B78" s="360">
        <f>SUM(B71:B77)</f>
        <v>1871.1059441949669</v>
      </c>
      <c r="C78" s="415">
        <f>SUM(C71:C77)</f>
        <v>212.7045981490264</v>
      </c>
      <c r="D78" s="432">
        <f>SUM(D71:D77)</f>
        <v>11.666018687906474</v>
      </c>
      <c r="E78" s="415">
        <f>SUM(E71:E77)</f>
        <v>224.37061683693284</v>
      </c>
      <c r="F78" s="432">
        <f>SUM(F71:F77)</f>
        <v>221.61856630793517</v>
      </c>
      <c r="H78" s="150">
        <f>H48</f>
        <v>258.5</v>
      </c>
      <c r="I78" s="155">
        <f>1000*C78/K78</f>
        <v>260.21338611773996</v>
      </c>
      <c r="J78" s="250"/>
      <c r="K78" s="415">
        <f>SUM(K71:K77)</f>
        <v>817.42373565971332</v>
      </c>
      <c r="L78" s="415">
        <f>SUM(L71:L77)</f>
        <v>216.82586158166026</v>
      </c>
      <c r="M78" s="415">
        <f>SUM(M71:M77)</f>
        <v>536.77935360000004</v>
      </c>
      <c r="N78" s="415">
        <f>SUM(N71:N77)</f>
        <v>141.7676847046514</v>
      </c>
      <c r="O78" s="546"/>
      <c r="P78" s="547">
        <f>SUM(P71:P77)</f>
        <v>228.49188026956674</v>
      </c>
      <c r="Q78" s="547">
        <f>SUM(Q71:Q77)</f>
        <v>153.43370339255787</v>
      </c>
    </row>
    <row r="79" spans="1:17">
      <c r="H79" s="46"/>
      <c r="I79" s="437">
        <f>1000*(F78-D78)/K78</f>
        <v>256.8466493703948</v>
      </c>
      <c r="J79" s="10" t="s">
        <v>26</v>
      </c>
      <c r="K79" s="415">
        <f>K78</f>
        <v>817.42373565971332</v>
      </c>
      <c r="L79" s="415">
        <f>$H$58*K79/1000</f>
        <v>211.30403566803588</v>
      </c>
      <c r="M79" s="415">
        <f>M78</f>
        <v>536.77935360000004</v>
      </c>
      <c r="N79" s="415">
        <f>$H$58*M79/1000</f>
        <v>138.75746290559999</v>
      </c>
      <c r="O79" s="472"/>
      <c r="P79" s="415">
        <f>D78+L79</f>
        <v>222.97005435594235</v>
      </c>
      <c r="Q79" s="415">
        <f>D78+N79</f>
        <v>150.42348159350647</v>
      </c>
    </row>
  </sheetData>
  <mergeCells count="2">
    <mergeCell ref="A1:Q1"/>
    <mergeCell ref="A2:Q2"/>
  </mergeCells>
  <pageMargins left="0.7" right="0.7" top="0.75" bottom="0.75" header="0.3" footer="0.3"/>
  <pageSetup scale="5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CAEE6-0837-428D-9D9A-012F04F922C9}">
  <sheetPr>
    <pageSetUpPr fitToPage="1"/>
  </sheetPr>
  <dimension ref="A1:O25"/>
  <sheetViews>
    <sheetView view="pageLayout" topLeftCell="A4" zoomScaleNormal="100" workbookViewId="0">
      <selection activeCell="C22" sqref="C22:C25"/>
    </sheetView>
  </sheetViews>
  <sheetFormatPr baseColWidth="10" defaultColWidth="8.83203125" defaultRowHeight="15"/>
  <cols>
    <col min="1" max="1" width="18.83203125" customWidth="1"/>
    <col min="7" max="7" width="2.33203125" customWidth="1"/>
    <col min="8" max="8" width="10.83203125" customWidth="1"/>
    <col min="9" max="9" width="2.5" customWidth="1"/>
    <col min="10" max="10" width="9.5" bestFit="1" customWidth="1"/>
    <col min="11" max="11" width="10.5" bestFit="1" customWidth="1"/>
  </cols>
  <sheetData>
    <row r="1" spans="1:15" ht="35.25" customHeight="1">
      <c r="A1" s="618" t="s">
        <v>249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</row>
    <row r="2" spans="1:15" ht="85.5" customHeight="1">
      <c r="A2" s="619" t="s">
        <v>140</v>
      </c>
      <c r="B2" s="619"/>
      <c r="C2" s="619"/>
      <c r="D2" s="619"/>
      <c r="E2" s="619"/>
      <c r="F2" s="619"/>
      <c r="G2" s="619"/>
      <c r="H2" s="619"/>
      <c r="I2" s="619"/>
      <c r="J2" s="619"/>
      <c r="K2" s="619"/>
      <c r="L2" s="619"/>
      <c r="M2" s="619"/>
    </row>
    <row r="4" spans="1:15">
      <c r="B4" s="42" t="s">
        <v>27</v>
      </c>
      <c r="C4" s="40" t="s">
        <v>56</v>
      </c>
      <c r="D4" s="40" t="s">
        <v>57</v>
      </c>
      <c r="E4" s="187" t="s">
        <v>58</v>
      </c>
      <c r="F4" s="187" t="s">
        <v>59</v>
      </c>
      <c r="G4" s="43"/>
      <c r="H4" s="40" t="s">
        <v>56</v>
      </c>
      <c r="I4" s="44"/>
      <c r="J4" s="40" t="s">
        <v>16</v>
      </c>
      <c r="K4" s="40" t="s">
        <v>60</v>
      </c>
      <c r="L4" s="40" t="s">
        <v>17</v>
      </c>
      <c r="M4" s="40" t="s">
        <v>61</v>
      </c>
    </row>
    <row r="5" spans="1:15">
      <c r="B5" s="187" t="s">
        <v>30</v>
      </c>
      <c r="C5" s="187" t="s">
        <v>35</v>
      </c>
      <c r="D5" s="187" t="s">
        <v>35</v>
      </c>
      <c r="E5" s="187" t="s">
        <v>35</v>
      </c>
      <c r="F5" s="187" t="s">
        <v>35</v>
      </c>
      <c r="G5" s="43"/>
      <c r="H5" s="40" t="s">
        <v>29</v>
      </c>
      <c r="I5" s="44"/>
      <c r="J5" s="187" t="s">
        <v>35</v>
      </c>
      <c r="K5" s="187" t="s">
        <v>35</v>
      </c>
      <c r="L5" s="187" t="s">
        <v>35</v>
      </c>
      <c r="M5" s="187" t="s">
        <v>35</v>
      </c>
    </row>
    <row r="6" spans="1:15" ht="32">
      <c r="B6" s="186" t="s">
        <v>28</v>
      </c>
      <c r="C6" s="188" t="s">
        <v>8</v>
      </c>
      <c r="D6" s="188" t="s">
        <v>8</v>
      </c>
      <c r="E6" s="189" t="s">
        <v>8</v>
      </c>
      <c r="F6" s="189" t="s">
        <v>8</v>
      </c>
      <c r="G6" s="190"/>
      <c r="H6" s="191" t="s">
        <v>136</v>
      </c>
      <c r="I6" s="192"/>
      <c r="J6" s="188" t="s">
        <v>13</v>
      </c>
      <c r="K6" s="188" t="s">
        <v>8</v>
      </c>
      <c r="L6" s="188" t="s">
        <v>13</v>
      </c>
      <c r="M6" s="188" t="s">
        <v>8</v>
      </c>
    </row>
    <row r="7" spans="1:15" ht="16">
      <c r="A7" s="164" t="s">
        <v>177</v>
      </c>
      <c r="C7" s="193"/>
      <c r="D7" s="44"/>
      <c r="E7" s="44"/>
      <c r="F7" s="118"/>
      <c r="G7" s="118"/>
      <c r="H7" s="193"/>
      <c r="I7" s="44"/>
      <c r="J7" s="44"/>
      <c r="K7" s="44"/>
      <c r="L7" s="44"/>
      <c r="M7" s="44"/>
      <c r="N7" s="44"/>
      <c r="O7" s="162"/>
    </row>
    <row r="8" spans="1:15">
      <c r="A8" s="88" t="s">
        <v>180</v>
      </c>
      <c r="B8" s="72">
        <v>63.341694194967005</v>
      </c>
      <c r="C8" s="81"/>
      <c r="D8" s="79"/>
      <c r="E8" s="83"/>
      <c r="F8" s="83"/>
      <c r="H8" s="163">
        <v>194</v>
      </c>
      <c r="J8" s="36">
        <v>4.3</v>
      </c>
      <c r="K8" s="81">
        <f>H8*J8/1000</f>
        <v>0.83419999999999994</v>
      </c>
      <c r="L8" s="4" t="s">
        <v>32</v>
      </c>
      <c r="M8" s="4" t="s">
        <v>32</v>
      </c>
      <c r="N8" s="118"/>
      <c r="O8" s="162"/>
    </row>
    <row r="9" spans="1:15">
      <c r="A9" s="88" t="s">
        <v>181</v>
      </c>
      <c r="B9" s="72">
        <v>0</v>
      </c>
      <c r="C9" s="81" t="s">
        <v>32</v>
      </c>
      <c r="D9" s="79" t="s">
        <v>32</v>
      </c>
      <c r="E9" s="83" t="s">
        <v>32</v>
      </c>
      <c r="F9" s="83" t="s">
        <v>32</v>
      </c>
      <c r="H9" s="163" t="s">
        <v>19</v>
      </c>
      <c r="I9" s="194"/>
      <c r="J9" s="198">
        <v>0</v>
      </c>
      <c r="K9" s="77">
        <v>0</v>
      </c>
      <c r="L9" s="8">
        <v>0</v>
      </c>
      <c r="M9" s="8">
        <v>0</v>
      </c>
      <c r="N9" s="192"/>
      <c r="O9" s="162"/>
    </row>
    <row r="10" spans="1:15">
      <c r="A10" s="88" t="s">
        <v>182</v>
      </c>
      <c r="B10" s="72">
        <v>66.400000000000006</v>
      </c>
      <c r="C10" s="81"/>
      <c r="D10" s="79"/>
      <c r="E10" s="83"/>
      <c r="F10" s="83"/>
      <c r="H10" s="163">
        <v>351</v>
      </c>
      <c r="J10" s="36">
        <v>4.3</v>
      </c>
      <c r="K10" s="81">
        <f t="shared" ref="K10:K12" si="0">H10*J10/1000</f>
        <v>1.5092999999999999</v>
      </c>
      <c r="L10" s="4" t="s">
        <v>32</v>
      </c>
      <c r="M10" s="4" t="s">
        <v>32</v>
      </c>
    </row>
    <row r="11" spans="1:15">
      <c r="A11" s="88" t="s">
        <v>183</v>
      </c>
      <c r="B11" s="72">
        <v>61.2</v>
      </c>
      <c r="C11" s="81"/>
      <c r="D11" s="79"/>
      <c r="E11" s="83"/>
      <c r="F11" s="83"/>
      <c r="H11" s="163">
        <v>195</v>
      </c>
      <c r="J11" s="36">
        <v>4.4000000000000004</v>
      </c>
      <c r="K11" s="81">
        <f t="shared" si="0"/>
        <v>0.8580000000000001</v>
      </c>
      <c r="L11" s="4" t="s">
        <v>32</v>
      </c>
      <c r="M11" s="4" t="s">
        <v>32</v>
      </c>
    </row>
    <row r="12" spans="1:15">
      <c r="A12" s="88" t="s">
        <v>184</v>
      </c>
      <c r="B12" s="72">
        <v>1026.16425</v>
      </c>
      <c r="C12" s="81"/>
      <c r="D12" s="79"/>
      <c r="E12" s="83"/>
      <c r="F12" s="83"/>
      <c r="H12" s="163">
        <v>254</v>
      </c>
      <c r="J12" s="143">
        <v>150</v>
      </c>
      <c r="K12" s="77">
        <f t="shared" si="0"/>
        <v>38.1</v>
      </c>
      <c r="L12" s="4" t="s">
        <v>32</v>
      </c>
      <c r="M12" s="4" t="s">
        <v>32</v>
      </c>
    </row>
    <row r="13" spans="1:15">
      <c r="A13" s="88" t="s">
        <v>186</v>
      </c>
      <c r="B13" s="72">
        <v>0</v>
      </c>
      <c r="C13" s="81" t="s">
        <v>32</v>
      </c>
      <c r="D13" s="79" t="s">
        <v>32</v>
      </c>
      <c r="E13" s="83" t="s">
        <v>32</v>
      </c>
      <c r="F13" s="83" t="s">
        <v>32</v>
      </c>
      <c r="H13" s="163" t="s">
        <v>19</v>
      </c>
      <c r="J13" s="143">
        <v>0</v>
      </c>
      <c r="K13" s="77">
        <v>0</v>
      </c>
      <c r="L13" s="8">
        <v>0</v>
      </c>
      <c r="M13" s="8">
        <v>0</v>
      </c>
    </row>
    <row r="14" spans="1:15">
      <c r="A14" s="88" t="s">
        <v>185</v>
      </c>
      <c r="B14" s="72">
        <v>654</v>
      </c>
      <c r="C14" s="81"/>
      <c r="D14" s="79"/>
      <c r="E14" s="83"/>
      <c r="F14" s="83"/>
      <c r="H14" s="163">
        <v>248</v>
      </c>
      <c r="J14" s="143">
        <v>85</v>
      </c>
      <c r="K14" s="77">
        <f t="shared" ref="K14:K15" si="1">H14*J14/1000</f>
        <v>21.08</v>
      </c>
      <c r="L14" s="4" t="s">
        <v>32</v>
      </c>
      <c r="M14" s="4" t="s">
        <v>32</v>
      </c>
    </row>
    <row r="15" spans="1:15" ht="16">
      <c r="A15" s="164" t="s">
        <v>187</v>
      </c>
      <c r="B15" s="72">
        <f>SUM(B8:B14)</f>
        <v>1871.1059441949669</v>
      </c>
      <c r="C15" s="81"/>
      <c r="D15" s="79"/>
      <c r="E15" s="83"/>
      <c r="F15" s="83"/>
      <c r="H15" s="199">
        <v>249</v>
      </c>
      <c r="J15" s="239">
        <f>SUM(J8:J14)</f>
        <v>248</v>
      </c>
      <c r="K15" s="77">
        <f t="shared" si="1"/>
        <v>61.752000000000002</v>
      </c>
      <c r="L15" s="4" t="s">
        <v>32</v>
      </c>
      <c r="M15" s="4" t="s">
        <v>32</v>
      </c>
    </row>
    <row r="16" spans="1:15" ht="16">
      <c r="A16" s="164"/>
      <c r="K16" s="37"/>
    </row>
    <row r="17" spans="1:13" ht="16">
      <c r="A17" s="1" t="s">
        <v>178</v>
      </c>
      <c r="B17" s="26"/>
      <c r="K17" s="37"/>
    </row>
    <row r="18" spans="1:13">
      <c r="A18" s="88" t="s">
        <v>180</v>
      </c>
      <c r="B18" s="72">
        <v>63.341694194967005</v>
      </c>
      <c r="C18" s="81"/>
      <c r="D18" s="79"/>
      <c r="E18" s="83"/>
      <c r="F18" s="83"/>
      <c r="H18" s="163">
        <v>293</v>
      </c>
      <c r="J18" s="36">
        <v>2.4</v>
      </c>
      <c r="K18" s="81">
        <f>H18*J18/1000</f>
        <v>0.70319999999999994</v>
      </c>
      <c r="L18" s="4" t="s">
        <v>32</v>
      </c>
      <c r="M18" s="4" t="s">
        <v>32</v>
      </c>
    </row>
    <row r="19" spans="1:13">
      <c r="A19" s="88" t="s">
        <v>181</v>
      </c>
      <c r="B19" s="72">
        <v>0</v>
      </c>
      <c r="C19" s="81" t="s">
        <v>32</v>
      </c>
      <c r="D19" s="79" t="s">
        <v>32</v>
      </c>
      <c r="E19" s="83" t="s">
        <v>32</v>
      </c>
      <c r="F19" s="83" t="s">
        <v>32</v>
      </c>
      <c r="H19" s="163" t="s">
        <v>19</v>
      </c>
      <c r="J19" s="143">
        <v>0</v>
      </c>
      <c r="K19" s="77">
        <v>0</v>
      </c>
      <c r="L19" s="8">
        <v>0</v>
      </c>
      <c r="M19" s="8">
        <v>0</v>
      </c>
    </row>
    <row r="20" spans="1:13">
      <c r="A20" s="88" t="s">
        <v>182</v>
      </c>
      <c r="B20" s="72">
        <v>66.400000000000006</v>
      </c>
      <c r="C20" s="81"/>
      <c r="D20" s="79"/>
      <c r="E20" s="83"/>
      <c r="F20" s="83"/>
      <c r="H20" s="163">
        <v>401</v>
      </c>
      <c r="J20" s="36">
        <v>2.5</v>
      </c>
      <c r="K20" s="81">
        <f t="shared" ref="K20:K22" si="2">H20*J20/1000</f>
        <v>1.0024999999999999</v>
      </c>
      <c r="L20" s="4" t="s">
        <v>32</v>
      </c>
      <c r="M20" s="4" t="s">
        <v>32</v>
      </c>
    </row>
    <row r="21" spans="1:13">
      <c r="A21" s="88" t="s">
        <v>183</v>
      </c>
      <c r="B21" s="72">
        <v>61.2</v>
      </c>
      <c r="C21" s="81"/>
      <c r="D21" s="79"/>
      <c r="E21" s="83"/>
      <c r="F21" s="83"/>
      <c r="H21" s="163">
        <v>214</v>
      </c>
      <c r="J21" s="36">
        <v>2.4</v>
      </c>
      <c r="K21" s="81">
        <f t="shared" si="2"/>
        <v>0.51360000000000006</v>
      </c>
      <c r="L21" s="4" t="s">
        <v>32</v>
      </c>
      <c r="M21" s="4" t="s">
        <v>32</v>
      </c>
    </row>
    <row r="22" spans="1:13">
      <c r="A22" s="88" t="s">
        <v>184</v>
      </c>
      <c r="B22" s="72">
        <v>1026.16425</v>
      </c>
      <c r="C22" s="81">
        <v>18.13745818805177</v>
      </c>
      <c r="D22" s="79"/>
      <c r="E22" s="83"/>
      <c r="F22" s="83"/>
      <c r="H22" s="163">
        <v>284</v>
      </c>
      <c r="J22" s="143">
        <v>80</v>
      </c>
      <c r="K22" s="77">
        <f t="shared" si="2"/>
        <v>22.72</v>
      </c>
      <c r="L22" s="4" t="s">
        <v>32</v>
      </c>
      <c r="M22" s="4" t="s">
        <v>32</v>
      </c>
    </row>
    <row r="23" spans="1:13">
      <c r="A23" s="88" t="s">
        <v>186</v>
      </c>
      <c r="B23" s="72">
        <v>0</v>
      </c>
      <c r="C23" s="81">
        <v>18.447693526214795</v>
      </c>
      <c r="D23" s="79" t="s">
        <v>32</v>
      </c>
      <c r="E23" s="83" t="s">
        <v>32</v>
      </c>
      <c r="F23" s="83" t="s">
        <v>32</v>
      </c>
      <c r="H23" s="163" t="s">
        <v>32</v>
      </c>
      <c r="J23" s="143">
        <v>0</v>
      </c>
      <c r="K23" s="77">
        <v>0</v>
      </c>
      <c r="L23" s="8">
        <v>0</v>
      </c>
      <c r="M23" s="8">
        <v>0</v>
      </c>
    </row>
    <row r="24" spans="1:13">
      <c r="A24" s="88" t="s">
        <v>185</v>
      </c>
      <c r="B24" s="73">
        <v>654</v>
      </c>
      <c r="C24" s="81" t="s">
        <v>212</v>
      </c>
      <c r="D24" s="79"/>
      <c r="E24" s="83"/>
      <c r="F24" s="83"/>
      <c r="H24" s="163">
        <v>273</v>
      </c>
      <c r="J24" s="143">
        <v>45</v>
      </c>
      <c r="K24" s="77">
        <f t="shared" ref="K24:K25" si="3">H24*J24/1000</f>
        <v>12.285</v>
      </c>
      <c r="L24" s="4" t="s">
        <v>32</v>
      </c>
      <c r="M24" s="4" t="s">
        <v>32</v>
      </c>
    </row>
    <row r="25" spans="1:13" ht="16">
      <c r="A25" s="164" t="s">
        <v>187</v>
      </c>
      <c r="B25" s="197">
        <f>SUM(B18:B24)</f>
        <v>1871.1059441949669</v>
      </c>
      <c r="C25" s="81">
        <v>18.051588922627911</v>
      </c>
      <c r="D25" s="79"/>
      <c r="E25" s="83"/>
      <c r="F25" s="83"/>
      <c r="H25" s="199">
        <v>282</v>
      </c>
      <c r="J25" s="239">
        <f>SUM(J18:J24)</f>
        <v>132.30000000000001</v>
      </c>
      <c r="K25" s="77">
        <f t="shared" si="3"/>
        <v>37.308600000000006</v>
      </c>
      <c r="L25" s="4" t="s">
        <v>32</v>
      </c>
      <c r="M25" s="4" t="s">
        <v>32</v>
      </c>
    </row>
  </sheetData>
  <mergeCells count="2">
    <mergeCell ref="A1:M1"/>
    <mergeCell ref="A2:M2"/>
  </mergeCells>
  <pageMargins left="0.7" right="0.7" top="0.75" bottom="0.75" header="0.3" footer="0.3"/>
  <pageSetup scale="78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7"/>
  <sheetViews>
    <sheetView view="pageLayout" topLeftCell="A4" zoomScaleNormal="100" workbookViewId="0">
      <selection activeCell="A2" sqref="A2:J2"/>
    </sheetView>
  </sheetViews>
  <sheetFormatPr baseColWidth="10" defaultColWidth="8.83203125" defaultRowHeight="15"/>
  <cols>
    <col min="1" max="1" width="6" customWidth="1"/>
    <col min="2" max="2" width="11.1640625" customWidth="1"/>
    <col min="3" max="3" width="12.1640625" customWidth="1"/>
    <col min="4" max="4" width="13.5" customWidth="1"/>
    <col min="5" max="5" width="14.5" customWidth="1"/>
    <col min="6" max="7" width="10.33203125" bestFit="1" customWidth="1"/>
    <col min="8" max="8" width="17" customWidth="1"/>
    <col min="9" max="9" width="13.83203125" customWidth="1"/>
    <col min="10" max="10" width="25.5" customWidth="1"/>
  </cols>
  <sheetData>
    <row r="1" spans="1:10" ht="16">
      <c r="A1" s="121" t="s">
        <v>201</v>
      </c>
    </row>
    <row r="2" spans="1:10" ht="51" customHeight="1">
      <c r="A2" s="606" t="s">
        <v>96</v>
      </c>
      <c r="B2" s="606"/>
      <c r="C2" s="606"/>
      <c r="D2" s="606"/>
      <c r="E2" s="606"/>
      <c r="F2" s="606"/>
      <c r="G2" s="606"/>
      <c r="H2" s="606"/>
      <c r="I2" s="606"/>
      <c r="J2" s="606"/>
    </row>
    <row r="3" spans="1:10" ht="64">
      <c r="A3" s="122" t="s">
        <v>97</v>
      </c>
      <c r="B3" s="122" t="s">
        <v>98</v>
      </c>
      <c r="C3" s="123" t="s">
        <v>99</v>
      </c>
      <c r="D3" s="123" t="s">
        <v>100</v>
      </c>
      <c r="E3" s="123" t="s">
        <v>101</v>
      </c>
      <c r="F3" s="123" t="s">
        <v>102</v>
      </c>
      <c r="G3" s="123" t="s">
        <v>103</v>
      </c>
      <c r="H3" s="123" t="s">
        <v>104</v>
      </c>
      <c r="I3" s="123" t="s">
        <v>105</v>
      </c>
      <c r="J3" s="122" t="s">
        <v>106</v>
      </c>
    </row>
    <row r="4" spans="1:10" ht="64">
      <c r="A4" s="19">
        <v>1</v>
      </c>
      <c r="B4" s="124" t="s">
        <v>107</v>
      </c>
      <c r="C4" s="124">
        <v>6</v>
      </c>
      <c r="D4" s="124" t="s">
        <v>108</v>
      </c>
      <c r="E4" s="124">
        <v>44</v>
      </c>
      <c r="F4" s="124">
        <v>2</v>
      </c>
      <c r="G4" s="124">
        <v>46</v>
      </c>
      <c r="H4" s="125" t="s">
        <v>109</v>
      </c>
      <c r="I4" s="125" t="s">
        <v>110</v>
      </c>
      <c r="J4" s="126" t="s">
        <v>111</v>
      </c>
    </row>
    <row r="5" spans="1:10" ht="96">
      <c r="A5" s="19">
        <v>2</v>
      </c>
      <c r="B5" s="124" t="s">
        <v>112</v>
      </c>
      <c r="C5" s="124">
        <v>4</v>
      </c>
      <c r="D5" s="124" t="s">
        <v>113</v>
      </c>
      <c r="E5" s="124">
        <v>365</v>
      </c>
      <c r="F5" s="124">
        <v>44</v>
      </c>
      <c r="G5" s="124">
        <v>409</v>
      </c>
      <c r="H5" s="125" t="s">
        <v>109</v>
      </c>
      <c r="I5" s="125" t="s">
        <v>114</v>
      </c>
      <c r="J5" s="126" t="s">
        <v>115</v>
      </c>
    </row>
    <row r="6" spans="1:10" ht="80">
      <c r="A6" s="19">
        <v>3</v>
      </c>
      <c r="B6" s="124" t="s">
        <v>127</v>
      </c>
      <c r="C6" s="124">
        <v>19</v>
      </c>
      <c r="D6" s="124" t="s">
        <v>116</v>
      </c>
      <c r="E6" s="124">
        <f>208+26</f>
        <v>234</v>
      </c>
      <c r="F6" s="124">
        <v>17</v>
      </c>
      <c r="G6" s="124">
        <f>E6+F6</f>
        <v>251</v>
      </c>
      <c r="H6" s="125" t="s">
        <v>117</v>
      </c>
      <c r="I6" s="125" t="s">
        <v>114</v>
      </c>
      <c r="J6" s="126" t="s">
        <v>118</v>
      </c>
    </row>
    <row r="7" spans="1:10">
      <c r="A7" s="2" t="s">
        <v>119</v>
      </c>
      <c r="B7" s="2"/>
      <c r="C7" s="3">
        <f>SUM(C4:C6)</f>
        <v>29</v>
      </c>
      <c r="D7" s="2"/>
      <c r="E7" s="3">
        <f>SUM(E4:E6)</f>
        <v>643</v>
      </c>
      <c r="F7" s="3">
        <f>SUM(F4:F6)</f>
        <v>63</v>
      </c>
      <c r="G7" s="3">
        <f>SUM(G4:G6)</f>
        <v>706</v>
      </c>
      <c r="H7" s="2"/>
      <c r="I7" s="2"/>
      <c r="J7" s="2"/>
    </row>
  </sheetData>
  <mergeCells count="1">
    <mergeCell ref="A2:J2"/>
  </mergeCells>
  <pageMargins left="0.7" right="0.7" top="0.75" bottom="0.75" header="0.3" footer="0.3"/>
  <pageSetup scale="91" orientation="landscape" r:id="rId1"/>
  <headerFooter>
    <oddHeader>&amp;LDraft Open-File Report&amp;RU.S. GEOLOGICAL SURVEY</oddHeader>
    <oddFooter>&amp;LPRELIMINARY - SUBJECT TO REVISION&amp;ROctober 21. 2019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303FE-55D2-474E-B3D3-90C470E07A7D}">
  <dimension ref="A1"/>
  <sheetViews>
    <sheetView workbookViewId="0">
      <selection activeCell="G17" sqref="G17"/>
    </sheetView>
  </sheetViews>
  <sheetFormatPr baseColWidth="10" defaultColWidth="8.83203125" defaultRowHeight="1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9AAA0-F10E-45A3-AC9C-A3F5F9B36503}">
  <sheetPr>
    <tabColor rgb="FF00FF99"/>
  </sheetPr>
  <dimension ref="A1:Q79"/>
  <sheetViews>
    <sheetView topLeftCell="A61" zoomScale="110" zoomScaleNormal="110" workbookViewId="0">
      <selection activeCell="K71" sqref="K71:N78"/>
    </sheetView>
  </sheetViews>
  <sheetFormatPr baseColWidth="10" defaultColWidth="8.83203125" defaultRowHeight="15"/>
  <cols>
    <col min="1" max="1" width="17.5" customWidth="1"/>
    <col min="2" max="2" width="9.5" bestFit="1" customWidth="1"/>
    <col min="4" max="4" width="11.5" bestFit="1" customWidth="1"/>
    <col min="5" max="6" width="10.5" bestFit="1" customWidth="1"/>
    <col min="7" max="7" width="2.6640625" customWidth="1"/>
    <col min="8" max="9" width="10.1640625" customWidth="1"/>
    <col min="10" max="10" width="6.5" customWidth="1"/>
    <col min="11" max="11" width="8.5" customWidth="1"/>
    <col min="12" max="12" width="10.5" customWidth="1"/>
    <col min="13" max="13" width="9" customWidth="1"/>
    <col min="14" max="14" width="10.5" bestFit="1" customWidth="1"/>
    <col min="15" max="15" width="1.5" customWidth="1"/>
    <col min="16" max="16" width="16.1640625" bestFit="1" customWidth="1"/>
    <col min="17" max="17" width="16.83203125" bestFit="1" customWidth="1"/>
  </cols>
  <sheetData>
    <row r="1" spans="1:17" ht="16">
      <c r="A1" s="618" t="s">
        <v>251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</row>
    <row r="2" spans="1:17">
      <c r="A2" s="619" t="s">
        <v>163</v>
      </c>
      <c r="B2" s="619"/>
      <c r="C2" s="619"/>
      <c r="D2" s="619"/>
      <c r="E2" s="619"/>
      <c r="F2" s="619"/>
      <c r="G2" s="619"/>
      <c r="H2" s="619"/>
      <c r="I2" s="619"/>
      <c r="J2" s="619"/>
      <c r="K2" s="619"/>
      <c r="L2" s="619"/>
      <c r="M2" s="619"/>
      <c r="N2" s="619"/>
      <c r="O2" s="619"/>
      <c r="P2" s="619"/>
      <c r="Q2" s="619"/>
    </row>
    <row r="4" spans="1:17">
      <c r="B4" s="42" t="s">
        <v>27</v>
      </c>
      <c r="C4" s="40" t="s">
        <v>62</v>
      </c>
      <c r="D4" s="40" t="s">
        <v>63</v>
      </c>
      <c r="E4" s="295" t="s">
        <v>64</v>
      </c>
      <c r="F4" s="295" t="s">
        <v>65</v>
      </c>
      <c r="G4" s="43"/>
      <c r="H4" s="40" t="s">
        <v>62</v>
      </c>
      <c r="I4" s="40" t="s">
        <v>62</v>
      </c>
      <c r="J4" s="296"/>
      <c r="K4" s="40" t="s">
        <v>16</v>
      </c>
      <c r="L4" s="40" t="s">
        <v>66</v>
      </c>
      <c r="M4" s="40" t="s">
        <v>17</v>
      </c>
      <c r="N4" s="40" t="s">
        <v>67</v>
      </c>
      <c r="P4" s="40" t="s">
        <v>73</v>
      </c>
      <c r="Q4" s="40" t="s">
        <v>74</v>
      </c>
    </row>
    <row r="5" spans="1:17">
      <c r="B5" s="295" t="s">
        <v>30</v>
      </c>
      <c r="C5" s="295" t="s">
        <v>31</v>
      </c>
      <c r="D5" s="295" t="s">
        <v>31</v>
      </c>
      <c r="E5" s="295" t="s">
        <v>31</v>
      </c>
      <c r="F5" s="295" t="s">
        <v>31</v>
      </c>
      <c r="G5" s="43"/>
      <c r="H5" s="40" t="s">
        <v>29</v>
      </c>
      <c r="I5" s="40" t="s">
        <v>29</v>
      </c>
      <c r="J5" s="296"/>
      <c r="K5" s="285" t="s">
        <v>31</v>
      </c>
      <c r="L5" s="295" t="s">
        <v>31</v>
      </c>
      <c r="M5" s="295" t="s">
        <v>31</v>
      </c>
      <c r="N5" s="295" t="s">
        <v>31</v>
      </c>
      <c r="P5" s="295" t="s">
        <v>31</v>
      </c>
      <c r="Q5" s="295" t="s">
        <v>31</v>
      </c>
    </row>
    <row r="6" spans="1:17" ht="52">
      <c r="A6" s="162"/>
      <c r="B6" s="294" t="s">
        <v>28</v>
      </c>
      <c r="C6" s="18" t="s">
        <v>8</v>
      </c>
      <c r="D6" s="18" t="s">
        <v>8</v>
      </c>
      <c r="E6" s="294" t="s">
        <v>8</v>
      </c>
      <c r="F6" s="294" t="s">
        <v>8</v>
      </c>
      <c r="G6" s="20"/>
      <c r="H6" s="21" t="s">
        <v>136</v>
      </c>
      <c r="I6" s="371" t="s">
        <v>254</v>
      </c>
      <c r="J6" s="22"/>
      <c r="K6" s="286" t="s">
        <v>13</v>
      </c>
      <c r="L6" s="18" t="s">
        <v>8</v>
      </c>
      <c r="M6" s="18" t="s">
        <v>13</v>
      </c>
      <c r="N6" s="18" t="s">
        <v>8</v>
      </c>
      <c r="P6" s="18" t="s">
        <v>8</v>
      </c>
      <c r="Q6" s="18" t="s">
        <v>8</v>
      </c>
    </row>
    <row r="7" spans="1:17" ht="16">
      <c r="A7" s="164" t="s">
        <v>177</v>
      </c>
    </row>
    <row r="8" spans="1:17">
      <c r="A8" s="88" t="s">
        <v>4</v>
      </c>
      <c r="B8" s="72">
        <v>63.341694194967005</v>
      </c>
      <c r="C8" s="352">
        <v>2.2526130651526869E-2</v>
      </c>
      <c r="D8" s="355">
        <v>4.72855873728786E-3</v>
      </c>
      <c r="E8" s="460">
        <f t="shared" ref="E8:E14" si="0">C8+D8</f>
        <v>2.7254689388814729E-2</v>
      </c>
      <c r="F8" s="460">
        <v>2.6770129286622139E-2</v>
      </c>
      <c r="H8" s="105">
        <v>1.25</v>
      </c>
      <c r="I8" s="466">
        <f>1000*C8/K8</f>
        <v>0.91081085295257225</v>
      </c>
      <c r="K8" s="461">
        <v>24.7319523900094</v>
      </c>
      <c r="L8" s="352">
        <f>K8*$H8/1000</f>
        <v>3.0914940487511748E-2</v>
      </c>
      <c r="M8" s="143">
        <v>33.9</v>
      </c>
      <c r="N8" s="312">
        <f>M8*H8/1000</f>
        <v>4.2375000000000003E-2</v>
      </c>
      <c r="P8" s="460">
        <f>L8+D8</f>
        <v>3.5643499224799605E-2</v>
      </c>
      <c r="Q8" s="460">
        <f>N8+D8</f>
        <v>4.7103558737287859E-2</v>
      </c>
    </row>
    <row r="9" spans="1:17">
      <c r="A9" s="88" t="s">
        <v>5</v>
      </c>
      <c r="B9" s="72">
        <v>0</v>
      </c>
      <c r="C9" s="306">
        <v>0</v>
      </c>
      <c r="D9" s="348">
        <v>0</v>
      </c>
      <c r="E9" s="349">
        <f t="shared" si="0"/>
        <v>0</v>
      </c>
      <c r="F9" s="349">
        <v>0</v>
      </c>
      <c r="H9" s="105" t="s">
        <v>19</v>
      </c>
      <c r="I9" s="135" t="s">
        <v>19</v>
      </c>
      <c r="K9" s="461">
        <v>0</v>
      </c>
      <c r="L9" s="306">
        <v>0</v>
      </c>
      <c r="M9" s="165">
        <v>0</v>
      </c>
      <c r="N9" s="306">
        <v>0</v>
      </c>
      <c r="P9" s="349">
        <v>0</v>
      </c>
      <c r="Q9" s="349">
        <f>D9+N9</f>
        <v>0</v>
      </c>
    </row>
    <row r="10" spans="1:17">
      <c r="A10" s="88" t="s">
        <v>88</v>
      </c>
      <c r="B10" s="72">
        <v>66.400000000000006</v>
      </c>
      <c r="C10" s="352">
        <v>2.1000000000000001E-2</v>
      </c>
      <c r="D10" s="315">
        <v>4.4096474060429797E-3</v>
      </c>
      <c r="E10" s="460">
        <f t="shared" si="0"/>
        <v>2.5409647406042981E-2</v>
      </c>
      <c r="F10" s="460">
        <v>2.5634730013396143E-2</v>
      </c>
      <c r="H10" s="177">
        <v>0.87</v>
      </c>
      <c r="I10" s="466">
        <f t="shared" ref="I10:I14" si="1">1000*C10/K10</f>
        <v>0.86927630323015015</v>
      </c>
      <c r="K10" s="461">
        <v>24.158026535367348</v>
      </c>
      <c r="L10" s="352">
        <f>K10*$H10/1000</f>
        <v>2.1017483085769593E-2</v>
      </c>
      <c r="M10" s="165">
        <v>25.4</v>
      </c>
      <c r="N10" s="312">
        <f>M10*H10/1000</f>
        <v>2.2098E-2</v>
      </c>
      <c r="P10" s="460">
        <f t="shared" ref="P10" si="2">D10+L10</f>
        <v>2.5427130491812572E-2</v>
      </c>
      <c r="Q10" s="460">
        <f t="shared" ref="Q10" si="3">D10+N10</f>
        <v>2.6507647406042979E-2</v>
      </c>
    </row>
    <row r="11" spans="1:17">
      <c r="A11" s="88" t="s">
        <v>95</v>
      </c>
      <c r="B11" s="72">
        <v>61.2</v>
      </c>
      <c r="C11" s="312">
        <v>2.2049090978340333E-2</v>
      </c>
      <c r="D11" s="315">
        <v>3.7622535207917848E-3</v>
      </c>
      <c r="E11" s="460">
        <f t="shared" si="0"/>
        <v>2.5811344499132118E-2</v>
      </c>
      <c r="F11" s="460">
        <v>2.6249401811970368E-2</v>
      </c>
      <c r="H11" s="177">
        <v>0.87</v>
      </c>
      <c r="I11" s="466">
        <f t="shared" si="1"/>
        <v>0.87191978137443293</v>
      </c>
      <c r="K11" s="461">
        <v>25.287981130080219</v>
      </c>
      <c r="L11" s="352">
        <f>K11*$H11/1000</f>
        <v>2.2000543583169791E-2</v>
      </c>
      <c r="M11" s="165">
        <v>13.3</v>
      </c>
      <c r="N11" s="312">
        <f>M11*H11/1000</f>
        <v>1.1571E-2</v>
      </c>
      <c r="P11" s="460">
        <f t="shared" ref="P11:P14" si="4">D11+L11</f>
        <v>2.5762797103961576E-2</v>
      </c>
      <c r="Q11" s="460">
        <f t="shared" ref="Q11:Q14" si="5">D11+N11</f>
        <v>1.5333253520791785E-2</v>
      </c>
    </row>
    <row r="12" spans="1:17">
      <c r="A12" s="88" t="s">
        <v>125</v>
      </c>
      <c r="B12" s="72">
        <v>1026.16425</v>
      </c>
      <c r="C12" s="308">
        <v>0.73111626150415276</v>
      </c>
      <c r="D12" s="314">
        <v>4.7691180419910911E-2</v>
      </c>
      <c r="E12" s="404">
        <f t="shared" si="0"/>
        <v>0.7788074419240637</v>
      </c>
      <c r="F12" s="404">
        <v>0.75588651647334215</v>
      </c>
      <c r="H12" s="105">
        <v>1.1299999999999999</v>
      </c>
      <c r="I12" s="466">
        <f>1000*C12/K12</f>
        <v>0.96178507243006117</v>
      </c>
      <c r="K12" s="464">
        <v>760.16594815399151</v>
      </c>
      <c r="L12" s="353">
        <f>K12*$H12/1000</f>
        <v>0.85898752141401036</v>
      </c>
      <c r="M12" s="298">
        <v>355</v>
      </c>
      <c r="N12" s="308">
        <f>M12*H12/1000</f>
        <v>0.40114999999999995</v>
      </c>
      <c r="P12" s="404">
        <f t="shared" si="4"/>
        <v>0.9066787018339213</v>
      </c>
      <c r="Q12" s="404">
        <f t="shared" si="5"/>
        <v>0.44884118041991083</v>
      </c>
    </row>
    <row r="13" spans="1:17">
      <c r="A13" s="88" t="s">
        <v>128</v>
      </c>
      <c r="B13" s="72">
        <v>0</v>
      </c>
      <c r="C13" s="306">
        <v>0</v>
      </c>
      <c r="D13" s="348">
        <v>0</v>
      </c>
      <c r="E13" s="349">
        <f t="shared" si="0"/>
        <v>0</v>
      </c>
      <c r="F13" s="349">
        <v>0</v>
      </c>
      <c r="H13" s="105" t="s">
        <v>19</v>
      </c>
      <c r="I13" s="135" t="s">
        <v>19</v>
      </c>
      <c r="K13" s="461">
        <v>0</v>
      </c>
      <c r="L13" s="306">
        <v>0</v>
      </c>
      <c r="M13" s="165">
        <v>0</v>
      </c>
      <c r="N13" s="306">
        <v>0</v>
      </c>
      <c r="P13" s="349">
        <f t="shared" si="4"/>
        <v>0</v>
      </c>
      <c r="Q13" s="349">
        <f t="shared" si="5"/>
        <v>0</v>
      </c>
    </row>
    <row r="14" spans="1:17">
      <c r="A14" s="88" t="s">
        <v>247</v>
      </c>
      <c r="B14" s="73">
        <v>658</v>
      </c>
      <c r="C14" s="308">
        <v>0.42491434165775482</v>
      </c>
      <c r="D14" s="314">
        <v>2.78652088845203E-2</v>
      </c>
      <c r="E14" s="404">
        <f t="shared" si="0"/>
        <v>0.45277955054227514</v>
      </c>
      <c r="F14" s="404">
        <v>0.44461500563700879</v>
      </c>
      <c r="H14" s="439">
        <v>1.3</v>
      </c>
      <c r="I14" s="466">
        <f t="shared" si="1"/>
        <v>0.95233094077056879</v>
      </c>
      <c r="K14" s="464">
        <v>446.18348881318479</v>
      </c>
      <c r="L14" s="353">
        <f>K14*$H14/1000</f>
        <v>0.58003853545714024</v>
      </c>
      <c r="M14" s="298">
        <v>238</v>
      </c>
      <c r="N14" s="308">
        <f>M14*H14/1000</f>
        <v>0.30940000000000001</v>
      </c>
      <c r="P14" s="404">
        <f t="shared" si="4"/>
        <v>0.6079037443416605</v>
      </c>
      <c r="Q14" s="404">
        <f t="shared" si="5"/>
        <v>0.33726520888452033</v>
      </c>
    </row>
    <row r="15" spans="1:17" ht="16">
      <c r="A15" s="164" t="s">
        <v>187</v>
      </c>
      <c r="B15" s="447">
        <f>SUM(B8:B14)</f>
        <v>1875.1059441949669</v>
      </c>
      <c r="C15" s="463">
        <f>SUM(C8:C14)</f>
        <v>1.2216058247917747</v>
      </c>
      <c r="D15" s="459">
        <f>SUM(D8:D14)</f>
        <v>8.8456848968553825E-2</v>
      </c>
      <c r="E15" s="462">
        <f>SUM(E8:E14)</f>
        <v>1.3100626737603287</v>
      </c>
      <c r="F15" s="462">
        <f>SUM(F8:F14)</f>
        <v>1.2791557832223397</v>
      </c>
      <c r="H15" s="151">
        <v>1.1399999999999999</v>
      </c>
      <c r="I15" s="467">
        <f>1000*C15/K15</f>
        <v>0.95398648059552826</v>
      </c>
      <c r="J15" s="10" t="s">
        <v>26</v>
      </c>
      <c r="K15" s="469">
        <f>SUM(K8:K14)</f>
        <v>1280.5273970226333</v>
      </c>
      <c r="L15" s="470">
        <f>SUM(L8:L14)</f>
        <v>1.5129590240276016</v>
      </c>
      <c r="M15" s="471">
        <f>SUM(M8:M14)</f>
        <v>665.6</v>
      </c>
      <c r="N15" s="470">
        <f>SUM(N8:N14)</f>
        <v>0.78659400000000002</v>
      </c>
      <c r="O15" s="86"/>
      <c r="P15" s="462">
        <f t="shared" ref="P15" si="6">D15+L15</f>
        <v>1.6014158729961554</v>
      </c>
      <c r="Q15" s="462">
        <f t="shared" ref="Q15" si="7">D15+N15</f>
        <v>0.87505084896855378</v>
      </c>
    </row>
    <row r="16" spans="1:17" ht="16">
      <c r="A16" s="164"/>
      <c r="I16" s="468">
        <f>1000*(F15-D15)/K16</f>
        <v>0.92985041711898675</v>
      </c>
      <c r="J16" s="87" t="s">
        <v>188</v>
      </c>
      <c r="K16" s="471">
        <f>K15</f>
        <v>1280.5273970226333</v>
      </c>
      <c r="L16" s="463">
        <f>$H$15*K16/1000</f>
        <v>1.4598012326058019</v>
      </c>
      <c r="M16" s="471">
        <f>M15</f>
        <v>665.6</v>
      </c>
      <c r="N16" s="463">
        <f>$H$15*M16/1000</f>
        <v>0.75878400000000001</v>
      </c>
      <c r="O16" s="472"/>
      <c r="P16" s="462">
        <f>D15+L16</f>
        <v>1.5482580815743556</v>
      </c>
      <c r="Q16" s="462">
        <f>D15+N16</f>
        <v>0.84724084896855389</v>
      </c>
    </row>
    <row r="17" spans="1:17" ht="16">
      <c r="A17" s="1" t="s">
        <v>178</v>
      </c>
      <c r="B17" s="26"/>
      <c r="C17" s="26"/>
      <c r="D17" s="26"/>
      <c r="E17" s="26"/>
      <c r="F17" s="26"/>
      <c r="G17" s="26"/>
      <c r="H17" s="26"/>
      <c r="I17" s="440" t="s">
        <v>272</v>
      </c>
      <c r="J17" s="26"/>
      <c r="K17" s="26"/>
      <c r="L17" s="26"/>
      <c r="M17" s="26"/>
      <c r="N17" s="26"/>
      <c r="O17" s="26"/>
      <c r="P17" s="297"/>
      <c r="Q17" s="297"/>
    </row>
    <row r="18" spans="1:17">
      <c r="A18" s="88" t="s">
        <v>4</v>
      </c>
      <c r="B18" s="72">
        <v>63.341694194967005</v>
      </c>
      <c r="C18" s="352">
        <v>2.3831956377585437E-2</v>
      </c>
      <c r="D18" s="320">
        <v>1.4371230382573657E-2</v>
      </c>
      <c r="E18" s="460">
        <f t="shared" ref="E18:E24" si="8">C18+D18</f>
        <v>3.8203186760159095E-2</v>
      </c>
      <c r="F18" s="460">
        <v>3.0852594248718182E-2</v>
      </c>
      <c r="H18" s="105">
        <v>2.25</v>
      </c>
      <c r="I18" s="156">
        <f>1000*C18/K18</f>
        <v>1.7345392523508041</v>
      </c>
      <c r="J18" s="10"/>
      <c r="K18" s="358">
        <v>13.739646621018359</v>
      </c>
      <c r="L18" s="352">
        <f>K18*$H18/1000</f>
        <v>3.0914204897291304E-2</v>
      </c>
      <c r="M18" s="143">
        <v>16.2</v>
      </c>
      <c r="N18" s="312">
        <f>M18*H18/1000</f>
        <v>3.6449999999999996E-2</v>
      </c>
      <c r="P18" s="460">
        <f>L18+D18</f>
        <v>4.5285435279864963E-2</v>
      </c>
      <c r="Q18" s="460">
        <f>N18+D18</f>
        <v>5.0821230382573655E-2</v>
      </c>
    </row>
    <row r="19" spans="1:17">
      <c r="A19" s="88" t="s">
        <v>5</v>
      </c>
      <c r="B19" s="72">
        <v>0</v>
      </c>
      <c r="C19" s="344">
        <v>0</v>
      </c>
      <c r="D19" s="354">
        <v>0</v>
      </c>
      <c r="E19" s="349">
        <f t="shared" si="8"/>
        <v>0</v>
      </c>
      <c r="F19" s="349">
        <v>0</v>
      </c>
      <c r="H19" s="105" t="s">
        <v>19</v>
      </c>
      <c r="I19" s="156" t="s">
        <v>19</v>
      </c>
      <c r="K19" s="358">
        <v>0</v>
      </c>
      <c r="L19" s="306">
        <v>0</v>
      </c>
      <c r="M19" s="165">
        <v>0</v>
      </c>
      <c r="N19" s="306">
        <v>0</v>
      </c>
      <c r="P19" s="349">
        <v>0</v>
      </c>
      <c r="Q19" s="349">
        <f>D19+N19</f>
        <v>0</v>
      </c>
    </row>
    <row r="20" spans="1:17">
      <c r="A20" s="88" t="s">
        <v>88</v>
      </c>
      <c r="B20" s="72">
        <v>66.400000000000006</v>
      </c>
      <c r="C20" s="352">
        <v>2.3000704476330736E-2</v>
      </c>
      <c r="D20" s="355">
        <v>5.6952930012870422E-3</v>
      </c>
      <c r="E20" s="460">
        <f t="shared" si="8"/>
        <v>2.869599747761778E-2</v>
      </c>
      <c r="F20" s="460">
        <v>3.0524300372357257E-2</v>
      </c>
      <c r="H20" s="105">
        <v>1.31</v>
      </c>
      <c r="I20" s="156">
        <f t="shared" ref="I20:I24" si="9">1000*C20/K20</f>
        <v>1.7110092485973167</v>
      </c>
      <c r="K20" s="358">
        <v>13.442770397171543</v>
      </c>
      <c r="L20" s="352">
        <f>K20*$H20/1000</f>
        <v>1.7610029220294723E-2</v>
      </c>
      <c r="M20" s="165">
        <v>27</v>
      </c>
      <c r="N20" s="312">
        <f>M20*H20/1000</f>
        <v>3.5370000000000006E-2</v>
      </c>
      <c r="P20" s="460">
        <f t="shared" ref="P20:P25" si="10">D20+L20</f>
        <v>2.3305322221581763E-2</v>
      </c>
      <c r="Q20" s="460">
        <f t="shared" ref="Q20:Q25" si="11">D20+N20</f>
        <v>4.106529300128705E-2</v>
      </c>
    </row>
    <row r="21" spans="1:17">
      <c r="A21" s="88" t="s">
        <v>95</v>
      </c>
      <c r="B21" s="72">
        <v>61.2</v>
      </c>
      <c r="C21" s="352">
        <v>2.3556116726848524E-2</v>
      </c>
      <c r="D21" s="355">
        <v>6.9218967365143767E-3</v>
      </c>
      <c r="E21" s="460">
        <f t="shared" si="8"/>
        <v>3.0478013463362902E-2</v>
      </c>
      <c r="F21" s="460">
        <v>3.0476931093542665E-2</v>
      </c>
      <c r="H21" s="105">
        <v>1.1599999999999999</v>
      </c>
      <c r="I21" s="156">
        <f t="shared" si="9"/>
        <v>1.6771635764127784</v>
      </c>
      <c r="J21" s="293"/>
      <c r="K21" s="358">
        <v>14.045211247212876</v>
      </c>
      <c r="L21" s="352">
        <f>K21*$H21/1000</f>
        <v>1.6292445046766937E-2</v>
      </c>
      <c r="M21" s="165">
        <v>8.6999999999999993</v>
      </c>
      <c r="N21" s="312">
        <f>M21*H21/1000</f>
        <v>1.0091999999999999E-2</v>
      </c>
      <c r="P21" s="460">
        <f t="shared" si="10"/>
        <v>2.3214341783281314E-2</v>
      </c>
      <c r="Q21" s="460">
        <f t="shared" si="11"/>
        <v>1.7013896736514374E-2</v>
      </c>
    </row>
    <row r="22" spans="1:17">
      <c r="A22" s="88" t="s">
        <v>125</v>
      </c>
      <c r="B22" s="72">
        <v>1026.16425</v>
      </c>
      <c r="C22" s="353">
        <v>0.67594873469138861</v>
      </c>
      <c r="D22" s="320">
        <v>8.417775889290996E-2</v>
      </c>
      <c r="E22" s="404">
        <f t="shared" si="8"/>
        <v>0.76012649358429862</v>
      </c>
      <c r="F22" s="404">
        <v>0.76595725278296134</v>
      </c>
      <c r="H22" s="105">
        <v>2.33</v>
      </c>
      <c r="I22" s="156">
        <f>1000*C22/K22</f>
        <v>1.6119103683477711</v>
      </c>
      <c r="K22" s="361">
        <v>419.34635322449395</v>
      </c>
      <c r="L22" s="353">
        <f>K22*$H22/1000</f>
        <v>0.97707700301307088</v>
      </c>
      <c r="M22" s="165">
        <v>190</v>
      </c>
      <c r="N22" s="308">
        <f>M22*H22/1000</f>
        <v>0.44269999999999998</v>
      </c>
      <c r="P22" s="404">
        <f t="shared" si="10"/>
        <v>1.0612547619059809</v>
      </c>
      <c r="Q22" s="404">
        <f t="shared" si="11"/>
        <v>0.52687775889290989</v>
      </c>
    </row>
    <row r="23" spans="1:17">
      <c r="A23" s="88" t="s">
        <v>128</v>
      </c>
      <c r="B23" s="72">
        <v>0</v>
      </c>
      <c r="C23" s="344">
        <v>0</v>
      </c>
      <c r="D23" s="354">
        <v>0</v>
      </c>
      <c r="E23" s="349">
        <f t="shared" si="8"/>
        <v>0</v>
      </c>
      <c r="F23" s="349">
        <v>0</v>
      </c>
      <c r="H23" s="105" t="s">
        <v>19</v>
      </c>
      <c r="I23" s="156" t="s">
        <v>19</v>
      </c>
      <c r="K23" s="358">
        <v>0</v>
      </c>
      <c r="L23" s="306">
        <v>0</v>
      </c>
      <c r="M23" s="165">
        <v>0</v>
      </c>
      <c r="N23" s="306">
        <v>0</v>
      </c>
      <c r="P23" s="349">
        <f t="shared" si="10"/>
        <v>0</v>
      </c>
      <c r="Q23" s="349">
        <f t="shared" si="11"/>
        <v>0</v>
      </c>
    </row>
    <row r="24" spans="1:17">
      <c r="A24" s="88" t="s">
        <v>247</v>
      </c>
      <c r="B24" s="73">
        <v>658</v>
      </c>
      <c r="C24" s="353">
        <v>0.39801567189005049</v>
      </c>
      <c r="D24" s="320">
        <v>5.1918314991708688E-2</v>
      </c>
      <c r="E24" s="404">
        <f t="shared" si="8"/>
        <v>0.44993398688175917</v>
      </c>
      <c r="F24" s="404">
        <v>0.45801167651971925</v>
      </c>
      <c r="H24" s="105">
        <v>2.36</v>
      </c>
      <c r="I24" s="156">
        <f t="shared" si="9"/>
        <v>1.6156044991367084</v>
      </c>
      <c r="K24" s="361">
        <v>246.35712026224766</v>
      </c>
      <c r="L24" s="353">
        <f>K24*$H24/1000</f>
        <v>0.58140280381890441</v>
      </c>
      <c r="M24" s="143">
        <v>152</v>
      </c>
      <c r="N24" s="308">
        <f>M24*H24/1000</f>
        <v>0.35871999999999998</v>
      </c>
      <c r="P24" s="404">
        <f t="shared" si="10"/>
        <v>0.63332111881061315</v>
      </c>
      <c r="Q24" s="404">
        <f t="shared" si="11"/>
        <v>0.41063831499170866</v>
      </c>
    </row>
    <row r="25" spans="1:17" ht="16">
      <c r="A25" s="164" t="s">
        <v>187</v>
      </c>
      <c r="B25" s="447">
        <f>SUM(B18:B24)</f>
        <v>1875.1059441949669</v>
      </c>
      <c r="C25" s="463">
        <f>SUM(C18:C24)</f>
        <v>1.1443531841622039</v>
      </c>
      <c r="D25" s="463">
        <f>SUM(D18:D24)</f>
        <v>0.16308449400499372</v>
      </c>
      <c r="E25" s="462">
        <f>SUM(E18:E24)</f>
        <v>1.3074376781671975</v>
      </c>
      <c r="F25" s="462">
        <f t="shared" ref="F25" si="12">SUM(F18:F24)</f>
        <v>1.3158227550172987</v>
      </c>
      <c r="H25" s="151">
        <v>2.29</v>
      </c>
      <c r="I25" s="157">
        <f>1000*C25/K25</f>
        <v>1.6187619717478821</v>
      </c>
      <c r="J25" s="10" t="s">
        <v>26</v>
      </c>
      <c r="K25" s="420">
        <f>SUM(K18:K24)</f>
        <v>706.9311017521444</v>
      </c>
      <c r="L25" s="470">
        <f>SUM(L18:L24)</f>
        <v>1.6232964859963284</v>
      </c>
      <c r="M25" s="471">
        <f>SUM(M18:M24)</f>
        <v>393.9</v>
      </c>
      <c r="N25" s="470">
        <f>SUM(N18:N24)</f>
        <v>0.88333200000000001</v>
      </c>
      <c r="P25" s="462">
        <f t="shared" si="10"/>
        <v>1.7863809800013222</v>
      </c>
      <c r="Q25" s="462">
        <f t="shared" si="11"/>
        <v>1.0464164940049938</v>
      </c>
    </row>
    <row r="26" spans="1:17">
      <c r="I26" s="465">
        <f>1000*(F25-D25)/K25</f>
        <v>1.6306232080541054</v>
      </c>
      <c r="J26" s="87" t="s">
        <v>188</v>
      </c>
      <c r="K26" s="415">
        <f>K25</f>
        <v>706.9311017521444</v>
      </c>
      <c r="L26" s="463">
        <f>$H$25*K26/1000</f>
        <v>1.6188722230124108</v>
      </c>
      <c r="M26" s="471">
        <f>M25</f>
        <v>393.9</v>
      </c>
      <c r="N26" s="463">
        <f>$H$25*M26/1000</f>
        <v>0.90203099999999992</v>
      </c>
      <c r="P26" s="462">
        <f>D25+L26</f>
        <v>1.7819567170174047</v>
      </c>
      <c r="Q26" s="462">
        <f>D25+N26</f>
        <v>1.0651154940049936</v>
      </c>
    </row>
    <row r="27" spans="1:17">
      <c r="K27" s="252"/>
      <c r="L27" s="252"/>
      <c r="M27" s="252"/>
      <c r="N27" s="252"/>
    </row>
    <row r="28" spans="1:17" ht="16">
      <c r="A28" s="164" t="s">
        <v>179</v>
      </c>
      <c r="B28" s="181"/>
      <c r="C28" s="181"/>
      <c r="D28" s="181"/>
      <c r="E28" s="181"/>
      <c r="F28" s="181"/>
      <c r="G28" s="162"/>
      <c r="H28" s="181"/>
      <c r="I28" s="370" t="s">
        <v>271</v>
      </c>
      <c r="J28" s="162"/>
      <c r="K28" s="263" t="s">
        <v>221</v>
      </c>
      <c r="L28" s="263" t="s">
        <v>221</v>
      </c>
      <c r="M28" s="263" t="s">
        <v>221</v>
      </c>
      <c r="N28" s="263" t="s">
        <v>221</v>
      </c>
      <c r="O28" s="162"/>
      <c r="P28" s="181"/>
      <c r="Q28" s="181"/>
    </row>
    <row r="29" spans="1:17">
      <c r="A29" s="284" t="s">
        <v>4</v>
      </c>
      <c r="B29" s="162"/>
      <c r="C29" s="7">
        <f>C8/C18</f>
        <v>0.94520694376200143</v>
      </c>
      <c r="D29" s="7">
        <f>D8/D18</f>
        <v>0.32902949931285219</v>
      </c>
      <c r="E29" s="7">
        <f>E8/E18</f>
        <v>0.71341402904214757</v>
      </c>
      <c r="F29" s="7">
        <f>F8/F18</f>
        <v>0.86767838940267872</v>
      </c>
      <c r="G29" s="26"/>
      <c r="H29" s="7">
        <f>H8/H18</f>
        <v>0.55555555555555558</v>
      </c>
      <c r="I29" s="137">
        <f>I8/I18</f>
        <v>0.5251024741689525</v>
      </c>
      <c r="J29" s="26"/>
      <c r="K29" s="7">
        <f>K8/K18</f>
        <v>1.800042830226467</v>
      </c>
      <c r="L29" s="7">
        <f>L8/L18</f>
        <v>1.0000237945702595</v>
      </c>
      <c r="M29" s="7">
        <f>M8/M18</f>
        <v>2.0925925925925926</v>
      </c>
      <c r="N29" s="7">
        <f>N8/N18</f>
        <v>1.1625514403292183</v>
      </c>
      <c r="O29" s="26"/>
      <c r="P29" s="7">
        <f>P8/P18</f>
        <v>0.78708527376455617</v>
      </c>
      <c r="Q29" s="7">
        <f>Q8/Q18</f>
        <v>0.92684805902376255</v>
      </c>
    </row>
    <row r="30" spans="1:17">
      <c r="A30" s="88" t="s">
        <v>5</v>
      </c>
      <c r="B30" s="162"/>
      <c r="C30" s="7" t="s">
        <v>32</v>
      </c>
      <c r="D30" s="5" t="s">
        <v>32</v>
      </c>
      <c r="E30" s="8" t="s">
        <v>32</v>
      </c>
      <c r="F30" s="5" t="s">
        <v>32</v>
      </c>
      <c r="G30" s="26"/>
      <c r="H30" s="7" t="s">
        <v>32</v>
      </c>
      <c r="I30" s="137" t="s">
        <v>32</v>
      </c>
      <c r="J30" s="26"/>
      <c r="K30" s="7" t="s">
        <v>32</v>
      </c>
      <c r="L30" s="7" t="s">
        <v>32</v>
      </c>
      <c r="M30" s="5" t="s">
        <v>32</v>
      </c>
      <c r="N30" s="7" t="s">
        <v>32</v>
      </c>
      <c r="O30" s="26"/>
      <c r="P30" s="8" t="s">
        <v>212</v>
      </c>
      <c r="Q30" s="8" t="s">
        <v>32</v>
      </c>
    </row>
    <row r="31" spans="1:17">
      <c r="A31" s="88" t="s">
        <v>88</v>
      </c>
      <c r="B31" s="162"/>
      <c r="C31" s="7">
        <f>C10/C20</f>
        <v>0.91301551313832174</v>
      </c>
      <c r="D31" s="7">
        <f t="shared" ref="D31:F33" si="13">D10/D20</f>
        <v>0.77426172894818091</v>
      </c>
      <c r="E31" s="7">
        <f t="shared" si="13"/>
        <v>0.88547705741408445</v>
      </c>
      <c r="F31" s="7">
        <f>F10/F20</f>
        <v>0.83981384341935328</v>
      </c>
      <c r="G31" s="26"/>
      <c r="H31" s="7">
        <f t="shared" ref="H31:I33" si="14">H10/H20</f>
        <v>0.66412213740458015</v>
      </c>
      <c r="I31" s="137">
        <f t="shared" si="14"/>
        <v>0.50804886294026863</v>
      </c>
      <c r="J31" s="26"/>
      <c r="K31" s="7">
        <f t="shared" ref="K31:N33" si="15">K10/K20</f>
        <v>1.7971017745308193</v>
      </c>
      <c r="L31" s="7">
        <f t="shared" si="15"/>
        <v>1.1934950716349715</v>
      </c>
      <c r="M31" s="7">
        <f t="shared" si="15"/>
        <v>0.94074074074074066</v>
      </c>
      <c r="N31" s="7">
        <f t="shared" si="15"/>
        <v>0.6247667514843086</v>
      </c>
      <c r="O31" s="26"/>
      <c r="P31" s="7">
        <f>P10/P20</f>
        <v>1.0910439362329829</v>
      </c>
      <c r="Q31" s="7">
        <f>Q10/Q20</f>
        <v>0.64550001884102448</v>
      </c>
    </row>
    <row r="32" spans="1:17">
      <c r="A32" s="88" t="s">
        <v>95</v>
      </c>
      <c r="B32" s="162"/>
      <c r="C32" s="7">
        <f>C11/C21</f>
        <v>0.93602401592829043</v>
      </c>
      <c r="D32" s="7">
        <f t="shared" si="13"/>
        <v>0.54352927586237343</v>
      </c>
      <c r="E32" s="7">
        <f t="shared" si="13"/>
        <v>0.84688408351021605</v>
      </c>
      <c r="F32" s="7">
        <f t="shared" si="13"/>
        <v>0.8612875663695676</v>
      </c>
      <c r="G32" s="26"/>
      <c r="H32" s="7">
        <f t="shared" si="14"/>
        <v>0.75</v>
      </c>
      <c r="I32" s="137">
        <f t="shared" si="14"/>
        <v>0.51987760385266002</v>
      </c>
      <c r="J32" s="26"/>
      <c r="K32" s="7">
        <f t="shared" si="15"/>
        <v>1.8004699740702264</v>
      </c>
      <c r="L32" s="7">
        <f t="shared" si="15"/>
        <v>1.3503524805526699</v>
      </c>
      <c r="M32" s="7">
        <f t="shared" si="15"/>
        <v>1.5287356321839083</v>
      </c>
      <c r="N32" s="7">
        <f t="shared" si="15"/>
        <v>1.1465517241379313</v>
      </c>
      <c r="O32" s="26"/>
      <c r="P32" s="7">
        <f>P11/P21</f>
        <v>1.1097793486660745</v>
      </c>
      <c r="Q32" s="7">
        <f>Q11/Q21</f>
        <v>0.90121938308725724</v>
      </c>
    </row>
    <row r="33" spans="1:17">
      <c r="A33" s="88" t="s">
        <v>125</v>
      </c>
      <c r="B33" s="162"/>
      <c r="C33" s="7">
        <f>C12/C22</f>
        <v>1.0816149568472104</v>
      </c>
      <c r="D33" s="7">
        <f t="shared" si="13"/>
        <v>0.56655322079295456</v>
      </c>
      <c r="E33" s="7">
        <f t="shared" si="13"/>
        <v>1.0245761047634019</v>
      </c>
      <c r="F33" s="7">
        <f t="shared" si="13"/>
        <v>0.98685209093192983</v>
      </c>
      <c r="G33" s="26"/>
      <c r="H33" s="7">
        <f t="shared" si="14"/>
        <v>0.48497854077253211</v>
      </c>
      <c r="I33" s="137">
        <f t="shared" si="14"/>
        <v>0.59667404051498429</v>
      </c>
      <c r="J33" s="26"/>
      <c r="K33" s="7">
        <f t="shared" si="15"/>
        <v>1.8127400949330357</v>
      </c>
      <c r="L33" s="7">
        <f t="shared" si="15"/>
        <v>0.87914004604048512</v>
      </c>
      <c r="M33" s="7">
        <f>M12/M22</f>
        <v>1.868421052631579</v>
      </c>
      <c r="N33" s="7">
        <f t="shared" si="15"/>
        <v>0.9061441156539416</v>
      </c>
      <c r="O33" s="26"/>
      <c r="P33" s="7">
        <f t="shared" ref="P33:Q33" si="16">P12/P22</f>
        <v>0.85434594442295297</v>
      </c>
      <c r="Q33" s="7">
        <f t="shared" si="16"/>
        <v>0.85188864559974653</v>
      </c>
    </row>
    <row r="34" spans="1:17">
      <c r="A34" s="88" t="s">
        <v>128</v>
      </c>
      <c r="B34" s="162"/>
      <c r="C34" s="7" t="s">
        <v>32</v>
      </c>
      <c r="D34" s="7" t="s">
        <v>32</v>
      </c>
      <c r="E34" s="7" t="s">
        <v>32</v>
      </c>
      <c r="F34" s="7" t="s">
        <v>32</v>
      </c>
      <c r="G34" s="26"/>
      <c r="H34" s="7" t="s">
        <v>32</v>
      </c>
      <c r="I34" s="137" t="s">
        <v>32</v>
      </c>
      <c r="J34" s="26"/>
      <c r="K34" s="7" t="s">
        <v>32</v>
      </c>
      <c r="L34" s="7" t="s">
        <v>32</v>
      </c>
      <c r="M34" s="5" t="s">
        <v>32</v>
      </c>
      <c r="N34" s="8" t="s">
        <v>32</v>
      </c>
      <c r="O34" s="26"/>
      <c r="P34" s="7" t="s">
        <v>32</v>
      </c>
      <c r="Q34" s="7" t="s">
        <v>32</v>
      </c>
    </row>
    <row r="35" spans="1:17">
      <c r="A35" s="88" t="s">
        <v>247</v>
      </c>
      <c r="B35" s="162"/>
      <c r="C35" s="7">
        <f>C14/C24</f>
        <v>1.067581936258869</v>
      </c>
      <c r="D35" s="7">
        <f t="shared" ref="D35:F36" si="17">D14/D24</f>
        <v>0.53671250480625865</v>
      </c>
      <c r="E35" s="7">
        <f t="shared" si="17"/>
        <v>1.0063244025645561</v>
      </c>
      <c r="F35" s="7">
        <f t="shared" si="17"/>
        <v>0.97075037260074382</v>
      </c>
      <c r="G35" s="26"/>
      <c r="H35" s="7">
        <f>H14/H24</f>
        <v>0.55084745762711873</v>
      </c>
      <c r="I35" s="137">
        <f>I14/I24</f>
        <v>0.58945796528757066</v>
      </c>
      <c r="J35" s="27" t="s">
        <v>26</v>
      </c>
      <c r="K35" s="7">
        <f t="shared" ref="K35:N36" si="18">K14/K24</f>
        <v>1.8111247945187114</v>
      </c>
      <c r="L35" s="7">
        <f t="shared" si="18"/>
        <v>0.99765348850607005</v>
      </c>
      <c r="M35" s="7">
        <f t="shared" si="18"/>
        <v>1.5657894736842106</v>
      </c>
      <c r="N35" s="7">
        <f t="shared" si="18"/>
        <v>0.86251115075825158</v>
      </c>
      <c r="O35" s="26"/>
      <c r="P35" s="7">
        <f t="shared" ref="P35:Q35" si="19">P14/P24</f>
        <v>0.9598665294524098</v>
      </c>
      <c r="Q35" s="7">
        <f t="shared" si="19"/>
        <v>0.82131938635908874</v>
      </c>
    </row>
    <row r="36" spans="1:17" ht="16">
      <c r="A36" s="164" t="s">
        <v>187</v>
      </c>
      <c r="B36" s="162"/>
      <c r="C36" s="475">
        <f>C15/C25</f>
        <v>1.0675076905440941</v>
      </c>
      <c r="D36" s="475">
        <f t="shared" si="17"/>
        <v>0.54239889272272102</v>
      </c>
      <c r="E36" s="475">
        <f t="shared" si="17"/>
        <v>1.0020077405118162</v>
      </c>
      <c r="F36" s="475">
        <f t="shared" si="17"/>
        <v>0.97213380627812829</v>
      </c>
      <c r="G36" s="26"/>
      <c r="H36" s="475">
        <f>H15/H25</f>
        <v>0.49781659388646282</v>
      </c>
      <c r="I36" s="369">
        <f>I15/I25</f>
        <v>0.58933091908839896</v>
      </c>
      <c r="J36" s="27" t="s">
        <v>188</v>
      </c>
      <c r="K36" s="475">
        <f t="shared" si="18"/>
        <v>1.8113892483281862</v>
      </c>
      <c r="L36" s="475">
        <f t="shared" si="18"/>
        <v>0.93202876805280266</v>
      </c>
      <c r="M36" s="475">
        <f t="shared" si="18"/>
        <v>1.68976897689769</v>
      </c>
      <c r="N36" s="475">
        <f t="shared" si="18"/>
        <v>0.89048511771338523</v>
      </c>
      <c r="O36" s="26"/>
      <c r="P36" s="475">
        <f>P15/P25</f>
        <v>0.89645819728497678</v>
      </c>
      <c r="Q36" s="475">
        <f>Q15/Q25</f>
        <v>0.83623571874276836</v>
      </c>
    </row>
    <row r="37" spans="1:17">
      <c r="I37" s="438">
        <f>I16/I26</f>
        <v>0.5702423542889582</v>
      </c>
    </row>
    <row r="38" spans="1:17">
      <c r="K38" s="40" t="s">
        <v>16</v>
      </c>
      <c r="L38" s="40" t="s">
        <v>60</v>
      </c>
      <c r="M38" s="40" t="s">
        <v>17</v>
      </c>
      <c r="N38" s="40" t="s">
        <v>61</v>
      </c>
      <c r="P38" s="40" t="s">
        <v>73</v>
      </c>
      <c r="Q38" s="40" t="s">
        <v>74</v>
      </c>
    </row>
    <row r="39" spans="1:17">
      <c r="K39" s="295" t="s">
        <v>31</v>
      </c>
      <c r="L39" s="295" t="s">
        <v>31</v>
      </c>
      <c r="M39" s="295" t="s">
        <v>31</v>
      </c>
      <c r="N39" s="295" t="s">
        <v>31</v>
      </c>
      <c r="P39" s="443" t="s">
        <v>31</v>
      </c>
      <c r="Q39" s="443" t="s">
        <v>31</v>
      </c>
    </row>
    <row r="40" spans="1:17" ht="17">
      <c r="A40" s="164" t="s">
        <v>216</v>
      </c>
      <c r="I40" s="440" t="s">
        <v>272</v>
      </c>
      <c r="K40" s="18" t="s">
        <v>13</v>
      </c>
      <c r="L40" s="18" t="s">
        <v>8</v>
      </c>
      <c r="M40" s="18" t="s">
        <v>13</v>
      </c>
      <c r="N40" s="18" t="s">
        <v>8</v>
      </c>
      <c r="P40" s="18" t="s">
        <v>8</v>
      </c>
      <c r="Q40" s="18" t="s">
        <v>8</v>
      </c>
    </row>
    <row r="41" spans="1:17">
      <c r="A41" s="88" t="s">
        <v>4</v>
      </c>
      <c r="B41" s="72">
        <v>63.341694194967005</v>
      </c>
      <c r="C41" s="352">
        <f>AVERAGE(C8,C18)</f>
        <v>2.3179043514556151E-2</v>
      </c>
      <c r="D41" s="320">
        <f t="shared" ref="D41:H42" si="20">AVERAGE(D8,D18)</f>
        <v>9.5498945599307578E-3</v>
      </c>
      <c r="E41" s="460">
        <f t="shared" si="20"/>
        <v>3.2728938074486916E-2</v>
      </c>
      <c r="F41" s="460">
        <f t="shared" si="20"/>
        <v>2.8811361767670161E-2</v>
      </c>
      <c r="H41" s="105">
        <f t="shared" si="20"/>
        <v>1.75</v>
      </c>
      <c r="I41" s="156">
        <f t="shared" ref="I41:I45" si="21">1000*C41/K41</f>
        <v>1.2049950670317577</v>
      </c>
      <c r="K41" s="358">
        <f t="shared" ref="K41:N47" si="22">AVERAGE(K8,K18)</f>
        <v>19.235799505513882</v>
      </c>
      <c r="L41" s="352">
        <f t="shared" si="22"/>
        <v>3.0914572692401526E-2</v>
      </c>
      <c r="M41" s="144">
        <f t="shared" si="22"/>
        <v>25.049999999999997</v>
      </c>
      <c r="N41" s="312">
        <f t="shared" si="22"/>
        <v>3.9412500000000003E-2</v>
      </c>
      <c r="P41" s="460">
        <f t="shared" ref="P41:Q41" si="23">AVERAGE(P8,P18)</f>
        <v>4.0464467252332284E-2</v>
      </c>
      <c r="Q41" s="460">
        <f t="shared" si="23"/>
        <v>4.8962394559930761E-2</v>
      </c>
    </row>
    <row r="42" spans="1:17">
      <c r="A42" s="88" t="s">
        <v>5</v>
      </c>
      <c r="B42" s="72">
        <v>0</v>
      </c>
      <c r="C42" s="344">
        <f t="shared" ref="C42:C47" si="24">AVERAGE(C9,C19)</f>
        <v>0</v>
      </c>
      <c r="D42" s="354">
        <f t="shared" si="20"/>
        <v>0</v>
      </c>
      <c r="E42" s="349">
        <f t="shared" si="20"/>
        <v>0</v>
      </c>
      <c r="F42" s="349">
        <f t="shared" si="20"/>
        <v>0</v>
      </c>
      <c r="H42" s="105" t="s">
        <v>32</v>
      </c>
      <c r="I42" s="135" t="s">
        <v>19</v>
      </c>
      <c r="K42" s="358">
        <f t="shared" si="22"/>
        <v>0</v>
      </c>
      <c r="L42" s="306">
        <f t="shared" si="22"/>
        <v>0</v>
      </c>
      <c r="M42" s="144">
        <f t="shared" si="22"/>
        <v>0</v>
      </c>
      <c r="N42" s="306">
        <f t="shared" si="22"/>
        <v>0</v>
      </c>
      <c r="P42" s="349">
        <f t="shared" ref="P42:Q42" si="25">AVERAGE(P9,P19)</f>
        <v>0</v>
      </c>
      <c r="Q42" s="349">
        <f t="shared" si="25"/>
        <v>0</v>
      </c>
    </row>
    <row r="43" spans="1:17">
      <c r="A43" s="88" t="s">
        <v>88</v>
      </c>
      <c r="B43" s="72">
        <v>66.400000000000006</v>
      </c>
      <c r="C43" s="352">
        <f t="shared" si="24"/>
        <v>2.200035223816537E-2</v>
      </c>
      <c r="D43" s="355">
        <f t="shared" ref="D43:F47" si="26">AVERAGE(D10,D20)</f>
        <v>5.0524702036650109E-3</v>
      </c>
      <c r="E43" s="460">
        <f t="shared" si="26"/>
        <v>2.7052822441830382E-2</v>
      </c>
      <c r="F43" s="460">
        <f t="shared" si="26"/>
        <v>2.80795151928767E-2</v>
      </c>
      <c r="H43" s="105">
        <f t="shared" ref="H43" si="27">AVERAGE(H10,H20)</f>
        <v>1.0900000000000001</v>
      </c>
      <c r="I43" s="156">
        <f t="shared" si="21"/>
        <v>1.1702066994823057</v>
      </c>
      <c r="K43" s="358">
        <f t="shared" si="22"/>
        <v>18.800398466269446</v>
      </c>
      <c r="L43" s="352">
        <f t="shared" si="22"/>
        <v>1.9313756153032158E-2</v>
      </c>
      <c r="M43" s="144">
        <f t="shared" si="22"/>
        <v>26.2</v>
      </c>
      <c r="N43" s="312">
        <f t="shared" si="22"/>
        <v>2.8734000000000003E-2</v>
      </c>
      <c r="P43" s="460">
        <f t="shared" ref="P43:Q43" si="28">AVERAGE(P10,P20)</f>
        <v>2.436622635669717E-2</v>
      </c>
      <c r="Q43" s="460">
        <f t="shared" si="28"/>
        <v>3.3786470203665014E-2</v>
      </c>
    </row>
    <row r="44" spans="1:17">
      <c r="A44" s="88" t="s">
        <v>95</v>
      </c>
      <c r="B44" s="72">
        <v>61.2</v>
      </c>
      <c r="C44" s="352">
        <f t="shared" si="24"/>
        <v>2.280260385259443E-2</v>
      </c>
      <c r="D44" s="355">
        <f t="shared" si="26"/>
        <v>5.3420751286530812E-3</v>
      </c>
      <c r="E44" s="460">
        <f t="shared" si="26"/>
        <v>2.814467898124751E-2</v>
      </c>
      <c r="F44" s="460">
        <f t="shared" si="26"/>
        <v>2.8363166452756515E-2</v>
      </c>
      <c r="H44" s="105">
        <f t="shared" ref="H44" si="29">AVERAGE(H11,H21)</f>
        <v>1.0149999999999999</v>
      </c>
      <c r="I44" s="156">
        <f t="shared" si="21"/>
        <v>1.1594585882511936</v>
      </c>
      <c r="K44" s="358">
        <f t="shared" si="22"/>
        <v>19.666596188646547</v>
      </c>
      <c r="L44" s="352">
        <f t="shared" si="22"/>
        <v>1.9146494314968364E-2</v>
      </c>
      <c r="M44" s="144">
        <f t="shared" si="22"/>
        <v>11</v>
      </c>
      <c r="N44" s="312">
        <f t="shared" si="22"/>
        <v>1.0831499999999999E-2</v>
      </c>
      <c r="P44" s="460">
        <f t="shared" ref="P44:Q44" si="30">AVERAGE(P11,P21)</f>
        <v>2.4488569443621447E-2</v>
      </c>
      <c r="Q44" s="460">
        <f t="shared" si="30"/>
        <v>1.617357512865308E-2</v>
      </c>
    </row>
    <row r="45" spans="1:17">
      <c r="A45" s="88" t="s">
        <v>125</v>
      </c>
      <c r="B45" s="72">
        <v>1026.16425</v>
      </c>
      <c r="C45" s="353">
        <f t="shared" si="24"/>
        <v>0.70353249809777063</v>
      </c>
      <c r="D45" s="320">
        <f t="shared" si="26"/>
        <v>6.5934469656410435E-2</v>
      </c>
      <c r="E45" s="404">
        <f t="shared" si="26"/>
        <v>0.76946696775418122</v>
      </c>
      <c r="F45" s="404">
        <f t="shared" si="26"/>
        <v>0.7609218846281518</v>
      </c>
      <c r="H45" s="105">
        <f t="shared" ref="H45" si="31">AVERAGE(H12,H22)</f>
        <v>1.73</v>
      </c>
      <c r="I45" s="156">
        <f t="shared" si="21"/>
        <v>1.1929210017997411</v>
      </c>
      <c r="K45" s="361">
        <f t="shared" si="22"/>
        <v>589.75615068924276</v>
      </c>
      <c r="L45" s="353">
        <f t="shared" si="22"/>
        <v>0.91803226221354062</v>
      </c>
      <c r="M45" s="361">
        <f t="shared" si="22"/>
        <v>272.5</v>
      </c>
      <c r="N45" s="308">
        <f t="shared" si="22"/>
        <v>0.42192499999999999</v>
      </c>
      <c r="P45" s="404">
        <f t="shared" ref="P45:Q45" si="32">AVERAGE(P12,P22)</f>
        <v>0.98396673186995109</v>
      </c>
      <c r="Q45" s="404">
        <f t="shared" si="32"/>
        <v>0.48785946965641036</v>
      </c>
    </row>
    <row r="46" spans="1:17">
      <c r="A46" s="88" t="s">
        <v>128</v>
      </c>
      <c r="B46" s="72">
        <v>0</v>
      </c>
      <c r="C46" s="344">
        <f t="shared" si="24"/>
        <v>0</v>
      </c>
      <c r="D46" s="354">
        <f t="shared" si="26"/>
        <v>0</v>
      </c>
      <c r="E46" s="349">
        <f t="shared" si="26"/>
        <v>0</v>
      </c>
      <c r="F46" s="349">
        <f t="shared" si="26"/>
        <v>0</v>
      </c>
      <c r="H46" s="105" t="s">
        <v>32</v>
      </c>
      <c r="I46" s="135" t="s">
        <v>19</v>
      </c>
      <c r="K46" s="358">
        <f t="shared" si="22"/>
        <v>0</v>
      </c>
      <c r="L46" s="306">
        <f t="shared" si="22"/>
        <v>0</v>
      </c>
      <c r="M46" s="144">
        <f t="shared" si="22"/>
        <v>0</v>
      </c>
      <c r="N46" s="306">
        <f t="shared" si="22"/>
        <v>0</v>
      </c>
      <c r="P46" s="349">
        <f t="shared" ref="P46:Q46" si="33">AVERAGE(P13,P23)</f>
        <v>0</v>
      </c>
      <c r="Q46" s="349">
        <f t="shared" si="33"/>
        <v>0</v>
      </c>
    </row>
    <row r="47" spans="1:17">
      <c r="A47" s="88" t="s">
        <v>247</v>
      </c>
      <c r="B47" s="73">
        <v>654</v>
      </c>
      <c r="C47" s="353">
        <f t="shared" si="24"/>
        <v>0.41146500677390263</v>
      </c>
      <c r="D47" s="320">
        <f t="shared" si="26"/>
        <v>3.9891761938114494E-2</v>
      </c>
      <c r="E47" s="404">
        <f t="shared" si="26"/>
        <v>0.45135676871201713</v>
      </c>
      <c r="F47" s="404">
        <f t="shared" si="26"/>
        <v>0.45131334107836402</v>
      </c>
      <c r="H47" s="105">
        <f t="shared" ref="H47" si="34">AVERAGE(H14,H24)</f>
        <v>1.83</v>
      </c>
      <c r="I47" s="156">
        <f>1000*C47/K47</f>
        <v>1.1882769079006754</v>
      </c>
      <c r="K47" s="361">
        <f t="shared" si="22"/>
        <v>346.27030453771624</v>
      </c>
      <c r="L47" s="353">
        <f t="shared" si="22"/>
        <v>0.58072066963802227</v>
      </c>
      <c r="M47" s="361">
        <f t="shared" si="22"/>
        <v>195</v>
      </c>
      <c r="N47" s="308">
        <f t="shared" si="22"/>
        <v>0.33406000000000002</v>
      </c>
      <c r="P47" s="404">
        <f t="shared" ref="P47:Q47" si="35">AVERAGE(P14,P24)</f>
        <v>0.62061243157613677</v>
      </c>
      <c r="Q47" s="404">
        <f t="shared" si="35"/>
        <v>0.37395176193811452</v>
      </c>
    </row>
    <row r="48" spans="1:17" ht="16">
      <c r="A48" s="164" t="s">
        <v>187</v>
      </c>
      <c r="B48" s="197">
        <f>SUM(B41:B47)</f>
        <v>1871.1059441949669</v>
      </c>
      <c r="C48" s="463">
        <f>SUM(C41:C47)</f>
        <v>1.1829795044769891</v>
      </c>
      <c r="D48" s="463">
        <f>SUM(D41:D47)</f>
        <v>0.12577067148677379</v>
      </c>
      <c r="E48" s="462">
        <f t="shared" ref="E48:F48" si="36">SUM(E41:E47)</f>
        <v>1.3087501759637632</v>
      </c>
      <c r="F48" s="462">
        <f t="shared" si="36"/>
        <v>1.2974892691198192</v>
      </c>
      <c r="H48" s="151">
        <f>AVERAGE(H15,H25)</f>
        <v>1.7149999999999999</v>
      </c>
      <c r="I48" s="157">
        <f>1000*C48/K48</f>
        <v>1.1904444849603337</v>
      </c>
      <c r="J48" s="10" t="s">
        <v>26</v>
      </c>
      <c r="K48" s="420">
        <f>SUM(K41:K47)</f>
        <v>993.7292493873889</v>
      </c>
      <c r="L48" s="470">
        <f t="shared" ref="L48" si="37">SUM(L41:L47)</f>
        <v>1.568127755011965</v>
      </c>
      <c r="M48" s="471">
        <f>SUM(M41:M47)</f>
        <v>529.75</v>
      </c>
      <c r="N48" s="470">
        <f t="shared" ref="N48" si="38">SUM(N41:N47)</f>
        <v>0.83496300000000001</v>
      </c>
      <c r="P48" s="462">
        <f t="shared" ref="P48:Q48" si="39">SUM(P41:P47)</f>
        <v>1.6938984264987387</v>
      </c>
      <c r="Q48" s="462">
        <f t="shared" si="39"/>
        <v>0.9607336714867738</v>
      </c>
    </row>
    <row r="49" spans="1:17">
      <c r="I49" s="465">
        <f>1000*(F48-D48)/K48</f>
        <v>1.1791125181787525</v>
      </c>
      <c r="K49" s="415">
        <f>K48</f>
        <v>993.7292493873889</v>
      </c>
      <c r="L49" s="463">
        <f>$H$48*K49/1000</f>
        <v>1.7042456626993718</v>
      </c>
      <c r="M49" s="471">
        <f>M48</f>
        <v>529.75</v>
      </c>
      <c r="N49" s="463">
        <f>$H$48*M49/1000</f>
        <v>0.90852124999999995</v>
      </c>
      <c r="P49" s="48"/>
      <c r="Q49" s="48"/>
    </row>
    <row r="50" spans="1:17" ht="16">
      <c r="A50" s="164" t="s">
        <v>283</v>
      </c>
      <c r="I50" s="440" t="s">
        <v>272</v>
      </c>
      <c r="P50" s="48"/>
      <c r="Q50" s="48"/>
    </row>
    <row r="51" spans="1:17">
      <c r="A51" s="88" t="s">
        <v>4</v>
      </c>
      <c r="B51" s="72">
        <v>63.341694194967005</v>
      </c>
      <c r="C51" s="352">
        <v>2.2179887820672213E-2</v>
      </c>
      <c r="D51" s="320">
        <v>7.78275751423739E-3</v>
      </c>
      <c r="E51" s="460">
        <f t="shared" ref="E51:E57" si="40">C51+D51</f>
        <v>2.9962645334909603E-2</v>
      </c>
      <c r="F51" s="460">
        <v>2.8190782121101873E-2</v>
      </c>
      <c r="H51" s="105">
        <v>1.8</v>
      </c>
      <c r="I51" s="156">
        <f t="shared" ref="I51:I57" si="41">1000*C51/K51</f>
        <v>1.2717901215606713</v>
      </c>
      <c r="K51" s="16">
        <v>17.439896288433399</v>
      </c>
      <c r="L51" s="352">
        <f>K51*$H51/1000</f>
        <v>3.1391813319180117E-2</v>
      </c>
      <c r="M51" s="143">
        <f>AVERAGE(M8,M18)</f>
        <v>25.049999999999997</v>
      </c>
      <c r="N51" s="312">
        <f>M51*H51/1000</f>
        <v>4.5089999999999998E-2</v>
      </c>
      <c r="O51" s="46"/>
      <c r="P51" s="48"/>
      <c r="Q51" s="48"/>
    </row>
    <row r="52" spans="1:17">
      <c r="A52" s="88" t="s">
        <v>5</v>
      </c>
      <c r="B52" s="72">
        <v>0</v>
      </c>
      <c r="C52" s="344">
        <v>0</v>
      </c>
      <c r="D52" s="354">
        <v>0</v>
      </c>
      <c r="E52" s="349">
        <f t="shared" si="40"/>
        <v>0</v>
      </c>
      <c r="F52" s="349">
        <v>0</v>
      </c>
      <c r="H52" s="105" t="s">
        <v>19</v>
      </c>
      <c r="I52" s="156" t="s">
        <v>19</v>
      </c>
      <c r="J52" s="250"/>
      <c r="K52" s="16">
        <v>0</v>
      </c>
      <c r="L52" s="306">
        <v>0</v>
      </c>
      <c r="M52" s="143">
        <f t="shared" ref="M52:M57" si="42">AVERAGE(M9,M19)</f>
        <v>0</v>
      </c>
      <c r="N52" s="306">
        <v>0</v>
      </c>
      <c r="O52" s="46"/>
      <c r="P52" s="48"/>
      <c r="Q52" s="48"/>
    </row>
    <row r="53" spans="1:17">
      <c r="A53" s="88" t="s">
        <v>88</v>
      </c>
      <c r="B53" s="72">
        <v>66.400000000000006</v>
      </c>
      <c r="C53" s="352">
        <v>2.0887964888401327E-2</v>
      </c>
      <c r="D53" s="355">
        <v>6.5382972313958463E-3</v>
      </c>
      <c r="E53" s="460">
        <f t="shared" si="40"/>
        <v>2.7426262119797172E-2</v>
      </c>
      <c r="F53" s="460">
        <v>2.7182451686494694E-2</v>
      </c>
      <c r="H53" s="105">
        <v>1.1000000000000001</v>
      </c>
      <c r="I53" s="156">
        <f t="shared" si="41"/>
        <v>1.190814763057273</v>
      </c>
      <c r="J53" s="250"/>
      <c r="K53" s="16">
        <v>17.540901856787535</v>
      </c>
      <c r="L53" s="352">
        <f>K53*$H53/1000</f>
        <v>1.9294992042466291E-2</v>
      </c>
      <c r="M53" s="143">
        <f t="shared" si="42"/>
        <v>26.2</v>
      </c>
      <c r="N53" s="312">
        <f>M53*H53/1000</f>
        <v>2.8820000000000002E-2</v>
      </c>
      <c r="O53" s="31"/>
      <c r="P53" s="48"/>
      <c r="Q53" s="48"/>
    </row>
    <row r="54" spans="1:17">
      <c r="A54" s="88" t="s">
        <v>95</v>
      </c>
      <c r="B54" s="72">
        <v>61.2</v>
      </c>
      <c r="C54" s="352">
        <v>2.1624242339203327E-2</v>
      </c>
      <c r="D54" s="355">
        <v>5.2780266141304192E-3</v>
      </c>
      <c r="E54" s="460">
        <f t="shared" si="40"/>
        <v>2.6902268953333745E-2</v>
      </c>
      <c r="F54" s="460">
        <v>2.7478535045402663E-2</v>
      </c>
      <c r="H54" s="105">
        <v>1</v>
      </c>
      <c r="I54" s="156">
        <f t="shared" si="41"/>
        <v>1.221071823211511</v>
      </c>
      <c r="J54" s="250"/>
      <c r="K54" s="16">
        <v>17.709230471251018</v>
      </c>
      <c r="L54" s="352">
        <f>K54*$H54/1000</f>
        <v>1.7709230471251017E-2</v>
      </c>
      <c r="M54" s="143">
        <f t="shared" si="42"/>
        <v>11</v>
      </c>
      <c r="N54" s="312">
        <f>M54*H54/1000</f>
        <v>1.0999999999999999E-2</v>
      </c>
      <c r="O54" s="6"/>
      <c r="P54" s="48"/>
      <c r="Q54" s="48"/>
    </row>
    <row r="55" spans="1:17">
      <c r="A55" s="88" t="s">
        <v>125</v>
      </c>
      <c r="B55" s="72">
        <v>1026.16425</v>
      </c>
      <c r="C55" s="353">
        <v>0.6647577417348689</v>
      </c>
      <c r="D55" s="320">
        <v>7.1968944252595035E-2</v>
      </c>
      <c r="E55" s="404">
        <f t="shared" si="40"/>
        <v>0.73672668598746394</v>
      </c>
      <c r="F55" s="404">
        <v>0.73402094565546272</v>
      </c>
      <c r="H55" s="105">
        <v>1.7</v>
      </c>
      <c r="I55" s="473">
        <f t="shared" si="41"/>
        <v>1.4326282542851154</v>
      </c>
      <c r="J55" s="250"/>
      <c r="K55" s="361">
        <v>464.0127260833512</v>
      </c>
      <c r="L55" s="353">
        <f>K55*$H55/1000</f>
        <v>0.78882163434169705</v>
      </c>
      <c r="M55" s="299">
        <f t="shared" si="42"/>
        <v>272.5</v>
      </c>
      <c r="N55" s="308">
        <f>M55*H55/1000</f>
        <v>0.46325</v>
      </c>
      <c r="O55" s="31"/>
      <c r="P55" s="48"/>
      <c r="Q55" s="48"/>
    </row>
    <row r="56" spans="1:17">
      <c r="A56" s="88" t="s">
        <v>128</v>
      </c>
      <c r="B56" s="72">
        <v>0</v>
      </c>
      <c r="C56" s="344">
        <v>0</v>
      </c>
      <c r="D56" s="354">
        <v>0</v>
      </c>
      <c r="E56" s="349">
        <f t="shared" si="40"/>
        <v>0</v>
      </c>
      <c r="F56" s="349">
        <v>0</v>
      </c>
      <c r="H56" s="105" t="s">
        <v>19</v>
      </c>
      <c r="I56" s="156" t="s">
        <v>19</v>
      </c>
      <c r="J56" s="250"/>
      <c r="K56" s="16">
        <v>0</v>
      </c>
      <c r="L56" s="306">
        <v>0</v>
      </c>
      <c r="M56" s="143">
        <f t="shared" si="42"/>
        <v>0</v>
      </c>
      <c r="N56" s="306">
        <v>0</v>
      </c>
      <c r="O56" s="48"/>
      <c r="P56" s="48"/>
      <c r="Q56" s="48"/>
    </row>
    <row r="57" spans="1:17">
      <c r="A57" s="88" t="s">
        <v>247</v>
      </c>
      <c r="B57" s="73">
        <v>654</v>
      </c>
      <c r="C57" s="353">
        <v>0.38884529196335849</v>
      </c>
      <c r="D57" s="320">
        <v>3.6982325224120031E-2</v>
      </c>
      <c r="E57" s="404">
        <f t="shared" si="40"/>
        <v>0.42582761718747852</v>
      </c>
      <c r="F57" s="404">
        <v>0.43453612322936563</v>
      </c>
      <c r="H57" s="105">
        <v>1.8</v>
      </c>
      <c r="I57" s="473">
        <f t="shared" si="41"/>
        <v>1.4007858170249439</v>
      </c>
      <c r="J57" s="250"/>
      <c r="K57" s="299">
        <v>277.59082597595597</v>
      </c>
      <c r="L57" s="353">
        <f>K57*$H57/1000</f>
        <v>0.49966348675672079</v>
      </c>
      <c r="M57" s="299">
        <f t="shared" si="42"/>
        <v>195</v>
      </c>
      <c r="N57" s="308">
        <f>M57*H57/1000</f>
        <v>0.35099999999999998</v>
      </c>
      <c r="O57" s="48"/>
      <c r="P57" s="48"/>
      <c r="Q57" s="48"/>
    </row>
    <row r="58" spans="1:17" ht="16">
      <c r="A58" s="164" t="s">
        <v>187</v>
      </c>
      <c r="B58" s="197">
        <f>SUM(B51:B57)</f>
        <v>1871.1059441949669</v>
      </c>
      <c r="C58" s="463">
        <f>SUM(C51:C57)</f>
        <v>1.1182951287465044</v>
      </c>
      <c r="D58" s="463">
        <f>SUM(D51:D57)</f>
        <v>0.12855035083647873</v>
      </c>
      <c r="E58" s="462">
        <f>SUM(E51:E57)</f>
        <v>1.2468454795829831</v>
      </c>
      <c r="F58" s="462">
        <f t="shared" ref="F58" si="43">SUM(F51:F57)</f>
        <v>1.2514088377378276</v>
      </c>
      <c r="H58" s="151">
        <v>1.7</v>
      </c>
      <c r="I58" s="157">
        <f>1000*C58/K58</f>
        <v>1.4079115782291316</v>
      </c>
      <c r="J58" s="250"/>
      <c r="K58" s="360">
        <f>SUM(K51:K57)</f>
        <v>794.29358067577914</v>
      </c>
      <c r="L58" s="470">
        <f>SUM(L51:L57)</f>
        <v>1.3568811569313153</v>
      </c>
      <c r="M58" s="239">
        <f>SUM(M51:M57)</f>
        <v>529.75</v>
      </c>
      <c r="N58" s="470">
        <f>SUM(N51:N57)</f>
        <v>0.89915999999999996</v>
      </c>
      <c r="O58" s="6"/>
      <c r="P58" s="48"/>
      <c r="Q58" s="48"/>
    </row>
    <row r="59" spans="1:17">
      <c r="H59" s="46"/>
      <c r="I59" s="465">
        <f>1000*(F58-D58)/K58</f>
        <v>1.4136567564174813</v>
      </c>
      <c r="J59" s="10" t="s">
        <v>26</v>
      </c>
      <c r="K59" s="360">
        <f>K58</f>
        <v>794.29358067577914</v>
      </c>
      <c r="L59" s="463">
        <f>$H$58*K59/1000</f>
        <v>1.3502990871488245</v>
      </c>
      <c r="M59" s="239">
        <f>M58</f>
        <v>529.75</v>
      </c>
      <c r="N59" s="463">
        <f>$H$58*M59/1000</f>
        <v>0.9005749999999999</v>
      </c>
      <c r="O59" s="250"/>
      <c r="P59" s="48"/>
      <c r="Q59" s="48"/>
    </row>
    <row r="60" spans="1:17" ht="16">
      <c r="A60" s="164" t="s">
        <v>270</v>
      </c>
      <c r="H60" s="250"/>
      <c r="I60" s="370" t="s">
        <v>271</v>
      </c>
      <c r="J60" s="250"/>
      <c r="K60" s="296" t="s">
        <v>222</v>
      </c>
      <c r="L60" s="296" t="s">
        <v>222</v>
      </c>
      <c r="M60" s="296" t="s">
        <v>222</v>
      </c>
      <c r="N60" s="296" t="s">
        <v>222</v>
      </c>
      <c r="O60" s="250"/>
      <c r="P60" s="48"/>
      <c r="Q60" s="48"/>
    </row>
    <row r="61" spans="1:17">
      <c r="A61" s="88" t="s">
        <v>4</v>
      </c>
      <c r="C61" s="7">
        <f>C41/C51</f>
        <v>1.0450478244958796</v>
      </c>
      <c r="D61" s="7">
        <f t="shared" ref="D61:F68" si="44">D41/D51</f>
        <v>1.2270579601716558</v>
      </c>
      <c r="E61" s="7">
        <f t="shared" si="44"/>
        <v>1.0923247166148675</v>
      </c>
      <c r="F61" s="7">
        <f t="shared" si="44"/>
        <v>1.0220135661331566</v>
      </c>
      <c r="G61" s="26"/>
      <c r="H61" s="7">
        <f>H41/H51</f>
        <v>0.97222222222222221</v>
      </c>
      <c r="I61" s="137">
        <f>I41/I51</f>
        <v>0.94747949886027871</v>
      </c>
      <c r="J61" s="251"/>
      <c r="K61" s="474">
        <f>K41/K51</f>
        <v>1.1029767142750484</v>
      </c>
      <c r="L61" s="474">
        <f>L41/L51</f>
        <v>0.98479729023850304</v>
      </c>
      <c r="M61" s="7">
        <f>M41/M51</f>
        <v>1</v>
      </c>
      <c r="N61" s="7">
        <f>N41/N51</f>
        <v>0.87408516300731876</v>
      </c>
      <c r="P61" s="48"/>
      <c r="Q61" s="48"/>
    </row>
    <row r="62" spans="1:17">
      <c r="A62" s="88" t="s">
        <v>5</v>
      </c>
      <c r="C62" s="7" t="s">
        <v>32</v>
      </c>
      <c r="D62" s="8" t="s">
        <v>32</v>
      </c>
      <c r="E62" s="7" t="s">
        <v>32</v>
      </c>
      <c r="F62" s="7" t="s">
        <v>32</v>
      </c>
      <c r="G62" s="26"/>
      <c r="H62" s="7" t="s">
        <v>32</v>
      </c>
      <c r="I62" s="137" t="s">
        <v>32</v>
      </c>
      <c r="J62" s="48"/>
      <c r="K62" s="474" t="s">
        <v>32</v>
      </c>
      <c r="L62" s="474" t="s">
        <v>32</v>
      </c>
      <c r="M62" s="5" t="s">
        <v>32</v>
      </c>
      <c r="N62" s="7" t="s">
        <v>32</v>
      </c>
    </row>
    <row r="63" spans="1:17">
      <c r="A63" s="88" t="s">
        <v>88</v>
      </c>
      <c r="C63" s="7">
        <f>C43/C53</f>
        <v>1.0532549415755543</v>
      </c>
      <c r="D63" s="7">
        <f t="shared" si="44"/>
        <v>0.7727501557139167</v>
      </c>
      <c r="E63" s="7">
        <f t="shared" si="44"/>
        <v>0.98638386535009348</v>
      </c>
      <c r="F63" s="7">
        <f t="shared" si="44"/>
        <v>1.0330015672143253</v>
      </c>
      <c r="G63" s="26"/>
      <c r="H63" s="7">
        <f t="shared" ref="H63:I65" si="45">H43/H53</f>
        <v>0.99090909090909085</v>
      </c>
      <c r="I63" s="137">
        <f t="shared" si="45"/>
        <v>0.98269414839797709</v>
      </c>
      <c r="J63" s="26"/>
      <c r="K63" s="474">
        <f t="shared" ref="K63:N67" si="46">K43/K53</f>
        <v>1.0718034123766871</v>
      </c>
      <c r="L63" s="474">
        <f t="shared" si="46"/>
        <v>1.0009724860484299</v>
      </c>
      <c r="M63" s="7">
        <f t="shared" si="46"/>
        <v>1</v>
      </c>
      <c r="N63" s="7">
        <f t="shared" si="46"/>
        <v>0.99701596113809854</v>
      </c>
    </row>
    <row r="64" spans="1:17">
      <c r="A64" s="88" t="s">
        <v>95</v>
      </c>
      <c r="C64" s="7">
        <f>C44/C54</f>
        <v>1.0544926150432015</v>
      </c>
      <c r="D64" s="7">
        <f t="shared" si="44"/>
        <v>1.0121349358775855</v>
      </c>
      <c r="E64" s="7">
        <f t="shared" si="44"/>
        <v>1.0461823510154078</v>
      </c>
      <c r="F64" s="7">
        <f t="shared" si="44"/>
        <v>1.0321935432835914</v>
      </c>
      <c r="G64" s="26"/>
      <c r="H64" s="7">
        <f t="shared" si="45"/>
        <v>1.0149999999999999</v>
      </c>
      <c r="I64" s="137">
        <f t="shared" si="45"/>
        <v>0.94954167822964752</v>
      </c>
      <c r="J64" s="26"/>
      <c r="K64" s="474">
        <f t="shared" si="46"/>
        <v>1.1105279938940935</v>
      </c>
      <c r="L64" s="474">
        <f t="shared" si="46"/>
        <v>1.0811590230332473</v>
      </c>
      <c r="M64" s="7">
        <f t="shared" si="46"/>
        <v>1</v>
      </c>
      <c r="N64" s="7">
        <f t="shared" si="46"/>
        <v>0.98468181818181821</v>
      </c>
    </row>
    <row r="65" spans="1:17">
      <c r="A65" s="88" t="s">
        <v>125</v>
      </c>
      <c r="C65" s="474">
        <f>C45/C55</f>
        <v>1.058329153507424</v>
      </c>
      <c r="D65" s="7">
        <f t="shared" si="44"/>
        <v>0.91615168655239776</v>
      </c>
      <c r="E65" s="7">
        <f t="shared" si="44"/>
        <v>1.0444402006733802</v>
      </c>
      <c r="F65" s="7">
        <f t="shared" si="44"/>
        <v>1.0366487347968896</v>
      </c>
      <c r="G65" s="26"/>
      <c r="H65" s="7">
        <f t="shared" si="45"/>
        <v>1.0176470588235293</v>
      </c>
      <c r="I65" s="137">
        <f t="shared" si="45"/>
        <v>0.83268007470298799</v>
      </c>
      <c r="J65" s="26"/>
      <c r="K65" s="474">
        <f t="shared" si="46"/>
        <v>1.2709913274734281</v>
      </c>
      <c r="L65" s="474">
        <f t="shared" si="46"/>
        <v>1.1638020843326324</v>
      </c>
      <c r="M65" s="7">
        <f t="shared" si="46"/>
        <v>1</v>
      </c>
      <c r="N65" s="7">
        <f t="shared" si="46"/>
        <v>0.91079330814894766</v>
      </c>
    </row>
    <row r="66" spans="1:17">
      <c r="A66" s="88" t="s">
        <v>128</v>
      </c>
      <c r="C66" s="7" t="s">
        <v>32</v>
      </c>
      <c r="D66" s="7" t="s">
        <v>32</v>
      </c>
      <c r="E66" s="8" t="s">
        <v>32</v>
      </c>
      <c r="F66" s="8" t="s">
        <v>32</v>
      </c>
      <c r="G66" s="26"/>
      <c r="H66" s="7" t="s">
        <v>32</v>
      </c>
      <c r="I66" s="137" t="s">
        <v>32</v>
      </c>
      <c r="J66" s="26"/>
      <c r="K66" s="474" t="s">
        <v>32</v>
      </c>
      <c r="L66" s="474" t="s">
        <v>32</v>
      </c>
      <c r="M66" s="5" t="s">
        <v>32</v>
      </c>
      <c r="N66" s="8" t="s">
        <v>32</v>
      </c>
    </row>
    <row r="67" spans="1:17">
      <c r="A67" s="88" t="s">
        <v>247</v>
      </c>
      <c r="C67" s="7">
        <f>C47/C57</f>
        <v>1.0581715023379417</v>
      </c>
      <c r="D67" s="7">
        <f t="shared" si="44"/>
        <v>1.0786710055780082</v>
      </c>
      <c r="E67" s="7">
        <f t="shared" si="44"/>
        <v>1.0599518455217969</v>
      </c>
      <c r="F67" s="7">
        <f t="shared" si="44"/>
        <v>1.0386094894120981</v>
      </c>
      <c r="G67" s="26"/>
      <c r="H67" s="7">
        <f>H47/H57</f>
        <v>1.0166666666666666</v>
      </c>
      <c r="I67" s="137">
        <f>I47/I57</f>
        <v>0.84829307482880922</v>
      </c>
      <c r="J67" s="26"/>
      <c r="K67" s="474">
        <f t="shared" si="46"/>
        <v>1.2474126380808748</v>
      </c>
      <c r="L67" s="474">
        <f t="shared" si="46"/>
        <v>1.162223546506145</v>
      </c>
      <c r="M67" s="7">
        <f t="shared" si="46"/>
        <v>1</v>
      </c>
      <c r="N67" s="7">
        <f t="shared" si="46"/>
        <v>0.95173789173789192</v>
      </c>
    </row>
    <row r="68" spans="1:17" ht="16">
      <c r="A68" s="164" t="s">
        <v>217</v>
      </c>
      <c r="C68" s="475">
        <f>C48/C58</f>
        <v>1.0578419542996573</v>
      </c>
      <c r="D68" s="475">
        <f t="shared" si="44"/>
        <v>0.97837672684969323</v>
      </c>
      <c r="E68" s="475">
        <f t="shared" si="44"/>
        <v>1.0496490522638655</v>
      </c>
      <c r="F68" s="475">
        <f t="shared" si="44"/>
        <v>1.0368228431767281</v>
      </c>
      <c r="G68" s="26"/>
      <c r="H68" s="475">
        <f>H48/H58</f>
        <v>1.0088235294117647</v>
      </c>
      <c r="I68" s="369">
        <f>I48/I58</f>
        <v>0.845539239373024</v>
      </c>
      <c r="J68" s="26"/>
      <c r="K68" s="475">
        <f>K48/K58</f>
        <v>1.251085585435465</v>
      </c>
      <c r="L68" s="475">
        <f>L48/L58</f>
        <v>1.1556854091469582</v>
      </c>
      <c r="M68" s="475">
        <f>M48/M58</f>
        <v>1</v>
      </c>
      <c r="N68" s="475">
        <f>N48/N58</f>
        <v>0.92860336313892977</v>
      </c>
    </row>
    <row r="69" spans="1:17">
      <c r="I69" s="438">
        <f>I49/I59</f>
        <v>0.83408685511954417</v>
      </c>
      <c r="J69" s="10" t="s">
        <v>26</v>
      </c>
      <c r="K69" s="262"/>
      <c r="L69" s="262"/>
      <c r="M69" s="262"/>
      <c r="N69" s="262"/>
    </row>
    <row r="70" spans="1:17" ht="16">
      <c r="A70" s="164" t="s">
        <v>284</v>
      </c>
      <c r="I70" s="440" t="s">
        <v>272</v>
      </c>
    </row>
    <row r="71" spans="1:17">
      <c r="A71" s="88" t="s">
        <v>4</v>
      </c>
      <c r="B71" s="72">
        <v>63.341694194967005</v>
      </c>
      <c r="C71" s="352">
        <v>2.9082954467558972E-2</v>
      </c>
      <c r="D71" s="320">
        <v>7.4182287391250214E-3</v>
      </c>
      <c r="E71" s="460">
        <f t="shared" ref="E71:E77" si="47">C71+D71</f>
        <v>3.6501183206683996E-2</v>
      </c>
      <c r="F71" s="460">
        <v>3.5078174181991821E-2</v>
      </c>
      <c r="H71" s="105">
        <v>1.8</v>
      </c>
      <c r="I71" s="156">
        <f t="shared" ref="I71" si="48">1000*C71/K71</f>
        <v>0.71703563618477606</v>
      </c>
      <c r="J71" s="251"/>
      <c r="K71" s="16">
        <v>40.559984748184057</v>
      </c>
      <c r="L71" s="352">
        <f>K71*$H71/1000</f>
        <v>7.3007972546731303E-2</v>
      </c>
      <c r="M71" s="364">
        <f>AVERAGE(M8,M18)</f>
        <v>25.049999999999997</v>
      </c>
      <c r="N71" s="312">
        <f>M71*H71/1000</f>
        <v>4.5089999999999998E-2</v>
      </c>
      <c r="O71" s="46"/>
      <c r="P71" s="460">
        <f>L71+D71</f>
        <v>8.0426201285856327E-2</v>
      </c>
      <c r="Q71" s="460">
        <f>N71+D71</f>
        <v>5.2508228739125022E-2</v>
      </c>
    </row>
    <row r="72" spans="1:17">
      <c r="A72" s="88" t="s">
        <v>5</v>
      </c>
      <c r="B72" s="72">
        <v>0</v>
      </c>
      <c r="C72" s="344">
        <v>0</v>
      </c>
      <c r="D72" s="354">
        <v>0</v>
      </c>
      <c r="E72" s="349">
        <f t="shared" si="47"/>
        <v>0</v>
      </c>
      <c r="F72" s="349">
        <v>0</v>
      </c>
      <c r="H72" s="105" t="s">
        <v>19</v>
      </c>
      <c r="I72" s="156" t="s">
        <v>19</v>
      </c>
      <c r="J72" s="48"/>
      <c r="K72" s="16">
        <v>0</v>
      </c>
      <c r="L72" s="306">
        <v>0</v>
      </c>
      <c r="M72" s="365">
        <f t="shared" ref="M72:M77" si="49">AVERAGE(M9,M19)</f>
        <v>0</v>
      </c>
      <c r="N72" s="306">
        <v>0</v>
      </c>
      <c r="O72" s="46"/>
      <c r="P72" s="309">
        <v>0</v>
      </c>
      <c r="Q72" s="309">
        <f>D72+N72</f>
        <v>0</v>
      </c>
    </row>
    <row r="73" spans="1:17">
      <c r="A73" s="88" t="s">
        <v>88</v>
      </c>
      <c r="B73" s="72">
        <v>66.400000000000006</v>
      </c>
      <c r="C73" s="352">
        <v>2.962711530788938E-2</v>
      </c>
      <c r="D73" s="355">
        <v>6.680465494409169E-3</v>
      </c>
      <c r="E73" s="460">
        <f t="shared" si="47"/>
        <v>3.6307580802298546E-2</v>
      </c>
      <c r="F73" s="460">
        <v>3.6102072426362285E-2</v>
      </c>
      <c r="H73" s="105">
        <v>1.1000000000000001</v>
      </c>
      <c r="I73" s="156">
        <f t="shared" ref="I73:I75" si="50">1000*C73/K73</f>
        <v>1.3318490181737028</v>
      </c>
      <c r="K73" s="16">
        <v>22.245100535881718</v>
      </c>
      <c r="L73" s="352">
        <f>K73*$H73/1000</f>
        <v>2.4469610589469892E-2</v>
      </c>
      <c r="M73" s="364">
        <f t="shared" si="49"/>
        <v>26.2</v>
      </c>
      <c r="N73" s="312">
        <f>M73*H73/1000</f>
        <v>2.8820000000000002E-2</v>
      </c>
      <c r="O73" s="31"/>
      <c r="P73" s="460">
        <f>D73+L73</f>
        <v>3.1150076083879062E-2</v>
      </c>
      <c r="Q73" s="460">
        <f>D73+N73</f>
        <v>3.5500465494409168E-2</v>
      </c>
    </row>
    <row r="74" spans="1:17">
      <c r="A74" s="88" t="s">
        <v>95</v>
      </c>
      <c r="B74" s="72">
        <v>61.2</v>
      </c>
      <c r="C74" s="352">
        <v>2.9059270480796987E-2</v>
      </c>
      <c r="D74" s="355">
        <v>5.4886861538861447E-3</v>
      </c>
      <c r="E74" s="460">
        <f t="shared" si="47"/>
        <v>3.454795663468313E-2</v>
      </c>
      <c r="F74" s="460">
        <v>3.4842198822103071E-2</v>
      </c>
      <c r="H74" s="105">
        <v>1</v>
      </c>
      <c r="I74" s="156">
        <f t="shared" si="50"/>
        <v>1.6166099097563735</v>
      </c>
      <c r="K74" s="16">
        <v>17.975437553253819</v>
      </c>
      <c r="L74" s="352">
        <f>K74*$H74/1000</f>
        <v>1.7975437553253818E-2</v>
      </c>
      <c r="M74" s="364">
        <f t="shared" si="49"/>
        <v>11</v>
      </c>
      <c r="N74" s="312">
        <f>M74*H74/1000</f>
        <v>1.0999999999999999E-2</v>
      </c>
      <c r="O74" s="6"/>
      <c r="P74" s="460">
        <f>D74+L74</f>
        <v>2.3464123707139961E-2</v>
      </c>
      <c r="Q74" s="460">
        <f>D74+N74</f>
        <v>1.6488686153886142E-2</v>
      </c>
    </row>
    <row r="75" spans="1:17">
      <c r="A75" s="88" t="s">
        <v>125</v>
      </c>
      <c r="B75" s="72">
        <v>1026.16425</v>
      </c>
      <c r="C75" s="353">
        <v>0.67305501584528904</v>
      </c>
      <c r="D75" s="320">
        <v>7.1334600088341027E-2</v>
      </c>
      <c r="E75" s="404">
        <f t="shared" si="47"/>
        <v>0.74438961593363007</v>
      </c>
      <c r="F75" s="404">
        <v>0.74397789046917939</v>
      </c>
      <c r="H75" s="105">
        <v>1.7</v>
      </c>
      <c r="I75" s="473">
        <f t="shared" si="50"/>
        <v>1.2127968673852316</v>
      </c>
      <c r="K75" s="361">
        <v>554.96104413295825</v>
      </c>
      <c r="L75" s="353">
        <f>K75*$H75/1000</f>
        <v>0.94343377502602899</v>
      </c>
      <c r="M75" s="368">
        <f t="shared" si="49"/>
        <v>272.5</v>
      </c>
      <c r="N75" s="308">
        <f>M75*H75/1000</f>
        <v>0.46325</v>
      </c>
      <c r="O75" s="31"/>
      <c r="P75" s="404">
        <f t="shared" ref="P75:P77" si="51">D75+L75</f>
        <v>1.0147683751143699</v>
      </c>
      <c r="Q75" s="404">
        <f t="shared" ref="Q75:Q77" si="52">D75+N75</f>
        <v>0.53458460008834097</v>
      </c>
    </row>
    <row r="76" spans="1:17">
      <c r="A76" s="88" t="s">
        <v>128</v>
      </c>
      <c r="B76" s="72">
        <v>0</v>
      </c>
      <c r="C76" s="344">
        <v>0</v>
      </c>
      <c r="D76" s="354">
        <v>0</v>
      </c>
      <c r="E76" s="349">
        <f t="shared" si="47"/>
        <v>0</v>
      </c>
      <c r="F76" s="349">
        <v>0</v>
      </c>
      <c r="H76" s="105" t="s">
        <v>19</v>
      </c>
      <c r="I76" s="156" t="s">
        <v>19</v>
      </c>
      <c r="K76" s="16">
        <v>0</v>
      </c>
      <c r="L76" s="306">
        <v>0</v>
      </c>
      <c r="M76" s="365">
        <f t="shared" si="49"/>
        <v>0</v>
      </c>
      <c r="N76" s="306">
        <v>0</v>
      </c>
      <c r="O76" s="48"/>
      <c r="P76" s="309">
        <f t="shared" si="51"/>
        <v>0</v>
      </c>
      <c r="Q76" s="309">
        <f t="shared" si="52"/>
        <v>0</v>
      </c>
    </row>
    <row r="77" spans="1:17">
      <c r="A77" s="88" t="s">
        <v>247</v>
      </c>
      <c r="B77" s="73">
        <v>654</v>
      </c>
      <c r="C77" s="353">
        <v>0.40924898941953269</v>
      </c>
      <c r="D77" s="320">
        <v>3.9810322038459543E-2</v>
      </c>
      <c r="E77" s="404">
        <f t="shared" si="47"/>
        <v>0.44905931145799222</v>
      </c>
      <c r="F77" s="404">
        <v>0.45810104440000893</v>
      </c>
      <c r="H77" s="105">
        <v>1.8</v>
      </c>
      <c r="I77" s="473">
        <f t="shared" ref="I77" si="53">1000*C77/K77</f>
        <v>2.2525545152375201</v>
      </c>
      <c r="K77" s="299">
        <v>181.68216868943546</v>
      </c>
      <c r="L77" s="353">
        <f>K77*$H77/1000</f>
        <v>0.32702790364098383</v>
      </c>
      <c r="M77" s="368">
        <f t="shared" si="49"/>
        <v>195</v>
      </c>
      <c r="N77" s="308">
        <f>M77*H77/1000</f>
        <v>0.35099999999999998</v>
      </c>
      <c r="O77" s="48"/>
      <c r="P77" s="404">
        <f t="shared" si="51"/>
        <v>0.36683822567944335</v>
      </c>
      <c r="Q77" s="404">
        <f t="shared" si="52"/>
        <v>0.3908103220384595</v>
      </c>
    </row>
    <row r="78" spans="1:17" ht="16">
      <c r="A78" s="164" t="s">
        <v>217</v>
      </c>
      <c r="B78" s="197">
        <f>SUM(B71:B77)</f>
        <v>1871.1059441949669</v>
      </c>
      <c r="C78" s="463">
        <f>SUM(C71:C77)</f>
        <v>1.1700733455210672</v>
      </c>
      <c r="D78" s="463">
        <f>SUM(D71:D77)</f>
        <v>0.13073230251422091</v>
      </c>
      <c r="E78" s="462">
        <f>SUM(E71:E77)</f>
        <v>1.3008056480352879</v>
      </c>
      <c r="F78" s="462">
        <f t="shared" ref="F78" si="54">SUM(F71:F77)</f>
        <v>1.3081013802996455</v>
      </c>
      <c r="H78" s="151">
        <v>1.7</v>
      </c>
      <c r="I78" s="157">
        <f>1000*C78/K78</f>
        <v>1.4314159162221332</v>
      </c>
      <c r="K78" s="360">
        <f>SUM(K71:K77)</f>
        <v>817.42373565971332</v>
      </c>
      <c r="L78" s="470">
        <f>SUM(L71:L77)</f>
        <v>1.3859146993564677</v>
      </c>
      <c r="M78" s="239">
        <f>SUM(M71:M77)</f>
        <v>529.75</v>
      </c>
      <c r="N78" s="470">
        <f>SUM(N71:N77)</f>
        <v>0.89915999999999996</v>
      </c>
      <c r="O78" s="6"/>
      <c r="P78" s="478">
        <f>SUM(P71:P77)</f>
        <v>1.5166470018706886</v>
      </c>
      <c r="Q78" s="478">
        <f>SUM(Q71:Q77)</f>
        <v>1.0298923025142208</v>
      </c>
    </row>
    <row r="79" spans="1:17">
      <c r="I79" s="479">
        <f>1000*(F78-D78)/K78</f>
        <v>1.4403411919953761</v>
      </c>
      <c r="K79" s="360">
        <f>K78</f>
        <v>817.42373565971332</v>
      </c>
      <c r="L79" s="463">
        <f>$H$78*K79/1000</f>
        <v>1.3896203506215126</v>
      </c>
      <c r="M79" s="239">
        <f>M78</f>
        <v>529.75</v>
      </c>
      <c r="N79" s="463">
        <f>$H$58*M79/1000</f>
        <v>0.9005749999999999</v>
      </c>
      <c r="O79" s="2"/>
      <c r="P79" s="462">
        <f>D78+L79</f>
        <v>1.5203526531357334</v>
      </c>
      <c r="Q79" s="462">
        <f>D78+N79</f>
        <v>1.0313073025142208</v>
      </c>
    </row>
  </sheetData>
  <mergeCells count="2">
    <mergeCell ref="A1:Q1"/>
    <mergeCell ref="A2:Q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6CBE-3F95-4538-B27D-84B8D96695BF}">
  <dimension ref="A1:AJ14"/>
  <sheetViews>
    <sheetView topLeftCell="A4" workbookViewId="0">
      <selection activeCell="B12" sqref="B12"/>
    </sheetView>
  </sheetViews>
  <sheetFormatPr baseColWidth="10" defaultColWidth="8.83203125" defaultRowHeight="15"/>
  <cols>
    <col min="1" max="1" width="17.1640625" customWidth="1"/>
    <col min="2" max="2" width="9.83203125" bestFit="1" customWidth="1"/>
    <col min="3" max="3" width="5.5" bestFit="1" customWidth="1"/>
    <col min="4" max="4" width="7.1640625" customWidth="1"/>
    <col min="5" max="5" width="7.1640625" bestFit="1" customWidth="1"/>
    <col min="6" max="6" width="7.5" bestFit="1" customWidth="1"/>
    <col min="7" max="7" width="2.1640625" customWidth="1"/>
    <col min="8" max="8" width="11.5" customWidth="1"/>
    <col min="9" max="9" width="5.5" customWidth="1"/>
    <col min="10" max="10" width="6.5" customWidth="1"/>
    <col min="11" max="11" width="6.5" bestFit="1" customWidth="1"/>
    <col min="12" max="12" width="5.5" bestFit="1" customWidth="1"/>
    <col min="13" max="13" width="7" bestFit="1" customWidth="1"/>
    <col min="14" max="14" width="1.5" customWidth="1"/>
    <col min="15" max="15" width="13" bestFit="1" customWidth="1"/>
    <col min="16" max="16" width="13.5" bestFit="1" customWidth="1"/>
    <col min="17" max="17" width="1" customWidth="1"/>
    <col min="18" max="18" width="11.5" bestFit="1" customWidth="1"/>
    <col min="19" max="19" width="11.83203125" bestFit="1" customWidth="1"/>
    <col min="20" max="20" width="1.1640625" customWidth="1"/>
    <col min="22" max="22" width="9.5" bestFit="1" customWidth="1"/>
    <col min="23" max="23" width="18.33203125" bestFit="1" customWidth="1"/>
    <col min="24" max="24" width="6.5" customWidth="1"/>
    <col min="25" max="25" width="9.1640625" bestFit="1" customWidth="1"/>
    <col min="26" max="26" width="6.33203125" bestFit="1" customWidth="1"/>
    <col min="27" max="27" width="9.83203125" bestFit="1" customWidth="1"/>
    <col min="28" max="28" width="10.1640625" customWidth="1"/>
    <col min="29" max="29" width="17.5" bestFit="1" customWidth="1"/>
  </cols>
  <sheetData>
    <row r="1" spans="1:36" ht="16">
      <c r="A1" s="618" t="s">
        <v>246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  <c r="R1" s="618"/>
      <c r="S1" s="618"/>
      <c r="T1" s="618"/>
      <c r="U1" s="618"/>
      <c r="V1" s="618"/>
      <c r="W1" s="618"/>
      <c r="X1" s="618"/>
    </row>
    <row r="2" spans="1:36">
      <c r="A2" s="619" t="s">
        <v>227</v>
      </c>
      <c r="B2" s="619"/>
      <c r="C2" s="619"/>
      <c r="D2" s="619"/>
      <c r="E2" s="619"/>
      <c r="F2" s="619"/>
      <c r="G2" s="619"/>
      <c r="H2" s="619"/>
      <c r="I2" s="619"/>
      <c r="J2" s="619"/>
      <c r="K2" s="619"/>
      <c r="L2" s="619"/>
      <c r="M2" s="619"/>
      <c r="N2" s="619"/>
      <c r="O2" s="619"/>
      <c r="P2" s="619"/>
      <c r="Q2" s="619"/>
      <c r="R2" s="619"/>
      <c r="S2" s="619"/>
      <c r="T2" s="619"/>
      <c r="U2" s="619"/>
      <c r="V2" s="619"/>
      <c r="W2" s="619"/>
      <c r="X2" s="619"/>
    </row>
    <row r="3" spans="1:36" ht="19">
      <c r="R3" s="617" t="s">
        <v>86</v>
      </c>
      <c r="S3" s="617"/>
      <c r="T3" s="43"/>
      <c r="U3" s="617" t="s">
        <v>87</v>
      </c>
      <c r="V3" s="617"/>
      <c r="W3" s="617"/>
      <c r="AA3" t="s">
        <v>228</v>
      </c>
      <c r="AD3" s="275" t="s">
        <v>229</v>
      </c>
    </row>
    <row r="4" spans="1:36" ht="32">
      <c r="B4" s="42" t="s">
        <v>27</v>
      </c>
      <c r="C4" s="40" t="s">
        <v>56</v>
      </c>
      <c r="D4" s="40" t="s">
        <v>57</v>
      </c>
      <c r="E4" s="273" t="s">
        <v>58</v>
      </c>
      <c r="F4" s="273" t="s">
        <v>59</v>
      </c>
      <c r="G4" s="43"/>
      <c r="H4" s="40" t="s">
        <v>56</v>
      </c>
      <c r="I4" s="44"/>
      <c r="J4" s="40" t="s">
        <v>16</v>
      </c>
      <c r="K4" s="40" t="s">
        <v>60</v>
      </c>
      <c r="L4" s="40" t="s">
        <v>17</v>
      </c>
      <c r="M4" s="40" t="s">
        <v>61</v>
      </c>
      <c r="O4" s="40" t="s">
        <v>68</v>
      </c>
      <c r="P4" s="40" t="s">
        <v>69</v>
      </c>
      <c r="R4" s="273" t="s">
        <v>70</v>
      </c>
      <c r="S4" s="273" t="s">
        <v>70</v>
      </c>
      <c r="U4" s="40" t="s">
        <v>70</v>
      </c>
      <c r="V4" s="40" t="s">
        <v>70</v>
      </c>
      <c r="W4" s="40" t="s">
        <v>79</v>
      </c>
      <c r="Y4" s="40" t="s">
        <v>230</v>
      </c>
      <c r="Z4" s="40" t="s">
        <v>231</v>
      </c>
      <c r="AA4" s="171" t="s">
        <v>232</v>
      </c>
      <c r="AB4" s="40" t="s">
        <v>17</v>
      </c>
      <c r="AD4" s="168" t="s">
        <v>233</v>
      </c>
      <c r="AE4" s="168" t="s">
        <v>234</v>
      </c>
      <c r="AF4" s="168" t="s">
        <v>235</v>
      </c>
      <c r="AG4" s="168" t="s">
        <v>233</v>
      </c>
      <c r="AH4" s="168" t="s">
        <v>234</v>
      </c>
      <c r="AI4" s="168" t="s">
        <v>235</v>
      </c>
      <c r="AJ4" s="168" t="s">
        <v>56</v>
      </c>
    </row>
    <row r="5" spans="1:36" ht="17">
      <c r="B5" s="273" t="s">
        <v>30</v>
      </c>
      <c r="C5" s="273" t="s">
        <v>31</v>
      </c>
      <c r="D5" s="273" t="s">
        <v>31</v>
      </c>
      <c r="E5" s="273" t="s">
        <v>31</v>
      </c>
      <c r="F5" s="273" t="s">
        <v>31</v>
      </c>
      <c r="G5" s="43"/>
      <c r="H5" s="40" t="s">
        <v>29</v>
      </c>
      <c r="I5" s="44"/>
      <c r="J5" s="273" t="s">
        <v>31</v>
      </c>
      <c r="K5" s="273" t="s">
        <v>31</v>
      </c>
      <c r="L5" s="273" t="s">
        <v>31</v>
      </c>
      <c r="M5" s="273" t="s">
        <v>31</v>
      </c>
      <c r="O5" s="273" t="s">
        <v>31</v>
      </c>
      <c r="P5" s="273" t="s">
        <v>31</v>
      </c>
      <c r="R5" s="273" t="s">
        <v>71</v>
      </c>
      <c r="S5" s="273" t="s">
        <v>71</v>
      </c>
      <c r="U5" s="40" t="s">
        <v>76</v>
      </c>
      <c r="V5" s="40" t="s">
        <v>77</v>
      </c>
      <c r="W5" s="273" t="s">
        <v>80</v>
      </c>
      <c r="Y5" s="40" t="s">
        <v>31</v>
      </c>
      <c r="Z5" s="40" t="s">
        <v>31</v>
      </c>
      <c r="AA5" s="18" t="s">
        <v>13</v>
      </c>
      <c r="AB5" s="40" t="s">
        <v>236</v>
      </c>
      <c r="AD5" s="40" t="s">
        <v>236</v>
      </c>
      <c r="AE5" s="40" t="s">
        <v>236</v>
      </c>
      <c r="AF5" s="40" t="s">
        <v>236</v>
      </c>
      <c r="AG5" s="40" t="s">
        <v>236</v>
      </c>
      <c r="AH5" s="40" t="s">
        <v>236</v>
      </c>
      <c r="AI5" s="40" t="s">
        <v>236</v>
      </c>
      <c r="AJ5" s="40" t="s">
        <v>236</v>
      </c>
    </row>
    <row r="6" spans="1:36" ht="48">
      <c r="A6" s="17"/>
      <c r="B6" s="271" t="s">
        <v>28</v>
      </c>
      <c r="C6" s="18" t="s">
        <v>8</v>
      </c>
      <c r="D6" s="18" t="s">
        <v>8</v>
      </c>
      <c r="E6" s="271" t="s">
        <v>8</v>
      </c>
      <c r="F6" s="271" t="s">
        <v>8</v>
      </c>
      <c r="G6" s="20"/>
      <c r="H6" s="21" t="s">
        <v>237</v>
      </c>
      <c r="I6" s="22"/>
      <c r="J6" s="18" t="s">
        <v>13</v>
      </c>
      <c r="K6" s="18" t="s">
        <v>8</v>
      </c>
      <c r="L6" s="18" t="s">
        <v>13</v>
      </c>
      <c r="M6" s="18" t="s">
        <v>8</v>
      </c>
      <c r="O6" s="18" t="s">
        <v>8</v>
      </c>
      <c r="P6" s="18" t="s">
        <v>8</v>
      </c>
      <c r="R6" s="272" t="s">
        <v>244</v>
      </c>
      <c r="S6" s="270" t="s">
        <v>72</v>
      </c>
      <c r="U6" s="18" t="s">
        <v>78</v>
      </c>
      <c r="V6" s="18" t="s">
        <v>78</v>
      </c>
      <c r="W6" s="18" t="s">
        <v>78</v>
      </c>
      <c r="Y6" s="18" t="s">
        <v>13</v>
      </c>
      <c r="Z6" s="18" t="s">
        <v>13</v>
      </c>
      <c r="AA6" s="18" t="s">
        <v>13</v>
      </c>
      <c r="AB6" s="18" t="s">
        <v>238</v>
      </c>
      <c r="AD6" s="18" t="s">
        <v>238</v>
      </c>
      <c r="AE6" s="18" t="s">
        <v>238</v>
      </c>
      <c r="AF6" s="18" t="s">
        <v>238</v>
      </c>
      <c r="AG6" s="18" t="s">
        <v>13</v>
      </c>
      <c r="AH6" s="18" t="s">
        <v>13</v>
      </c>
      <c r="AI6" s="18" t="s">
        <v>13</v>
      </c>
      <c r="AJ6" s="18" t="s">
        <v>8</v>
      </c>
    </row>
    <row r="7" spans="1:36" ht="16">
      <c r="A7" s="1" t="s">
        <v>239</v>
      </c>
      <c r="C7" s="6"/>
      <c r="D7" s="6"/>
      <c r="H7" s="10"/>
      <c r="W7" s="276"/>
      <c r="Y7" s="277"/>
    </row>
    <row r="8" spans="1:36">
      <c r="A8" s="2" t="s">
        <v>88</v>
      </c>
      <c r="B8" s="72">
        <v>328</v>
      </c>
      <c r="C8" s="77">
        <v>88.5</v>
      </c>
      <c r="D8" s="80">
        <f>F8-C8</f>
        <v>3.5</v>
      </c>
      <c r="E8" s="82">
        <f>SUM(C8:D8)</f>
        <v>92</v>
      </c>
      <c r="F8" s="82">
        <v>92</v>
      </c>
      <c r="H8" s="269">
        <v>285</v>
      </c>
      <c r="I8" s="10"/>
      <c r="J8" s="143">
        <v>151</v>
      </c>
      <c r="K8" s="77">
        <f>H8*J8/1000</f>
        <v>43.034999999999997</v>
      </c>
      <c r="L8" s="143" t="s">
        <v>32</v>
      </c>
      <c r="M8" s="77" t="s">
        <v>32</v>
      </c>
      <c r="O8" s="82">
        <f>K8+D8</f>
        <v>46.534999999999997</v>
      </c>
      <c r="P8" s="82" t="s">
        <v>32</v>
      </c>
      <c r="W8" s="278"/>
      <c r="X8" s="6"/>
      <c r="Y8" s="10">
        <v>145</v>
      </c>
      <c r="Z8" s="9">
        <v>7</v>
      </c>
      <c r="AA8" s="10">
        <f>SUM(Y8:Z8)</f>
        <v>152</v>
      </c>
      <c r="AC8" s="5" t="s">
        <v>88</v>
      </c>
      <c r="AD8" s="279"/>
      <c r="AE8" s="280"/>
      <c r="AF8" s="280"/>
      <c r="AG8" s="280"/>
      <c r="AH8" s="280"/>
      <c r="AI8" s="280"/>
      <c r="AJ8" s="280"/>
    </row>
    <row r="9" spans="1:36">
      <c r="A9" s="129" t="s">
        <v>95</v>
      </c>
      <c r="B9" s="72">
        <v>390</v>
      </c>
      <c r="C9" s="77">
        <v>65.867560901174812</v>
      </c>
      <c r="D9" s="80">
        <v>2.5176858520947523</v>
      </c>
      <c r="E9" s="82">
        <f>SUM(C9:D9)</f>
        <v>68.38524675326957</v>
      </c>
      <c r="F9" s="82">
        <v>55.91419315239213</v>
      </c>
      <c r="H9" s="269">
        <v>150</v>
      </c>
      <c r="I9" s="10"/>
      <c r="J9" s="143">
        <v>309.02801531327287</v>
      </c>
      <c r="K9" s="77">
        <f t="shared" ref="K9:K10" si="0">H9*J9/1000</f>
        <v>46.354202296990927</v>
      </c>
      <c r="L9" s="143">
        <f>907.18*AB9/1000000</f>
        <v>217.72319999999999</v>
      </c>
      <c r="M9" s="82">
        <f>L9*H9/1000</f>
        <v>32.658479999999997</v>
      </c>
      <c r="O9" s="82">
        <f>K9+D9</f>
        <v>48.871888149085677</v>
      </c>
      <c r="P9" s="82">
        <f>M9+D9</f>
        <v>35.176165852094748</v>
      </c>
      <c r="W9" s="278"/>
      <c r="X9" s="6"/>
      <c r="Y9" s="10">
        <v>368</v>
      </c>
      <c r="Z9" s="10">
        <v>17</v>
      </c>
      <c r="AA9" s="10">
        <f>SUM(Y9:Z9)</f>
        <v>385</v>
      </c>
      <c r="AB9" s="10">
        <v>240000</v>
      </c>
      <c r="AC9" s="5" t="s">
        <v>95</v>
      </c>
      <c r="AD9" s="279"/>
      <c r="AE9" s="280"/>
      <c r="AF9" s="280"/>
      <c r="AG9" s="280"/>
      <c r="AH9" s="280"/>
      <c r="AI9" s="280"/>
      <c r="AJ9" s="280"/>
    </row>
    <row r="10" spans="1:36">
      <c r="A10" s="129" t="s">
        <v>125</v>
      </c>
      <c r="B10" s="72">
        <v>1255</v>
      </c>
      <c r="C10" s="77">
        <v>598.24099097464341</v>
      </c>
      <c r="D10" s="80">
        <v>10.042274616643667</v>
      </c>
      <c r="E10" s="82">
        <f t="shared" ref="E10:E11" si="1">SUM(C10:D10)</f>
        <v>608.28326559128709</v>
      </c>
      <c r="F10" s="82">
        <v>686.30921498679709</v>
      </c>
      <c r="H10" s="269">
        <v>237</v>
      </c>
      <c r="I10" s="10"/>
      <c r="J10" s="143">
        <v>2171.3391924371072</v>
      </c>
      <c r="K10" s="77">
        <f t="shared" si="0"/>
        <v>514.60738860759443</v>
      </c>
      <c r="L10" s="143">
        <f>907.18*AB10/1000000</f>
        <v>1124.9032</v>
      </c>
      <c r="M10" s="82">
        <f>L10*H10/1000</f>
        <v>266.60205839999998</v>
      </c>
      <c r="O10" s="82">
        <f>K10+D10</f>
        <v>524.64966322423811</v>
      </c>
      <c r="P10" s="82">
        <f>M10+D10</f>
        <v>276.64433301664366</v>
      </c>
      <c r="W10" s="278"/>
      <c r="X10" s="6"/>
      <c r="Y10" s="10">
        <v>1309</v>
      </c>
      <c r="Z10" s="10">
        <v>277</v>
      </c>
      <c r="AA10" s="10">
        <f>SUM(Y10:Z10)</f>
        <v>1586</v>
      </c>
      <c r="AB10" s="10">
        <v>1240000</v>
      </c>
      <c r="AC10" s="5" t="s">
        <v>125</v>
      </c>
      <c r="AD10" s="279"/>
      <c r="AE10" s="280"/>
      <c r="AF10" s="280"/>
      <c r="AG10" s="280"/>
      <c r="AH10" s="280"/>
      <c r="AI10" s="280"/>
      <c r="AJ10" s="280"/>
    </row>
    <row r="11" spans="1:36">
      <c r="A11" s="129" t="s">
        <v>128</v>
      </c>
      <c r="B11" s="72">
        <v>251</v>
      </c>
      <c r="C11" s="81">
        <v>6.1979804617555967</v>
      </c>
      <c r="D11" s="80">
        <v>1.4829647278260853</v>
      </c>
      <c r="E11" s="83">
        <f t="shared" si="1"/>
        <v>7.6809451895816823</v>
      </c>
      <c r="F11" s="82">
        <v>18.892226999948623</v>
      </c>
      <c r="H11" s="269"/>
      <c r="I11" s="10"/>
      <c r="J11" s="143">
        <v>18.470231416691874</v>
      </c>
      <c r="K11" s="77"/>
      <c r="L11" s="143"/>
      <c r="M11" s="82"/>
      <c r="O11" s="82"/>
      <c r="P11" s="82"/>
      <c r="W11" s="278"/>
      <c r="X11" s="6"/>
      <c r="Y11" s="10"/>
      <c r="Z11" s="10"/>
      <c r="AA11" s="10"/>
      <c r="AB11" s="10"/>
      <c r="AC11" s="5"/>
      <c r="AD11" s="279"/>
      <c r="AE11" s="280"/>
      <c r="AF11" s="280"/>
      <c r="AG11" s="280"/>
      <c r="AH11" s="280"/>
      <c r="AI11" s="280"/>
      <c r="AJ11" s="280"/>
    </row>
    <row r="12" spans="1:36">
      <c r="A12" s="2" t="s">
        <v>240</v>
      </c>
      <c r="B12" s="128">
        <f>SUM(B8:B11)</f>
        <v>2224</v>
      </c>
      <c r="C12" s="131">
        <f>SUM(C8:C10)</f>
        <v>752.60855187581819</v>
      </c>
      <c r="D12" s="132">
        <f>SUM(D8:D10)</f>
        <v>16.059960468738417</v>
      </c>
      <c r="E12" s="133">
        <f>SUM(E8:E10)</f>
        <v>768.66851234455669</v>
      </c>
      <c r="F12" s="133">
        <f>SUM(F8:F10)</f>
        <v>834.22340813918925</v>
      </c>
      <c r="H12" s="13"/>
      <c r="I12" s="10" t="s">
        <v>26</v>
      </c>
      <c r="J12" s="128">
        <f>SUM(J8:J10)</f>
        <v>2631.3672077503802</v>
      </c>
      <c r="K12" s="130">
        <f>SUM(K8:K10)</f>
        <v>603.99659090458533</v>
      </c>
      <c r="L12" s="128">
        <f>SUM(L8:L10)</f>
        <v>1342.6263999999999</v>
      </c>
      <c r="M12" s="130">
        <f>SUM(M8:M10)</f>
        <v>299.26053839999997</v>
      </c>
      <c r="O12" s="133">
        <f>K12+$D$12</f>
        <v>620.05655137332371</v>
      </c>
      <c r="P12" s="133">
        <f>M12+$D$12</f>
        <v>315.32049886873841</v>
      </c>
      <c r="W12" s="281"/>
      <c r="AC12" s="62" t="s">
        <v>241</v>
      </c>
      <c r="AD12" s="101"/>
      <c r="AE12" s="2"/>
      <c r="AF12" s="2"/>
      <c r="AG12" s="2"/>
      <c r="AH12" s="2"/>
      <c r="AI12" s="2"/>
      <c r="AJ12" s="2"/>
    </row>
    <row r="13" spans="1:36">
      <c r="A13" s="2" t="s">
        <v>240</v>
      </c>
      <c r="C13" s="31"/>
      <c r="D13" s="31"/>
      <c r="E13" s="31"/>
      <c r="F13" s="31"/>
      <c r="H13" s="103">
        <v>200</v>
      </c>
      <c r="I13" s="87" t="s">
        <v>242</v>
      </c>
      <c r="J13" s="128">
        <f>SUM(J8:J10)</f>
        <v>2631.3672077503802</v>
      </c>
      <c r="K13" s="130">
        <f>J13*H13/1000</f>
        <v>526.27344155007597</v>
      </c>
      <c r="L13" s="128">
        <f>SUM(L8:L10)</f>
        <v>1342.6263999999999</v>
      </c>
      <c r="M13" s="130">
        <f>L13*H13/1000</f>
        <v>268.52527999999995</v>
      </c>
      <c r="O13" s="133">
        <f>K13+$D$12</f>
        <v>542.33340201881435</v>
      </c>
      <c r="P13" s="133">
        <f>M13+$D$12</f>
        <v>284.58524046873839</v>
      </c>
      <c r="R13" s="24" t="s">
        <v>81</v>
      </c>
      <c r="S13" s="272" t="s">
        <v>243</v>
      </c>
      <c r="W13" s="282"/>
    </row>
    <row r="14" spans="1:36" ht="16">
      <c r="A14" s="12"/>
      <c r="H14" s="10"/>
      <c r="I14" s="10"/>
      <c r="R14" s="133">
        <f>AVERAGE(E12,F12,O12,O13,P12,P13)</f>
        <v>560.86460220222682</v>
      </c>
      <c r="S14" s="134">
        <f>R14/3</f>
        <v>186.95486740074227</v>
      </c>
      <c r="U14" s="128">
        <f>J12/3</f>
        <v>877.12240258346003</v>
      </c>
      <c r="V14" s="283">
        <f>L12/3</f>
        <v>447.54213333333331</v>
      </c>
      <c r="W14" s="128">
        <f>AVERAGE(U14:V14)</f>
        <v>662.33226795839664</v>
      </c>
      <c r="X14" s="274" t="s">
        <v>83</v>
      </c>
    </row>
  </sheetData>
  <mergeCells count="4">
    <mergeCell ref="A1:X1"/>
    <mergeCell ref="A2:X2"/>
    <mergeCell ref="R3:S3"/>
    <mergeCell ref="U3:W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2B96F-4F9D-4583-BC7F-41E49779CF0C}">
  <dimension ref="A1:X14"/>
  <sheetViews>
    <sheetView workbookViewId="0">
      <selection activeCell="I19" sqref="I19"/>
    </sheetView>
  </sheetViews>
  <sheetFormatPr baseColWidth="10" defaultColWidth="8.83203125" defaultRowHeight="15"/>
  <cols>
    <col min="1" max="1" width="17.1640625" customWidth="1"/>
    <col min="2" max="2" width="9.83203125" bestFit="1" customWidth="1"/>
    <col min="3" max="6" width="8.33203125" bestFit="1" customWidth="1"/>
    <col min="7" max="7" width="2.1640625" customWidth="1"/>
    <col min="8" max="8" width="11.5" customWidth="1"/>
    <col min="9" max="9" width="5.5" customWidth="1"/>
    <col min="10" max="13" width="8.33203125" bestFit="1" customWidth="1"/>
    <col min="14" max="14" width="1.5" customWidth="1"/>
    <col min="15" max="15" width="13" bestFit="1" customWidth="1"/>
    <col min="16" max="16" width="13.5" bestFit="1" customWidth="1"/>
    <col min="17" max="17" width="1" customWidth="1"/>
    <col min="18" max="18" width="11.5" bestFit="1" customWidth="1"/>
    <col min="19" max="19" width="11.83203125" bestFit="1" customWidth="1"/>
    <col min="20" max="20" width="1.1640625" customWidth="1"/>
    <col min="22" max="22" width="9.5" bestFit="1" customWidth="1"/>
    <col min="23" max="23" width="18.33203125" bestFit="1" customWidth="1"/>
    <col min="24" max="24" width="6.5" customWidth="1"/>
  </cols>
  <sheetData>
    <row r="1" spans="1:24" ht="15.5" customHeight="1">
      <c r="A1" s="618" t="s">
        <v>245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  <c r="R1" s="618"/>
      <c r="S1" s="618"/>
      <c r="T1" s="618"/>
      <c r="U1" s="618"/>
      <c r="V1" s="618"/>
      <c r="W1" s="618"/>
      <c r="X1" s="618"/>
    </row>
    <row r="2" spans="1:24" ht="65.5" customHeight="1">
      <c r="A2" s="619" t="s">
        <v>227</v>
      </c>
      <c r="B2" s="619"/>
      <c r="C2" s="619"/>
      <c r="D2" s="619"/>
      <c r="E2" s="619"/>
      <c r="F2" s="619"/>
      <c r="G2" s="619"/>
      <c r="H2" s="619"/>
      <c r="I2" s="619"/>
      <c r="J2" s="619"/>
      <c r="K2" s="619"/>
      <c r="L2" s="619"/>
      <c r="M2" s="619"/>
      <c r="N2" s="619"/>
      <c r="O2" s="619"/>
      <c r="P2" s="619"/>
      <c r="Q2" s="619"/>
      <c r="R2" s="619"/>
      <c r="S2" s="619"/>
      <c r="T2" s="619"/>
      <c r="U2" s="619"/>
      <c r="V2" s="619"/>
      <c r="W2" s="619"/>
      <c r="X2" s="619"/>
    </row>
    <row r="3" spans="1:24">
      <c r="O3" s="288"/>
      <c r="P3" s="288"/>
      <c r="R3" s="634"/>
      <c r="S3" s="634"/>
      <c r="T3" s="287"/>
      <c r="U3" s="634"/>
      <c r="V3" s="634"/>
      <c r="W3" s="634"/>
    </row>
    <row r="4" spans="1:24">
      <c r="B4" s="42" t="s">
        <v>27</v>
      </c>
      <c r="C4" s="40" t="s">
        <v>56</v>
      </c>
      <c r="D4" s="40" t="s">
        <v>57</v>
      </c>
      <c r="E4" s="273" t="s">
        <v>58</v>
      </c>
      <c r="F4" s="273" t="s">
        <v>59</v>
      </c>
      <c r="G4" s="43"/>
      <c r="H4" s="40" t="s">
        <v>56</v>
      </c>
      <c r="I4" s="44"/>
      <c r="J4" s="40" t="s">
        <v>16</v>
      </c>
      <c r="K4" s="40" t="s">
        <v>60</v>
      </c>
      <c r="L4" s="40" t="s">
        <v>17</v>
      </c>
      <c r="M4" s="40" t="s">
        <v>61</v>
      </c>
      <c r="O4" s="289"/>
      <c r="P4" s="289"/>
      <c r="R4" s="44"/>
      <c r="S4" s="44"/>
      <c r="T4" s="48"/>
      <c r="U4" s="44"/>
      <c r="V4" s="44"/>
      <c r="W4" s="44"/>
    </row>
    <row r="5" spans="1:24">
      <c r="B5" s="273" t="s">
        <v>30</v>
      </c>
      <c r="C5" s="273" t="s">
        <v>35</v>
      </c>
      <c r="D5" s="273" t="s">
        <v>35</v>
      </c>
      <c r="E5" s="273" t="s">
        <v>35</v>
      </c>
      <c r="F5" s="273" t="s">
        <v>35</v>
      </c>
      <c r="G5" s="43"/>
      <c r="H5" s="40" t="s">
        <v>29</v>
      </c>
      <c r="I5" s="44"/>
      <c r="J5" s="273" t="s">
        <v>35</v>
      </c>
      <c r="K5" s="273" t="s">
        <v>35</v>
      </c>
      <c r="L5" s="273" t="s">
        <v>35</v>
      </c>
      <c r="M5" s="273" t="s">
        <v>35</v>
      </c>
      <c r="O5" s="289"/>
      <c r="P5" s="289"/>
      <c r="R5" s="44"/>
      <c r="S5" s="44"/>
      <c r="T5" s="48"/>
      <c r="U5" s="44"/>
      <c r="V5" s="44"/>
      <c r="W5" s="44"/>
    </row>
    <row r="6" spans="1:24" ht="32">
      <c r="A6" s="17"/>
      <c r="B6" s="271" t="s">
        <v>28</v>
      </c>
      <c r="C6" s="18" t="s">
        <v>8</v>
      </c>
      <c r="D6" s="18" t="s">
        <v>8</v>
      </c>
      <c r="E6" s="271" t="s">
        <v>8</v>
      </c>
      <c r="F6" s="271" t="s">
        <v>8</v>
      </c>
      <c r="G6" s="20"/>
      <c r="H6" s="21" t="s">
        <v>136</v>
      </c>
      <c r="I6" s="22"/>
      <c r="J6" s="18" t="s">
        <v>13</v>
      </c>
      <c r="K6" s="18" t="s">
        <v>8</v>
      </c>
      <c r="L6" s="18" t="s">
        <v>13</v>
      </c>
      <c r="M6" s="18" t="s">
        <v>8</v>
      </c>
      <c r="O6" s="290"/>
      <c r="P6" s="290"/>
      <c r="R6" s="6"/>
      <c r="S6" s="6"/>
      <c r="T6" s="48"/>
      <c r="U6" s="192"/>
      <c r="V6" s="192"/>
      <c r="W6" s="192"/>
    </row>
    <row r="7" spans="1:24" ht="16">
      <c r="A7" s="1" t="s">
        <v>239</v>
      </c>
      <c r="C7" s="6"/>
      <c r="D7" s="6"/>
      <c r="H7" s="10"/>
      <c r="O7" s="288"/>
      <c r="P7" s="288"/>
      <c r="R7" s="48"/>
      <c r="S7" s="48"/>
      <c r="T7" s="48"/>
      <c r="U7" s="48"/>
      <c r="V7" s="48"/>
      <c r="W7" s="278"/>
    </row>
    <row r="8" spans="1:24">
      <c r="A8" s="2" t="s">
        <v>88</v>
      </c>
      <c r="B8" s="72">
        <v>328</v>
      </c>
      <c r="C8" s="77">
        <v>89</v>
      </c>
      <c r="D8" s="80">
        <v>3</v>
      </c>
      <c r="E8" s="82">
        <v>92</v>
      </c>
      <c r="F8" s="82">
        <v>92</v>
      </c>
      <c r="H8" s="269">
        <v>326</v>
      </c>
      <c r="I8" s="10"/>
      <c r="J8" s="143">
        <v>357</v>
      </c>
      <c r="K8" s="77">
        <f>$H8*J8/1000</f>
        <v>116.38200000000001</v>
      </c>
      <c r="L8" s="143">
        <v>151</v>
      </c>
      <c r="M8" s="77" t="s">
        <v>32</v>
      </c>
      <c r="O8" s="291"/>
      <c r="P8" s="291"/>
      <c r="R8" s="48"/>
      <c r="S8" s="48"/>
      <c r="T8" s="48"/>
      <c r="U8" s="48"/>
      <c r="V8" s="48"/>
      <c r="W8" s="278"/>
      <c r="X8" s="6"/>
    </row>
    <row r="9" spans="1:24">
      <c r="A9" s="129" t="s">
        <v>95</v>
      </c>
      <c r="B9" s="72">
        <v>390</v>
      </c>
      <c r="C9" s="77">
        <v>16.742786779945376</v>
      </c>
      <c r="D9" s="80">
        <v>0.348634026796802</v>
      </c>
      <c r="E9" s="82">
        <f>C9+D9</f>
        <v>17.091420806742178</v>
      </c>
      <c r="F9" s="82">
        <v>11.636306046368713</v>
      </c>
      <c r="H9" s="269">
        <v>123</v>
      </c>
      <c r="I9" s="10"/>
      <c r="J9" s="143">
        <v>309.02801531327287</v>
      </c>
      <c r="K9" s="77">
        <f>$H9*J9/1000</f>
        <v>38.010445883532562</v>
      </c>
      <c r="L9" s="143">
        <v>216</v>
      </c>
      <c r="M9" s="77">
        <f>$H9*L9/1000</f>
        <v>26.568000000000001</v>
      </c>
      <c r="O9" s="291"/>
      <c r="P9" s="291"/>
      <c r="R9" s="48"/>
      <c r="S9" s="48"/>
      <c r="T9" s="48"/>
      <c r="U9" s="48"/>
      <c r="V9" s="48"/>
      <c r="W9" s="278"/>
      <c r="X9" s="6"/>
    </row>
    <row r="10" spans="1:24">
      <c r="A10" s="129" t="s">
        <v>125</v>
      </c>
      <c r="B10" s="72">
        <v>1255</v>
      </c>
      <c r="C10" s="77">
        <v>164.89826434766226</v>
      </c>
      <c r="D10" s="80">
        <v>1.6754992391919306</v>
      </c>
      <c r="E10" s="82">
        <f t="shared" ref="E10:E11" si="0">C10+D10</f>
        <v>166.5737635868542</v>
      </c>
      <c r="F10" s="82">
        <v>181.60847696357931</v>
      </c>
      <c r="H10" s="269">
        <v>259</v>
      </c>
      <c r="I10" s="10"/>
      <c r="J10" s="143">
        <v>2171.3391924371072</v>
      </c>
      <c r="K10" s="77">
        <f>$H10*J10/1000</f>
        <v>562.37685084121085</v>
      </c>
      <c r="L10" s="143">
        <v>1125</v>
      </c>
      <c r="M10" s="77">
        <f>$H10*L10/1000</f>
        <v>291.375</v>
      </c>
      <c r="O10" s="291"/>
      <c r="P10" s="291"/>
      <c r="R10" s="48"/>
      <c r="S10" s="48"/>
      <c r="T10" s="48"/>
      <c r="U10" s="48"/>
      <c r="V10" s="48"/>
      <c r="W10" s="278"/>
      <c r="X10" s="6"/>
    </row>
    <row r="11" spans="1:24">
      <c r="A11" s="129" t="s">
        <v>128</v>
      </c>
      <c r="B11" s="72">
        <v>251</v>
      </c>
      <c r="C11" s="81">
        <v>2.4082344223708154</v>
      </c>
      <c r="D11" s="80">
        <v>0.21361993690049297</v>
      </c>
      <c r="E11" s="82">
        <f t="shared" si="0"/>
        <v>2.6218543592713086</v>
      </c>
      <c r="F11" s="83">
        <v>3.9239216615538188</v>
      </c>
      <c r="H11" s="269">
        <v>197</v>
      </c>
      <c r="I11" s="10"/>
      <c r="J11" s="143">
        <v>18.470231416691874</v>
      </c>
      <c r="K11" s="77">
        <f>$H11*J11/1000</f>
        <v>3.6386355890882993</v>
      </c>
      <c r="L11" s="36">
        <v>2.93</v>
      </c>
      <c r="M11" s="81">
        <f>$H11*L11/1000</f>
        <v>0.57721</v>
      </c>
      <c r="O11" s="291"/>
      <c r="P11" s="291"/>
      <c r="R11" s="48"/>
      <c r="S11" s="48"/>
      <c r="T11" s="48"/>
      <c r="U11" s="48"/>
      <c r="V11" s="48"/>
      <c r="W11" s="278"/>
      <c r="X11" s="6"/>
    </row>
    <row r="12" spans="1:24">
      <c r="A12" s="2" t="s">
        <v>240</v>
      </c>
      <c r="B12" s="128">
        <f>SUM(B8:B11)</f>
        <v>2224</v>
      </c>
      <c r="C12" s="131">
        <f>SUM(C8:C10)</f>
        <v>270.64105112760762</v>
      </c>
      <c r="D12" s="132">
        <f>SUM(D8:D10)</f>
        <v>5.0241332659887323</v>
      </c>
      <c r="E12" s="133">
        <f>SUM(E8:E10)</f>
        <v>275.66518439359641</v>
      </c>
      <c r="F12" s="133">
        <f>SUM(F8:F10)</f>
        <v>285.24478300994804</v>
      </c>
      <c r="H12" s="13"/>
      <c r="I12" s="10" t="s">
        <v>26</v>
      </c>
      <c r="J12" s="128">
        <f>SUM(J8:J10)</f>
        <v>2837.3672077503797</v>
      </c>
      <c r="K12" s="130">
        <f>SUM(K8:K10)</f>
        <v>716.76929672474341</v>
      </c>
      <c r="L12" s="128">
        <f>SUM(L8:L10)</f>
        <v>1492</v>
      </c>
      <c r="M12" s="130">
        <f>SUM(M8:M10)</f>
        <v>317.94299999999998</v>
      </c>
      <c r="O12" s="292"/>
      <c r="P12" s="292"/>
      <c r="R12" s="48"/>
      <c r="S12" s="48"/>
      <c r="T12" s="48"/>
      <c r="U12" s="48"/>
      <c r="V12" s="48"/>
      <c r="W12" s="281"/>
    </row>
    <row r="13" spans="1:24">
      <c r="A13" s="2" t="s">
        <v>240</v>
      </c>
      <c r="C13" s="31"/>
      <c r="D13" s="31"/>
      <c r="E13" s="31"/>
      <c r="F13" s="31"/>
      <c r="H13" s="103">
        <v>238</v>
      </c>
      <c r="I13" s="87" t="s">
        <v>242</v>
      </c>
      <c r="J13" s="128">
        <f>SUM(J8:J10)</f>
        <v>2837.3672077503797</v>
      </c>
      <c r="K13" s="130">
        <f>J13*H13/1000</f>
        <v>675.29339544459037</v>
      </c>
      <c r="L13" s="128">
        <f>SUM(L8:L10)</f>
        <v>1492</v>
      </c>
      <c r="M13" s="130">
        <f>L13*H13/1000</f>
        <v>355.096</v>
      </c>
      <c r="O13" s="292"/>
      <c r="P13" s="292"/>
      <c r="R13" s="33"/>
      <c r="S13" s="6"/>
      <c r="T13" s="48"/>
      <c r="U13" s="48"/>
      <c r="V13" s="48"/>
      <c r="W13" s="282"/>
    </row>
    <row r="14" spans="1:24">
      <c r="O14" s="288"/>
      <c r="P14" s="288"/>
      <c r="R14" s="48"/>
      <c r="S14" s="48"/>
      <c r="T14" s="48"/>
      <c r="U14" s="48"/>
      <c r="V14" s="48"/>
      <c r="W14" s="48"/>
    </row>
  </sheetData>
  <mergeCells count="4">
    <mergeCell ref="A1:X1"/>
    <mergeCell ref="A2:X2"/>
    <mergeCell ref="R3:S3"/>
    <mergeCell ref="U3:W3"/>
  </mergeCell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79B5-47B3-4D53-B467-F930F835891C}">
  <dimension ref="A1:Q16"/>
  <sheetViews>
    <sheetView topLeftCell="A4" workbookViewId="0">
      <selection activeCell="B17" sqref="B17"/>
    </sheetView>
  </sheetViews>
  <sheetFormatPr baseColWidth="10" defaultColWidth="8.83203125" defaultRowHeight="15"/>
  <cols>
    <col min="1" max="1" width="18.83203125" customWidth="1"/>
    <col min="2" max="2" width="9.5" bestFit="1" customWidth="1"/>
    <col min="3" max="3" width="11.5" customWidth="1"/>
    <col min="4" max="4" width="9.83203125" customWidth="1"/>
    <col min="5" max="6" width="9.83203125" bestFit="1" customWidth="1"/>
    <col min="7" max="7" width="2.5" customWidth="1"/>
    <col min="8" max="8" width="10.5" customWidth="1"/>
    <col min="9" max="9" width="5.33203125" customWidth="1"/>
    <col min="10" max="13" width="9.83203125" bestFit="1" customWidth="1"/>
  </cols>
  <sheetData>
    <row r="1" spans="1:17" ht="36.5" customHeight="1">
      <c r="A1" s="618" t="s">
        <v>248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</row>
    <row r="2" spans="1:17" ht="81.5" customHeight="1">
      <c r="A2" s="619" t="s">
        <v>224</v>
      </c>
      <c r="B2" s="619"/>
      <c r="C2" s="619"/>
      <c r="D2" s="619"/>
      <c r="E2" s="619"/>
      <c r="F2" s="619"/>
      <c r="G2" s="619"/>
      <c r="H2" s="619"/>
      <c r="I2" s="619"/>
      <c r="J2" s="619"/>
      <c r="K2" s="619"/>
      <c r="L2" s="619"/>
      <c r="M2" s="619"/>
    </row>
    <row r="4" spans="1:17">
      <c r="B4" s="42" t="s">
        <v>27</v>
      </c>
      <c r="C4" s="40" t="s">
        <v>56</v>
      </c>
      <c r="D4" s="40" t="s">
        <v>57</v>
      </c>
      <c r="E4" s="273" t="s">
        <v>58</v>
      </c>
      <c r="F4" s="273" t="s">
        <v>59</v>
      </c>
      <c r="G4" s="43"/>
      <c r="H4" s="44"/>
      <c r="I4" s="44"/>
      <c r="J4" s="40" t="s">
        <v>16</v>
      </c>
      <c r="K4" s="40" t="s">
        <v>60</v>
      </c>
      <c r="L4" s="40" t="s">
        <v>17</v>
      </c>
      <c r="M4" s="40" t="s">
        <v>61</v>
      </c>
    </row>
    <row r="5" spans="1:17">
      <c r="B5" s="273" t="s">
        <v>30</v>
      </c>
      <c r="C5" s="273" t="s">
        <v>218</v>
      </c>
      <c r="D5" s="273" t="s">
        <v>218</v>
      </c>
      <c r="E5" s="273" t="s">
        <v>218</v>
      </c>
      <c r="F5" s="273" t="s">
        <v>218</v>
      </c>
      <c r="G5" s="43"/>
      <c r="H5" s="44"/>
      <c r="I5" s="44"/>
      <c r="J5" s="273" t="s">
        <v>218</v>
      </c>
      <c r="K5" s="273" t="s">
        <v>218</v>
      </c>
      <c r="L5" s="273" t="s">
        <v>218</v>
      </c>
      <c r="M5" s="273" t="s">
        <v>218</v>
      </c>
    </row>
    <row r="6" spans="1:17" ht="17">
      <c r="A6" s="17"/>
      <c r="B6" s="271" t="s">
        <v>28</v>
      </c>
      <c r="C6" s="18" t="s">
        <v>8</v>
      </c>
      <c r="D6" s="18" t="s">
        <v>8</v>
      </c>
      <c r="E6" s="266" t="s">
        <v>8</v>
      </c>
      <c r="F6" s="271" t="s">
        <v>8</v>
      </c>
      <c r="G6" s="268"/>
      <c r="H6" s="194"/>
      <c r="I6" s="192"/>
      <c r="J6" s="18" t="s">
        <v>13</v>
      </c>
      <c r="K6" s="267" t="s">
        <v>8</v>
      </c>
      <c r="L6" s="18" t="s">
        <v>13</v>
      </c>
      <c r="M6" s="18" t="s">
        <v>8</v>
      </c>
      <c r="N6" s="48"/>
      <c r="O6" s="48"/>
      <c r="P6" s="48"/>
      <c r="Q6" s="48"/>
    </row>
    <row r="7" spans="1:17" ht="16">
      <c r="A7" s="1" t="s">
        <v>239</v>
      </c>
      <c r="N7" s="48"/>
      <c r="O7" s="48"/>
      <c r="P7" s="48"/>
      <c r="Q7" s="48"/>
    </row>
    <row r="8" spans="1:17">
      <c r="A8" s="2" t="s">
        <v>88</v>
      </c>
      <c r="B8" s="72">
        <v>328</v>
      </c>
      <c r="C8" s="77" t="s">
        <v>32</v>
      </c>
      <c r="D8" s="80" t="s">
        <v>32</v>
      </c>
      <c r="E8" s="82" t="s">
        <v>32</v>
      </c>
      <c r="F8" s="82" t="s">
        <v>32</v>
      </c>
      <c r="H8" s="269"/>
      <c r="I8" s="10"/>
      <c r="J8" s="143"/>
      <c r="K8" s="77"/>
      <c r="L8" s="143"/>
      <c r="M8" s="77"/>
      <c r="N8" s="48"/>
      <c r="O8" s="46"/>
      <c r="P8" s="46"/>
      <c r="Q8" s="48"/>
    </row>
    <row r="9" spans="1:17">
      <c r="A9" s="129" t="s">
        <v>95</v>
      </c>
      <c r="B9" s="72">
        <v>390</v>
      </c>
      <c r="C9" s="109">
        <f>'T19a. Rumsey THg SE'!C9/'T18. Rumsey THg loads'!C9</f>
        <v>0.25418865600725093</v>
      </c>
      <c r="D9" s="182">
        <f>'T19a. Rumsey THg SE'!D9/'T18. Rumsey THg loads'!D9</f>
        <v>0.13847399845645289</v>
      </c>
      <c r="E9" s="183">
        <f>'T19a. Rumsey THg SE'!E9/'T18. Rumsey THg loads'!E9</f>
        <v>0.2499284804573001</v>
      </c>
      <c r="F9" s="183">
        <f>'T19a. Rumsey THg SE'!F9/'T18. Rumsey THg loads'!F9</f>
        <v>0.20811005918755507</v>
      </c>
      <c r="H9" s="269"/>
      <c r="I9" s="10"/>
      <c r="J9" s="143"/>
      <c r="K9" s="77"/>
      <c r="L9" s="143"/>
      <c r="M9" s="77"/>
      <c r="N9" s="48"/>
      <c r="O9" s="46"/>
      <c r="P9" s="46"/>
      <c r="Q9" s="48"/>
    </row>
    <row r="10" spans="1:17">
      <c r="A10" s="129" t="s">
        <v>125</v>
      </c>
      <c r="B10" s="72">
        <v>1255</v>
      </c>
      <c r="C10" s="109">
        <f>'T19a. Rumsey THg SE'!C10/'T18. Rumsey THg loads'!C10</f>
        <v>0.27563852500145969</v>
      </c>
      <c r="D10" s="182">
        <f>'T19a. Rumsey THg SE'!D10/'T18. Rumsey THg loads'!D10</f>
        <v>0.16684459479080813</v>
      </c>
      <c r="E10" s="183">
        <f>'T19a. Rumsey THg SE'!E10/'T18. Rumsey THg loads'!E10</f>
        <v>0.2738424234389133</v>
      </c>
      <c r="F10" s="183">
        <f>'T19a. Rumsey THg SE'!F10/'T18. Rumsey THg loads'!F10</f>
        <v>0.2646161132589091</v>
      </c>
      <c r="H10" s="269"/>
      <c r="I10" s="10"/>
      <c r="J10" s="143"/>
      <c r="K10" s="77"/>
      <c r="L10" s="143"/>
      <c r="M10" s="77"/>
      <c r="N10" s="48"/>
      <c r="O10" s="46"/>
      <c r="P10" s="46"/>
      <c r="Q10" s="48"/>
    </row>
    <row r="11" spans="1:17">
      <c r="A11" s="129" t="s">
        <v>128</v>
      </c>
      <c r="B11" s="72">
        <v>251</v>
      </c>
      <c r="C11" s="109">
        <f>'T19a. Rumsey THg SE'!C11/'T18. Rumsey THg loads'!C11</f>
        <v>0.38855147047183103</v>
      </c>
      <c r="D11" s="182">
        <f>'T19a. Rumsey THg SE'!D11/'T18. Rumsey THg loads'!D11</f>
        <v>0.14404923656791468</v>
      </c>
      <c r="E11" s="183">
        <f>'T19a. Rumsey THg SE'!E11/'T18. Rumsey THg loads'!E11</f>
        <v>0.34134527646773893</v>
      </c>
      <c r="F11" s="183">
        <f>'T19a. Rumsey THg SE'!F11/'T18. Rumsey THg loads'!F11</f>
        <v>0.20770032360740159</v>
      </c>
      <c r="H11" s="269"/>
      <c r="I11" s="10"/>
      <c r="J11" s="143"/>
      <c r="K11" s="77"/>
      <c r="L11" s="143"/>
      <c r="M11" s="77"/>
      <c r="N11" s="48"/>
      <c r="O11" s="46"/>
      <c r="P11" s="46"/>
      <c r="Q11" s="48"/>
    </row>
    <row r="12" spans="1:17">
      <c r="A12" s="2" t="s">
        <v>240</v>
      </c>
      <c r="B12" s="128">
        <f>SUM(B8:B11)</f>
        <v>2224</v>
      </c>
      <c r="C12" s="109">
        <f>'T19a. Rumsey THg SE'!C12/'T18. Rumsey THg loads'!C12</f>
        <v>0.35960400722667302</v>
      </c>
      <c r="D12" s="132"/>
      <c r="E12" s="134"/>
      <c r="F12" s="134"/>
      <c r="H12" s="13"/>
      <c r="I12" s="10"/>
      <c r="J12" s="128"/>
      <c r="K12" s="130"/>
      <c r="L12" s="128"/>
      <c r="M12" s="130"/>
      <c r="N12" s="48"/>
      <c r="O12" s="250"/>
      <c r="P12" s="250"/>
      <c r="Q12" s="48"/>
    </row>
    <row r="13" spans="1:17">
      <c r="A13" s="2" t="s">
        <v>240</v>
      </c>
      <c r="C13" s="31"/>
      <c r="D13" s="31"/>
      <c r="E13" s="31"/>
      <c r="F13" s="31"/>
      <c r="H13" s="103"/>
      <c r="I13" s="87"/>
      <c r="J13" s="128"/>
      <c r="K13" s="130"/>
      <c r="L13" s="128"/>
      <c r="M13" s="130"/>
      <c r="N13" s="48"/>
      <c r="O13" s="250"/>
      <c r="P13" s="250"/>
      <c r="Q13" s="48"/>
    </row>
    <row r="14" spans="1:17">
      <c r="N14" s="48"/>
      <c r="O14" s="48"/>
      <c r="P14" s="48"/>
      <c r="Q14" s="48"/>
    </row>
    <row r="15" spans="1:17">
      <c r="N15" s="48"/>
      <c r="O15" s="48"/>
      <c r="P15" s="48"/>
      <c r="Q15" s="48"/>
    </row>
    <row r="16" spans="1:17">
      <c r="N16" s="48"/>
      <c r="O16" s="48"/>
      <c r="P16" s="48"/>
      <c r="Q16" s="48"/>
    </row>
  </sheetData>
  <mergeCells count="2">
    <mergeCell ref="A1:M1"/>
    <mergeCell ref="A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B9271-41D7-4E1D-9801-F456449F777F}">
  <sheetPr>
    <pageSetUpPr fitToPage="1"/>
  </sheetPr>
  <dimension ref="A1:K10"/>
  <sheetViews>
    <sheetView view="pageLayout" zoomScaleNormal="100" workbookViewId="0">
      <selection activeCell="A6" sqref="A6"/>
    </sheetView>
  </sheetViews>
  <sheetFormatPr baseColWidth="10" defaultColWidth="8.83203125" defaultRowHeight="15"/>
  <cols>
    <col min="1" max="1" width="19.5" customWidth="1"/>
    <col min="2" max="2" width="21.83203125" customWidth="1"/>
    <col min="3" max="7" width="4.83203125" bestFit="1" customWidth="1"/>
    <col min="8" max="8" width="12.1640625" bestFit="1" customWidth="1"/>
    <col min="9" max="9" width="6.5" customWidth="1"/>
    <col min="10" max="10" width="11.1640625" customWidth="1"/>
    <col min="11" max="11" width="11.5" bestFit="1" customWidth="1"/>
  </cols>
  <sheetData>
    <row r="1" spans="1:11">
      <c r="A1" t="s">
        <v>202</v>
      </c>
    </row>
    <row r="2" spans="1:11">
      <c r="A2" t="s">
        <v>157</v>
      </c>
    </row>
    <row r="3" spans="1:11">
      <c r="C3" s="610" t="s">
        <v>142</v>
      </c>
      <c r="D3" s="610"/>
      <c r="E3" s="610"/>
      <c r="F3" s="610"/>
      <c r="G3" s="610"/>
      <c r="H3" s="610"/>
      <c r="I3" s="610"/>
      <c r="J3" s="610"/>
      <c r="K3" s="610"/>
    </row>
    <row r="4" spans="1:11">
      <c r="A4" s="2" t="s">
        <v>158</v>
      </c>
      <c r="B4" s="2" t="s">
        <v>153</v>
      </c>
      <c r="C4" s="3">
        <v>2010</v>
      </c>
      <c r="D4" s="3">
        <v>2011</v>
      </c>
      <c r="E4" s="3">
        <v>2012</v>
      </c>
      <c r="F4" s="3">
        <v>2013</v>
      </c>
      <c r="G4" s="3">
        <v>2014</v>
      </c>
      <c r="H4" s="3">
        <v>2015</v>
      </c>
      <c r="I4" s="3">
        <v>2016</v>
      </c>
      <c r="J4" s="3">
        <v>2017</v>
      </c>
      <c r="K4" s="3">
        <v>2018</v>
      </c>
    </row>
    <row r="5" spans="1:11" ht="32">
      <c r="A5" s="19">
        <v>11451800</v>
      </c>
      <c r="B5" s="161" t="s">
        <v>143</v>
      </c>
      <c r="C5" s="611" t="s">
        <v>144</v>
      </c>
      <c r="D5" s="611"/>
      <c r="E5" s="611"/>
      <c r="F5" s="611"/>
      <c r="G5" s="611"/>
      <c r="H5" s="160" t="s">
        <v>145</v>
      </c>
      <c r="I5" s="612" t="s">
        <v>146</v>
      </c>
      <c r="J5" s="613"/>
      <c r="K5" s="613"/>
    </row>
    <row r="6" spans="1:11">
      <c r="A6" s="3">
        <v>11452500</v>
      </c>
      <c r="B6" s="2" t="s">
        <v>147</v>
      </c>
      <c r="C6" s="614" t="s">
        <v>144</v>
      </c>
      <c r="D6" s="610"/>
      <c r="E6" s="610"/>
      <c r="F6" s="610"/>
      <c r="G6" s="610"/>
      <c r="H6" s="610"/>
      <c r="I6" s="610"/>
      <c r="J6" s="615" t="s">
        <v>148</v>
      </c>
      <c r="K6" s="616"/>
    </row>
    <row r="7" spans="1:11">
      <c r="A7" s="3">
        <v>11452600</v>
      </c>
      <c r="B7" s="2" t="s">
        <v>149</v>
      </c>
      <c r="C7" s="607" t="s">
        <v>150</v>
      </c>
      <c r="D7" s="607"/>
      <c r="E7" s="607"/>
      <c r="F7" s="607"/>
      <c r="G7" s="607"/>
      <c r="H7" s="607"/>
      <c r="I7" s="608" t="s">
        <v>151</v>
      </c>
      <c r="J7" s="608"/>
      <c r="K7" s="3" t="s">
        <v>144</v>
      </c>
    </row>
    <row r="8" spans="1:11">
      <c r="A8" s="3">
        <v>11452800</v>
      </c>
      <c r="B8" s="2" t="s">
        <v>155</v>
      </c>
      <c r="C8" s="607" t="s">
        <v>150</v>
      </c>
      <c r="D8" s="607"/>
      <c r="E8" s="607"/>
      <c r="F8" s="607"/>
      <c r="G8" s="607"/>
      <c r="H8" s="607"/>
      <c r="I8" s="608" t="s">
        <v>151</v>
      </c>
      <c r="J8" s="608"/>
      <c r="K8" s="3" t="s">
        <v>152</v>
      </c>
    </row>
    <row r="9" spans="1:11">
      <c r="A9" s="3">
        <v>11452900</v>
      </c>
      <c r="B9" s="2" t="s">
        <v>154</v>
      </c>
      <c r="C9" s="607" t="s">
        <v>150</v>
      </c>
      <c r="D9" s="607"/>
      <c r="E9" s="607"/>
      <c r="F9" s="607"/>
      <c r="G9" s="607"/>
      <c r="H9" s="607"/>
      <c r="I9" s="609" t="s">
        <v>146</v>
      </c>
      <c r="J9" s="609"/>
      <c r="K9" s="609"/>
    </row>
    <row r="10" spans="1:11">
      <c r="A10" s="3">
        <v>11452901</v>
      </c>
      <c r="B10" s="2" t="s">
        <v>156</v>
      </c>
      <c r="C10" s="607" t="s">
        <v>150</v>
      </c>
      <c r="D10" s="607"/>
      <c r="E10" s="607"/>
      <c r="F10" s="607"/>
      <c r="G10" s="607"/>
      <c r="H10" s="607"/>
      <c r="I10" s="609" t="s">
        <v>146</v>
      </c>
      <c r="J10" s="609"/>
      <c r="K10" s="609"/>
    </row>
  </sheetData>
  <mergeCells count="13">
    <mergeCell ref="C7:H7"/>
    <mergeCell ref="I7:J7"/>
    <mergeCell ref="C3:K3"/>
    <mergeCell ref="C5:G5"/>
    <mergeCell ref="I5:K5"/>
    <mergeCell ref="C6:I6"/>
    <mergeCell ref="J6:K6"/>
    <mergeCell ref="C8:H8"/>
    <mergeCell ref="I8:J8"/>
    <mergeCell ref="C9:H9"/>
    <mergeCell ref="I9:K9"/>
    <mergeCell ref="C10:H10"/>
    <mergeCell ref="I10:K10"/>
  </mergeCells>
  <pageMargins left="0.7" right="0.7" top="0.75" bottom="0.75" header="0.3" footer="0.3"/>
  <pageSetup scale="85" orientation="portrait" horizontalDpi="1200" verticalDpi="1200" r:id="rId1"/>
  <headerFooter>
    <oddHeader>&amp;LDraft Open-File Report&amp;RU.S. GEOLOGICAL SURVEY</oddHeader>
    <oddFooter>&amp;LPRELIMINARY  - SUBJECT TO REVISION&amp;ROctober 21, 2019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AI108"/>
  <sheetViews>
    <sheetView zoomScaleNormal="100" zoomScalePageLayoutView="110" workbookViewId="0">
      <pane xSplit="2" ySplit="6" topLeftCell="C24" activePane="bottomRight" state="frozen"/>
      <selection pane="topRight" activeCell="C1" sqref="C1"/>
      <selection pane="bottomLeft" activeCell="A7" sqref="A7"/>
      <selection pane="bottomRight" activeCell="M36" sqref="M36"/>
    </sheetView>
  </sheetViews>
  <sheetFormatPr baseColWidth="10" defaultColWidth="8.83203125" defaultRowHeight="15"/>
  <cols>
    <col min="1" max="1" width="41.5" customWidth="1"/>
    <col min="2" max="2" width="9.83203125" bestFit="1" customWidth="1"/>
    <col min="3" max="4" width="6.83203125" customWidth="1"/>
    <col min="5" max="5" width="7.1640625" bestFit="1" customWidth="1"/>
    <col min="6" max="6" width="7.5" bestFit="1" customWidth="1"/>
    <col min="7" max="7" width="2.1640625" customWidth="1"/>
    <col min="8" max="8" width="10.1640625" customWidth="1"/>
    <col min="9" max="9" width="12.5" customWidth="1"/>
    <col min="10" max="10" width="5.5" customWidth="1"/>
    <col min="11" max="11" width="6.5" customWidth="1"/>
    <col min="12" max="12" width="10.5" customWidth="1"/>
    <col min="13" max="13" width="9.83203125" customWidth="1"/>
    <col min="14" max="14" width="7.5" bestFit="1" customWidth="1"/>
    <col min="15" max="15" width="7.5" customWidth="1"/>
    <col min="16" max="16" width="8.33203125" customWidth="1"/>
    <col min="17" max="17" width="7.5" customWidth="1"/>
    <col min="18" max="18" width="9" customWidth="1"/>
    <col min="19" max="19" width="1.5" customWidth="1"/>
    <col min="20" max="20" width="12.83203125" bestFit="1" customWidth="1"/>
    <col min="21" max="21" width="14" customWidth="1"/>
    <col min="22" max="22" width="1" customWidth="1"/>
    <col min="23" max="23" width="9.5" bestFit="1" customWidth="1"/>
    <col min="24" max="24" width="11.1640625" bestFit="1" customWidth="1"/>
    <col min="25" max="25" width="11.5" bestFit="1" customWidth="1"/>
    <col min="26" max="26" width="11.83203125" bestFit="1" customWidth="1"/>
    <col min="27" max="27" width="1.1640625" customWidth="1"/>
    <col min="28" max="28" width="8.83203125" bestFit="1" customWidth="1"/>
    <col min="29" max="29" width="9.5" bestFit="1" customWidth="1"/>
    <col min="30" max="30" width="18.33203125" bestFit="1" customWidth="1"/>
    <col min="31" max="31" width="6.5" customWidth="1"/>
    <col min="32" max="32" width="15.1640625" customWidth="1"/>
  </cols>
  <sheetData>
    <row r="1" spans="1:32" ht="21" customHeight="1">
      <c r="A1" s="618" t="s">
        <v>273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  <c r="R1" s="618"/>
      <c r="S1" s="618"/>
      <c r="T1" s="618"/>
      <c r="U1" s="618"/>
      <c r="V1" s="618"/>
      <c r="W1" s="618"/>
      <c r="X1" s="618"/>
      <c r="Y1" s="618"/>
      <c r="Z1" s="618"/>
      <c r="AA1" s="618"/>
      <c r="AB1" s="618"/>
      <c r="AC1" s="618"/>
      <c r="AD1" s="618"/>
      <c r="AE1" s="618"/>
    </row>
    <row r="2" spans="1:32" ht="59.5" customHeight="1">
      <c r="A2" s="619" t="s">
        <v>137</v>
      </c>
      <c r="B2" s="619"/>
      <c r="C2" s="619"/>
      <c r="D2" s="619"/>
      <c r="E2" s="619"/>
      <c r="F2" s="619"/>
      <c r="G2" s="619"/>
      <c r="H2" s="619"/>
      <c r="I2" s="619"/>
      <c r="J2" s="619"/>
      <c r="K2" s="619"/>
      <c r="L2" s="619"/>
      <c r="M2" s="619"/>
      <c r="N2" s="619"/>
      <c r="O2" s="619"/>
      <c r="P2" s="619"/>
      <c r="Q2" s="619"/>
      <c r="R2" s="619"/>
      <c r="S2" s="619"/>
      <c r="T2" s="619"/>
      <c r="U2" s="619"/>
      <c r="V2" s="619"/>
      <c r="W2" s="619"/>
      <c r="X2" s="619"/>
      <c r="Y2" s="619"/>
      <c r="Z2" s="619"/>
      <c r="AA2" s="619"/>
      <c r="AB2" s="619"/>
      <c r="AC2" s="619"/>
      <c r="AD2" s="619"/>
      <c r="AE2" s="619"/>
    </row>
    <row r="3" spans="1:32">
      <c r="W3" s="617" t="s">
        <v>86</v>
      </c>
      <c r="X3" s="617"/>
      <c r="Y3" s="617" t="s">
        <v>86</v>
      </c>
      <c r="Z3" s="617"/>
      <c r="AA3" s="43"/>
      <c r="AB3" s="617" t="s">
        <v>87</v>
      </c>
      <c r="AC3" s="617"/>
      <c r="AD3" s="617"/>
    </row>
    <row r="4" spans="1:32">
      <c r="B4" s="42" t="s">
        <v>27</v>
      </c>
      <c r="C4" s="40" t="s">
        <v>56</v>
      </c>
      <c r="D4" s="40" t="s">
        <v>57</v>
      </c>
      <c r="E4" s="41" t="s">
        <v>58</v>
      </c>
      <c r="F4" s="41" t="s">
        <v>59</v>
      </c>
      <c r="G4" s="43"/>
      <c r="H4" s="40" t="s">
        <v>56</v>
      </c>
      <c r="I4" s="40" t="s">
        <v>56</v>
      </c>
      <c r="J4" s="44"/>
      <c r="K4" s="40" t="s">
        <v>16</v>
      </c>
      <c r="L4" s="40" t="s">
        <v>60</v>
      </c>
      <c r="M4" s="40" t="s">
        <v>17</v>
      </c>
      <c r="N4" s="549" t="s">
        <v>61</v>
      </c>
      <c r="O4" s="40" t="s">
        <v>332</v>
      </c>
      <c r="P4" s="40" t="s">
        <v>334</v>
      </c>
      <c r="Q4" s="40" t="s">
        <v>333</v>
      </c>
      <c r="R4" s="40" t="s">
        <v>335</v>
      </c>
      <c r="T4" s="40" t="s">
        <v>68</v>
      </c>
      <c r="U4" s="40" t="s">
        <v>69</v>
      </c>
      <c r="W4" s="40" t="s">
        <v>70</v>
      </c>
      <c r="X4" s="40" t="s">
        <v>70</v>
      </c>
      <c r="Y4" s="41" t="s">
        <v>70</v>
      </c>
      <c r="Z4" s="41" t="s">
        <v>70</v>
      </c>
      <c r="AB4" s="40" t="s">
        <v>70</v>
      </c>
      <c r="AC4" s="40" t="s">
        <v>70</v>
      </c>
      <c r="AD4" s="40" t="s">
        <v>79</v>
      </c>
    </row>
    <row r="5" spans="1:32">
      <c r="B5" s="41" t="s">
        <v>30</v>
      </c>
      <c r="C5" s="41" t="s">
        <v>31</v>
      </c>
      <c r="D5" s="41" t="s">
        <v>31</v>
      </c>
      <c r="E5" s="41" t="s">
        <v>31</v>
      </c>
      <c r="F5" s="41" t="s">
        <v>31</v>
      </c>
      <c r="G5" s="43"/>
      <c r="H5" s="40" t="s">
        <v>29</v>
      </c>
      <c r="I5" s="40" t="s">
        <v>29</v>
      </c>
      <c r="J5" s="44"/>
      <c r="K5" s="41" t="s">
        <v>31</v>
      </c>
      <c r="L5" s="41" t="s">
        <v>31</v>
      </c>
      <c r="M5" s="41" t="s">
        <v>31</v>
      </c>
      <c r="N5" s="550" t="s">
        <v>31</v>
      </c>
      <c r="O5" s="548" t="s">
        <v>31</v>
      </c>
      <c r="P5" s="550" t="s">
        <v>31</v>
      </c>
      <c r="Q5" s="548" t="s">
        <v>31</v>
      </c>
      <c r="R5" s="550" t="s">
        <v>31</v>
      </c>
      <c r="T5" s="41" t="s">
        <v>31</v>
      </c>
      <c r="U5" s="41" t="s">
        <v>31</v>
      </c>
      <c r="W5" s="40" t="s">
        <v>138</v>
      </c>
      <c r="X5" s="40" t="s">
        <v>138</v>
      </c>
      <c r="Y5" s="41" t="s">
        <v>71</v>
      </c>
      <c r="Z5" s="41" t="s">
        <v>71</v>
      </c>
      <c r="AB5" s="40" t="s">
        <v>76</v>
      </c>
      <c r="AC5" s="40" t="s">
        <v>77</v>
      </c>
      <c r="AD5" s="41" t="s">
        <v>80</v>
      </c>
    </row>
    <row r="6" spans="1:32" ht="54.5" customHeight="1">
      <c r="A6" s="17"/>
      <c r="B6" s="19" t="s">
        <v>28</v>
      </c>
      <c r="C6" s="18" t="s">
        <v>8</v>
      </c>
      <c r="D6" s="18" t="s">
        <v>8</v>
      </c>
      <c r="E6" s="19" t="s">
        <v>8</v>
      </c>
      <c r="F6" s="19" t="s">
        <v>8</v>
      </c>
      <c r="G6" s="20"/>
      <c r="H6" s="21" t="s">
        <v>136</v>
      </c>
      <c r="I6" s="21" t="s">
        <v>134</v>
      </c>
      <c r="J6" s="22"/>
      <c r="K6" s="18" t="s">
        <v>13</v>
      </c>
      <c r="L6" s="18" t="s">
        <v>8</v>
      </c>
      <c r="M6" s="18" t="s">
        <v>13</v>
      </c>
      <c r="N6" s="564" t="s">
        <v>8</v>
      </c>
      <c r="O6" s="18" t="s">
        <v>13</v>
      </c>
      <c r="P6" s="564" t="s">
        <v>8</v>
      </c>
      <c r="Q6" s="18" t="s">
        <v>13</v>
      </c>
      <c r="R6" s="564" t="s">
        <v>8</v>
      </c>
      <c r="T6" s="18" t="s">
        <v>8</v>
      </c>
      <c r="U6" s="18" t="s">
        <v>8</v>
      </c>
      <c r="W6" s="18" t="s">
        <v>289</v>
      </c>
      <c r="X6" s="18" t="s">
        <v>72</v>
      </c>
      <c r="Y6" s="153" t="s">
        <v>289</v>
      </c>
      <c r="Z6" s="19" t="s">
        <v>72</v>
      </c>
      <c r="AB6" s="18" t="s">
        <v>78</v>
      </c>
      <c r="AC6" s="18" t="s">
        <v>78</v>
      </c>
      <c r="AD6" s="18" t="s">
        <v>78</v>
      </c>
      <c r="AF6" s="576" t="s">
        <v>337</v>
      </c>
    </row>
    <row r="7" spans="1:32" ht="16">
      <c r="A7" s="1" t="s">
        <v>257</v>
      </c>
      <c r="C7" s="6"/>
      <c r="D7" s="6"/>
      <c r="H7" s="10"/>
      <c r="P7" s="9"/>
      <c r="AD7" s="37"/>
    </row>
    <row r="8" spans="1:32">
      <c r="A8" s="565" t="s">
        <v>88</v>
      </c>
      <c r="B8" s="566">
        <v>328</v>
      </c>
      <c r="C8" s="567">
        <v>89</v>
      </c>
      <c r="D8" s="567">
        <f>F8-C8</f>
        <v>3</v>
      </c>
      <c r="E8" s="568"/>
      <c r="F8" s="567">
        <v>92</v>
      </c>
      <c r="G8" s="569"/>
      <c r="H8" s="570">
        <v>326.17268423557539</v>
      </c>
      <c r="I8" s="571">
        <f>1000*C8/K8</f>
        <v>249.29971988795518</v>
      </c>
      <c r="J8" s="569"/>
      <c r="K8" s="567">
        <v>357</v>
      </c>
      <c r="L8" s="568"/>
      <c r="M8" s="572" t="s">
        <v>268</v>
      </c>
      <c r="N8" s="575" t="s">
        <v>268</v>
      </c>
      <c r="O8" s="306">
        <v>166.89460664156928</v>
      </c>
      <c r="P8" s="306">
        <f>O8*$H8/1000</f>
        <v>54.436461832721143</v>
      </c>
      <c r="Q8" s="306"/>
      <c r="R8" s="306"/>
      <c r="T8" s="2"/>
      <c r="U8" s="2"/>
      <c r="AD8" s="37"/>
    </row>
    <row r="9" spans="1:32">
      <c r="A9" s="62" t="s">
        <v>95</v>
      </c>
      <c r="B9" s="72">
        <v>390.47352960000006</v>
      </c>
      <c r="C9" s="5"/>
      <c r="D9" s="5"/>
      <c r="E9" s="2"/>
      <c r="F9" s="2"/>
      <c r="H9" s="103">
        <v>122.72707858916222</v>
      </c>
      <c r="I9" s="2"/>
      <c r="K9" s="2"/>
      <c r="L9" s="2"/>
      <c r="M9" s="364">
        <v>215.49538080000002</v>
      </c>
      <c r="N9" s="306">
        <f>M9*$H9/1000</f>
        <v>26.447118535043042</v>
      </c>
      <c r="O9" s="344">
        <v>174.16160500788263</v>
      </c>
      <c r="P9" s="306">
        <f>O9*$H9/1000</f>
        <v>21.374344985017039</v>
      </c>
      <c r="Q9" s="587"/>
      <c r="R9" s="587"/>
      <c r="T9" s="2"/>
      <c r="U9" s="2"/>
      <c r="AD9" s="37"/>
    </row>
    <row r="10" spans="1:32">
      <c r="A10" s="62" t="s">
        <v>125</v>
      </c>
      <c r="B10" s="72">
        <v>1254.6041728</v>
      </c>
      <c r="C10" s="5"/>
      <c r="D10" s="5"/>
      <c r="E10" s="2"/>
      <c r="F10" s="2"/>
      <c r="H10" s="103">
        <v>259.08517178557992</v>
      </c>
      <c r="I10" s="2"/>
      <c r="K10" s="2"/>
      <c r="L10" s="2"/>
      <c r="M10" s="574">
        <v>1124.9280000000001</v>
      </c>
      <c r="N10" s="306">
        <f>M10*H10/1000</f>
        <v>291.45216412640889</v>
      </c>
      <c r="O10" s="361">
        <v>1767.3585931501459</v>
      </c>
      <c r="P10" s="306">
        <f t="shared" ref="P10:P12" si="0">O10*$H10/1000</f>
        <v>457.89640471302641</v>
      </c>
      <c r="Q10" s="587"/>
      <c r="R10" s="587"/>
      <c r="T10" s="2"/>
      <c r="U10" s="2"/>
      <c r="AD10" s="37"/>
    </row>
    <row r="11" spans="1:32">
      <c r="A11" s="62" t="s">
        <v>128</v>
      </c>
      <c r="B11" s="72">
        <v>250.5293824</v>
      </c>
      <c r="C11" s="5"/>
      <c r="D11" s="5"/>
      <c r="E11" s="2"/>
      <c r="F11" s="2"/>
      <c r="H11" s="103">
        <v>196.88449239377709</v>
      </c>
      <c r="I11" s="2"/>
      <c r="K11" s="2"/>
      <c r="L11" s="2"/>
      <c r="M11" s="364">
        <v>3.837456</v>
      </c>
      <c r="N11" s="306">
        <f>M11*H11/1000</f>
        <v>0.75553557664345428</v>
      </c>
      <c r="O11" s="344">
        <v>66.274652542621084</v>
      </c>
      <c r="P11" s="306">
        <f t="shared" si="0"/>
        <v>13.0484513244279</v>
      </c>
      <c r="Q11" s="587"/>
      <c r="R11" s="587"/>
      <c r="T11" s="2"/>
      <c r="U11" s="2"/>
      <c r="AD11" s="37"/>
    </row>
    <row r="12" spans="1:32">
      <c r="A12" s="62" t="s">
        <v>247</v>
      </c>
      <c r="B12" s="72">
        <v>877.58681120000017</v>
      </c>
      <c r="C12" s="5"/>
      <c r="D12" s="5"/>
      <c r="E12" s="2"/>
      <c r="F12" s="2"/>
      <c r="H12" s="103">
        <v>229.16823329987565</v>
      </c>
      <c r="I12" s="2"/>
      <c r="K12" s="2"/>
      <c r="L12" s="2"/>
      <c r="M12" s="368">
        <v>739.36800000000005</v>
      </c>
      <c r="N12" s="306">
        <f>M12*H12/1000</f>
        <v>169.43965831846245</v>
      </c>
      <c r="O12" s="361">
        <v>1032.9519947420711</v>
      </c>
      <c r="P12" s="306">
        <f t="shared" si="0"/>
        <v>236.71978371862286</v>
      </c>
      <c r="Q12" s="587"/>
      <c r="R12" s="587"/>
      <c r="T12" s="2"/>
      <c r="U12" s="2"/>
      <c r="AD12" s="37"/>
    </row>
    <row r="13" spans="1:32">
      <c r="A13" s="2" t="s">
        <v>256</v>
      </c>
      <c r="B13" s="414">
        <f>SUM(B7:B12)</f>
        <v>3101.1938960000002</v>
      </c>
      <c r="C13" s="5"/>
      <c r="D13" s="5"/>
      <c r="E13" s="2"/>
      <c r="F13" s="2"/>
      <c r="H13" s="301"/>
      <c r="I13" s="2"/>
      <c r="J13" s="10" t="s">
        <v>26</v>
      </c>
      <c r="K13" s="2"/>
      <c r="L13" s="2"/>
      <c r="M13" s="358">
        <f>SUM(M7:M12)</f>
        <v>2083.6288368</v>
      </c>
      <c r="N13" s="358">
        <f>SUM(N7:N12)</f>
        <v>488.09447655655788</v>
      </c>
      <c r="O13" s="589">
        <f>SUM(O7:O12)</f>
        <v>3207.64145208429</v>
      </c>
      <c r="P13" s="589">
        <f>SUM(P7:P12)</f>
        <v>783.47544657381536</v>
      </c>
      <c r="Q13" s="578"/>
      <c r="R13" s="578"/>
      <c r="T13" s="2"/>
      <c r="U13" s="2"/>
      <c r="AD13" s="37"/>
    </row>
    <row r="14" spans="1:32">
      <c r="A14" s="2" t="s">
        <v>256</v>
      </c>
      <c r="B14" s="2"/>
      <c r="C14" s="5"/>
      <c r="D14" s="5"/>
      <c r="E14" s="2"/>
      <c r="F14" s="2"/>
      <c r="H14" s="199">
        <v>236</v>
      </c>
      <c r="I14" s="2"/>
      <c r="J14" s="87" t="s">
        <v>265</v>
      </c>
      <c r="K14" s="2"/>
      <c r="L14" s="2"/>
      <c r="M14" s="2"/>
      <c r="N14" s="2"/>
      <c r="O14" s="62"/>
      <c r="P14" s="62"/>
      <c r="Q14" s="62"/>
      <c r="R14" s="62"/>
      <c r="T14" s="2"/>
      <c r="U14" s="2"/>
      <c r="AD14" s="37"/>
    </row>
    <row r="15" spans="1:32" ht="16">
      <c r="A15" s="1" t="s">
        <v>255</v>
      </c>
      <c r="C15" s="6"/>
      <c r="D15" s="6"/>
      <c r="H15" s="10"/>
      <c r="AD15" s="37"/>
    </row>
    <row r="16" spans="1:32">
      <c r="A16" s="62" t="s">
        <v>125</v>
      </c>
      <c r="B16" s="72">
        <v>1055.6975440000001</v>
      </c>
      <c r="C16" s="306">
        <v>486.15332923578148</v>
      </c>
      <c r="D16" s="319">
        <v>5.3189725483183441</v>
      </c>
      <c r="E16" s="309">
        <f>C16+D16</f>
        <v>491.47230178409984</v>
      </c>
      <c r="F16" s="309">
        <v>461.39007149460787</v>
      </c>
      <c r="H16" s="103">
        <v>231.36237226697207</v>
      </c>
      <c r="I16" s="135">
        <f>1000*C16/K16</f>
        <v>276.39059467109001</v>
      </c>
      <c r="K16" s="299">
        <v>1758.9358632637739</v>
      </c>
      <c r="L16" s="306">
        <f>K16*H16/1000</f>
        <v>406.95157399016114</v>
      </c>
      <c r="M16" s="299">
        <v>1064.1900528000001</v>
      </c>
      <c r="N16" s="306">
        <f>M16*$H16/1000</f>
        <v>246.21353515872229</v>
      </c>
      <c r="O16" s="299">
        <v>1306.7637140922939</v>
      </c>
      <c r="P16" s="306">
        <f>O16*$H16/1000</f>
        <v>302.33595288479233</v>
      </c>
      <c r="Q16" s="556"/>
      <c r="R16" s="556"/>
      <c r="T16" s="309">
        <f>D16+L16</f>
        <v>412.27054653847949</v>
      </c>
      <c r="U16" s="309">
        <f>D16+N16</f>
        <v>251.53250770704065</v>
      </c>
      <c r="AD16" s="37"/>
      <c r="AF16" t="s">
        <v>336</v>
      </c>
    </row>
    <row r="17" spans="1:35">
      <c r="A17" s="62" t="s">
        <v>128</v>
      </c>
      <c r="B17" s="72">
        <v>17.287506015999998</v>
      </c>
      <c r="C17" s="308">
        <v>0.93411582028804552</v>
      </c>
      <c r="D17" s="320">
        <v>4.3246243746252508E-2</v>
      </c>
      <c r="E17" s="311">
        <f>C17+D17</f>
        <v>0.97736206403429804</v>
      </c>
      <c r="F17" s="311">
        <v>0.94771949122609789</v>
      </c>
      <c r="H17" s="103">
        <v>149.87609630133861</v>
      </c>
      <c r="I17" s="135">
        <f>1000*C17/K17</f>
        <v>119.5010506662851</v>
      </c>
      <c r="K17" s="15">
        <v>7.8168000622574283</v>
      </c>
      <c r="L17" s="307">
        <f>K17*H17/1000</f>
        <v>1.1715514788992039</v>
      </c>
      <c r="M17" s="36">
        <v>2.8213919999999999</v>
      </c>
      <c r="N17" s="308">
        <f t="shared" ref="N17:P18" si="1">M17*$H17/1000</f>
        <v>0.4228592190958263</v>
      </c>
      <c r="O17" s="15">
        <v>1.8623691381642791</v>
      </c>
      <c r="P17" s="308">
        <f t="shared" si="1"/>
        <v>0.27912461630015045</v>
      </c>
      <c r="Q17" s="556"/>
      <c r="R17" s="556"/>
      <c r="T17" s="309">
        <f>D17+L17</f>
        <v>1.2147977226454563</v>
      </c>
      <c r="U17" s="309">
        <f>D17+N17</f>
        <v>0.46610546284207882</v>
      </c>
      <c r="AD17" s="37"/>
    </row>
    <row r="18" spans="1:35">
      <c r="A18" s="62" t="s">
        <v>247</v>
      </c>
      <c r="B18" s="340">
        <v>828.16597600000011</v>
      </c>
      <c r="C18" s="306">
        <v>382.87391362728374</v>
      </c>
      <c r="D18" s="319">
        <v>5.8302988457892448</v>
      </c>
      <c r="E18" s="309">
        <f>C18+D18</f>
        <v>388.70421247307297</v>
      </c>
      <c r="F18" s="309">
        <v>364.87198012691647</v>
      </c>
      <c r="H18" s="103">
        <v>248.64603689263458</v>
      </c>
      <c r="I18" s="135">
        <f>1000*C18/K18</f>
        <v>277.0421677768162</v>
      </c>
      <c r="K18" s="434">
        <v>1382.0059115900547</v>
      </c>
      <c r="L18" s="344">
        <f>K18*H18/1000</f>
        <v>343.63029287905977</v>
      </c>
      <c r="M18" s="361">
        <v>733.9248</v>
      </c>
      <c r="N18" s="306">
        <f t="shared" si="1"/>
        <v>182.48749289721945</v>
      </c>
      <c r="O18" s="361">
        <v>1025.7828456422944</v>
      </c>
      <c r="P18" s="306">
        <f t="shared" si="1"/>
        <v>255.05683928140564</v>
      </c>
      <c r="Q18" s="557"/>
      <c r="R18" s="557"/>
      <c r="T18" s="309">
        <f>D18+L18</f>
        <v>349.460591724849</v>
      </c>
      <c r="U18" s="309">
        <f>D18+N18</f>
        <v>188.31779174300871</v>
      </c>
      <c r="AD18" s="37"/>
    </row>
    <row r="19" spans="1:35">
      <c r="A19" s="2" t="s">
        <v>262</v>
      </c>
      <c r="B19" s="414">
        <f>SUM(B16:B18)</f>
        <v>1901.1510260160003</v>
      </c>
      <c r="C19" s="415">
        <f>SUM(C16:C18)</f>
        <v>869.9613586833533</v>
      </c>
      <c r="D19" s="429">
        <f>SUM(D16:D18)</f>
        <v>11.192517637853841</v>
      </c>
      <c r="E19" s="415">
        <f>SUM(E16:E18)</f>
        <v>881.15387632120712</v>
      </c>
      <c r="F19" s="429">
        <f>SUM(F16:F18)</f>
        <v>827.20977111275045</v>
      </c>
      <c r="H19" s="301"/>
      <c r="I19" s="155">
        <f>1000*C19/K19</f>
        <v>276.2870947343232</v>
      </c>
      <c r="J19" s="10" t="s">
        <v>26</v>
      </c>
      <c r="K19" s="415">
        <f t="shared" ref="K19:P19" si="2">SUM(K16:K18)</f>
        <v>3148.7585749160862</v>
      </c>
      <c r="L19" s="415">
        <f t="shared" si="2"/>
        <v>751.75341834812014</v>
      </c>
      <c r="M19" s="415">
        <f t="shared" si="2"/>
        <v>1800.9362448000002</v>
      </c>
      <c r="N19" s="415">
        <f t="shared" si="2"/>
        <v>429.12388727503753</v>
      </c>
      <c r="O19" s="415">
        <f t="shared" si="2"/>
        <v>2334.4089288727528</v>
      </c>
      <c r="P19" s="415">
        <f t="shared" si="2"/>
        <v>557.6719167824981</v>
      </c>
      <c r="Q19" s="558"/>
      <c r="R19" s="558"/>
      <c r="T19" s="415">
        <f t="shared" ref="T19" si="3">SUM(T16:T18)</f>
        <v>762.94593598597396</v>
      </c>
      <c r="U19" s="415">
        <f t="shared" ref="U19" si="4">SUM(U16:U18)</f>
        <v>440.31640491289147</v>
      </c>
      <c r="AD19" s="37"/>
    </row>
    <row r="20" spans="1:35">
      <c r="A20" s="2" t="s">
        <v>262</v>
      </c>
      <c r="B20" s="2"/>
      <c r="C20" s="5"/>
      <c r="D20" s="498">
        <f>D19/F19</f>
        <v>1.3530446603402461E-2</v>
      </c>
      <c r="E20" s="2"/>
      <c r="F20" s="2"/>
      <c r="H20" s="199">
        <v>238</v>
      </c>
      <c r="I20" s="500">
        <f>1000*C19/M19</f>
        <v>483.06060872241778</v>
      </c>
      <c r="J20" s="87" t="s">
        <v>242</v>
      </c>
      <c r="K20" s="417">
        <f>SUM(K16:K18)</f>
        <v>3148.7585749160862</v>
      </c>
      <c r="L20" s="417">
        <f>K20*$H20/1000</f>
        <v>749.40454083002851</v>
      </c>
      <c r="M20" s="417">
        <f>SUM(M16:M18)</f>
        <v>1800.9362448000002</v>
      </c>
      <c r="N20" s="417">
        <f>M20*$H20/1000</f>
        <v>428.6228262624</v>
      </c>
      <c r="O20" s="417">
        <f>SUM(O16:O18)</f>
        <v>2334.4089288727528</v>
      </c>
      <c r="P20" s="417">
        <f>O20*$H20/1000</f>
        <v>555.58932507171517</v>
      </c>
      <c r="Q20" s="559"/>
      <c r="R20" s="559"/>
      <c r="T20" s="417">
        <f>L20+D19</f>
        <v>760.59705846788233</v>
      </c>
      <c r="U20" s="417">
        <f>N20+D19</f>
        <v>439.81534390025382</v>
      </c>
      <c r="AD20" s="37"/>
    </row>
    <row r="21" spans="1:35" ht="16">
      <c r="A21" s="1" t="s">
        <v>259</v>
      </c>
      <c r="C21" s="6"/>
      <c r="D21" s="6"/>
      <c r="H21" s="428">
        <f>1000*(F19-D19)/K19</f>
        <v>259.15523024709614</v>
      </c>
      <c r="I21" s="501">
        <f>1000*(F19-D19)/M19</f>
        <v>453.1072412091512</v>
      </c>
      <c r="AD21" s="37"/>
    </row>
    <row r="22" spans="1:35">
      <c r="A22" s="2" t="s">
        <v>1</v>
      </c>
      <c r="B22" s="72">
        <v>204.980803196007</v>
      </c>
      <c r="C22" s="306">
        <v>39.292353551230363</v>
      </c>
      <c r="D22" s="305">
        <v>0.7913352987181641</v>
      </c>
      <c r="E22" s="309">
        <f t="shared" ref="E22:E29" si="5">C22+D22</f>
        <v>40.08368884994853</v>
      </c>
      <c r="F22" s="309">
        <v>15.219324413787039</v>
      </c>
      <c r="H22" s="103">
        <v>251.97126970307443</v>
      </c>
      <c r="I22" s="135">
        <f t="shared" ref="I22:I30" si="6">1000*C22/K22</f>
        <v>239.20138867005485</v>
      </c>
      <c r="J22" s="10"/>
      <c r="K22" s="16">
        <v>164.26473846867469</v>
      </c>
      <c r="L22" s="306">
        <f>K22*$H22/1000</f>
        <v>41.389994719395411</v>
      </c>
      <c r="M22" s="143">
        <v>180.9888007335</v>
      </c>
      <c r="N22" s="306">
        <f>M22*$H22/1000</f>
        <v>45.603977922856721</v>
      </c>
      <c r="O22" s="143">
        <v>76.29563976985601</v>
      </c>
      <c r="P22" s="306">
        <f>O22*$H22/1000</f>
        <v>19.224309225618999</v>
      </c>
      <c r="Q22" s="556"/>
      <c r="R22" s="556"/>
      <c r="T22" s="309">
        <f t="shared" ref="T22:T29" si="7">D22+L22</f>
        <v>42.181330018113577</v>
      </c>
      <c r="U22" s="309">
        <f t="shared" ref="U22:U29" si="8">D22+N22</f>
        <v>46.395313221574888</v>
      </c>
      <c r="AD22" s="480">
        <f t="shared" ref="AD22:AD29" si="9">AVERAGE(K22,M22)</f>
        <v>172.62676960108735</v>
      </c>
    </row>
    <row r="23" spans="1:35">
      <c r="A23" s="2" t="s">
        <v>2</v>
      </c>
      <c r="B23" s="72">
        <v>485</v>
      </c>
      <c r="C23" s="306">
        <v>176.80408073086417</v>
      </c>
      <c r="D23" s="304">
        <v>3.046870174781827</v>
      </c>
      <c r="E23" s="309">
        <f t="shared" si="5"/>
        <v>179.85095090564599</v>
      </c>
      <c r="F23" s="309">
        <v>91.09936481578778</v>
      </c>
      <c r="H23" s="103">
        <v>209.22078643146409</v>
      </c>
      <c r="I23" s="135">
        <f t="shared" si="6"/>
        <v>238.27336002522733</v>
      </c>
      <c r="J23" s="10"/>
      <c r="K23" s="299">
        <v>742.02202341103066</v>
      </c>
      <c r="L23" s="306">
        <f t="shared" ref="L23:L29" si="10">K23*H23/1000</f>
        <v>155.24643128752211</v>
      </c>
      <c r="M23" s="299">
        <v>377</v>
      </c>
      <c r="N23" s="306">
        <f t="shared" ref="N23:P29" si="11">M23*$H23/1000</f>
        <v>78.876236484661959</v>
      </c>
      <c r="O23" s="299">
        <v>293.56204343672226</v>
      </c>
      <c r="P23" s="306">
        <f t="shared" si="11"/>
        <v>61.419281594258656</v>
      </c>
      <c r="Q23" s="556"/>
      <c r="R23" s="556"/>
      <c r="T23" s="309">
        <f t="shared" si="7"/>
        <v>158.29330146230393</v>
      </c>
      <c r="U23" s="309">
        <f t="shared" si="8"/>
        <v>81.923106659443789</v>
      </c>
      <c r="AD23" s="480">
        <f t="shared" si="9"/>
        <v>559.51101170551533</v>
      </c>
    </row>
    <row r="24" spans="1:35">
      <c r="A24" s="2" t="s">
        <v>3</v>
      </c>
      <c r="B24" s="72">
        <v>36.921198227783513</v>
      </c>
      <c r="C24" s="307">
        <v>1.2368493338049833</v>
      </c>
      <c r="D24" s="305">
        <v>0.14042262325678961</v>
      </c>
      <c r="E24" s="310">
        <f t="shared" si="5"/>
        <v>1.3772719570617729</v>
      </c>
      <c r="F24" s="310">
        <v>1.1673468877004438</v>
      </c>
      <c r="H24" s="103">
        <v>277.56360412104095</v>
      </c>
      <c r="I24" s="135">
        <f t="shared" si="6"/>
        <v>242.29774277483685</v>
      </c>
      <c r="J24" s="10"/>
      <c r="K24" s="15">
        <v>5.1046671737027536</v>
      </c>
      <c r="L24" s="307">
        <f t="shared" si="10"/>
        <v>1.416869818571304</v>
      </c>
      <c r="M24" s="36">
        <v>4.6901451574999999</v>
      </c>
      <c r="N24" s="307">
        <f t="shared" si="11"/>
        <v>1.3018135937665472</v>
      </c>
      <c r="O24" s="36">
        <v>6.3314495281788252</v>
      </c>
      <c r="P24" s="307">
        <f t="shared" si="11"/>
        <v>1.7573799503517789</v>
      </c>
      <c r="Q24" s="560"/>
      <c r="R24" s="560"/>
      <c r="T24" s="310">
        <f t="shared" si="7"/>
        <v>1.5572924418280936</v>
      </c>
      <c r="U24" s="310">
        <f t="shared" si="8"/>
        <v>1.4422362170233367</v>
      </c>
      <c r="AD24" s="480">
        <f t="shared" si="9"/>
        <v>4.8974061656013763</v>
      </c>
    </row>
    <row r="25" spans="1:35">
      <c r="A25" s="2" t="s">
        <v>4</v>
      </c>
      <c r="B25" s="72">
        <v>117.21609517589853</v>
      </c>
      <c r="C25" s="306">
        <v>21.59902834267379</v>
      </c>
      <c r="D25" s="304">
        <v>0.89471313092169136</v>
      </c>
      <c r="E25" s="309">
        <f t="shared" si="5"/>
        <v>22.493741473595481</v>
      </c>
      <c r="F25" s="309">
        <v>21.086881901209175</v>
      </c>
      <c r="H25" s="103">
        <v>250.88524995324968</v>
      </c>
      <c r="I25" s="135">
        <f t="shared" si="6"/>
        <v>239.31157132316585</v>
      </c>
      <c r="J25" s="10"/>
      <c r="K25" s="577">
        <v>90.254843187279519</v>
      </c>
      <c r="L25" s="306">
        <f t="shared" si="10"/>
        <v>22.643608892531979</v>
      </c>
      <c r="M25" s="577">
        <v>81.510549787499997</v>
      </c>
      <c r="N25" s="306">
        <f t="shared" si="11"/>
        <v>20.449794657263741</v>
      </c>
      <c r="O25" s="577">
        <v>48.098119410556492</v>
      </c>
      <c r="P25" s="306">
        <f t="shared" si="11"/>
        <v>12.067108710598715</v>
      </c>
      <c r="Q25" s="556"/>
      <c r="R25" s="556"/>
      <c r="T25" s="309">
        <f t="shared" si="7"/>
        <v>23.53832202345367</v>
      </c>
      <c r="U25" s="309">
        <f t="shared" si="8"/>
        <v>21.344507788185432</v>
      </c>
      <c r="AD25" s="480">
        <f t="shared" si="9"/>
        <v>85.882696487389751</v>
      </c>
    </row>
    <row r="26" spans="1:35">
      <c r="A26" s="2" t="s">
        <v>5</v>
      </c>
      <c r="B26" s="72">
        <v>3</v>
      </c>
      <c r="C26" s="308">
        <v>3.8385846352753876E-2</v>
      </c>
      <c r="D26" s="305">
        <v>1.6262204866305807E-2</v>
      </c>
      <c r="E26" s="311">
        <f t="shared" si="5"/>
        <v>5.4648051219059683E-2</v>
      </c>
      <c r="F26" s="311">
        <v>8.0578992492093146E-2</v>
      </c>
      <c r="H26" s="103">
        <v>237.80309436716911</v>
      </c>
      <c r="I26" s="135">
        <f t="shared" si="6"/>
        <v>244.93675372986962</v>
      </c>
      <c r="J26" s="10"/>
      <c r="K26" s="15">
        <v>0.15671738017352838</v>
      </c>
      <c r="L26" s="308">
        <f t="shared" si="10"/>
        <v>3.7267877946381082E-2</v>
      </c>
      <c r="M26" s="39">
        <v>0.12</v>
      </c>
      <c r="N26" s="308">
        <f t="shared" si="11"/>
        <v>2.853637132406029E-2</v>
      </c>
      <c r="O26" s="39">
        <v>0.24508102460073172</v>
      </c>
      <c r="P26" s="308">
        <f t="shared" si="11"/>
        <v>5.8281026020730299E-2</v>
      </c>
      <c r="Q26" s="561"/>
      <c r="R26" s="561"/>
      <c r="T26" s="311">
        <f t="shared" si="7"/>
        <v>5.353008281268689E-2</v>
      </c>
      <c r="U26" s="311">
        <f t="shared" si="8"/>
        <v>4.4798576190366098E-2</v>
      </c>
      <c r="Y26" s="32"/>
      <c r="AD26" s="480">
        <f t="shared" si="9"/>
        <v>0.13835869008676419</v>
      </c>
      <c r="AE26" s="73" t="s">
        <v>84</v>
      </c>
    </row>
    <row r="27" spans="1:35">
      <c r="A27" s="2" t="s">
        <v>88</v>
      </c>
      <c r="B27" s="72">
        <v>86</v>
      </c>
      <c r="C27" s="306">
        <v>23.238391051154732</v>
      </c>
      <c r="D27" s="304">
        <v>1.1406631442657094</v>
      </c>
      <c r="E27" s="309">
        <f t="shared" si="5"/>
        <v>24.379054195420441</v>
      </c>
      <c r="F27" s="309">
        <v>40.088695549888776</v>
      </c>
      <c r="H27" s="103">
        <v>300.36708816477477</v>
      </c>
      <c r="I27" s="135">
        <f t="shared" si="6"/>
        <v>238.3694882105043</v>
      </c>
      <c r="J27" s="10"/>
      <c r="K27" s="577">
        <v>97.488949720917674</v>
      </c>
      <c r="L27" s="306">
        <f t="shared" si="10"/>
        <v>29.282471955914176</v>
      </c>
      <c r="M27" s="577">
        <v>102</v>
      </c>
      <c r="N27" s="306">
        <f t="shared" si="11"/>
        <v>30.637442992807028</v>
      </c>
      <c r="O27" s="577">
        <v>45.133809611284946</v>
      </c>
      <c r="P27" s="306">
        <f t="shared" si="11"/>
        <v>13.556710970724984</v>
      </c>
      <c r="Q27" s="556"/>
      <c r="R27" s="556"/>
      <c r="T27" s="309">
        <f t="shared" si="7"/>
        <v>30.423135100179884</v>
      </c>
      <c r="U27" s="309">
        <f t="shared" si="8"/>
        <v>31.778106137072736</v>
      </c>
      <c r="AD27" s="480">
        <f t="shared" si="9"/>
        <v>99.744474860458837</v>
      </c>
      <c r="AE27" s="6"/>
    </row>
    <row r="28" spans="1:35">
      <c r="A28" s="62" t="s">
        <v>95</v>
      </c>
      <c r="B28" s="72">
        <v>140.84107579462102</v>
      </c>
      <c r="C28" s="306">
        <v>38.651208351036843</v>
      </c>
      <c r="D28" s="305">
        <v>0.95602310907468624</v>
      </c>
      <c r="E28" s="309">
        <f t="shared" si="5"/>
        <v>39.607231460111528</v>
      </c>
      <c r="F28" s="309">
        <v>39.764729007114646</v>
      </c>
      <c r="H28" s="103">
        <v>161.06664361320759</v>
      </c>
      <c r="I28" s="135">
        <f t="shared" si="6"/>
        <v>214.5312550443499</v>
      </c>
      <c r="J28" s="10"/>
      <c r="K28" s="577">
        <v>180.16586134755283</v>
      </c>
      <c r="L28" s="306">
        <f t="shared" si="10"/>
        <v>29.018710580932865</v>
      </c>
      <c r="M28" s="577">
        <v>151</v>
      </c>
      <c r="N28" s="306">
        <f t="shared" si="11"/>
        <v>24.321063185594348</v>
      </c>
      <c r="O28" s="577">
        <v>60.132216906180297</v>
      </c>
      <c r="P28" s="306">
        <f t="shared" si="11"/>
        <v>9.6852943500998379</v>
      </c>
      <c r="Q28" s="556"/>
      <c r="R28" s="556"/>
      <c r="T28" s="309">
        <f t="shared" si="7"/>
        <v>29.97473369000755</v>
      </c>
      <c r="U28" s="309">
        <f t="shared" si="8"/>
        <v>25.277086294669033</v>
      </c>
      <c r="AD28" s="480">
        <f t="shared" si="9"/>
        <v>165.58293067377642</v>
      </c>
      <c r="AE28" s="6"/>
    </row>
    <row r="29" spans="1:35">
      <c r="A29" s="62" t="s">
        <v>125</v>
      </c>
      <c r="B29" s="72">
        <v>1043</v>
      </c>
      <c r="C29" s="306">
        <v>333.2243781677584</v>
      </c>
      <c r="D29" s="305">
        <v>5.7911508492750494</v>
      </c>
      <c r="E29" s="309">
        <f t="shared" si="5"/>
        <v>339.01552901703343</v>
      </c>
      <c r="F29" s="309">
        <v>338.11760179896532</v>
      </c>
      <c r="H29" s="103">
        <v>262.51445685220114</v>
      </c>
      <c r="I29" s="135">
        <f t="shared" si="6"/>
        <v>272.26628358285274</v>
      </c>
      <c r="J29" s="10"/>
      <c r="K29" s="299">
        <v>1223.8914557569726</v>
      </c>
      <c r="L29" s="306">
        <f t="shared" si="10"/>
        <v>321.28920075409144</v>
      </c>
      <c r="M29" s="299">
        <v>1065</v>
      </c>
      <c r="N29" s="306">
        <f t="shared" si="11"/>
        <v>279.57789654759421</v>
      </c>
      <c r="O29" s="299">
        <v>1559.3503284897552</v>
      </c>
      <c r="P29" s="306">
        <f t="shared" si="11"/>
        <v>409.35200452578954</v>
      </c>
      <c r="Q29" s="556"/>
      <c r="R29" s="556"/>
      <c r="T29" s="309">
        <f t="shared" si="7"/>
        <v>327.08035160336647</v>
      </c>
      <c r="U29" s="309">
        <f t="shared" si="8"/>
        <v>285.36904739686923</v>
      </c>
      <c r="Y29" s="32"/>
      <c r="AD29" s="480">
        <f t="shared" si="9"/>
        <v>1144.4457278784862</v>
      </c>
      <c r="AE29" s="73" t="s">
        <v>85</v>
      </c>
    </row>
    <row r="30" spans="1:35">
      <c r="A30" s="2" t="s">
        <v>261</v>
      </c>
      <c r="B30" s="414">
        <f>SUM(B22:B29)</f>
        <v>2116.9591723943099</v>
      </c>
      <c r="C30" s="415">
        <f>SUM(C22:C29)</f>
        <v>634.08467537487604</v>
      </c>
      <c r="D30" s="431">
        <f>SUM(D22:D29)</f>
        <v>12.777440535160224</v>
      </c>
      <c r="E30" s="417">
        <f>SUM(E22:E29)</f>
        <v>646.86211591003621</v>
      </c>
      <c r="F30" s="430">
        <f>SUM(F22:F29)</f>
        <v>546.62452336694525</v>
      </c>
      <c r="H30" s="135"/>
      <c r="I30" s="155">
        <f t="shared" si="6"/>
        <v>253.29453081389357</v>
      </c>
      <c r="J30" s="10" t="s">
        <v>26</v>
      </c>
      <c r="K30" s="415">
        <f>SUM(K22:K29)</f>
        <v>2503.3492564463045</v>
      </c>
      <c r="L30" s="415">
        <f>SUM(L22:L29)</f>
        <v>600.32455588690573</v>
      </c>
      <c r="M30" s="415">
        <f>SUM(M22:M29)</f>
        <v>1962.3094956784998</v>
      </c>
      <c r="N30" s="415">
        <f>SUM(N22:N29)</f>
        <v>480.7967617558686</v>
      </c>
      <c r="O30" s="558"/>
      <c r="P30" s="558"/>
      <c r="Q30" s="558"/>
      <c r="R30" s="558"/>
      <c r="T30" s="415">
        <f>L30+$D$30</f>
        <v>613.10199642206589</v>
      </c>
      <c r="U30" s="415">
        <f>N30+$D$30</f>
        <v>493.57420229102883</v>
      </c>
      <c r="AD30" s="481">
        <f>SUM(AD22:AD29)</f>
        <v>2232.8293760624019</v>
      </c>
      <c r="AF30" s="61">
        <f>(B30-B82)/B30</f>
        <v>-0.33190919961239956</v>
      </c>
      <c r="AG30" s="120">
        <f>D30/E30</f>
        <v>1.9752958506751191E-2</v>
      </c>
      <c r="AH30" s="120">
        <f>D30/T30</f>
        <v>2.0840644150119679E-2</v>
      </c>
      <c r="AI30" s="120">
        <f>D30/U30</f>
        <v>2.5887577745860778E-2</v>
      </c>
    </row>
    <row r="31" spans="1:35">
      <c r="A31" s="2" t="s">
        <v>261</v>
      </c>
      <c r="C31" s="31"/>
      <c r="D31" s="498">
        <f>D30/F30</f>
        <v>2.3375168857147702E-2</v>
      </c>
      <c r="E31" s="31"/>
      <c r="F31" s="31"/>
      <c r="H31" s="427">
        <v>244</v>
      </c>
      <c r="I31" s="500">
        <f>1000*C30/M30</f>
        <v>323.13183866830911</v>
      </c>
      <c r="J31" s="87" t="s">
        <v>264</v>
      </c>
      <c r="K31" s="435">
        <f>SUM(K22:K29)</f>
        <v>2503.3492564463045</v>
      </c>
      <c r="L31" s="435">
        <f>K31*$H31/1000</f>
        <v>610.81721857289835</v>
      </c>
      <c r="M31" s="435">
        <f>SUM(M22:M29)</f>
        <v>1962.3094956784998</v>
      </c>
      <c r="N31" s="435">
        <f>M31*$H31/1000</f>
        <v>478.80351694555395</v>
      </c>
      <c r="O31" s="562"/>
      <c r="P31" s="562"/>
      <c r="Q31" s="562"/>
      <c r="R31" s="562"/>
      <c r="T31" s="435">
        <f>L31+D30</f>
        <v>623.59465910805852</v>
      </c>
      <c r="U31" s="435">
        <f>N31+D30</f>
        <v>491.58095748071418</v>
      </c>
      <c r="AD31" s="441" t="s">
        <v>286</v>
      </c>
    </row>
    <row r="32" spans="1:35">
      <c r="A32" s="331" t="s">
        <v>288</v>
      </c>
      <c r="C32" s="31"/>
      <c r="D32" s="253"/>
      <c r="E32" s="31"/>
      <c r="F32" s="31"/>
      <c r="H32" s="428">
        <f>1000*(F30-D30)/K30</f>
        <v>213.25313735472201</v>
      </c>
      <c r="I32" s="501">
        <f>1000*(F30-D30)/M30</f>
        <v>272.05039980056705</v>
      </c>
      <c r="J32" s="6"/>
      <c r="K32" s="250"/>
      <c r="L32" s="250"/>
      <c r="M32" s="250"/>
      <c r="N32" s="250"/>
      <c r="O32" s="250"/>
      <c r="P32" s="250"/>
      <c r="Q32" s="250"/>
      <c r="R32" s="250"/>
      <c r="S32" s="48"/>
      <c r="T32" s="250"/>
      <c r="U32" s="250"/>
      <c r="V32" s="48"/>
      <c r="W32" s="33"/>
      <c r="X32" s="6"/>
      <c r="Y32" s="33"/>
      <c r="Z32" s="6"/>
      <c r="AA32" s="48"/>
      <c r="AB32" s="48"/>
      <c r="AC32" s="48"/>
      <c r="AD32" s="6"/>
    </row>
    <row r="33" spans="1:33">
      <c r="A33" s="54" t="s">
        <v>291</v>
      </c>
      <c r="B33" s="72">
        <v>204.980803196007</v>
      </c>
      <c r="C33" s="306">
        <v>39.292353551230363</v>
      </c>
      <c r="D33" s="305">
        <v>0.7913352987181641</v>
      </c>
      <c r="E33" s="309">
        <f t="shared" ref="E33:E39" si="12">C33+D33</f>
        <v>40.08368884994853</v>
      </c>
      <c r="F33" s="309">
        <v>15.219324413787039</v>
      </c>
      <c r="H33" s="103">
        <v>251.97126970307443</v>
      </c>
      <c r="I33" s="135">
        <f t="shared" ref="I33:I43" si="13">1000*C33/K33</f>
        <v>239.20138867005485</v>
      </c>
      <c r="J33" s="27"/>
      <c r="K33" s="16">
        <v>164.26473846867469</v>
      </c>
      <c r="L33" s="306">
        <f t="shared" ref="L33:L42" si="14">K33*H33/1000</f>
        <v>41.389994719395411</v>
      </c>
      <c r="M33" s="143">
        <v>180.9888007335</v>
      </c>
      <c r="N33" s="306">
        <f>M33*$H33/1000</f>
        <v>45.603977922856721</v>
      </c>
      <c r="O33" s="143">
        <v>76.29563976985601</v>
      </c>
      <c r="P33" s="306">
        <f>O33*$H33/1000</f>
        <v>19.224309225618999</v>
      </c>
      <c r="Q33" s="556"/>
      <c r="R33" s="556"/>
      <c r="T33" s="309">
        <f t="shared" ref="T33:T42" si="15">D33+L33</f>
        <v>42.181330018113577</v>
      </c>
      <c r="U33" s="309">
        <f t="shared" ref="U33:U42" si="16">D33+N33</f>
        <v>46.395313221574888</v>
      </c>
      <c r="V33" s="26"/>
      <c r="W33" s="33"/>
      <c r="X33" s="6"/>
      <c r="Y33" s="33"/>
      <c r="Z33" s="6"/>
      <c r="AA33" s="26"/>
      <c r="AB33" s="26"/>
      <c r="AC33" s="26"/>
      <c r="AD33" s="480">
        <f t="shared" ref="AD33:AD42" si="17">AVERAGE(K33,M33)</f>
        <v>172.62676960108735</v>
      </c>
    </row>
    <row r="34" spans="1:33">
      <c r="A34" s="54" t="s">
        <v>292</v>
      </c>
      <c r="B34" s="72">
        <v>485</v>
      </c>
      <c r="C34" s="306">
        <v>176.80408073086417</v>
      </c>
      <c r="D34" s="304">
        <v>3.046870174781827</v>
      </c>
      <c r="E34" s="309">
        <f t="shared" si="12"/>
        <v>179.85095090564599</v>
      </c>
      <c r="F34" s="309">
        <v>91.09936481578778</v>
      </c>
      <c r="H34" s="103">
        <v>209.22078643146409</v>
      </c>
      <c r="I34" s="135">
        <f t="shared" si="13"/>
        <v>238.27336002522733</v>
      </c>
      <c r="J34" s="27"/>
      <c r="K34" s="299">
        <v>742.02202341103066</v>
      </c>
      <c r="L34" s="306">
        <f t="shared" si="14"/>
        <v>155.24643128752211</v>
      </c>
      <c r="M34" s="299">
        <v>377</v>
      </c>
      <c r="N34" s="306">
        <f t="shared" ref="N34:N42" si="18">M34*H34/1000</f>
        <v>78.876236484661959</v>
      </c>
      <c r="O34" s="299">
        <v>293.56204343672226</v>
      </c>
      <c r="P34" s="306">
        <f t="shared" ref="P34:P42" si="19">O34*$H34/1000</f>
        <v>61.419281594258656</v>
      </c>
      <c r="Q34" s="556"/>
      <c r="R34" s="556"/>
      <c r="T34" s="309">
        <f t="shared" si="15"/>
        <v>158.29330146230393</v>
      </c>
      <c r="U34" s="309">
        <f t="shared" si="16"/>
        <v>81.923106659443789</v>
      </c>
      <c r="V34" s="26"/>
      <c r="W34" s="33"/>
      <c r="X34" s="6"/>
      <c r="Y34" s="33"/>
      <c r="Z34" s="6"/>
      <c r="AA34" s="26"/>
      <c r="AB34" s="26"/>
      <c r="AC34" s="26"/>
      <c r="AD34" s="480">
        <f t="shared" si="17"/>
        <v>559.51101170551533</v>
      </c>
    </row>
    <row r="35" spans="1:33">
      <c r="A35" s="54" t="s">
        <v>293</v>
      </c>
      <c r="B35" s="72">
        <v>36.921198227783513</v>
      </c>
      <c r="C35" s="307">
        <v>1.2368493338049833</v>
      </c>
      <c r="D35" s="305">
        <v>0.14042262325678961</v>
      </c>
      <c r="E35" s="310">
        <f t="shared" si="12"/>
        <v>1.3772719570617729</v>
      </c>
      <c r="F35" s="310">
        <v>1.1673468877004438</v>
      </c>
      <c r="H35" s="103">
        <v>277.56360412104095</v>
      </c>
      <c r="I35" s="135">
        <f t="shared" si="13"/>
        <v>242.29774277483685</v>
      </c>
      <c r="J35" s="27"/>
      <c r="K35" s="15">
        <v>5.1046671737027536</v>
      </c>
      <c r="L35" s="307">
        <f t="shared" si="14"/>
        <v>1.416869818571304</v>
      </c>
      <c r="M35" s="36">
        <v>4.6901451574999999</v>
      </c>
      <c r="N35" s="307">
        <f t="shared" si="18"/>
        <v>1.3018135937665472</v>
      </c>
      <c r="O35" s="36">
        <v>6.3314495281788252</v>
      </c>
      <c r="P35" s="307">
        <f t="shared" si="19"/>
        <v>1.7573799503517789</v>
      </c>
      <c r="Q35" s="560"/>
      <c r="R35" s="560"/>
      <c r="T35" s="310">
        <f t="shared" si="15"/>
        <v>1.5572924418280936</v>
      </c>
      <c r="U35" s="310">
        <f t="shared" si="16"/>
        <v>1.4422362170233367</v>
      </c>
      <c r="V35" s="26"/>
      <c r="W35" s="33"/>
      <c r="X35" s="6"/>
      <c r="Y35" s="33"/>
      <c r="Z35" s="6"/>
      <c r="AA35" s="26"/>
      <c r="AB35" s="26"/>
      <c r="AC35" s="26"/>
      <c r="AD35" s="480">
        <f t="shared" si="17"/>
        <v>4.8974061656013763</v>
      </c>
    </row>
    <row r="36" spans="1:33">
      <c r="A36" s="54" t="s">
        <v>294</v>
      </c>
      <c r="B36" s="72">
        <v>117.21609517589853</v>
      </c>
      <c r="C36" s="306">
        <v>21.59902834267379</v>
      </c>
      <c r="D36" s="304">
        <v>0.89471313092169136</v>
      </c>
      <c r="E36" s="309">
        <f t="shared" si="12"/>
        <v>22.493741473595481</v>
      </c>
      <c r="F36" s="309">
        <v>21.086881901209175</v>
      </c>
      <c r="H36" s="103">
        <v>250.88524995324968</v>
      </c>
      <c r="I36" s="135">
        <f t="shared" si="13"/>
        <v>239.31157132316585</v>
      </c>
      <c r="J36" s="27"/>
      <c r="K36" s="577">
        <v>90.254843187279519</v>
      </c>
      <c r="L36" s="306">
        <f t="shared" si="14"/>
        <v>22.643608892531979</v>
      </c>
      <c r="M36" s="577">
        <v>81.510549787499997</v>
      </c>
      <c r="N36" s="306">
        <f t="shared" si="18"/>
        <v>20.449794657263741</v>
      </c>
      <c r="O36" s="577">
        <v>48.098119410556492</v>
      </c>
      <c r="P36" s="306">
        <f t="shared" si="19"/>
        <v>12.067108710598715</v>
      </c>
      <c r="Q36" s="556"/>
      <c r="R36" s="556"/>
      <c r="T36" s="309">
        <f t="shared" si="15"/>
        <v>23.53832202345367</v>
      </c>
      <c r="U36" s="309">
        <f t="shared" si="16"/>
        <v>21.344507788185432</v>
      </c>
      <c r="V36" s="26"/>
      <c r="W36" s="33"/>
      <c r="X36" s="6"/>
      <c r="Y36" s="33"/>
      <c r="Z36" s="6"/>
      <c r="AA36" s="26"/>
      <c r="AB36" s="26"/>
      <c r="AC36" s="26"/>
      <c r="AD36" s="480">
        <f t="shared" si="17"/>
        <v>85.882696487389751</v>
      </c>
    </row>
    <row r="37" spans="1:33">
      <c r="A37" s="54" t="s">
        <v>295</v>
      </c>
      <c r="B37" s="72">
        <v>3</v>
      </c>
      <c r="C37" s="308">
        <v>3.8385846352753876E-2</v>
      </c>
      <c r="D37" s="305">
        <v>1.6262204866305807E-2</v>
      </c>
      <c r="E37" s="311">
        <f t="shared" si="12"/>
        <v>5.4648051219059683E-2</v>
      </c>
      <c r="F37" s="311">
        <v>8.0578992492093146E-2</v>
      </c>
      <c r="H37" s="103">
        <v>237.80309436716911</v>
      </c>
      <c r="I37" s="135">
        <f t="shared" si="13"/>
        <v>244.93675372986962</v>
      </c>
      <c r="J37" s="27"/>
      <c r="K37" s="15">
        <v>0.15671738017352838</v>
      </c>
      <c r="L37" s="308">
        <f t="shared" si="14"/>
        <v>3.7267877946381082E-2</v>
      </c>
      <c r="M37" s="39">
        <v>0.12</v>
      </c>
      <c r="N37" s="308">
        <f t="shared" si="18"/>
        <v>2.853637132406029E-2</v>
      </c>
      <c r="O37" s="39">
        <v>0.24508102460073172</v>
      </c>
      <c r="P37" s="308">
        <f t="shared" si="19"/>
        <v>5.8281026020730299E-2</v>
      </c>
      <c r="Q37" s="561"/>
      <c r="R37" s="561"/>
      <c r="T37" s="311">
        <f t="shared" si="15"/>
        <v>5.353008281268689E-2</v>
      </c>
      <c r="U37" s="311">
        <f t="shared" si="16"/>
        <v>4.4798576190366098E-2</v>
      </c>
      <c r="V37" s="26"/>
      <c r="W37" s="33"/>
      <c r="X37" s="6"/>
      <c r="Y37" s="33"/>
      <c r="Z37" s="6"/>
      <c r="AA37" s="26"/>
      <c r="AB37" s="26"/>
      <c r="AC37" s="26"/>
      <c r="AD37" s="480">
        <f t="shared" si="17"/>
        <v>0.13835869008676419</v>
      </c>
    </row>
    <row r="38" spans="1:33">
      <c r="A38" s="54" t="s">
        <v>296</v>
      </c>
      <c r="B38" s="72">
        <v>86</v>
      </c>
      <c r="C38" s="306">
        <v>23.238391051154732</v>
      </c>
      <c r="D38" s="304">
        <v>1.1406631442657094</v>
      </c>
      <c r="E38" s="309">
        <f t="shared" si="12"/>
        <v>24.379054195420441</v>
      </c>
      <c r="F38" s="309">
        <v>40.088695549888776</v>
      </c>
      <c r="H38" s="103">
        <v>300.36708816477477</v>
      </c>
      <c r="I38" s="135">
        <f t="shared" si="13"/>
        <v>238.3694882105043</v>
      </c>
      <c r="J38" s="27"/>
      <c r="K38" s="577">
        <v>97.488949720917674</v>
      </c>
      <c r="L38" s="306">
        <f t="shared" si="14"/>
        <v>29.282471955914176</v>
      </c>
      <c r="M38" s="577">
        <v>102</v>
      </c>
      <c r="N38" s="306">
        <f t="shared" si="18"/>
        <v>30.637442992807028</v>
      </c>
      <c r="O38" s="577">
        <v>45.133809611284946</v>
      </c>
      <c r="P38" s="306">
        <f t="shared" si="19"/>
        <v>13.556710970724984</v>
      </c>
      <c r="Q38" s="556"/>
      <c r="R38" s="556"/>
      <c r="T38" s="309">
        <f t="shared" si="15"/>
        <v>30.423135100179884</v>
      </c>
      <c r="U38" s="309">
        <f t="shared" si="16"/>
        <v>31.778106137072736</v>
      </c>
      <c r="V38" s="26"/>
      <c r="W38" s="33"/>
      <c r="X38" s="6"/>
      <c r="Y38" s="33"/>
      <c r="Z38" s="6"/>
      <c r="AA38" s="26"/>
      <c r="AB38" s="26"/>
      <c r="AC38" s="26"/>
      <c r="AD38" s="480">
        <f t="shared" si="17"/>
        <v>99.744474860458837</v>
      </c>
    </row>
    <row r="39" spans="1:33">
      <c r="A39" s="54" t="s">
        <v>297</v>
      </c>
      <c r="B39" s="72">
        <v>140.84107579462102</v>
      </c>
      <c r="C39" s="306">
        <v>38.651208351036843</v>
      </c>
      <c r="D39" s="305">
        <v>0.95602310907468624</v>
      </c>
      <c r="E39" s="309">
        <f t="shared" si="12"/>
        <v>39.607231460111528</v>
      </c>
      <c r="F39" s="309">
        <v>39.764729007114646</v>
      </c>
      <c r="H39" s="103">
        <v>161.06664361320759</v>
      </c>
      <c r="I39" s="135">
        <f t="shared" si="13"/>
        <v>214.5312550443499</v>
      </c>
      <c r="J39" s="27"/>
      <c r="K39" s="577">
        <v>180.16586134755283</v>
      </c>
      <c r="L39" s="306">
        <f t="shared" si="14"/>
        <v>29.018710580932865</v>
      </c>
      <c r="M39" s="577">
        <v>151</v>
      </c>
      <c r="N39" s="306">
        <f t="shared" si="18"/>
        <v>24.321063185594348</v>
      </c>
      <c r="O39" s="577">
        <v>60.132216906180297</v>
      </c>
      <c r="P39" s="306">
        <f t="shared" si="19"/>
        <v>9.6852943500998379</v>
      </c>
      <c r="Q39" s="556"/>
      <c r="R39" s="556"/>
      <c r="T39" s="309">
        <f t="shared" si="15"/>
        <v>29.97473369000755</v>
      </c>
      <c r="U39" s="309">
        <f t="shared" si="16"/>
        <v>25.277086294669033</v>
      </c>
      <c r="V39" s="26"/>
      <c r="W39" s="33"/>
      <c r="X39" s="6"/>
      <c r="Y39" s="33"/>
      <c r="Z39" s="6"/>
      <c r="AA39" s="26"/>
      <c r="AB39" s="26"/>
      <c r="AC39" s="26"/>
      <c r="AD39" s="480">
        <f t="shared" si="17"/>
        <v>165.58293067377642</v>
      </c>
    </row>
    <row r="40" spans="1:33">
      <c r="A40" s="54" t="s">
        <v>298</v>
      </c>
      <c r="B40" s="72">
        <f>AVERAGE(B16,B29)</f>
        <v>1049.3487720000001</v>
      </c>
      <c r="C40" s="306">
        <f>AVERAGE(C16,C29)</f>
        <v>409.68885370176997</v>
      </c>
      <c r="D40" s="305">
        <f>AVERAGE(D16,D29)</f>
        <v>5.5550616987966972</v>
      </c>
      <c r="E40" s="309">
        <f>AVERAGE(E16,E29)</f>
        <v>415.24391540056661</v>
      </c>
      <c r="F40" s="309">
        <f>AVERAGE(F16,F29)</f>
        <v>399.75383664678657</v>
      </c>
      <c r="H40" s="103">
        <f>AVERAGE(H16,H29)</f>
        <v>246.93841455958659</v>
      </c>
      <c r="I40" s="135">
        <f t="shared" si="13"/>
        <v>274.69833810981027</v>
      </c>
      <c r="J40" s="27"/>
      <c r="K40" s="299">
        <f>AVERAGE(K16,K29)</f>
        <v>1491.4136595103732</v>
      </c>
      <c r="L40" s="306">
        <f t="shared" si="14"/>
        <v>368.28732453200269</v>
      </c>
      <c r="M40" s="299">
        <f>AVERAGE(M16,M29)</f>
        <v>1064.5950264000001</v>
      </c>
      <c r="N40" s="306">
        <f t="shared" si="18"/>
        <v>262.88940796723722</v>
      </c>
      <c r="O40" s="590">
        <f>AVERAGE(O16,O29)</f>
        <v>1433.0570212910245</v>
      </c>
      <c r="P40" s="306">
        <f t="shared" si="19"/>
        <v>353.87682881108935</v>
      </c>
      <c r="Q40" s="556"/>
      <c r="R40" s="556"/>
      <c r="T40" s="309">
        <f t="shared" si="15"/>
        <v>373.84238623079938</v>
      </c>
      <c r="U40" s="309">
        <f t="shared" si="16"/>
        <v>268.44446966603391</v>
      </c>
      <c r="V40" s="26"/>
      <c r="W40" s="33"/>
      <c r="X40" s="6"/>
      <c r="Y40" s="33"/>
      <c r="Z40" s="6"/>
      <c r="AA40" s="26"/>
      <c r="AB40" s="26"/>
      <c r="AC40" s="26"/>
      <c r="AD40" s="480">
        <f t="shared" si="17"/>
        <v>1278.0043429551865</v>
      </c>
    </row>
    <row r="41" spans="1:33">
      <c r="A41" s="328" t="s">
        <v>299</v>
      </c>
      <c r="B41" s="72">
        <v>17.287506015999998</v>
      </c>
      <c r="C41" s="308">
        <v>0.93411582028804552</v>
      </c>
      <c r="D41" s="320">
        <v>4.3246243746252508E-2</v>
      </c>
      <c r="E41" s="311">
        <f>C41+D41</f>
        <v>0.97736206403429804</v>
      </c>
      <c r="F41" s="311">
        <v>0.94771949122609789</v>
      </c>
      <c r="H41" s="103">
        <v>149.87609630133861</v>
      </c>
      <c r="I41" s="135">
        <f t="shared" si="13"/>
        <v>119.5010506662851</v>
      </c>
      <c r="K41" s="15">
        <v>7.8168000622574283</v>
      </c>
      <c r="L41" s="307">
        <f t="shared" si="14"/>
        <v>1.1715514788992039</v>
      </c>
      <c r="M41" s="36">
        <v>2.8213919999999999</v>
      </c>
      <c r="N41" s="308">
        <f t="shared" si="18"/>
        <v>0.4228592190958263</v>
      </c>
      <c r="O41" s="15">
        <v>1.8623691381642791</v>
      </c>
      <c r="P41" s="308">
        <f t="shared" si="19"/>
        <v>0.27912461630015045</v>
      </c>
      <c r="Q41" s="561"/>
      <c r="R41" s="561"/>
      <c r="T41" s="310">
        <f t="shared" si="15"/>
        <v>1.2147977226454563</v>
      </c>
      <c r="U41" s="310">
        <f t="shared" si="16"/>
        <v>0.46610546284207882</v>
      </c>
      <c r="V41" s="26"/>
      <c r="W41" s="33"/>
      <c r="X41" s="6"/>
      <c r="Y41" s="33"/>
      <c r="Z41" s="6"/>
      <c r="AA41" s="26"/>
      <c r="AB41" s="26"/>
      <c r="AC41" s="26"/>
      <c r="AD41" s="480">
        <f t="shared" si="17"/>
        <v>5.3190960311287139</v>
      </c>
    </row>
    <row r="42" spans="1:33">
      <c r="A42" s="328" t="s">
        <v>300</v>
      </c>
      <c r="B42" s="340">
        <v>828.16597600000011</v>
      </c>
      <c r="C42" s="306">
        <v>382.87391362728374</v>
      </c>
      <c r="D42" s="319">
        <v>5.8302988457892448</v>
      </c>
      <c r="E42" s="309">
        <f>C42+D42</f>
        <v>388.70421247307297</v>
      </c>
      <c r="F42" s="309">
        <v>364.87198012691647</v>
      </c>
      <c r="H42" s="103">
        <v>248.64603689263458</v>
      </c>
      <c r="I42" s="135">
        <f t="shared" si="13"/>
        <v>277.04216777681717</v>
      </c>
      <c r="K42" s="298">
        <v>1382.0059115900499</v>
      </c>
      <c r="L42" s="306">
        <f t="shared" si="14"/>
        <v>343.63029287905863</v>
      </c>
      <c r="M42" s="299">
        <v>733.9248</v>
      </c>
      <c r="N42" s="306">
        <f t="shared" si="18"/>
        <v>182.48749289721945</v>
      </c>
      <c r="O42" s="361">
        <v>1025.7828456422944</v>
      </c>
      <c r="P42" s="306">
        <f t="shared" si="19"/>
        <v>255.05683928140564</v>
      </c>
      <c r="Q42" s="556"/>
      <c r="R42" s="556"/>
      <c r="T42" s="309">
        <f t="shared" si="15"/>
        <v>349.46059172484786</v>
      </c>
      <c r="U42" s="309">
        <f t="shared" si="16"/>
        <v>188.31779174300871</v>
      </c>
      <c r="V42" s="26"/>
      <c r="W42" s="33"/>
      <c r="X42" s="6"/>
      <c r="Y42" s="33"/>
      <c r="Z42" s="6"/>
      <c r="AA42" s="26"/>
      <c r="AB42" s="26"/>
      <c r="AC42" s="26"/>
      <c r="AD42" s="480">
        <f t="shared" si="17"/>
        <v>1057.9653557950251</v>
      </c>
    </row>
    <row r="43" spans="1:33">
      <c r="A43" s="54" t="s">
        <v>253</v>
      </c>
      <c r="B43" s="415">
        <f>SUM(B33:B42)</f>
        <v>2968.7614264103099</v>
      </c>
      <c r="C43" s="415">
        <f>SUM(C33:C42)</f>
        <v>1094.3571803564596</v>
      </c>
      <c r="D43" s="433">
        <f>SUM(D33:D42)</f>
        <v>18.414896474217368</v>
      </c>
      <c r="E43" s="415">
        <f>SUM(E33:E42)</f>
        <v>1112.7720768306767</v>
      </c>
      <c r="F43" s="432">
        <f>SUM(F33:F42)</f>
        <v>974.08045783290902</v>
      </c>
      <c r="H43" s="135"/>
      <c r="I43" s="155">
        <f t="shared" si="13"/>
        <v>263.02273975338551</v>
      </c>
      <c r="J43" s="10" t="s">
        <v>26</v>
      </c>
      <c r="K43" s="415">
        <f t="shared" ref="K43:P43" si="20">SUM(K33:K42)</f>
        <v>4160.694171852012</v>
      </c>
      <c r="L43" s="415">
        <f t="shared" si="20"/>
        <v>992.12452402277472</v>
      </c>
      <c r="M43" s="415">
        <f t="shared" si="20"/>
        <v>2698.6507140785002</v>
      </c>
      <c r="N43" s="415">
        <f t="shared" si="20"/>
        <v>647.01862529182688</v>
      </c>
      <c r="O43" s="415">
        <f t="shared" si="20"/>
        <v>2990.5005957588628</v>
      </c>
      <c r="P43" s="415">
        <f t="shared" si="20"/>
        <v>726.98115853646891</v>
      </c>
      <c r="Q43" s="558"/>
      <c r="R43" s="558"/>
      <c r="S43" s="26"/>
      <c r="T43" s="415">
        <f>SUM(T33:T42)</f>
        <v>1010.5394204969922</v>
      </c>
      <c r="U43" s="415">
        <f>SUM(U33:U42)</f>
        <v>665.43352176604424</v>
      </c>
      <c r="V43" s="26"/>
      <c r="W43" s="33"/>
      <c r="X43" s="6"/>
      <c r="Y43" s="33"/>
      <c r="Z43" s="6"/>
      <c r="AA43" s="26"/>
      <c r="AB43" s="26"/>
      <c r="AC43" s="26"/>
      <c r="AD43" s="481">
        <f>SUM(AD33:AD42)</f>
        <v>3429.6724429652559</v>
      </c>
    </row>
    <row r="44" spans="1:33">
      <c r="A44" s="54" t="s">
        <v>253</v>
      </c>
      <c r="B44" s="2"/>
      <c r="C44" s="4"/>
      <c r="D44" s="498">
        <f>D43/F43</f>
        <v>1.8904902902154522E-2</v>
      </c>
      <c r="E44" s="4"/>
      <c r="F44" s="4"/>
      <c r="H44" s="427">
        <v>239</v>
      </c>
      <c r="I44" s="502">
        <f>1000*C43/M43</f>
        <v>405.52012702027145</v>
      </c>
      <c r="J44" s="87" t="s">
        <v>263</v>
      </c>
      <c r="K44" s="417">
        <f>SUM(K33:K42)</f>
        <v>4160.694171852012</v>
      </c>
      <c r="L44" s="417">
        <f>H44*K44/1000</f>
        <v>994.40590707263084</v>
      </c>
      <c r="M44" s="417">
        <f>SUM(M33:M42)</f>
        <v>2698.6507140785002</v>
      </c>
      <c r="N44" s="417">
        <f>$H44*M44/1000</f>
        <v>644.97752066476153</v>
      </c>
      <c r="O44" s="417">
        <f>SUM(O33:O42)</f>
        <v>2990.5005957588628</v>
      </c>
      <c r="P44" s="417">
        <f>$H44*O44/1000</f>
        <v>714.72964238636825</v>
      </c>
      <c r="Q44" s="562"/>
      <c r="R44" s="562"/>
      <c r="S44" s="26"/>
      <c r="T44" s="417">
        <f>D43+L44</f>
        <v>1012.8208035468482</v>
      </c>
      <c r="U44" s="417">
        <f>D43+N44</f>
        <v>663.39241713897889</v>
      </c>
      <c r="V44" s="26"/>
      <c r="W44" s="24" t="s">
        <v>214</v>
      </c>
      <c r="X44" s="456" t="s">
        <v>286</v>
      </c>
      <c r="Y44" s="24" t="s">
        <v>81</v>
      </c>
      <c r="Z44" s="456" t="s">
        <v>286</v>
      </c>
      <c r="AA44" s="26"/>
      <c r="AB44" s="26"/>
      <c r="AC44" s="26"/>
      <c r="AD44" s="441" t="s">
        <v>286</v>
      </c>
    </row>
    <row r="45" spans="1:33">
      <c r="A45" s="495" t="s">
        <v>338</v>
      </c>
      <c r="H45" s="428">
        <f>1000*(F43-D43)/K43</f>
        <v>229.68897061071542</v>
      </c>
      <c r="I45" s="501">
        <f>1000*(F43-D43)/M43</f>
        <v>354.12717784228693</v>
      </c>
      <c r="W45" s="130">
        <f>AVERAGE(C43,L43,L44,N43,N44)</f>
        <v>874.57675148169074</v>
      </c>
      <c r="X45" s="131">
        <f>W45/10</f>
        <v>87.457675148169074</v>
      </c>
      <c r="Y45" s="133">
        <f>AVERAGE(E43,F43,T43,T44,U43,U44)</f>
        <v>906.50644960207489</v>
      </c>
      <c r="Z45" s="134">
        <f>Y45/10</f>
        <v>90.650644960207487</v>
      </c>
      <c r="AB45" s="128">
        <f>K44/10</f>
        <v>416.06941718520119</v>
      </c>
      <c r="AC45" s="128">
        <f>M44/10</f>
        <v>269.86507140785</v>
      </c>
      <c r="AD45" s="128">
        <f>AVERAGE(AB45:AC45)</f>
        <v>342.96724429652556</v>
      </c>
      <c r="AE45" s="3" t="s">
        <v>83</v>
      </c>
      <c r="AG45" s="119"/>
    </row>
    <row r="46" spans="1:33">
      <c r="A46" s="2" t="s">
        <v>301</v>
      </c>
      <c r="B46" s="72">
        <v>86.403555712866023</v>
      </c>
      <c r="C46" s="307">
        <v>9.5733973134751196</v>
      </c>
      <c r="D46" s="305">
        <v>0.59224801788721182</v>
      </c>
      <c r="E46" s="310">
        <f t="shared" ref="E46:E55" si="21">C46+D46</f>
        <v>10.165645331362331</v>
      </c>
      <c r="F46" s="350">
        <v>8.2893040518845886</v>
      </c>
      <c r="H46" s="103">
        <v>318</v>
      </c>
      <c r="I46" s="135">
        <f>1000*C46/K46</f>
        <v>294.11431183352738</v>
      </c>
      <c r="K46" s="16">
        <v>32.549919974291456</v>
      </c>
      <c r="L46" s="307">
        <f>K46*H46/1000</f>
        <v>10.350874551824683</v>
      </c>
      <c r="M46" s="143">
        <v>36.182764800000001</v>
      </c>
      <c r="N46" s="306">
        <f>M46*H46/1000</f>
        <v>11.506119206400001</v>
      </c>
      <c r="O46" s="556"/>
      <c r="P46" s="556"/>
      <c r="Q46" s="556"/>
      <c r="R46" s="556"/>
      <c r="T46" s="309">
        <f t="shared" ref="T46:T55" si="22">D46+L46</f>
        <v>10.943122569711894</v>
      </c>
      <c r="U46" s="309">
        <f t="shared" ref="U46:U55" si="23">D46+N46</f>
        <v>12.098367224287212</v>
      </c>
      <c r="AD46" s="6"/>
    </row>
    <row r="47" spans="1:33">
      <c r="A47" s="2" t="s">
        <v>302</v>
      </c>
      <c r="B47" s="72">
        <v>360</v>
      </c>
      <c r="C47" s="306">
        <v>55.554351494473977</v>
      </c>
      <c r="D47" s="305">
        <v>2.5523380713182715</v>
      </c>
      <c r="E47" s="310">
        <f t="shared" si="21"/>
        <v>58.106689565792252</v>
      </c>
      <c r="F47" s="349">
        <v>54.703984873554852</v>
      </c>
      <c r="H47" s="103">
        <v>221.0360679575366</v>
      </c>
      <c r="I47" s="135">
        <f>1000*C47/K47</f>
        <v>521.76691767365503</v>
      </c>
      <c r="K47" s="299">
        <v>106.47350303880529</v>
      </c>
      <c r="L47" s="306">
        <f t="shared" ref="L47:L55" si="24">K47*H47/1000</f>
        <v>23.534484453362346</v>
      </c>
      <c r="M47" s="299">
        <v>67.6716768</v>
      </c>
      <c r="N47" s="306">
        <f>M47*H47/1000</f>
        <v>14.957881351965254</v>
      </c>
      <c r="O47" s="556"/>
      <c r="P47" s="556"/>
      <c r="Q47" s="556"/>
      <c r="R47" s="556"/>
      <c r="T47" s="309">
        <f t="shared" si="22"/>
        <v>26.086822524680617</v>
      </c>
      <c r="U47" s="309">
        <f t="shared" si="23"/>
        <v>17.510219423283527</v>
      </c>
    </row>
    <row r="48" spans="1:33">
      <c r="A48" s="2" t="s">
        <v>303</v>
      </c>
      <c r="B48" s="72">
        <v>0</v>
      </c>
      <c r="C48" s="306">
        <v>0</v>
      </c>
      <c r="D48" s="345">
        <v>0</v>
      </c>
      <c r="E48" s="309">
        <f t="shared" si="21"/>
        <v>0</v>
      </c>
      <c r="F48" s="349">
        <v>0</v>
      </c>
      <c r="H48" s="103" t="s">
        <v>19</v>
      </c>
      <c r="I48" s="135" t="s">
        <v>32</v>
      </c>
      <c r="K48" s="16">
        <v>0</v>
      </c>
      <c r="L48" s="306" t="s">
        <v>19</v>
      </c>
      <c r="M48" s="144">
        <v>0</v>
      </c>
      <c r="N48" s="306" t="s">
        <v>19</v>
      </c>
      <c r="O48" s="556"/>
      <c r="P48" s="556"/>
      <c r="Q48" s="556"/>
      <c r="R48" s="556"/>
      <c r="T48" s="309">
        <v>0</v>
      </c>
      <c r="U48" s="309">
        <v>0</v>
      </c>
    </row>
    <row r="49" spans="1:33">
      <c r="A49" s="2" t="s">
        <v>339</v>
      </c>
      <c r="B49" s="72">
        <v>63.341694194967005</v>
      </c>
      <c r="C49" s="307">
        <v>4.8712188117247059</v>
      </c>
      <c r="D49" s="305">
        <v>0.46102190171072199</v>
      </c>
      <c r="E49" s="310">
        <f t="shared" si="21"/>
        <v>5.3322407134354277</v>
      </c>
      <c r="F49" s="310">
        <v>4.8836627252136919</v>
      </c>
      <c r="H49" s="103">
        <v>245.96658724686762</v>
      </c>
      <c r="I49" s="135">
        <f t="shared" ref="I49:I55" si="25">1000*C49/K49</f>
        <v>267.90515397805342</v>
      </c>
      <c r="K49" s="16">
        <v>18.182624482557557</v>
      </c>
      <c r="L49" s="307">
        <f t="shared" si="24"/>
        <v>4.4723180911660245</v>
      </c>
      <c r="M49" s="144">
        <v>33.765076800000003</v>
      </c>
      <c r="N49" s="307">
        <f>M49*H49/1000</f>
        <v>8.3050807086243861</v>
      </c>
      <c r="O49" s="560"/>
      <c r="P49" s="560"/>
      <c r="Q49" s="560"/>
      <c r="R49" s="560"/>
      <c r="T49" s="310">
        <f t="shared" si="22"/>
        <v>4.9333399928767463</v>
      </c>
      <c r="U49" s="310">
        <f t="shared" si="23"/>
        <v>8.7661026103351087</v>
      </c>
    </row>
    <row r="50" spans="1:33">
      <c r="A50" s="2" t="s">
        <v>340</v>
      </c>
      <c r="B50" s="72">
        <v>0</v>
      </c>
      <c r="C50" s="306">
        <v>0</v>
      </c>
      <c r="D50" s="345">
        <v>0</v>
      </c>
      <c r="E50" s="309">
        <f t="shared" si="21"/>
        <v>0</v>
      </c>
      <c r="F50" s="309">
        <v>0</v>
      </c>
      <c r="H50" s="104" t="s">
        <v>19</v>
      </c>
      <c r="I50" s="135" t="s">
        <v>32</v>
      </c>
      <c r="K50" s="16">
        <v>0</v>
      </c>
      <c r="L50" s="306">
        <v>0</v>
      </c>
      <c r="M50" s="143">
        <v>0</v>
      </c>
      <c r="N50" s="405">
        <v>0</v>
      </c>
      <c r="O50" s="563"/>
      <c r="P50" s="563"/>
      <c r="Q50" s="563"/>
      <c r="R50" s="563"/>
      <c r="T50" s="309">
        <f t="shared" si="22"/>
        <v>0</v>
      </c>
      <c r="U50" s="309">
        <f t="shared" si="23"/>
        <v>0</v>
      </c>
    </row>
    <row r="51" spans="1:33">
      <c r="A51" s="2" t="s">
        <v>341</v>
      </c>
      <c r="B51" s="72">
        <v>66.400000000000006</v>
      </c>
      <c r="C51" s="307">
        <v>4.7431690760537162</v>
      </c>
      <c r="D51" s="305">
        <v>0.49245700491657307</v>
      </c>
      <c r="E51" s="310">
        <f t="shared" si="21"/>
        <v>5.235626080970289</v>
      </c>
      <c r="F51" s="310">
        <v>4.6526144430480807</v>
      </c>
      <c r="H51" s="103">
        <v>379.12813002803733</v>
      </c>
      <c r="I51" s="135">
        <f t="shared" si="25"/>
        <v>271.24881328006131</v>
      </c>
      <c r="K51" s="16">
        <v>17.486414110709667</v>
      </c>
      <c r="L51" s="307">
        <f t="shared" si="24"/>
        <v>6.629591482689241</v>
      </c>
      <c r="M51" s="143">
        <v>23.184403200000002</v>
      </c>
      <c r="N51" s="307">
        <f>M51*H51/1000</f>
        <v>8.7898594310320455</v>
      </c>
      <c r="O51" s="560"/>
      <c r="P51" s="560"/>
      <c r="Q51" s="560"/>
      <c r="R51" s="560"/>
      <c r="T51" s="310">
        <f t="shared" si="22"/>
        <v>7.1220484876058139</v>
      </c>
      <c r="U51" s="310">
        <f t="shared" si="23"/>
        <v>9.2823164359486192</v>
      </c>
    </row>
    <row r="52" spans="1:33">
      <c r="A52" s="2" t="s">
        <v>342</v>
      </c>
      <c r="B52" s="72">
        <v>61.2</v>
      </c>
      <c r="C52" s="307">
        <v>4.9813587904285361</v>
      </c>
      <c r="D52" s="305">
        <v>0.44860741729622644</v>
      </c>
      <c r="E52" s="310">
        <f t="shared" si="21"/>
        <v>5.4299662077247621</v>
      </c>
      <c r="F52" s="310">
        <v>4.8984425835709482</v>
      </c>
      <c r="H52" s="103">
        <v>208.63034671370917</v>
      </c>
      <c r="I52" s="135">
        <f t="shared" si="25"/>
        <v>267.72935660809674</v>
      </c>
      <c r="K52" s="16">
        <v>18.6059491328785</v>
      </c>
      <c r="L52" s="307">
        <f t="shared" si="24"/>
        <v>3.881765618530078</v>
      </c>
      <c r="M52" s="145">
        <v>13.529073600000002</v>
      </c>
      <c r="N52" s="307">
        <f>M52*H52/1000</f>
        <v>2.8225753158832898</v>
      </c>
      <c r="O52" s="560"/>
      <c r="P52" s="560"/>
      <c r="Q52" s="560"/>
      <c r="R52" s="560"/>
      <c r="T52" s="310">
        <f t="shared" si="22"/>
        <v>4.3303730358263044</v>
      </c>
      <c r="U52" s="310">
        <f t="shared" si="23"/>
        <v>3.2711827331795162</v>
      </c>
    </row>
    <row r="53" spans="1:33">
      <c r="A53" s="2" t="s">
        <v>343</v>
      </c>
      <c r="B53" s="72">
        <v>1026.16425</v>
      </c>
      <c r="C53" s="344">
        <v>151.62312340865566</v>
      </c>
      <c r="D53" s="305">
        <v>7.2320952517735</v>
      </c>
      <c r="E53" s="309">
        <f t="shared" si="21"/>
        <v>158.85521866042916</v>
      </c>
      <c r="F53" s="309">
        <v>159.18053049911148</v>
      </c>
      <c r="H53" s="103">
        <v>265.47266816270223</v>
      </c>
      <c r="I53" s="135">
        <f t="shared" si="25"/>
        <v>255.30716246376608</v>
      </c>
      <c r="K53" s="299">
        <v>593.88511448508405</v>
      </c>
      <c r="L53" s="306">
        <f t="shared" si="24"/>
        <v>157.66026592446715</v>
      </c>
      <c r="M53" s="406">
        <v>277.60320000000002</v>
      </c>
      <c r="N53" s="306">
        <f>M53*H53/1000</f>
        <v>73.696062194504265</v>
      </c>
      <c r="O53" s="556"/>
      <c r="P53" s="556"/>
      <c r="Q53" s="556"/>
      <c r="R53" s="556"/>
      <c r="T53" s="309">
        <f t="shared" si="22"/>
        <v>164.89236117624066</v>
      </c>
      <c r="U53" s="309">
        <f t="shared" si="23"/>
        <v>80.928157446277766</v>
      </c>
    </row>
    <row r="54" spans="1:33">
      <c r="A54" s="2" t="s">
        <v>344</v>
      </c>
      <c r="B54" s="72">
        <v>0</v>
      </c>
      <c r="C54" s="306">
        <v>0</v>
      </c>
      <c r="D54" s="345">
        <v>0</v>
      </c>
      <c r="E54" s="310">
        <f t="shared" si="21"/>
        <v>0</v>
      </c>
      <c r="F54" s="309">
        <v>0</v>
      </c>
      <c r="H54" s="103">
        <v>319.22392320641728</v>
      </c>
      <c r="I54" s="135" t="s">
        <v>32</v>
      </c>
      <c r="K54" s="16">
        <v>0</v>
      </c>
      <c r="L54" s="306">
        <v>0</v>
      </c>
      <c r="M54" s="143">
        <v>0</v>
      </c>
      <c r="N54" s="405">
        <v>0</v>
      </c>
      <c r="O54" s="563"/>
      <c r="P54" s="563"/>
      <c r="Q54" s="563"/>
      <c r="R54" s="563"/>
      <c r="T54" s="309">
        <f t="shared" si="22"/>
        <v>0</v>
      </c>
      <c r="U54" s="309">
        <f t="shared" si="23"/>
        <v>0</v>
      </c>
    </row>
    <row r="55" spans="1:33">
      <c r="A55" s="2" t="s">
        <v>345</v>
      </c>
      <c r="B55" s="72">
        <v>658.12894400000005</v>
      </c>
      <c r="C55" s="344">
        <v>88.852778509704692</v>
      </c>
      <c r="D55" s="304">
        <v>4.7241651028069889</v>
      </c>
      <c r="E55" s="309">
        <f t="shared" si="21"/>
        <v>93.576943612511684</v>
      </c>
      <c r="F55" s="309">
        <v>92.879815839271131</v>
      </c>
      <c r="H55" s="103">
        <v>246</v>
      </c>
      <c r="I55" s="135">
        <f t="shared" si="25"/>
        <v>256.83281935647159</v>
      </c>
      <c r="K55" s="299">
        <v>345.95570274989393</v>
      </c>
      <c r="L55" s="306">
        <f t="shared" si="24"/>
        <v>85.105102876473907</v>
      </c>
      <c r="M55" s="368">
        <v>188.69759999999999</v>
      </c>
      <c r="N55" s="306">
        <f>M55*H55/1000</f>
        <v>46.419609599999994</v>
      </c>
      <c r="O55" s="556"/>
      <c r="P55" s="556"/>
      <c r="Q55" s="556"/>
      <c r="R55" s="556"/>
      <c r="T55" s="309">
        <f t="shared" si="22"/>
        <v>89.8292679792809</v>
      </c>
      <c r="U55" s="309">
        <f t="shared" si="23"/>
        <v>51.143774702806979</v>
      </c>
    </row>
    <row r="56" spans="1:33">
      <c r="A56" s="2" t="s">
        <v>253</v>
      </c>
      <c r="B56" s="415">
        <f>SUM(B46:B55)</f>
        <v>2321.6384439078329</v>
      </c>
      <c r="C56" s="415">
        <f>SUM(C46:C55)</f>
        <v>320.19939740451639</v>
      </c>
      <c r="D56" s="433">
        <f>SUM(D46:D55)</f>
        <v>16.502932767709492</v>
      </c>
      <c r="E56" s="415">
        <f>SUM(E46:E55)</f>
        <v>336.70233017222591</v>
      </c>
      <c r="F56" s="432">
        <f>SUM(F46:F55)</f>
        <v>329.4883550156548</v>
      </c>
      <c r="H56" s="135"/>
      <c r="I56" s="155">
        <f>1000*C56/K56</f>
        <v>282.57727691323129</v>
      </c>
      <c r="J56" s="10" t="s">
        <v>26</v>
      </c>
      <c r="K56" s="415">
        <f>SUM(K46:K55)</f>
        <v>1133.1392279742204</v>
      </c>
      <c r="L56" s="415">
        <f>SUM(L46:L55)</f>
        <v>291.63440299851345</v>
      </c>
      <c r="M56" s="415">
        <f>SUM(M46:M55)</f>
        <v>640.63379520000001</v>
      </c>
      <c r="N56" s="415">
        <f>SUM(N46:N55)</f>
        <v>166.49718780840925</v>
      </c>
      <c r="O56" s="558"/>
      <c r="P56" s="558"/>
      <c r="Q56" s="558"/>
      <c r="R56" s="558"/>
      <c r="T56" s="415">
        <f>SUM(T46:T55)</f>
        <v>308.13733576622292</v>
      </c>
      <c r="U56" s="415">
        <f>SUM(U46:U55)</f>
        <v>183.00012057611872</v>
      </c>
      <c r="AG56" s="120">
        <f>D56/E56</f>
        <v>4.9013420130677776E-2</v>
      </c>
    </row>
    <row r="57" spans="1:33">
      <c r="A57" s="2" t="s">
        <v>253</v>
      </c>
      <c r="B57" s="37"/>
      <c r="C57" s="31"/>
      <c r="D57" s="498">
        <f>D56/F56</f>
        <v>5.0086543322374465E-2</v>
      </c>
      <c r="E57" s="31"/>
      <c r="F57" s="31"/>
      <c r="H57" s="427">
        <v>244</v>
      </c>
      <c r="I57" s="500">
        <f>1000*C56/M56</f>
        <v>499.81658757879467</v>
      </c>
      <c r="J57" s="87" t="s">
        <v>263</v>
      </c>
      <c r="K57" s="417">
        <f>SUM(K46:K55)</f>
        <v>1133.1392279742204</v>
      </c>
      <c r="L57" s="417">
        <f>K57*H57/1000</f>
        <v>276.48597162570979</v>
      </c>
      <c r="M57" s="417">
        <f>SUM(M46:M55)</f>
        <v>640.63379520000001</v>
      </c>
      <c r="N57" s="417">
        <f>M57*H57/1000</f>
        <v>156.31464602879998</v>
      </c>
      <c r="O57" s="562"/>
      <c r="P57" s="562"/>
      <c r="Q57" s="562"/>
      <c r="R57" s="562"/>
      <c r="T57" s="417">
        <f>D56+L57</f>
        <v>292.98890439341926</v>
      </c>
      <c r="U57" s="417">
        <f>D56+N57</f>
        <v>172.81757879650948</v>
      </c>
    </row>
    <row r="58" spans="1:33" ht="16">
      <c r="A58" s="12" t="s">
        <v>12</v>
      </c>
      <c r="B58" s="37"/>
      <c r="D58" s="35"/>
      <c r="H58" s="428">
        <f>1000*(F56-D56)/K56</f>
        <v>276.21091435294124</v>
      </c>
      <c r="I58" s="501">
        <f>1000*(F56-D56)/M56</f>
        <v>488.55590290898431</v>
      </c>
      <c r="K58" s="9"/>
    </row>
    <row r="59" spans="1:33">
      <c r="A59" s="2" t="s">
        <v>1</v>
      </c>
      <c r="B59" s="72">
        <v>85.576335327999999</v>
      </c>
      <c r="C59" s="307">
        <v>3.7887572647797381</v>
      </c>
      <c r="D59" s="305">
        <v>0.34472395462118954</v>
      </c>
      <c r="E59" s="310">
        <f>C59+D59</f>
        <v>4.1334812194009274</v>
      </c>
      <c r="F59" s="310">
        <v>4.2570113041085209</v>
      </c>
      <c r="H59" s="103">
        <v>341.27241396473482</v>
      </c>
      <c r="I59" s="135">
        <f>1000*C59/K59</f>
        <v>250.55138945574069</v>
      </c>
      <c r="K59" s="16">
        <v>15.121677325397602</v>
      </c>
      <c r="L59" s="307">
        <f>K59*H59/1000</f>
        <v>5.1606113240342344</v>
      </c>
      <c r="M59" s="36">
        <v>6.0563653909999999</v>
      </c>
      <c r="N59" s="307">
        <f>M59*H59/1000</f>
        <v>2.0668704368390451</v>
      </c>
      <c r="O59" s="560"/>
      <c r="P59" s="560"/>
      <c r="Q59" s="560"/>
      <c r="R59" s="560"/>
      <c r="T59" s="310">
        <f t="shared" ref="T59:T68" si="26">D59+L59</f>
        <v>5.5053352786554237</v>
      </c>
      <c r="U59" s="310">
        <f t="shared" ref="U59:U68" si="27">D59+N59</f>
        <v>2.4115943914602349</v>
      </c>
    </row>
    <row r="60" spans="1:33">
      <c r="A60" s="2" t="s">
        <v>2</v>
      </c>
      <c r="B60" s="72">
        <v>95.922905232000005</v>
      </c>
      <c r="C60" s="307">
        <v>8.8202341452201338</v>
      </c>
      <c r="D60" s="305">
        <v>0.45950486381238237</v>
      </c>
      <c r="E60" s="310">
        <f t="shared" ref="E60:E68" si="28">C60+D60</f>
        <v>9.2797390090325163</v>
      </c>
      <c r="F60" s="310">
        <v>8.9555947144744312</v>
      </c>
      <c r="H60" s="103">
        <v>251.87810956867779</v>
      </c>
      <c r="I60" s="135">
        <f t="shared" ref="I60:I68" si="29">1000*C60/K60</f>
        <v>249.06462059508135</v>
      </c>
      <c r="K60" s="16">
        <v>35.413436577809641</v>
      </c>
      <c r="L60" s="307">
        <f t="shared" ref="L60:L68" si="30">K60*H60/1000</f>
        <v>8.9198694585489591</v>
      </c>
      <c r="M60" s="143">
        <v>20.282836640500001</v>
      </c>
      <c r="N60" s="307">
        <f t="shared" ref="N60:N68" si="31">M60*H60/1000</f>
        <v>5.1088025496994511</v>
      </c>
      <c r="O60" s="560"/>
      <c r="P60" s="560"/>
      <c r="Q60" s="560"/>
      <c r="R60" s="560"/>
      <c r="T60" s="310">
        <f t="shared" si="26"/>
        <v>9.3793743223613415</v>
      </c>
      <c r="U60" s="310">
        <f t="shared" si="27"/>
        <v>5.5683074135118336</v>
      </c>
    </row>
    <row r="61" spans="1:33">
      <c r="A61" s="2" t="s">
        <v>3</v>
      </c>
      <c r="B61" s="72">
        <v>22.119493616</v>
      </c>
      <c r="C61" s="308">
        <v>0.62212504082702591</v>
      </c>
      <c r="D61" s="314">
        <v>7.0466802784000471E-2</v>
      </c>
      <c r="E61" s="311">
        <f t="shared" si="28"/>
        <v>0.69259184361102633</v>
      </c>
      <c r="F61" s="311">
        <v>0.74576417015135588</v>
      </c>
      <c r="H61" s="103">
        <v>340.52128292342712</v>
      </c>
      <c r="I61" s="135">
        <f t="shared" si="29"/>
        <v>301.95057046735445</v>
      </c>
      <c r="K61" s="15">
        <v>2.0603539177425971</v>
      </c>
      <c r="L61" s="308">
        <f t="shared" si="30"/>
        <v>0.70159435934601844</v>
      </c>
      <c r="M61" s="36">
        <v>1.3417262452499998</v>
      </c>
      <c r="N61" s="307">
        <f t="shared" si="31"/>
        <v>0.45688634236456277</v>
      </c>
      <c r="O61" s="560"/>
      <c r="P61" s="560"/>
      <c r="Q61" s="560"/>
      <c r="R61" s="560"/>
      <c r="T61" s="310">
        <f t="shared" si="26"/>
        <v>0.77206116213001885</v>
      </c>
      <c r="U61" s="310">
        <f t="shared" si="27"/>
        <v>0.52735314514856324</v>
      </c>
    </row>
    <row r="62" spans="1:33">
      <c r="A62" s="2" t="s">
        <v>4</v>
      </c>
      <c r="B62" s="72">
        <v>39.228399584000002</v>
      </c>
      <c r="C62" s="307">
        <v>1.553067468787565</v>
      </c>
      <c r="D62" s="305">
        <v>0.28859493234093986</v>
      </c>
      <c r="E62" s="310">
        <f t="shared" si="28"/>
        <v>1.8416624011285048</v>
      </c>
      <c r="F62" s="310">
        <v>1.7675051031483393</v>
      </c>
      <c r="H62" s="103">
        <v>303.09479978388185</v>
      </c>
      <c r="I62" s="135">
        <f t="shared" si="29"/>
        <v>260.81914509111431</v>
      </c>
      <c r="K62" s="15">
        <v>5.9545761805369688</v>
      </c>
      <c r="L62" s="307">
        <f t="shared" si="30"/>
        <v>1.8048010752377246</v>
      </c>
      <c r="M62" s="36">
        <v>9.1</v>
      </c>
      <c r="N62" s="307">
        <f t="shared" si="31"/>
        <v>2.758162678033325</v>
      </c>
      <c r="O62" s="560"/>
      <c r="P62" s="560"/>
      <c r="Q62" s="560"/>
      <c r="R62" s="560"/>
      <c r="T62" s="310">
        <f t="shared" si="26"/>
        <v>2.0933960075786646</v>
      </c>
      <c r="U62" s="310">
        <f t="shared" si="27"/>
        <v>3.0467576103742648</v>
      </c>
    </row>
    <row r="63" spans="1:33">
      <c r="A63" s="2" t="s">
        <v>5</v>
      </c>
      <c r="B63" s="85">
        <v>0.64834263999999997</v>
      </c>
      <c r="C63" s="308">
        <v>1.0227279990397218E-2</v>
      </c>
      <c r="D63" s="314">
        <v>1.7960466361828038E-3</v>
      </c>
      <c r="E63" s="311">
        <f t="shared" si="28"/>
        <v>1.2023326626580021E-2</v>
      </c>
      <c r="F63" s="311">
        <v>1.2628641202258312E-2</v>
      </c>
      <c r="H63" s="104" t="s">
        <v>19</v>
      </c>
      <c r="I63" s="135" t="s">
        <v>19</v>
      </c>
      <c r="K63" s="30">
        <v>8.4573557820647634E-3</v>
      </c>
      <c r="L63" s="306">
        <v>0</v>
      </c>
      <c r="M63" s="39">
        <v>1.0999999999999999E-2</v>
      </c>
      <c r="N63" s="306">
        <v>0</v>
      </c>
      <c r="O63" s="556"/>
      <c r="P63" s="556"/>
      <c r="Q63" s="556"/>
      <c r="R63" s="556"/>
      <c r="T63" s="310" t="s">
        <v>19</v>
      </c>
      <c r="U63" s="310" t="s">
        <v>19</v>
      </c>
    </row>
    <row r="64" spans="1:33">
      <c r="A64" s="2" t="s">
        <v>88</v>
      </c>
      <c r="B64" s="72">
        <v>17.353563567999998</v>
      </c>
      <c r="C64" s="308">
        <v>0.71826287349793549</v>
      </c>
      <c r="D64" s="305">
        <v>0.11207212625992154</v>
      </c>
      <c r="E64" s="311">
        <f t="shared" si="28"/>
        <v>0.83033499975785707</v>
      </c>
      <c r="F64" s="311">
        <v>0.81435593361774128</v>
      </c>
      <c r="H64" s="103">
        <v>302.47945414546439</v>
      </c>
      <c r="I64" s="135">
        <f t="shared" si="29"/>
        <v>253.66321119880089</v>
      </c>
      <c r="K64" s="15">
        <v>2.8315610691178179</v>
      </c>
      <c r="L64" s="307">
        <f t="shared" si="30"/>
        <v>0.85648904656630509</v>
      </c>
      <c r="M64" s="36">
        <v>3.8</v>
      </c>
      <c r="N64" s="307">
        <f t="shared" si="31"/>
        <v>1.1494219257527645</v>
      </c>
      <c r="O64" s="560"/>
      <c r="P64" s="560"/>
      <c r="Q64" s="560"/>
      <c r="R64" s="560"/>
      <c r="T64" s="310">
        <f t="shared" si="26"/>
        <v>0.96856117282622667</v>
      </c>
      <c r="U64" s="310">
        <f t="shared" si="27"/>
        <v>1.2614940520126861</v>
      </c>
    </row>
    <row r="65" spans="1:33">
      <c r="A65" s="2" t="s">
        <v>95</v>
      </c>
      <c r="B65" s="72">
        <v>52.050904399999993</v>
      </c>
      <c r="C65" s="307">
        <v>3.0360301602643762</v>
      </c>
      <c r="D65" s="305">
        <v>0.22564843356714087</v>
      </c>
      <c r="E65" s="310">
        <f t="shared" si="28"/>
        <v>3.2616785938315171</v>
      </c>
      <c r="F65" s="310">
        <v>3.2976796468868468</v>
      </c>
      <c r="H65" s="103">
        <v>206.33957929603184</v>
      </c>
      <c r="I65" s="135">
        <f t="shared" si="29"/>
        <v>238.27089039922458</v>
      </c>
      <c r="K65" s="16">
        <v>12.741926448411244</v>
      </c>
      <c r="L65" s="307">
        <f t="shared" si="30"/>
        <v>2.6291637427861576</v>
      </c>
      <c r="M65" s="36">
        <v>8.9</v>
      </c>
      <c r="N65" s="307">
        <f t="shared" si="31"/>
        <v>1.8364222557346834</v>
      </c>
      <c r="O65" s="560"/>
      <c r="P65" s="560"/>
      <c r="Q65" s="560"/>
      <c r="R65" s="560"/>
      <c r="T65" s="310">
        <f t="shared" si="26"/>
        <v>2.8548121763532985</v>
      </c>
      <c r="U65" s="310">
        <f t="shared" si="27"/>
        <v>2.0620706893018244</v>
      </c>
    </row>
    <row r="66" spans="1:33">
      <c r="A66" s="2" t="s">
        <v>125</v>
      </c>
      <c r="B66" s="72">
        <v>31.805487999999997</v>
      </c>
      <c r="C66" s="307">
        <v>2.0043292949044336</v>
      </c>
      <c r="D66" s="305">
        <v>0.11246590462871028</v>
      </c>
      <c r="E66" s="310">
        <f t="shared" si="28"/>
        <v>2.116795199533144</v>
      </c>
      <c r="F66" s="310">
        <v>2.1560883733934735</v>
      </c>
      <c r="H66" s="103">
        <v>277.73418561754659</v>
      </c>
      <c r="I66" s="135">
        <f t="shared" si="29"/>
        <v>237.10088450660632</v>
      </c>
      <c r="K66" s="15">
        <v>8.4534872110465997</v>
      </c>
      <c r="L66" s="307">
        <f t="shared" si="30"/>
        <v>2.3478223861883727</v>
      </c>
      <c r="M66" s="36">
        <v>1.3</v>
      </c>
      <c r="N66" s="307">
        <f t="shared" si="31"/>
        <v>0.36105444130281056</v>
      </c>
      <c r="O66" s="560"/>
      <c r="P66" s="560"/>
      <c r="Q66" s="560"/>
      <c r="R66" s="560"/>
      <c r="T66" s="310">
        <f t="shared" si="26"/>
        <v>2.4602882908170831</v>
      </c>
      <c r="U66" s="310">
        <f t="shared" si="27"/>
        <v>0.47352034593152081</v>
      </c>
    </row>
    <row r="67" spans="1:33">
      <c r="A67" s="62" t="s">
        <v>128</v>
      </c>
      <c r="B67" s="93">
        <v>7.9269062400000001</v>
      </c>
      <c r="C67" s="308">
        <v>0.20967853121621055</v>
      </c>
      <c r="D67" s="314">
        <v>3.0549289525538519E-2</v>
      </c>
      <c r="E67" s="311">
        <f t="shared" si="28"/>
        <v>0.24022782074174906</v>
      </c>
      <c r="F67" s="311">
        <v>0.25382816986131712</v>
      </c>
      <c r="H67" s="103">
        <v>319.22392320641728</v>
      </c>
      <c r="I67" s="135">
        <f t="shared" si="29"/>
        <v>342.48140111584542</v>
      </c>
      <c r="K67" s="34">
        <v>0.61223333743979325</v>
      </c>
      <c r="L67" s="308">
        <f t="shared" si="30"/>
        <v>0.19543952789528912</v>
      </c>
      <c r="M67" s="36">
        <v>0.5</v>
      </c>
      <c r="N67" s="307">
        <f t="shared" si="31"/>
        <v>0.15961196160320865</v>
      </c>
      <c r="O67" s="560"/>
      <c r="P67" s="560"/>
      <c r="Q67" s="560"/>
      <c r="R67" s="560"/>
      <c r="T67" s="310">
        <f t="shared" si="26"/>
        <v>0.22598881742082763</v>
      </c>
      <c r="U67" s="310">
        <f t="shared" si="27"/>
        <v>0.19016125112874716</v>
      </c>
    </row>
    <row r="68" spans="1:33">
      <c r="A68" s="62" t="s">
        <v>247</v>
      </c>
      <c r="B68" s="72">
        <v>145.32661440000001</v>
      </c>
      <c r="C68" s="306">
        <v>18.562718009067634</v>
      </c>
      <c r="D68" s="305">
        <v>0.71883835534622909</v>
      </c>
      <c r="E68" s="309">
        <f t="shared" si="28"/>
        <v>19.281556364413863</v>
      </c>
      <c r="F68" s="309">
        <v>18.328521701684526</v>
      </c>
      <c r="H68" s="103">
        <v>271.55664071646174</v>
      </c>
      <c r="I68" s="135">
        <f t="shared" si="29"/>
        <v>248.32598000108138</v>
      </c>
      <c r="K68" s="299">
        <v>74.751413480727223</v>
      </c>
      <c r="L68" s="306">
        <f t="shared" si="30"/>
        <v>20.299242733633516</v>
      </c>
      <c r="M68" s="299">
        <v>26.49024</v>
      </c>
      <c r="N68" s="307">
        <f t="shared" si="31"/>
        <v>7.1936005861728436</v>
      </c>
      <c r="O68" s="560"/>
      <c r="P68" s="560"/>
      <c r="Q68" s="560"/>
      <c r="R68" s="560"/>
      <c r="T68" s="309">
        <f t="shared" si="26"/>
        <v>21.018081088979745</v>
      </c>
      <c r="U68" s="310">
        <f t="shared" si="27"/>
        <v>7.9124389415190723</v>
      </c>
    </row>
    <row r="69" spans="1:33">
      <c r="A69" s="2" t="s">
        <v>253</v>
      </c>
      <c r="B69" s="415">
        <f>SUM(B59:B68)</f>
        <v>497.95895300800009</v>
      </c>
      <c r="C69" s="415">
        <f>SUM(C59:C68)</f>
        <v>39.325430068555448</v>
      </c>
      <c r="D69" s="433">
        <f>SUM(D59:D68)</f>
        <v>2.3646607095222354</v>
      </c>
      <c r="E69" s="415">
        <f>SUM(E59:E68)</f>
        <v>41.690090778077682</v>
      </c>
      <c r="F69" s="432">
        <f>SUM(F59:F68)</f>
        <v>40.588977758528813</v>
      </c>
      <c r="H69" s="135"/>
      <c r="I69" s="155">
        <f>1000*C69/K69</f>
        <v>248.9752987894349</v>
      </c>
      <c r="J69" s="10" t="s">
        <v>26</v>
      </c>
      <c r="K69" s="415">
        <f>SUM(K59:K68)</f>
        <v>157.94912290401155</v>
      </c>
      <c r="L69" s="415">
        <f>SUM(L59:L68)</f>
        <v>42.915033654236581</v>
      </c>
      <c r="M69" s="415">
        <f>SUM(M59:M68)</f>
        <v>77.782168276749999</v>
      </c>
      <c r="N69" s="415">
        <f>SUM(N59:N67)</f>
        <v>13.897232591329852</v>
      </c>
      <c r="O69" s="558"/>
      <c r="P69" s="558"/>
      <c r="Q69" s="558"/>
      <c r="R69" s="558"/>
      <c r="T69" s="415">
        <f>SUM(T59:T68)</f>
        <v>45.277898317122634</v>
      </c>
      <c r="U69" s="415">
        <f>SUM(U59:U68)</f>
        <v>23.453697840388749</v>
      </c>
      <c r="AG69" s="120">
        <f>D69/E69</f>
        <v>5.6719970270865151E-2</v>
      </c>
    </row>
    <row r="70" spans="1:33">
      <c r="A70" s="2" t="s">
        <v>253</v>
      </c>
      <c r="B70" s="37"/>
      <c r="C70" s="31"/>
      <c r="D70" s="498">
        <f>D69/F69</f>
        <v>5.8258690908404506E-2</v>
      </c>
      <c r="E70" s="31"/>
      <c r="F70" s="31"/>
      <c r="H70" s="150">
        <v>283</v>
      </c>
      <c r="I70" s="500">
        <f>1000*C69/M69</f>
        <v>505.5841324535341</v>
      </c>
      <c r="J70" s="87" t="s">
        <v>263</v>
      </c>
      <c r="K70" s="417">
        <f>SUM(K59:K68)</f>
        <v>157.94912290401155</v>
      </c>
      <c r="L70" s="417">
        <f>K70*H70/1000</f>
        <v>44.69960178183527</v>
      </c>
      <c r="M70" s="417">
        <f>SUM(M59:M68)</f>
        <v>77.782168276749999</v>
      </c>
      <c r="N70" s="417">
        <f>M70*H70/1000</f>
        <v>22.012353622320251</v>
      </c>
      <c r="O70" s="562"/>
      <c r="P70" s="562"/>
      <c r="Q70" s="562"/>
      <c r="R70" s="562"/>
      <c r="T70" s="417">
        <f>D69+L70</f>
        <v>47.064262491357503</v>
      </c>
      <c r="U70" s="417">
        <f>D69+N70</f>
        <v>24.377014331842489</v>
      </c>
    </row>
    <row r="71" spans="1:33" ht="16">
      <c r="A71" s="14" t="s">
        <v>25</v>
      </c>
      <c r="B71" s="37"/>
      <c r="D71" s="35"/>
      <c r="H71" s="428">
        <f>1000*(F69-D69)/K69</f>
        <v>242.00398423381034</v>
      </c>
      <c r="I71" s="501">
        <f>1000*(F69-D69)/M69</f>
        <v>491.42776417602488</v>
      </c>
    </row>
    <row r="72" spans="1:33">
      <c r="A72" s="2" t="s">
        <v>1</v>
      </c>
      <c r="B72" s="72">
        <f t="shared" ref="B72:B81" si="32">SUM(B46,B59)</f>
        <v>171.97989104086602</v>
      </c>
      <c r="C72" s="307">
        <f t="shared" ref="C72:F81" si="33">C46+C59</f>
        <v>13.362154578254858</v>
      </c>
      <c r="D72" s="346">
        <f t="shared" si="33"/>
        <v>0.93697197250840136</v>
      </c>
      <c r="E72" s="310">
        <f t="shared" si="33"/>
        <v>14.299126550763258</v>
      </c>
      <c r="F72" s="310">
        <f t="shared" si="33"/>
        <v>12.546315355993109</v>
      </c>
      <c r="H72" s="103">
        <v>341.27241396473482</v>
      </c>
      <c r="I72" s="135">
        <f>1000*C72/K72</f>
        <v>280.29592745242491</v>
      </c>
      <c r="K72" s="143">
        <f t="shared" ref="K72:N73" si="34">K46+K59</f>
        <v>47.671597299689054</v>
      </c>
      <c r="L72" s="306">
        <f>L46+L59</f>
        <v>15.511485875858916</v>
      </c>
      <c r="M72" s="143">
        <f t="shared" si="34"/>
        <v>42.239130191000001</v>
      </c>
      <c r="N72" s="306">
        <f t="shared" si="34"/>
        <v>13.572989643239046</v>
      </c>
      <c r="O72" s="556"/>
      <c r="P72" s="556"/>
      <c r="Q72" s="556"/>
      <c r="R72" s="556"/>
      <c r="T72" s="349">
        <f t="shared" ref="T72:T80" si="35">D72+L72</f>
        <v>16.448457848367319</v>
      </c>
      <c r="U72" s="349">
        <f t="shared" ref="U72:U80" si="36">D72+N72</f>
        <v>14.509961615747446</v>
      </c>
      <c r="AD72" s="77">
        <f t="shared" ref="AD72:AD81" si="37">AVERAGE(K72,M72)</f>
        <v>44.955363745344528</v>
      </c>
    </row>
    <row r="73" spans="1:33">
      <c r="A73" s="2" t="s">
        <v>2</v>
      </c>
      <c r="B73" s="72">
        <f t="shared" si="32"/>
        <v>455.92290523200001</v>
      </c>
      <c r="C73" s="307">
        <f t="shared" si="33"/>
        <v>64.374585639694118</v>
      </c>
      <c r="D73" s="319">
        <f t="shared" si="33"/>
        <v>3.0118429351306539</v>
      </c>
      <c r="E73" s="309">
        <f t="shared" si="33"/>
        <v>67.386428574824762</v>
      </c>
      <c r="F73" s="309">
        <f t="shared" si="33"/>
        <v>63.659579588029281</v>
      </c>
      <c r="H73" s="103">
        <v>227.52505029532156</v>
      </c>
      <c r="I73" s="135">
        <f t="shared" ref="I73:I81" si="38">1000*C73/K73</f>
        <v>453.70339097902331</v>
      </c>
      <c r="K73" s="299">
        <f t="shared" si="34"/>
        <v>141.88693961661494</v>
      </c>
      <c r="L73" s="306">
        <f t="shared" si="34"/>
        <v>32.454353911911305</v>
      </c>
      <c r="M73" s="299">
        <f t="shared" si="34"/>
        <v>87.954513440499994</v>
      </c>
      <c r="N73" s="306">
        <f t="shared" si="34"/>
        <v>20.066683901664703</v>
      </c>
      <c r="O73" s="556"/>
      <c r="P73" s="556"/>
      <c r="Q73" s="556"/>
      <c r="R73" s="556"/>
      <c r="T73" s="349">
        <f t="shared" si="35"/>
        <v>35.466196847041957</v>
      </c>
      <c r="U73" s="349">
        <f t="shared" si="36"/>
        <v>23.078526836795358</v>
      </c>
      <c r="AD73" s="77">
        <f t="shared" si="37"/>
        <v>114.92072652855747</v>
      </c>
    </row>
    <row r="74" spans="1:33">
      <c r="A74" s="2" t="s">
        <v>3</v>
      </c>
      <c r="B74" s="72">
        <f t="shared" si="32"/>
        <v>22.119493616</v>
      </c>
      <c r="C74" s="308">
        <f t="shared" si="33"/>
        <v>0.62212504082702591</v>
      </c>
      <c r="D74" s="320">
        <f t="shared" si="33"/>
        <v>7.0466802784000471E-2</v>
      </c>
      <c r="E74" s="311">
        <f t="shared" si="33"/>
        <v>0.69259184361102633</v>
      </c>
      <c r="F74" s="311">
        <f t="shared" si="33"/>
        <v>0.74576417015135588</v>
      </c>
      <c r="H74" s="103">
        <v>340.52128292342712</v>
      </c>
      <c r="I74" s="135">
        <f t="shared" si="38"/>
        <v>301.95057046735445</v>
      </c>
      <c r="K74" s="36">
        <f t="shared" ref="K74:K81" si="39">K48+K61</f>
        <v>2.0603539177425971</v>
      </c>
      <c r="L74" s="307">
        <f>L61</f>
        <v>0.70159435934601844</v>
      </c>
      <c r="M74" s="36">
        <f t="shared" ref="M74:M81" si="40">M48+M61</f>
        <v>1.3417262452499998</v>
      </c>
      <c r="N74" s="307">
        <f>N61</f>
        <v>0.45688634236456277</v>
      </c>
      <c r="O74" s="560"/>
      <c r="P74" s="560"/>
      <c r="Q74" s="560"/>
      <c r="R74" s="560"/>
      <c r="T74" s="350">
        <f t="shared" si="35"/>
        <v>0.77206116213001885</v>
      </c>
      <c r="U74" s="350">
        <f t="shared" si="36"/>
        <v>0.52735314514856324</v>
      </c>
      <c r="AD74" s="81">
        <f t="shared" si="37"/>
        <v>1.7010400814962985</v>
      </c>
    </row>
    <row r="75" spans="1:33">
      <c r="A75" s="2" t="s">
        <v>4</v>
      </c>
      <c r="B75" s="72">
        <f t="shared" si="32"/>
        <v>102.57009377896701</v>
      </c>
      <c r="C75" s="307">
        <f t="shared" si="33"/>
        <v>6.4242862805122707</v>
      </c>
      <c r="D75" s="346">
        <f t="shared" si="33"/>
        <v>0.7496168340516618</v>
      </c>
      <c r="E75" s="310">
        <f t="shared" si="33"/>
        <v>7.1739031145639327</v>
      </c>
      <c r="F75" s="310">
        <f t="shared" si="33"/>
        <v>6.6511678283620315</v>
      </c>
      <c r="H75" s="103">
        <v>267.7367983662877</v>
      </c>
      <c r="I75" s="135">
        <f t="shared" si="38"/>
        <v>266.15705649474603</v>
      </c>
      <c r="K75" s="143">
        <f t="shared" si="39"/>
        <v>24.137200663094525</v>
      </c>
      <c r="L75" s="307">
        <f t="shared" ref="L75:L81" si="41">L49+L62</f>
        <v>6.2771191664037493</v>
      </c>
      <c r="M75" s="143">
        <f t="shared" si="40"/>
        <v>42.865076800000004</v>
      </c>
      <c r="N75" s="306">
        <f t="shared" ref="N75:N81" si="42">N49+N62</f>
        <v>11.06324338665771</v>
      </c>
      <c r="O75" s="556"/>
      <c r="P75" s="556"/>
      <c r="Q75" s="556"/>
      <c r="R75" s="556"/>
      <c r="T75" s="350">
        <f t="shared" si="35"/>
        <v>7.0267360004554114</v>
      </c>
      <c r="U75" s="349">
        <f t="shared" si="36"/>
        <v>11.812860220709371</v>
      </c>
      <c r="AD75" s="77">
        <f t="shared" si="37"/>
        <v>33.501138731547265</v>
      </c>
    </row>
    <row r="76" spans="1:33">
      <c r="A76" s="2" t="s">
        <v>5</v>
      </c>
      <c r="B76" s="93">
        <f t="shared" si="32"/>
        <v>0.64834263999999997</v>
      </c>
      <c r="C76" s="308">
        <f t="shared" si="33"/>
        <v>1.0227279990397218E-2</v>
      </c>
      <c r="D76" s="320">
        <f t="shared" si="33"/>
        <v>1.7960466361828038E-3</v>
      </c>
      <c r="E76" s="311">
        <f t="shared" si="33"/>
        <v>1.2023326626580021E-2</v>
      </c>
      <c r="F76" s="311">
        <f t="shared" si="33"/>
        <v>1.2628641202258312E-2</v>
      </c>
      <c r="H76" s="393" t="s">
        <v>19</v>
      </c>
      <c r="I76" s="135">
        <f t="shared" si="38"/>
        <v>1209.2763097522602</v>
      </c>
      <c r="K76" s="29">
        <f t="shared" si="39"/>
        <v>8.4573557820647634E-3</v>
      </c>
      <c r="L76" s="306">
        <f t="shared" si="41"/>
        <v>0</v>
      </c>
      <c r="M76" s="39">
        <f t="shared" si="40"/>
        <v>1.0999999999999999E-2</v>
      </c>
      <c r="N76" s="405">
        <f t="shared" si="42"/>
        <v>0</v>
      </c>
      <c r="O76" s="563"/>
      <c r="P76" s="563"/>
      <c r="Q76" s="563"/>
      <c r="R76" s="563"/>
      <c r="T76" s="404">
        <f t="shared" si="35"/>
        <v>1.7960466361828038E-3</v>
      </c>
      <c r="U76" s="404">
        <f t="shared" si="36"/>
        <v>1.7960466361828038E-3</v>
      </c>
      <c r="AD76" s="77">
        <f t="shared" si="37"/>
        <v>9.7286778910323814E-3</v>
      </c>
    </row>
    <row r="77" spans="1:33">
      <c r="A77" s="2" t="s">
        <v>88</v>
      </c>
      <c r="B77" s="72">
        <f t="shared" si="32"/>
        <v>83.753563568000004</v>
      </c>
      <c r="C77" s="307">
        <f t="shared" si="33"/>
        <v>5.4614319495516517</v>
      </c>
      <c r="D77" s="319">
        <f t="shared" si="33"/>
        <v>0.60452913117649465</v>
      </c>
      <c r="E77" s="310">
        <f t="shared" si="33"/>
        <v>6.0659610807281457</v>
      </c>
      <c r="F77" s="310">
        <f t="shared" si="33"/>
        <v>5.466970376665822</v>
      </c>
      <c r="H77" s="103">
        <v>363.50429921264481</v>
      </c>
      <c r="I77" s="135">
        <f t="shared" si="38"/>
        <v>268.79804218749047</v>
      </c>
      <c r="K77" s="143">
        <f t="shared" si="39"/>
        <v>20.317975179827485</v>
      </c>
      <c r="L77" s="306">
        <f t="shared" si="41"/>
        <v>7.4860805292555463</v>
      </c>
      <c r="M77" s="143">
        <f t="shared" si="40"/>
        <v>26.984403200000003</v>
      </c>
      <c r="N77" s="307">
        <f t="shared" si="42"/>
        <v>9.9392813567848108</v>
      </c>
      <c r="O77" s="560"/>
      <c r="P77" s="560"/>
      <c r="Q77" s="560"/>
      <c r="R77" s="560"/>
      <c r="T77" s="349">
        <f t="shared" si="35"/>
        <v>8.0906096604320403</v>
      </c>
      <c r="U77" s="349">
        <f t="shared" si="36"/>
        <v>10.543810487961306</v>
      </c>
      <c r="AD77" s="77">
        <f t="shared" si="37"/>
        <v>23.651189189913744</v>
      </c>
    </row>
    <row r="78" spans="1:33">
      <c r="A78" s="2" t="s">
        <v>95</v>
      </c>
      <c r="B78" s="72">
        <f t="shared" si="32"/>
        <v>113.2509044</v>
      </c>
      <c r="C78" s="307">
        <f t="shared" si="33"/>
        <v>8.0173889506929115</v>
      </c>
      <c r="D78" s="319">
        <f t="shared" si="33"/>
        <v>0.67425585086336737</v>
      </c>
      <c r="E78" s="310">
        <f t="shared" si="33"/>
        <v>8.6916448015562793</v>
      </c>
      <c r="F78" s="310">
        <f t="shared" si="33"/>
        <v>8.1961222304577959</v>
      </c>
      <c r="H78" s="103">
        <v>207.57618825601696</v>
      </c>
      <c r="I78" s="135">
        <f t="shared" si="38"/>
        <v>255.75541570281598</v>
      </c>
      <c r="K78" s="143">
        <f t="shared" si="39"/>
        <v>31.347875581289742</v>
      </c>
      <c r="L78" s="306">
        <f t="shared" si="41"/>
        <v>6.5109293613162356</v>
      </c>
      <c r="M78" s="143">
        <f t="shared" si="40"/>
        <v>22.429073600000002</v>
      </c>
      <c r="N78" s="307">
        <f t="shared" si="42"/>
        <v>4.6589975716179737</v>
      </c>
      <c r="O78" s="560"/>
      <c r="P78" s="560"/>
      <c r="Q78" s="560"/>
      <c r="R78" s="560"/>
      <c r="T78" s="350">
        <f t="shared" si="35"/>
        <v>7.1851852121796025</v>
      </c>
      <c r="U78" s="350">
        <f t="shared" si="36"/>
        <v>5.3332534224813415</v>
      </c>
      <c r="AD78" s="77">
        <f t="shared" si="37"/>
        <v>26.888474590644872</v>
      </c>
    </row>
    <row r="79" spans="1:33">
      <c r="A79" s="2" t="s">
        <v>125</v>
      </c>
      <c r="B79" s="72">
        <f t="shared" si="32"/>
        <v>1057.969738</v>
      </c>
      <c r="C79" s="306">
        <f t="shared" si="33"/>
        <v>153.6274527035601</v>
      </c>
      <c r="D79" s="319">
        <f t="shared" si="33"/>
        <v>7.34456115640221</v>
      </c>
      <c r="E79" s="309">
        <f t="shared" si="33"/>
        <v>160.97201385996232</v>
      </c>
      <c r="F79" s="309">
        <f t="shared" si="33"/>
        <v>161.33661887250497</v>
      </c>
      <c r="H79" s="103">
        <v>265.83227747310917</v>
      </c>
      <c r="I79" s="135">
        <f t="shared" si="38"/>
        <v>255.05164748026968</v>
      </c>
      <c r="K79" s="299">
        <f t="shared" si="39"/>
        <v>602.3386016961307</v>
      </c>
      <c r="L79" s="306">
        <f t="shared" si="41"/>
        <v>160.00808831065552</v>
      </c>
      <c r="M79" s="299">
        <f t="shared" si="40"/>
        <v>278.90320000000003</v>
      </c>
      <c r="N79" s="307">
        <f t="shared" si="42"/>
        <v>74.057116635807077</v>
      </c>
      <c r="O79" s="560"/>
      <c r="P79" s="560"/>
      <c r="Q79" s="560"/>
      <c r="R79" s="560"/>
      <c r="T79" s="349">
        <f t="shared" si="35"/>
        <v>167.35264946705774</v>
      </c>
      <c r="U79" s="349">
        <f t="shared" si="36"/>
        <v>81.401677792209284</v>
      </c>
      <c r="AD79" s="77">
        <f t="shared" si="37"/>
        <v>440.62090084806539</v>
      </c>
    </row>
    <row r="80" spans="1:33">
      <c r="A80" s="62" t="s">
        <v>128</v>
      </c>
      <c r="B80" s="93">
        <f t="shared" si="32"/>
        <v>7.9269062400000001</v>
      </c>
      <c r="C80" s="308">
        <f t="shared" si="33"/>
        <v>0.20967853121621055</v>
      </c>
      <c r="D80" s="320">
        <f t="shared" si="33"/>
        <v>3.0549289525538519E-2</v>
      </c>
      <c r="E80" s="311">
        <f t="shared" si="33"/>
        <v>0.24022782074174906</v>
      </c>
      <c r="F80" s="311">
        <f t="shared" si="33"/>
        <v>0.25382816986131712</v>
      </c>
      <c r="H80" s="103">
        <v>319.22392320641728</v>
      </c>
      <c r="I80" s="135">
        <f t="shared" si="38"/>
        <v>342.48140111584542</v>
      </c>
      <c r="K80" s="39">
        <f t="shared" si="39"/>
        <v>0.61223333743979325</v>
      </c>
      <c r="L80" s="308">
        <f t="shared" si="41"/>
        <v>0.19543952789528912</v>
      </c>
      <c r="M80" s="39">
        <f t="shared" si="40"/>
        <v>0.5</v>
      </c>
      <c r="N80" s="307">
        <f t="shared" si="42"/>
        <v>0.15961196160320865</v>
      </c>
      <c r="O80" s="560"/>
      <c r="P80" s="560"/>
      <c r="Q80" s="560"/>
      <c r="R80" s="560"/>
      <c r="T80" s="404">
        <f t="shared" si="35"/>
        <v>0.22598881742082763</v>
      </c>
      <c r="U80" s="404">
        <f t="shared" si="36"/>
        <v>0.19016125112874716</v>
      </c>
      <c r="AD80" s="81">
        <f t="shared" si="37"/>
        <v>0.55611666871989662</v>
      </c>
    </row>
    <row r="81" spans="1:35">
      <c r="A81" s="62" t="s">
        <v>247</v>
      </c>
      <c r="B81" s="426">
        <f t="shared" si="32"/>
        <v>803.45555840000009</v>
      </c>
      <c r="C81" s="344">
        <f t="shared" si="33"/>
        <v>107.41549651877233</v>
      </c>
      <c r="D81" s="319">
        <f t="shared" si="33"/>
        <v>5.4430034581532176</v>
      </c>
      <c r="E81" s="349">
        <f>E55+E68</f>
        <v>112.85849997692554</v>
      </c>
      <c r="F81" s="349">
        <f>F55+F68</f>
        <v>111.20833754095565</v>
      </c>
      <c r="H81" s="103">
        <v>249</v>
      </c>
      <c r="I81" s="135">
        <f t="shared" si="38"/>
        <v>255.32132064029508</v>
      </c>
      <c r="K81" s="299">
        <f t="shared" si="39"/>
        <v>420.70711623062118</v>
      </c>
      <c r="L81" s="306">
        <f t="shared" si="41"/>
        <v>105.40434561010743</v>
      </c>
      <c r="M81" s="299">
        <f t="shared" si="40"/>
        <v>215.18783999999999</v>
      </c>
      <c r="N81" s="306">
        <f t="shared" si="42"/>
        <v>53.613210186172836</v>
      </c>
      <c r="O81" s="556"/>
      <c r="P81" s="556"/>
      <c r="Q81" s="556"/>
      <c r="R81" s="556"/>
      <c r="T81" s="349">
        <f t="shared" ref="T81" si="43">D81+L81</f>
        <v>110.84734906826064</v>
      </c>
      <c r="U81" s="349">
        <f t="shared" ref="U81" si="44">D81+N81</f>
        <v>59.05621364432605</v>
      </c>
      <c r="AD81" s="77">
        <f t="shared" si="37"/>
        <v>317.94747811531056</v>
      </c>
    </row>
    <row r="82" spans="1:35">
      <c r="A82" s="2" t="s">
        <v>253</v>
      </c>
      <c r="B82" s="415">
        <f>SUM(B72:B81)</f>
        <v>2819.5973969158331</v>
      </c>
      <c r="C82" s="415">
        <f>SUM(C72:C81)</f>
        <v>359.52482747307192</v>
      </c>
      <c r="D82" s="432">
        <f>SUM(D72:D81)</f>
        <v>18.867593477231729</v>
      </c>
      <c r="E82" s="415">
        <f>SUM(E72:E81)</f>
        <v>378.39242095030357</v>
      </c>
      <c r="F82" s="432">
        <f>SUM(F72:F81)</f>
        <v>370.07733277418362</v>
      </c>
      <c r="H82" s="135"/>
      <c r="I82" s="155">
        <f>1000*C82/K82</f>
        <v>278.46647925257298</v>
      </c>
      <c r="J82" s="10" t="s">
        <v>26</v>
      </c>
      <c r="K82" s="415">
        <f>SUM(K72:K81)</f>
        <v>1291.0883508782322</v>
      </c>
      <c r="L82" s="415">
        <f>SUM(L72:L81)</f>
        <v>334.54943665275005</v>
      </c>
      <c r="M82" s="415">
        <f>SUM(M72:M81)</f>
        <v>718.41596347674999</v>
      </c>
      <c r="N82" s="415">
        <f>SUM(N72:N81)</f>
        <v>187.58802098591192</v>
      </c>
      <c r="O82" s="558"/>
      <c r="P82" s="558"/>
      <c r="Q82" s="558"/>
      <c r="R82" s="558"/>
      <c r="S82" s="436"/>
      <c r="T82" s="415">
        <f>L82+$D$82</f>
        <v>353.41703012998175</v>
      </c>
      <c r="U82" s="415">
        <f>N82+$D$82</f>
        <v>206.45561446314366</v>
      </c>
      <c r="AD82" s="131">
        <f>SUM(AD72:AD81)</f>
        <v>1004.7521571774911</v>
      </c>
      <c r="AG82" s="120">
        <f>D82/E82</f>
        <v>4.9862503667085119E-2</v>
      </c>
      <c r="AH82" s="120">
        <f>D82/T82</f>
        <v>5.3386203461368277E-2</v>
      </c>
      <c r="AI82" s="120">
        <f>D82/U82</f>
        <v>9.1388134569718671E-2</v>
      </c>
    </row>
    <row r="83" spans="1:35">
      <c r="A83" s="2" t="s">
        <v>253</v>
      </c>
      <c r="B83" s="37"/>
      <c r="C83" s="31"/>
      <c r="D83" s="498">
        <f>D82/F82</f>
        <v>5.0982840088572755E-2</v>
      </c>
      <c r="E83" s="31"/>
      <c r="F83" s="31"/>
      <c r="H83" s="150">
        <v>261</v>
      </c>
      <c r="I83" s="500">
        <f>1000*C82/M82</f>
        <v>500.44103381718242</v>
      </c>
      <c r="J83" s="87" t="s">
        <v>263</v>
      </c>
      <c r="K83" s="417">
        <f>K57+K70</f>
        <v>1291.0883508782319</v>
      </c>
      <c r="L83" s="417">
        <f>L57+L70</f>
        <v>321.18557340754506</v>
      </c>
      <c r="M83" s="417">
        <f>M57+M70</f>
        <v>718.41596347674999</v>
      </c>
      <c r="N83" s="417">
        <f>N57+N70</f>
        <v>178.32699965112025</v>
      </c>
      <c r="O83" s="562"/>
      <c r="P83" s="562"/>
      <c r="Q83" s="562"/>
      <c r="R83" s="562"/>
      <c r="S83" s="436"/>
      <c r="T83" s="417">
        <f>L83+$D$82</f>
        <v>340.05316688477677</v>
      </c>
      <c r="U83" s="417">
        <f>N83+$D$82</f>
        <v>197.19459312835198</v>
      </c>
      <c r="W83" s="24" t="s">
        <v>214</v>
      </c>
      <c r="X83" s="69" t="s">
        <v>286</v>
      </c>
      <c r="Y83" s="24" t="s">
        <v>81</v>
      </c>
      <c r="Z83" s="69" t="s">
        <v>286</v>
      </c>
      <c r="AD83" s="69" t="s">
        <v>286</v>
      </c>
    </row>
    <row r="84" spans="1:35" ht="16">
      <c r="A84" s="14" t="s">
        <v>131</v>
      </c>
      <c r="B84" s="37"/>
      <c r="D84" s="35"/>
      <c r="H84" s="428">
        <f>1000*(F82-D82)/K82</f>
        <v>272.0261080955845</v>
      </c>
      <c r="I84" s="501">
        <f>1000*(F82-D82)/M82</f>
        <v>488.86683641783816</v>
      </c>
      <c r="W84" s="130">
        <f>AVERAGE(C82,L82,L83,N82,N83)</f>
        <v>276.2349716340799</v>
      </c>
      <c r="X84" s="131">
        <f>W84/10</f>
        <v>27.62349716340799</v>
      </c>
      <c r="Y84" s="133">
        <f>AVERAGE(E82,F82,T82,T83,U82,U83)</f>
        <v>307.59835972179019</v>
      </c>
      <c r="Z84" s="134">
        <f>Y84/10</f>
        <v>30.759835972179019</v>
      </c>
      <c r="AB84" s="128">
        <f>K82/10</f>
        <v>129.10883508782322</v>
      </c>
      <c r="AC84" s="128">
        <f>M82/10</f>
        <v>71.841596347674994</v>
      </c>
      <c r="AD84" s="128">
        <f>AVERAGE(AB84:AC84)</f>
        <v>100.47521571774911</v>
      </c>
      <c r="AE84" s="3" t="s">
        <v>83</v>
      </c>
    </row>
    <row r="85" spans="1:35">
      <c r="A85" s="2" t="s">
        <v>1</v>
      </c>
      <c r="B85" s="72">
        <f t="shared" ref="B85:B94" si="45">B72</f>
        <v>171.97989104086602</v>
      </c>
      <c r="C85" s="306">
        <v>13.890036050469952</v>
      </c>
      <c r="D85" s="305">
        <v>1.058467154480448</v>
      </c>
      <c r="E85" s="309">
        <f>SUM(C85:D85)</f>
        <v>14.9485032049504</v>
      </c>
      <c r="F85" s="309">
        <v>14.746041705665361</v>
      </c>
      <c r="H85" s="103">
        <v>341.27241396473482</v>
      </c>
      <c r="I85" s="135">
        <f>1000*C85/K85</f>
        <v>263.98651606203322</v>
      </c>
      <c r="K85" s="143">
        <v>52.616460331655674</v>
      </c>
      <c r="L85" s="306">
        <f>K85*H85/1000</f>
        <v>17.956546431663842</v>
      </c>
      <c r="M85" s="143">
        <v>42.23852196</v>
      </c>
      <c r="N85" s="306">
        <f>M85*H85/1000</f>
        <v>14.414842351591663</v>
      </c>
      <c r="O85" s="556"/>
      <c r="P85" s="556"/>
      <c r="Q85" s="556"/>
      <c r="R85" s="556"/>
      <c r="T85" s="309">
        <f t="shared" ref="T85:T93" si="46">D85+L85</f>
        <v>19.015013586144288</v>
      </c>
      <c r="U85" s="309">
        <f t="shared" ref="U85:U93" si="47">D85+N85</f>
        <v>15.473309506072111</v>
      </c>
      <c r="AD85" s="77">
        <f t="shared" ref="AD85:AD94" si="48">AVERAGE(K85,M85)</f>
        <v>47.427491145827837</v>
      </c>
    </row>
    <row r="86" spans="1:35">
      <c r="A86" s="2" t="s">
        <v>2</v>
      </c>
      <c r="B86" s="72">
        <f t="shared" si="45"/>
        <v>455.92290523200001</v>
      </c>
      <c r="C86" s="306">
        <v>63.111029000731577</v>
      </c>
      <c r="D86" s="304">
        <v>3.1336442992565612</v>
      </c>
      <c r="E86" s="309">
        <f t="shared" ref="E86:E94" si="49">SUM(C86:D86)</f>
        <v>66.244673299988136</v>
      </c>
      <c r="F86" s="309">
        <v>64.149891891476571</v>
      </c>
      <c r="H86" s="103">
        <v>227.52505029532156</v>
      </c>
      <c r="I86" s="135">
        <f t="shared" ref="I86:I95" si="50">1000*C86/K86</f>
        <v>244.81814905083257</v>
      </c>
      <c r="K86" s="299">
        <v>257.78737910328528</v>
      </c>
      <c r="L86" s="306">
        <f>K86*H86/1000</f>
        <v>58.653086395974114</v>
      </c>
      <c r="M86" s="299">
        <v>88</v>
      </c>
      <c r="N86" s="306">
        <f>M86*H86/1000</f>
        <v>20.022204425988296</v>
      </c>
      <c r="O86" s="556"/>
      <c r="P86" s="556"/>
      <c r="Q86" s="556"/>
      <c r="R86" s="556"/>
      <c r="T86" s="309">
        <f t="shared" si="46"/>
        <v>61.786730695230673</v>
      </c>
      <c r="U86" s="309">
        <f t="shared" si="47"/>
        <v>23.155848725244859</v>
      </c>
      <c r="AD86" s="77">
        <f t="shared" si="48"/>
        <v>172.89368955164264</v>
      </c>
    </row>
    <row r="87" spans="1:35">
      <c r="A87" s="2" t="s">
        <v>3</v>
      </c>
      <c r="B87" s="72">
        <f t="shared" si="45"/>
        <v>22.119493616</v>
      </c>
      <c r="C87" s="308">
        <v>0.64788061377320338</v>
      </c>
      <c r="D87" s="314">
        <v>0.11507937363764556</v>
      </c>
      <c r="E87" s="311">
        <f t="shared" si="49"/>
        <v>0.76295998741084892</v>
      </c>
      <c r="F87" s="311">
        <v>0.76106336034754041</v>
      </c>
      <c r="H87" s="103">
        <v>340.52128292342712</v>
      </c>
      <c r="I87" s="135">
        <f t="shared" si="50"/>
        <v>316.56675650183428</v>
      </c>
      <c r="K87" s="36">
        <v>2.0465844895796867</v>
      </c>
      <c r="L87" s="308">
        <f>K87*H87/1000</f>
        <v>0.69690557600286218</v>
      </c>
      <c r="M87" s="36">
        <v>1.3417262452499998</v>
      </c>
      <c r="N87" s="307">
        <f>M87*H87/1000</f>
        <v>0.45688634236456277</v>
      </c>
      <c r="O87" s="560"/>
      <c r="P87" s="560"/>
      <c r="Q87" s="560"/>
      <c r="R87" s="560"/>
      <c r="T87" s="311">
        <f t="shared" si="46"/>
        <v>0.81198494964050771</v>
      </c>
      <c r="U87" s="311">
        <f t="shared" si="47"/>
        <v>0.57196571600220836</v>
      </c>
      <c r="AD87" s="81">
        <f t="shared" si="48"/>
        <v>1.6941553674148433</v>
      </c>
    </row>
    <row r="88" spans="1:35">
      <c r="A88" s="2" t="s">
        <v>4</v>
      </c>
      <c r="B88" s="72">
        <f t="shared" si="45"/>
        <v>102.57009377896701</v>
      </c>
      <c r="C88" s="307">
        <v>7.5342690370457568</v>
      </c>
      <c r="D88" s="304">
        <v>0.61927715213228363</v>
      </c>
      <c r="E88" s="310">
        <f t="shared" si="49"/>
        <v>8.1535461891780407</v>
      </c>
      <c r="F88" s="309">
        <v>8.0579844763740631</v>
      </c>
      <c r="H88" s="103">
        <v>267.7367983662877</v>
      </c>
      <c r="I88" s="135">
        <f t="shared" si="50"/>
        <v>267.27385672876829</v>
      </c>
      <c r="K88" s="143">
        <v>28.189322851323972</v>
      </c>
      <c r="L88" s="307">
        <f>K88*H88/1000</f>
        <v>7.5473190483271129</v>
      </c>
      <c r="M88" s="143">
        <v>42.919817707249997</v>
      </c>
      <c r="N88" s="306">
        <f>M88*H88/1000</f>
        <v>11.491214579403817</v>
      </c>
      <c r="O88" s="556"/>
      <c r="P88" s="556"/>
      <c r="Q88" s="556"/>
      <c r="R88" s="556"/>
      <c r="T88" s="309">
        <f t="shared" si="46"/>
        <v>8.1665962004593968</v>
      </c>
      <c r="U88" s="309">
        <f t="shared" si="47"/>
        <v>12.110491731536101</v>
      </c>
      <c r="AD88" s="77">
        <f t="shared" si="48"/>
        <v>35.554570279286985</v>
      </c>
    </row>
    <row r="89" spans="1:35">
      <c r="A89" s="2" t="s">
        <v>5</v>
      </c>
      <c r="B89" s="93">
        <f t="shared" si="45"/>
        <v>0.64834263999999997</v>
      </c>
      <c r="C89" s="312">
        <v>3.9016108524537688E-3</v>
      </c>
      <c r="D89" s="314">
        <v>2.5292318810317834E-3</v>
      </c>
      <c r="E89" s="317">
        <f t="shared" si="49"/>
        <v>6.4308427334855527E-3</v>
      </c>
      <c r="F89" s="317">
        <v>5.3180502487049208E-3</v>
      </c>
      <c r="H89" s="393" t="s">
        <v>19</v>
      </c>
      <c r="I89" s="135">
        <f t="shared" si="50"/>
        <v>407.01846726162222</v>
      </c>
      <c r="K89" s="29">
        <v>9.5858325021549989E-3</v>
      </c>
      <c r="L89" s="306">
        <v>0</v>
      </c>
      <c r="M89" s="39">
        <v>1.2E-2</v>
      </c>
      <c r="N89" s="405">
        <v>0</v>
      </c>
      <c r="O89" s="563"/>
      <c r="P89" s="563"/>
      <c r="Q89" s="563"/>
      <c r="R89" s="563"/>
      <c r="T89" s="311">
        <f t="shared" si="46"/>
        <v>2.5292318810317834E-3</v>
      </c>
      <c r="U89" s="311">
        <f t="shared" si="47"/>
        <v>2.5292318810317834E-3</v>
      </c>
      <c r="Y89" s="32"/>
      <c r="AD89" s="72">
        <f t="shared" si="48"/>
        <v>1.0792916251077499E-2</v>
      </c>
      <c r="AE89" s="73" t="s">
        <v>84</v>
      </c>
    </row>
    <row r="90" spans="1:35">
      <c r="A90" s="2" t="s">
        <v>88</v>
      </c>
      <c r="B90" s="72">
        <f t="shared" si="45"/>
        <v>83.753563568000004</v>
      </c>
      <c r="C90" s="307">
        <v>6.236824833262169</v>
      </c>
      <c r="D90" s="304">
        <v>0.51230281409236567</v>
      </c>
      <c r="E90" s="310">
        <f t="shared" si="49"/>
        <v>6.749127647354535</v>
      </c>
      <c r="F90" s="309">
        <v>6.7038013383913011</v>
      </c>
      <c r="H90" s="103">
        <v>363.50429921264481</v>
      </c>
      <c r="I90" s="135">
        <f t="shared" si="50"/>
        <v>270.63146925526144</v>
      </c>
      <c r="K90" s="143">
        <v>23.045453104271306</v>
      </c>
      <c r="L90" s="307">
        <f>K90*H90/1000</f>
        <v>8.3771212807060103</v>
      </c>
      <c r="M90" s="143">
        <v>27</v>
      </c>
      <c r="N90" s="307">
        <f>M90*H90/1000</f>
        <v>9.8146160787414107</v>
      </c>
      <c r="O90" s="560"/>
      <c r="P90" s="560"/>
      <c r="Q90" s="560"/>
      <c r="R90" s="560"/>
      <c r="T90" s="309">
        <f t="shared" si="46"/>
        <v>8.8894240947983754</v>
      </c>
      <c r="U90" s="309">
        <f t="shared" si="47"/>
        <v>10.326918892833776</v>
      </c>
      <c r="AD90" s="77">
        <f t="shared" si="48"/>
        <v>25.022726552135651</v>
      </c>
      <c r="AE90" s="6"/>
    </row>
    <row r="91" spans="1:35">
      <c r="A91" s="2" t="s">
        <v>95</v>
      </c>
      <c r="B91" s="72">
        <f t="shared" si="45"/>
        <v>113.2509044</v>
      </c>
      <c r="C91" s="307">
        <v>9.6676499786302479</v>
      </c>
      <c r="D91" s="304">
        <v>0.71016931209099321</v>
      </c>
      <c r="E91" s="310">
        <f t="shared" si="49"/>
        <v>10.377819290721241</v>
      </c>
      <c r="F91" s="309">
        <v>10.249529533482482</v>
      </c>
      <c r="H91" s="103">
        <v>207.57618825601696</v>
      </c>
      <c r="I91" s="135">
        <f t="shared" si="50"/>
        <v>263.79574339400608</v>
      </c>
      <c r="K91" s="143">
        <v>36.648240999820146</v>
      </c>
      <c r="L91" s="307">
        <f>K91*H91/1000</f>
        <v>7.6073021730305461</v>
      </c>
      <c r="M91" s="143">
        <v>22.30949352</v>
      </c>
      <c r="N91" s="307">
        <f>M91*H91/1000</f>
        <v>4.6309196268039106</v>
      </c>
      <c r="O91" s="560"/>
      <c r="P91" s="560"/>
      <c r="Q91" s="560"/>
      <c r="R91" s="560"/>
      <c r="T91" s="310">
        <f t="shared" si="46"/>
        <v>8.3174714851215388</v>
      </c>
      <c r="U91" s="310">
        <f t="shared" si="47"/>
        <v>5.3410889388949041</v>
      </c>
      <c r="AD91" s="77">
        <f t="shared" si="48"/>
        <v>29.478867259910075</v>
      </c>
      <c r="AE91" s="6"/>
    </row>
    <row r="92" spans="1:35">
      <c r="A92" s="2" t="s">
        <v>125</v>
      </c>
      <c r="B92" s="72">
        <f t="shared" si="45"/>
        <v>1057.969738</v>
      </c>
      <c r="C92" s="306">
        <v>172.1241478906326</v>
      </c>
      <c r="D92" s="304">
        <v>7.4942008414834751</v>
      </c>
      <c r="E92" s="309">
        <f t="shared" si="49"/>
        <v>179.61834873211606</v>
      </c>
      <c r="F92" s="309">
        <v>172.85811230596573</v>
      </c>
      <c r="H92" s="103">
        <v>265.83227747310917</v>
      </c>
      <c r="I92" s="135">
        <f t="shared" si="50"/>
        <v>239.7891131312883</v>
      </c>
      <c r="K92" s="299">
        <v>717.81468992877888</v>
      </c>
      <c r="L92" s="306">
        <f>K92*H92/1000</f>
        <v>190.81831382742095</v>
      </c>
      <c r="M92" s="299">
        <v>278.83782471000001</v>
      </c>
      <c r="N92" s="306">
        <f>M92*H92/1000</f>
        <v>74.124093988306896</v>
      </c>
      <c r="O92" s="556"/>
      <c r="P92" s="556"/>
      <c r="Q92" s="556"/>
      <c r="R92" s="556"/>
      <c r="T92" s="309">
        <f t="shared" si="46"/>
        <v>198.31251466890441</v>
      </c>
      <c r="U92" s="309">
        <f t="shared" si="47"/>
        <v>81.618294829790372</v>
      </c>
      <c r="Y92" s="32"/>
      <c r="AD92" s="72">
        <f t="shared" si="48"/>
        <v>498.32625731938947</v>
      </c>
      <c r="AE92" s="73" t="s">
        <v>85</v>
      </c>
    </row>
    <row r="93" spans="1:35">
      <c r="A93" s="62" t="s">
        <v>128</v>
      </c>
      <c r="B93" s="93">
        <f t="shared" si="45"/>
        <v>7.9269062400000001</v>
      </c>
      <c r="C93" s="308">
        <v>0.19815966336360993</v>
      </c>
      <c r="D93" s="314">
        <v>4.1363240313494642E-2</v>
      </c>
      <c r="E93" s="311">
        <f t="shared" si="49"/>
        <v>0.23952290367710458</v>
      </c>
      <c r="F93" s="311">
        <v>0.23587245095232362</v>
      </c>
      <c r="H93" s="103">
        <v>319.22392320641728</v>
      </c>
      <c r="I93" s="135">
        <f t="shared" si="50"/>
        <v>322.91231375770872</v>
      </c>
      <c r="K93" s="39">
        <v>0.61366400388278586</v>
      </c>
      <c r="L93" s="308">
        <f>K93*H93/1000</f>
        <v>0.195896230850021</v>
      </c>
      <c r="M93" s="39">
        <f>M80</f>
        <v>0.5</v>
      </c>
      <c r="N93" s="308">
        <f>M93*H93/1000</f>
        <v>0.15961196160320865</v>
      </c>
      <c r="O93" s="561"/>
      <c r="P93" s="561"/>
      <c r="Q93" s="561"/>
      <c r="R93" s="561"/>
      <c r="T93" s="311">
        <f t="shared" si="46"/>
        <v>0.23725947116351565</v>
      </c>
      <c r="U93" s="311">
        <f t="shared" si="47"/>
        <v>0.20097520191670329</v>
      </c>
      <c r="AD93" s="81">
        <f t="shared" si="48"/>
        <v>0.55683200194139293</v>
      </c>
      <c r="AE93" s="6"/>
    </row>
    <row r="94" spans="1:35">
      <c r="A94" s="62" t="s">
        <v>247</v>
      </c>
      <c r="B94" s="426">
        <f t="shared" si="45"/>
        <v>803.45555840000009</v>
      </c>
      <c r="C94" s="344">
        <v>122.43067040875729</v>
      </c>
      <c r="D94" s="319">
        <v>5.6133586128521857</v>
      </c>
      <c r="E94" s="309">
        <f t="shared" si="49"/>
        <v>128.04402902160948</v>
      </c>
      <c r="F94" s="349">
        <v>123.51375762291161</v>
      </c>
      <c r="H94" s="103">
        <v>249</v>
      </c>
      <c r="I94" s="135">
        <f t="shared" si="50"/>
        <v>241.56631009111368</v>
      </c>
      <c r="K94" s="299">
        <v>506.82013713989767</v>
      </c>
      <c r="L94" s="306">
        <f>K94*H94/1000</f>
        <v>126.19821414783452</v>
      </c>
      <c r="M94" s="299">
        <v>215</v>
      </c>
      <c r="N94" s="306">
        <f>M94*H94/1000</f>
        <v>53.534999999999997</v>
      </c>
      <c r="O94" s="556"/>
      <c r="P94" s="556"/>
      <c r="Q94" s="556"/>
      <c r="R94" s="556"/>
      <c r="T94" s="309">
        <f t="shared" ref="T94" si="51">D94+L94</f>
        <v>131.81157276068672</v>
      </c>
      <c r="U94" s="309">
        <f t="shared" ref="U94" si="52">D94+N94</f>
        <v>59.148358612852185</v>
      </c>
      <c r="AD94" s="77">
        <f t="shared" si="48"/>
        <v>360.91006856994886</v>
      </c>
      <c r="AE94" s="6"/>
    </row>
    <row r="95" spans="1:35">
      <c r="A95" s="2" t="s">
        <v>253</v>
      </c>
      <c r="B95" s="414">
        <f>SUM(B85:B94)</f>
        <v>2819.5973969158331</v>
      </c>
      <c r="C95" s="415">
        <f>SUM(C85:C94)</f>
        <v>395.84456908751883</v>
      </c>
      <c r="D95" s="432">
        <f>SUM(D85:D94)</f>
        <v>19.300392032220486</v>
      </c>
      <c r="E95" s="415">
        <f>SUM(E85:E94)</f>
        <v>415.14496111973938</v>
      </c>
      <c r="F95" s="432">
        <f>SUM(F85:F94)</f>
        <v>401.28137273581569</v>
      </c>
      <c r="H95" s="135"/>
      <c r="I95" s="155">
        <f t="shared" si="50"/>
        <v>243.50801831624324</v>
      </c>
      <c r="J95" s="10" t="s">
        <v>26</v>
      </c>
      <c r="K95" s="415">
        <f>SUM(K85:K94)</f>
        <v>1625.5915177849977</v>
      </c>
      <c r="L95" s="415">
        <f>SUM(L85:L94)</f>
        <v>418.05070511180992</v>
      </c>
      <c r="M95" s="415">
        <f>SUM(M85:M94)</f>
        <v>718.15938414250002</v>
      </c>
      <c r="N95" s="415">
        <f>SUM(N85:N94)</f>
        <v>188.64938935480376</v>
      </c>
      <c r="O95" s="558"/>
      <c r="P95" s="558"/>
      <c r="Q95" s="558"/>
      <c r="R95" s="558"/>
      <c r="S95" s="86"/>
      <c r="T95" s="133">
        <f>L95+$D$95</f>
        <v>437.3510971440304</v>
      </c>
      <c r="U95" s="133">
        <f>N95+$D$95</f>
        <v>207.94978138702425</v>
      </c>
      <c r="AD95" s="131">
        <f>SUM(AD85:AD94)</f>
        <v>1171.8754509637488</v>
      </c>
      <c r="AE95" s="6"/>
      <c r="AG95" s="120">
        <f>D95/E95</f>
        <v>4.6490729359120693E-2</v>
      </c>
      <c r="AH95" s="120">
        <f>D95/T95</f>
        <v>4.4130201474867674E-2</v>
      </c>
      <c r="AI95" s="120">
        <f>D95/U95</f>
        <v>9.2812754615498733E-2</v>
      </c>
    </row>
    <row r="96" spans="1:35">
      <c r="A96" s="2" t="s">
        <v>253</v>
      </c>
      <c r="C96" s="31"/>
      <c r="D96" s="498">
        <f>D95/F95</f>
        <v>4.8096904923934591E-2</v>
      </c>
      <c r="E96" s="31"/>
      <c r="F96" s="31"/>
      <c r="H96" s="150">
        <v>261</v>
      </c>
      <c r="I96" s="500">
        <f>1000*C95/M95</f>
        <v>551.19320004453743</v>
      </c>
      <c r="J96" s="87" t="s">
        <v>263</v>
      </c>
      <c r="K96" s="415">
        <f>SUM(K85:K94)</f>
        <v>1625.5915177849977</v>
      </c>
      <c r="L96" s="415">
        <f>K96*H96/1000</f>
        <v>424.2793861418844</v>
      </c>
      <c r="M96" s="415">
        <f>M95</f>
        <v>718.15938414250002</v>
      </c>
      <c r="N96" s="415">
        <f>M96*H96/1000</f>
        <v>187.43959926119251</v>
      </c>
      <c r="O96" s="558"/>
      <c r="P96" s="558"/>
      <c r="Q96" s="558"/>
      <c r="R96" s="558"/>
      <c r="S96" s="86"/>
      <c r="T96" s="133">
        <f>L96+$D$95</f>
        <v>443.57977817410489</v>
      </c>
      <c r="U96" s="133">
        <f>N96+$D$95</f>
        <v>206.739991293413</v>
      </c>
      <c r="W96" s="24" t="s">
        <v>214</v>
      </c>
      <c r="X96" s="69" t="s">
        <v>286</v>
      </c>
      <c r="Y96" s="24" t="s">
        <v>81</v>
      </c>
      <c r="Z96" s="69" t="s">
        <v>286</v>
      </c>
      <c r="AD96" s="69" t="s">
        <v>286</v>
      </c>
    </row>
    <row r="97" spans="1:31">
      <c r="H97" s="428">
        <f>1000*(F95-D95)/K95</f>
        <v>234.97968371788488</v>
      </c>
      <c r="I97" s="501">
        <f>1000*(F95-D95)/M95</f>
        <v>531.88886636869597</v>
      </c>
      <c r="W97" s="130">
        <f>AVERAGE(C95,L95,L96,N95,N96)</f>
        <v>322.8527297914419</v>
      </c>
      <c r="X97" s="131">
        <f>W97/10</f>
        <v>32.285272979144189</v>
      </c>
      <c r="Y97" s="133">
        <f>AVERAGE(E95,F95,T95,T96,U95,U96)</f>
        <v>352.00783030902124</v>
      </c>
      <c r="Z97" s="134">
        <f>Y97/10</f>
        <v>35.200783030902123</v>
      </c>
      <c r="AB97" s="128">
        <f>K95/10</f>
        <v>162.55915177849977</v>
      </c>
      <c r="AC97" s="128">
        <f>M95/10</f>
        <v>71.815938414249999</v>
      </c>
      <c r="AD97" s="128">
        <f>AVERAGE(AB97:AC97)</f>
        <v>117.18754509637489</v>
      </c>
      <c r="AE97" s="3" t="s">
        <v>83</v>
      </c>
    </row>
    <row r="99" spans="1:31" ht="64">
      <c r="I99" s="154" t="s">
        <v>135</v>
      </c>
      <c r="W99" s="24" t="s">
        <v>215</v>
      </c>
      <c r="X99" s="89" t="s">
        <v>287</v>
      </c>
      <c r="Y99" s="24" t="s">
        <v>82</v>
      </c>
      <c r="Z99" s="89" t="s">
        <v>287</v>
      </c>
      <c r="AA99" s="88"/>
      <c r="AB99" s="88"/>
      <c r="AC99" s="88"/>
      <c r="AD99" s="89" t="s">
        <v>287</v>
      </c>
    </row>
    <row r="100" spans="1:31">
      <c r="I100" s="155">
        <f>AVERAGE(I82,I95)</f>
        <v>260.98724878440811</v>
      </c>
      <c r="J100" s="3" t="s">
        <v>83</v>
      </c>
      <c r="W100" s="130">
        <f>AVERAGE(W84,W97)</f>
        <v>299.5438507127609</v>
      </c>
      <c r="X100" s="131">
        <f>AVERAGE(X84,X97)</f>
        <v>29.954385071276089</v>
      </c>
      <c r="Y100" s="133">
        <f>AVERAGE(Y84,Y97)</f>
        <v>329.80309501540569</v>
      </c>
      <c r="Z100" s="134">
        <f>AVERAGE(Z84,Z97)</f>
        <v>32.980309501540575</v>
      </c>
      <c r="AB100" s="128">
        <f>AVERAGE(AB84,AB97)</f>
        <v>145.83399343316148</v>
      </c>
      <c r="AC100" s="128">
        <f>AVERAGE(AC84,AC97)</f>
        <v>71.828767380962489</v>
      </c>
      <c r="AD100" s="128">
        <f>AVERAGE(AD84,AD97)</f>
        <v>108.831380407062</v>
      </c>
      <c r="AE100" s="3" t="s">
        <v>132</v>
      </c>
    </row>
    <row r="101" spans="1:31">
      <c r="H101" s="496">
        <f t="shared" ref="H101:I101" si="53">AVERAGE(H83,H96)</f>
        <v>261</v>
      </c>
      <c r="I101" s="502">
        <f t="shared" si="53"/>
        <v>525.81711693085992</v>
      </c>
    </row>
    <row r="102" spans="1:31">
      <c r="H102" s="497">
        <f t="shared" ref="H102:I102" si="54">AVERAGE(H84,H97)</f>
        <v>253.50289590673469</v>
      </c>
      <c r="I102" s="501">
        <f t="shared" si="54"/>
        <v>510.37785139326706</v>
      </c>
      <c r="Z102" s="86"/>
    </row>
    <row r="103" spans="1:31">
      <c r="A103" s="48"/>
      <c r="B103" s="48"/>
      <c r="C103" s="48"/>
      <c r="D103" s="48"/>
      <c r="E103" s="48"/>
      <c r="F103" s="48"/>
      <c r="G103" s="48"/>
      <c r="J103" s="48"/>
      <c r="K103" s="48"/>
      <c r="L103" s="48"/>
      <c r="M103" s="48"/>
      <c r="N103" s="48"/>
      <c r="O103" s="48"/>
      <c r="P103" s="48"/>
      <c r="Q103" s="48"/>
      <c r="R103" s="48"/>
    </row>
    <row r="104" spans="1:31">
      <c r="H104" s="150">
        <f>H96</f>
        <v>261</v>
      </c>
      <c r="I104" t="s">
        <v>318</v>
      </c>
    </row>
    <row r="105" spans="1:31">
      <c r="A105" t="s">
        <v>278</v>
      </c>
      <c r="C105" s="454"/>
      <c r="H105" s="155">
        <v>265.10462385211531</v>
      </c>
      <c r="I105" t="s">
        <v>317</v>
      </c>
    </row>
    <row r="106" spans="1:31">
      <c r="H106" s="497">
        <f>H102</f>
        <v>253.50289590673469</v>
      </c>
      <c r="I106" t="s">
        <v>319</v>
      </c>
    </row>
    <row r="107" spans="1:31">
      <c r="A107" t="s">
        <v>279</v>
      </c>
      <c r="C107" s="308"/>
      <c r="D107" s="314"/>
      <c r="E107" s="311"/>
      <c r="H107" s="502">
        <f>I101</f>
        <v>525.81711693085992</v>
      </c>
      <c r="I107" t="s">
        <v>320</v>
      </c>
    </row>
    <row r="108" spans="1:31">
      <c r="H108" s="501">
        <f>I102</f>
        <v>510.37785139326706</v>
      </c>
      <c r="I108" t="s">
        <v>321</v>
      </c>
    </row>
  </sheetData>
  <mergeCells count="5">
    <mergeCell ref="Y3:Z3"/>
    <mergeCell ref="AB3:AD3"/>
    <mergeCell ref="A1:AE1"/>
    <mergeCell ref="A2:AE2"/>
    <mergeCell ref="W3:X3"/>
  </mergeCells>
  <conditionalFormatting sqref="A39:A40">
    <cfRule type="duplicateValues" dxfId="8" priority="1"/>
  </conditionalFormatting>
  <pageMargins left="0.7" right="0.7" top="0.75" bottom="0.75" header="0.3" footer="0.3"/>
  <pageSetup scale="30" orientation="landscape" verticalDpi="1200" r:id="rId1"/>
  <headerFooter>
    <oddHeader>&amp;LDraft &amp;RU.S. GEOLOGICAL SURVEY</oddHeader>
    <oddFooter>&amp;LPRELIMINARY - SUBJECT TO REVISION&amp;ROctober 21, 2019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58AE1-0546-441B-8440-6FF82ED9D83D}">
  <sheetPr>
    <tabColor theme="5" tint="0.59999389629810485"/>
  </sheetPr>
  <dimension ref="A1:AK108"/>
  <sheetViews>
    <sheetView tabSelected="1" zoomScaleNormal="100" workbookViewId="0">
      <pane xSplit="1" ySplit="6" topLeftCell="B13" activePane="bottomRight" state="frozen"/>
      <selection pane="topRight" activeCell="B1" sqref="B1"/>
      <selection pane="bottomLeft" activeCell="A7" sqref="A7"/>
      <selection pane="bottomRight" activeCell="O30" sqref="O30"/>
    </sheetView>
  </sheetViews>
  <sheetFormatPr baseColWidth="10" defaultColWidth="8.83203125" defaultRowHeight="15"/>
  <cols>
    <col min="1" max="1" width="40" customWidth="1"/>
    <col min="2" max="2" width="9.83203125" bestFit="1" customWidth="1"/>
    <col min="3" max="3" width="10.33203125" customWidth="1"/>
    <col min="4" max="4" width="6.83203125" customWidth="1"/>
    <col min="5" max="5" width="7.1640625" bestFit="1" customWidth="1"/>
    <col min="6" max="6" width="7.5" bestFit="1" customWidth="1"/>
    <col min="7" max="7" width="2.1640625" customWidth="1"/>
    <col min="8" max="8" width="10.1640625" customWidth="1"/>
    <col min="9" max="9" width="12.5" customWidth="1"/>
    <col min="10" max="10" width="5.5" customWidth="1"/>
    <col min="11" max="11" width="6.5" customWidth="1"/>
    <col min="12" max="12" width="10.5" customWidth="1"/>
    <col min="13" max="13" width="9.83203125" customWidth="1"/>
    <col min="14" max="14" width="7.5" bestFit="1" customWidth="1"/>
    <col min="15" max="17" width="7.5" customWidth="1"/>
    <col min="18" max="18" width="9.1640625" customWidth="1"/>
    <col min="19" max="19" width="1.5" customWidth="1"/>
    <col min="20" max="20" width="12.83203125" bestFit="1" customWidth="1"/>
    <col min="21" max="21" width="14" customWidth="1"/>
    <col min="22" max="22" width="1" customWidth="1"/>
    <col min="23" max="23" width="9.5" bestFit="1" customWidth="1"/>
    <col min="24" max="24" width="13" customWidth="1"/>
    <col min="25" max="25" width="11.5" bestFit="1" customWidth="1"/>
    <col min="26" max="26" width="11.83203125" bestFit="1" customWidth="1"/>
    <col min="27" max="27" width="1.1640625" customWidth="1"/>
    <col min="28" max="28" width="8.83203125" bestFit="1" customWidth="1"/>
    <col min="29" max="29" width="9.5" bestFit="1" customWidth="1"/>
    <col min="30" max="30" width="18.33203125" bestFit="1" customWidth="1"/>
    <col min="31" max="31" width="6.5" customWidth="1"/>
  </cols>
  <sheetData>
    <row r="1" spans="1:31" ht="21" customHeight="1">
      <c r="A1" s="618" t="s">
        <v>276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  <c r="R1" s="618"/>
      <c r="S1" s="618"/>
      <c r="T1" s="618"/>
      <c r="U1" s="618"/>
      <c r="V1" s="618"/>
      <c r="W1" s="618"/>
      <c r="X1" s="618"/>
      <c r="Y1" s="618"/>
      <c r="Z1" s="618"/>
      <c r="AA1" s="618"/>
      <c r="AB1" s="618"/>
      <c r="AC1" s="618"/>
      <c r="AD1" s="618"/>
      <c r="AE1" s="618"/>
    </row>
    <row r="2" spans="1:31" ht="54.5" customHeight="1">
      <c r="A2" s="619" t="s">
        <v>137</v>
      </c>
      <c r="B2" s="619"/>
      <c r="C2" s="619"/>
      <c r="D2" s="619"/>
      <c r="E2" s="619"/>
      <c r="F2" s="619"/>
      <c r="G2" s="619"/>
      <c r="H2" s="619"/>
      <c r="I2" s="619"/>
      <c r="J2" s="619"/>
      <c r="K2" s="619"/>
      <c r="L2" s="619"/>
      <c r="M2" s="619"/>
      <c r="N2" s="619"/>
      <c r="O2" s="619"/>
      <c r="P2" s="619"/>
      <c r="Q2" s="619"/>
      <c r="R2" s="619"/>
      <c r="S2" s="619"/>
      <c r="T2" s="619"/>
      <c r="U2" s="619"/>
      <c r="V2" s="619"/>
      <c r="W2" s="619"/>
      <c r="X2" s="619"/>
      <c r="Y2" s="619"/>
      <c r="Z2" s="619"/>
      <c r="AA2" s="619"/>
      <c r="AB2" s="619"/>
      <c r="AC2" s="619"/>
      <c r="AD2" s="619"/>
      <c r="AE2" s="619"/>
    </row>
    <row r="3" spans="1:31">
      <c r="W3" s="617" t="s">
        <v>86</v>
      </c>
      <c r="X3" s="617"/>
      <c r="Y3" s="617" t="s">
        <v>86</v>
      </c>
      <c r="Z3" s="617"/>
      <c r="AA3" s="43"/>
      <c r="AB3" s="617" t="s">
        <v>87</v>
      </c>
      <c r="AC3" s="617"/>
      <c r="AD3" s="617"/>
    </row>
    <row r="4" spans="1:31">
      <c r="B4" s="42" t="s">
        <v>27</v>
      </c>
      <c r="C4" s="40" t="s">
        <v>56</v>
      </c>
      <c r="D4" s="40" t="s">
        <v>57</v>
      </c>
      <c r="E4" s="377" t="s">
        <v>58</v>
      </c>
      <c r="F4" s="377" t="s">
        <v>59</v>
      </c>
      <c r="G4" s="43"/>
      <c r="H4" s="40" t="s">
        <v>56</v>
      </c>
      <c r="I4" s="40" t="s">
        <v>56</v>
      </c>
      <c r="J4" s="378"/>
      <c r="K4" s="40" t="s">
        <v>16</v>
      </c>
      <c r="L4" s="40" t="s">
        <v>60</v>
      </c>
      <c r="M4" s="40" t="s">
        <v>17</v>
      </c>
      <c r="N4" s="40" t="s">
        <v>61</v>
      </c>
      <c r="O4" s="40" t="s">
        <v>332</v>
      </c>
      <c r="P4" s="40" t="s">
        <v>334</v>
      </c>
      <c r="Q4" s="40" t="s">
        <v>333</v>
      </c>
      <c r="R4" s="40" t="s">
        <v>335</v>
      </c>
      <c r="T4" s="40" t="s">
        <v>68</v>
      </c>
      <c r="U4" s="40" t="s">
        <v>69</v>
      </c>
      <c r="W4" s="40" t="s">
        <v>70</v>
      </c>
      <c r="X4" s="40" t="s">
        <v>70</v>
      </c>
      <c r="Y4" s="377" t="s">
        <v>70</v>
      </c>
      <c r="Z4" s="377" t="s">
        <v>70</v>
      </c>
      <c r="AB4" s="40" t="s">
        <v>70</v>
      </c>
      <c r="AC4" s="40" t="s">
        <v>70</v>
      </c>
      <c r="AD4" s="40" t="s">
        <v>79</v>
      </c>
    </row>
    <row r="5" spans="1:31">
      <c r="B5" s="377" t="s">
        <v>30</v>
      </c>
      <c r="C5" s="377" t="s">
        <v>31</v>
      </c>
      <c r="D5" s="377" t="s">
        <v>31</v>
      </c>
      <c r="E5" s="377" t="s">
        <v>31</v>
      </c>
      <c r="F5" s="377" t="s">
        <v>31</v>
      </c>
      <c r="G5" s="43"/>
      <c r="H5" s="40" t="s">
        <v>29</v>
      </c>
      <c r="I5" s="40" t="s">
        <v>29</v>
      </c>
      <c r="J5" s="378"/>
      <c r="K5" s="377" t="s">
        <v>31</v>
      </c>
      <c r="L5" s="377" t="s">
        <v>31</v>
      </c>
      <c r="M5" s="377" t="s">
        <v>31</v>
      </c>
      <c r="N5" s="377" t="s">
        <v>31</v>
      </c>
      <c r="O5" s="554" t="s">
        <v>31</v>
      </c>
      <c r="P5" s="555" t="s">
        <v>31</v>
      </c>
      <c r="Q5" s="583" t="s">
        <v>31</v>
      </c>
      <c r="R5" s="583" t="s">
        <v>31</v>
      </c>
      <c r="T5" s="377" t="s">
        <v>31</v>
      </c>
      <c r="U5" s="377" t="s">
        <v>31</v>
      </c>
      <c r="W5" s="40" t="s">
        <v>138</v>
      </c>
      <c r="X5" s="40" t="s">
        <v>138</v>
      </c>
      <c r="Y5" s="377" t="s">
        <v>71</v>
      </c>
      <c r="Z5" s="377" t="s">
        <v>71</v>
      </c>
      <c r="AB5" s="40" t="s">
        <v>76</v>
      </c>
      <c r="AC5" s="40" t="s">
        <v>77</v>
      </c>
      <c r="AD5" s="377" t="s">
        <v>80</v>
      </c>
    </row>
    <row r="6" spans="1:31" ht="54.5" customHeight="1">
      <c r="A6" s="17"/>
      <c r="B6" s="375" t="s">
        <v>28</v>
      </c>
      <c r="C6" s="18" t="s">
        <v>8</v>
      </c>
      <c r="D6" s="18" t="s">
        <v>8</v>
      </c>
      <c r="E6" s="375" t="s">
        <v>8</v>
      </c>
      <c r="F6" s="375" t="s">
        <v>8</v>
      </c>
      <c r="G6" s="20"/>
      <c r="H6" s="21" t="s">
        <v>136</v>
      </c>
      <c r="I6" s="21" t="s">
        <v>134</v>
      </c>
      <c r="J6" s="22"/>
      <c r="K6" s="18" t="s">
        <v>13</v>
      </c>
      <c r="L6" s="18" t="s">
        <v>8</v>
      </c>
      <c r="M6" s="18" t="s">
        <v>13</v>
      </c>
      <c r="N6" s="18" t="s">
        <v>8</v>
      </c>
      <c r="O6" s="18" t="s">
        <v>13</v>
      </c>
      <c r="P6" s="564" t="s">
        <v>8</v>
      </c>
      <c r="Q6" s="18" t="s">
        <v>13</v>
      </c>
      <c r="R6" s="18" t="s">
        <v>8</v>
      </c>
      <c r="T6" s="18" t="s">
        <v>8</v>
      </c>
      <c r="U6" s="18" t="s">
        <v>8</v>
      </c>
      <c r="W6" s="18" t="s">
        <v>290</v>
      </c>
      <c r="X6" s="18" t="s">
        <v>72</v>
      </c>
      <c r="Y6" s="18" t="s">
        <v>289</v>
      </c>
      <c r="Z6" s="375" t="s">
        <v>72</v>
      </c>
      <c r="AB6" s="18" t="s">
        <v>78</v>
      </c>
      <c r="AC6" s="18" t="s">
        <v>78</v>
      </c>
      <c r="AD6" s="18" t="s">
        <v>78</v>
      </c>
    </row>
    <row r="7" spans="1:31" ht="16">
      <c r="A7" s="1" t="s">
        <v>257</v>
      </c>
      <c r="C7" s="6"/>
      <c r="D7" s="6"/>
      <c r="H7" s="10"/>
      <c r="AD7" s="37"/>
    </row>
    <row r="8" spans="1:31">
      <c r="A8" s="62" t="s">
        <v>88</v>
      </c>
      <c r="B8" s="72">
        <v>328</v>
      </c>
      <c r="C8" s="453">
        <v>89</v>
      </c>
      <c r="D8" s="453">
        <f>F8-C8</f>
        <v>3</v>
      </c>
      <c r="E8" s="2"/>
      <c r="F8" s="453">
        <v>92</v>
      </c>
      <c r="H8" s="103">
        <v>326.17268423557539</v>
      </c>
      <c r="I8" s="2"/>
      <c r="K8" s="453">
        <v>357</v>
      </c>
      <c r="L8" s="2"/>
      <c r="M8" s="374" t="s">
        <v>268</v>
      </c>
      <c r="N8" s="2"/>
      <c r="O8" s="573">
        <v>168.84270160813401</v>
      </c>
      <c r="P8" s="379">
        <f>O8*'T4a. THg loads daily calib'!H8/1000</f>
        <v>55.07187719711137</v>
      </c>
      <c r="Q8" s="579"/>
      <c r="R8" s="579"/>
      <c r="T8" s="2"/>
      <c r="U8" s="2"/>
      <c r="AD8" s="37"/>
    </row>
    <row r="9" spans="1:31">
      <c r="A9" s="62" t="s">
        <v>95</v>
      </c>
      <c r="B9" s="72">
        <v>390.47352960000006</v>
      </c>
      <c r="C9" s="5"/>
      <c r="D9" s="5"/>
      <c r="E9" s="2"/>
      <c r="F9" s="2"/>
      <c r="H9" s="103">
        <v>122.72707858916222</v>
      </c>
      <c r="I9" s="2"/>
      <c r="K9" s="2"/>
      <c r="L9" s="2"/>
      <c r="M9" s="342">
        <v>215.49538080000002</v>
      </c>
      <c r="N9" s="2"/>
      <c r="O9" s="143">
        <v>173.76345690598339</v>
      </c>
      <c r="P9" s="379">
        <f>O9*'T4a. THg loads daily calib'!H9/1000</f>
        <v>21.325481431625125</v>
      </c>
      <c r="Q9" s="579"/>
      <c r="R9" s="579"/>
      <c r="T9" s="2"/>
      <c r="U9" s="2"/>
      <c r="AD9" s="37"/>
    </row>
    <row r="10" spans="1:31">
      <c r="A10" s="62" t="s">
        <v>125</v>
      </c>
      <c r="B10" s="72">
        <v>1254.6041728</v>
      </c>
      <c r="C10" s="5"/>
      <c r="D10" s="5"/>
      <c r="E10" s="2"/>
      <c r="F10" s="2"/>
      <c r="H10" s="103">
        <v>259.08517178557992</v>
      </c>
      <c r="I10" s="2"/>
      <c r="K10" s="2"/>
      <c r="L10" s="2"/>
      <c r="M10" s="342">
        <v>1124.9280000000001</v>
      </c>
      <c r="N10" s="2"/>
      <c r="O10" s="588">
        <v>1843.2950242070947</v>
      </c>
      <c r="P10" s="379">
        <f>O10*'T4a. THg loads daily calib'!H10/1000</f>
        <v>477.57040799819981</v>
      </c>
      <c r="Q10" s="579"/>
      <c r="R10" s="579"/>
      <c r="T10" s="2"/>
      <c r="U10" s="2"/>
      <c r="AD10" s="37"/>
    </row>
    <row r="11" spans="1:31">
      <c r="A11" s="62" t="s">
        <v>128</v>
      </c>
      <c r="B11" s="72">
        <v>250.5293824</v>
      </c>
      <c r="C11" s="5"/>
      <c r="D11" s="5"/>
      <c r="E11" s="2"/>
      <c r="F11" s="2"/>
      <c r="H11" s="103">
        <v>196.88449239377709</v>
      </c>
      <c r="I11" s="2"/>
      <c r="K11" s="2"/>
      <c r="L11" s="2"/>
      <c r="M11" s="342">
        <v>3.837456</v>
      </c>
      <c r="N11" s="2"/>
      <c r="O11" s="143">
        <v>64.441603587667387</v>
      </c>
      <c r="P11" s="379">
        <f>O11*'T4a. THg loads daily calib'!H11/1000</f>
        <v>12.687552411398897</v>
      </c>
      <c r="Q11" s="579"/>
      <c r="R11" s="579"/>
      <c r="T11" s="2"/>
      <c r="U11" s="2"/>
      <c r="AD11" s="37"/>
    </row>
    <row r="12" spans="1:31">
      <c r="A12" s="62" t="s">
        <v>247</v>
      </c>
      <c r="B12" s="72">
        <v>877.58681120000017</v>
      </c>
      <c r="C12" s="5"/>
      <c r="D12" s="5"/>
      <c r="E12" s="2"/>
      <c r="F12" s="2"/>
      <c r="H12" s="103">
        <v>229.16823329987565</v>
      </c>
      <c r="I12" s="2"/>
      <c r="K12" s="2"/>
      <c r="L12" s="2"/>
      <c r="M12" s="342">
        <v>739.36800000000005</v>
      </c>
      <c r="N12" s="2"/>
      <c r="O12" s="77">
        <v>1071.9706306645487</v>
      </c>
      <c r="P12" s="379">
        <f>O12*'T4a. THg loads daily calib'!H12/1000</f>
        <v>245.66161557874813</v>
      </c>
      <c r="Q12" s="579"/>
      <c r="R12" s="579"/>
      <c r="T12" s="2"/>
      <c r="U12" s="2"/>
      <c r="AD12" s="37"/>
    </row>
    <row r="13" spans="1:31">
      <c r="A13" s="2" t="s">
        <v>258</v>
      </c>
      <c r="B13" s="146">
        <f>SUM(B8:B12)</f>
        <v>3101.1938960000002</v>
      </c>
      <c r="C13" s="5"/>
      <c r="D13" s="5"/>
      <c r="E13" s="2"/>
      <c r="F13" s="2"/>
      <c r="H13" s="392"/>
      <c r="I13" s="2"/>
      <c r="J13" s="10" t="s">
        <v>26</v>
      </c>
      <c r="K13" s="2"/>
      <c r="L13" s="2"/>
      <c r="M13" s="2"/>
      <c r="N13" s="2"/>
      <c r="O13" s="415">
        <f>SUM(O8:O12)</f>
        <v>3322.3134169734285</v>
      </c>
      <c r="P13" s="584">
        <f>SUM(P8:P12)</f>
        <v>812.31693461708323</v>
      </c>
      <c r="Q13" s="585"/>
      <c r="R13" s="585"/>
      <c r="T13" s="2"/>
      <c r="U13" s="2"/>
      <c r="AD13" s="37"/>
    </row>
    <row r="14" spans="1:31">
      <c r="A14" s="2" t="s">
        <v>258</v>
      </c>
      <c r="B14" s="2"/>
      <c r="C14" s="5"/>
      <c r="D14" s="5"/>
      <c r="E14" s="2"/>
      <c r="F14" s="2"/>
      <c r="H14" s="199">
        <v>236</v>
      </c>
      <c r="I14" s="2"/>
      <c r="J14" s="87" t="s">
        <v>265</v>
      </c>
      <c r="K14" s="2"/>
      <c r="L14" s="2"/>
      <c r="M14" s="2"/>
      <c r="N14" s="2"/>
      <c r="O14" s="417">
        <f>SUM(O8:O12)</f>
        <v>3322.3134169734285</v>
      </c>
      <c r="P14" s="584">
        <f>'T4a. THg loads daily calib'!H14*O14/1000</f>
        <v>784.06596640572923</v>
      </c>
      <c r="Q14" s="585"/>
      <c r="R14" s="585"/>
      <c r="T14" s="2"/>
      <c r="U14" s="2"/>
      <c r="AD14" s="37"/>
    </row>
    <row r="15" spans="1:31" ht="16">
      <c r="A15" s="1" t="s">
        <v>255</v>
      </c>
      <c r="C15" s="6"/>
      <c r="D15" s="6"/>
      <c r="H15" s="10"/>
      <c r="AD15" s="37"/>
    </row>
    <row r="16" spans="1:31">
      <c r="A16" s="62" t="s">
        <v>125</v>
      </c>
      <c r="B16" s="72">
        <v>1055.6975440000001</v>
      </c>
      <c r="C16" s="379">
        <v>543.56873838503031</v>
      </c>
      <c r="D16" s="384">
        <v>6.6462147055163641</v>
      </c>
      <c r="E16" s="386">
        <f>C16+D16</f>
        <v>550.21495309054671</v>
      </c>
      <c r="F16" s="386">
        <v>511.70028637047432</v>
      </c>
      <c r="H16" s="103">
        <v>231.36237226697207</v>
      </c>
      <c r="I16" s="135">
        <f>1000*C16/K16</f>
        <v>303.14313045612658</v>
      </c>
      <c r="K16" s="77">
        <v>1793.1092074134933</v>
      </c>
      <c r="L16" s="409">
        <f>K16*H16/1000</f>
        <v>414.8579999609359</v>
      </c>
      <c r="M16" s="77">
        <v>1064.1900528000001</v>
      </c>
      <c r="N16" s="379">
        <f>M16*H16/1000</f>
        <v>246.21353515872229</v>
      </c>
      <c r="O16" s="77">
        <v>1284.5707283726993</v>
      </c>
      <c r="P16" s="379">
        <f>O16*'T4a. THg loads daily calib'!H16/1000</f>
        <v>297.20133106101991</v>
      </c>
      <c r="Q16" s="579"/>
      <c r="R16" s="579"/>
      <c r="T16" s="386">
        <f t="shared" ref="T16:T18" si="0">D16+L16</f>
        <v>421.50421466645224</v>
      </c>
      <c r="U16" s="386">
        <f t="shared" ref="U16:U18" si="1">D16+N16</f>
        <v>252.85974986423867</v>
      </c>
      <c r="AD16" s="37"/>
    </row>
    <row r="17" spans="1:37">
      <c r="A17" s="62" t="s">
        <v>128</v>
      </c>
      <c r="B17" s="72">
        <v>17.287506015999998</v>
      </c>
      <c r="C17" s="380">
        <v>0.65945601009203914</v>
      </c>
      <c r="D17" s="385">
        <v>3.8883067762065432E-2</v>
      </c>
      <c r="E17" s="387">
        <f t="shared" ref="E17:E18" si="2">C17+D17</f>
        <v>0.69833907785410454</v>
      </c>
      <c r="F17" s="387">
        <v>0.66967672731008587</v>
      </c>
      <c r="H17" s="103">
        <v>149.87609630133861</v>
      </c>
      <c r="I17" s="135">
        <f>1000*C17/K17</f>
        <v>144.14776607662529</v>
      </c>
      <c r="K17" s="408">
        <v>4.5748611167618725</v>
      </c>
      <c r="L17" s="410">
        <f t="shared" ref="L17:L18" si="3">K17*H17/1000</f>
        <v>0.68566232530105187</v>
      </c>
      <c r="M17" s="36">
        <v>2.8213919999999999</v>
      </c>
      <c r="N17" s="379">
        <f t="shared" ref="N17:N18" si="4">M17*H17/1000</f>
        <v>0.4228592190958263</v>
      </c>
      <c r="O17" s="36">
        <v>1.7666781118794652</v>
      </c>
      <c r="P17" s="379">
        <f>O17*'T4a. THg loads daily calib'!H17/1000</f>
        <v>0.26478281882951382</v>
      </c>
      <c r="Q17" s="579"/>
      <c r="R17" s="579"/>
      <c r="T17" s="386">
        <f t="shared" si="0"/>
        <v>0.72454539306311727</v>
      </c>
      <c r="U17" s="386">
        <f t="shared" si="1"/>
        <v>0.46174228685789176</v>
      </c>
      <c r="AD17" s="37"/>
    </row>
    <row r="18" spans="1:37">
      <c r="A18" s="62" t="s">
        <v>247</v>
      </c>
      <c r="B18" s="340">
        <v>828.16597600000011</v>
      </c>
      <c r="C18" s="379">
        <v>342.71270383821809</v>
      </c>
      <c r="D18" s="384">
        <v>5.2066380859868033</v>
      </c>
      <c r="E18" s="386">
        <f t="shared" si="2"/>
        <v>347.9193419242049</v>
      </c>
      <c r="F18" s="386">
        <v>325.71044427770522</v>
      </c>
      <c r="H18" s="103">
        <v>248.64603689263458</v>
      </c>
      <c r="I18" s="135">
        <f t="shared" ref="I18" si="5">1000*C18/K18</f>
        <v>245.76401106926301</v>
      </c>
      <c r="K18" s="77">
        <v>1394.4788024379707</v>
      </c>
      <c r="L18" s="409">
        <f t="shared" si="3"/>
        <v>346.73162775698859</v>
      </c>
      <c r="M18" s="77">
        <v>733.9248</v>
      </c>
      <c r="N18" s="379">
        <f t="shared" si="4"/>
        <v>182.48749289721945</v>
      </c>
      <c r="O18" s="77">
        <v>1019.3538419631114</v>
      </c>
      <c r="P18" s="379">
        <f>O18*'T4a. THg loads daily calib'!H18/1000</f>
        <v>253.45829299540861</v>
      </c>
      <c r="Q18" s="579"/>
      <c r="R18" s="579"/>
      <c r="T18" s="386">
        <f t="shared" si="0"/>
        <v>351.9382658429754</v>
      </c>
      <c r="U18" s="386">
        <f t="shared" si="1"/>
        <v>187.69413098320626</v>
      </c>
      <c r="AD18" s="37"/>
    </row>
    <row r="19" spans="1:37">
      <c r="A19" s="2" t="s">
        <v>262</v>
      </c>
      <c r="B19" s="414">
        <f>SUM(B16:B18)</f>
        <v>1901.1510260160003</v>
      </c>
      <c r="C19" s="415">
        <f t="shared" ref="C19:F19" si="6">SUM(C16:C18)</f>
        <v>886.94089823334048</v>
      </c>
      <c r="D19" s="416">
        <f t="shared" si="6"/>
        <v>11.891735859265232</v>
      </c>
      <c r="E19" s="415">
        <f t="shared" si="6"/>
        <v>898.83263409260576</v>
      </c>
      <c r="F19" s="415">
        <f t="shared" si="6"/>
        <v>838.08040737548959</v>
      </c>
      <c r="H19" s="582">
        <f>1000*C19/O19</f>
        <v>384.67461713725748</v>
      </c>
      <c r="I19" s="155">
        <f>1000*C19/K19</f>
        <v>277.84951272374127</v>
      </c>
      <c r="J19" s="10" t="s">
        <v>26</v>
      </c>
      <c r="K19" s="415">
        <f t="shared" ref="K19:M19" si="7">SUM(K16:K18)</f>
        <v>3192.1628709682259</v>
      </c>
      <c r="L19" s="415">
        <f t="shared" si="7"/>
        <v>762.2752900432256</v>
      </c>
      <c r="M19" s="415">
        <f t="shared" si="7"/>
        <v>1800.9362448000002</v>
      </c>
      <c r="N19" s="415">
        <f>SUM(N16:N18)</f>
        <v>429.12388727503753</v>
      </c>
      <c r="O19" s="415">
        <f>SUM(O16:O18)</f>
        <v>2305.6912484476902</v>
      </c>
      <c r="P19" s="415">
        <f>SUM(P16:P18)</f>
        <v>550.924406875258</v>
      </c>
      <c r="Q19" s="558"/>
      <c r="R19" s="558"/>
      <c r="T19" s="415">
        <f t="shared" ref="T19" si="8">SUM(T16:T18)</f>
        <v>774.16702590249076</v>
      </c>
      <c r="U19" s="415">
        <f t="shared" ref="U19" si="9">SUM(U16:U18)</f>
        <v>441.01562313430281</v>
      </c>
      <c r="AD19" s="37"/>
    </row>
    <row r="20" spans="1:37">
      <c r="A20" s="2" t="s">
        <v>262</v>
      </c>
      <c r="B20" s="2"/>
      <c r="C20" s="5"/>
      <c r="D20" s="499">
        <f>D19/F19</f>
        <v>1.4189254103320561E-2</v>
      </c>
      <c r="E20" s="2"/>
      <c r="F20" s="2"/>
      <c r="H20" s="199">
        <v>238</v>
      </c>
      <c r="I20" s="502">
        <f>1000*C19/M19</f>
        <v>492.48878231768731</v>
      </c>
      <c r="J20" s="87" t="s">
        <v>242</v>
      </c>
      <c r="K20" s="415">
        <f>SUM(K16:K18)</f>
        <v>3192.1628709682259</v>
      </c>
      <c r="L20" s="420">
        <f>K20*H20/1000</f>
        <v>759.73476329043774</v>
      </c>
      <c r="M20" s="415">
        <f>SUM(M16:M18)</f>
        <v>1800.9362448000002</v>
      </c>
      <c r="N20" s="420">
        <f>M20*$H20/1000</f>
        <v>428.6228262624</v>
      </c>
      <c r="O20" s="562">
        <f>SUM(O16:O18)</f>
        <v>2305.6912484476902</v>
      </c>
      <c r="P20" s="420">
        <f>O20*$H20/1000</f>
        <v>548.7545171305502</v>
      </c>
      <c r="Q20" s="558"/>
      <c r="R20" s="558"/>
      <c r="T20" s="2"/>
      <c r="U20" s="2"/>
      <c r="AD20" s="37"/>
    </row>
    <row r="21" spans="1:37" ht="16">
      <c r="A21" s="1" t="s">
        <v>259</v>
      </c>
      <c r="C21" s="6"/>
      <c r="D21" s="6"/>
      <c r="H21" s="428">
        <f>1000*(F19-D19)/K19</f>
        <v>258.81783133002551</v>
      </c>
      <c r="I21" s="501">
        <f>1000*(F19-D19)/M19</f>
        <v>458.75509135970287</v>
      </c>
      <c r="AD21" s="37"/>
    </row>
    <row r="22" spans="1:37">
      <c r="A22" s="2" t="s">
        <v>1</v>
      </c>
      <c r="B22" s="72">
        <v>204.980803196007</v>
      </c>
      <c r="C22" s="379">
        <v>43.42698396681844</v>
      </c>
      <c r="D22" s="395">
        <v>0.99647993807404811</v>
      </c>
      <c r="E22" s="386">
        <f>C22+D22</f>
        <v>44.423463904892486</v>
      </c>
      <c r="F22" s="386">
        <v>41.291460575463063</v>
      </c>
      <c r="H22" s="103">
        <v>251.97126970307443</v>
      </c>
      <c r="I22" s="135">
        <f>1000*C22/K22</f>
        <v>218.99081723809758</v>
      </c>
      <c r="J22" s="10"/>
      <c r="K22" s="407">
        <v>198.30504545586717</v>
      </c>
      <c r="L22" s="379">
        <f>K22*H22/1000</f>
        <v>49.967174092040736</v>
      </c>
      <c r="M22" s="143">
        <v>180.9888007335</v>
      </c>
      <c r="N22" s="379">
        <f>M22*H22/1000</f>
        <v>45.603977922856721</v>
      </c>
      <c r="O22" s="407">
        <v>69.414038592076182</v>
      </c>
      <c r="P22" s="379">
        <f>O22*'T4a. THg loads daily calib'!$H22/1000</f>
        <v>17.490343439263643</v>
      </c>
      <c r="Q22" s="579"/>
      <c r="R22" s="579"/>
      <c r="T22" s="386">
        <f t="shared" ref="T22:T29" si="10">D22+L22</f>
        <v>50.963654030114782</v>
      </c>
      <c r="U22" s="386">
        <f>D22+N22</f>
        <v>46.600457860930767</v>
      </c>
      <c r="AC22" s="48"/>
      <c r="AD22" s="46"/>
      <c r="AE22" s="48"/>
      <c r="AF22" s="48"/>
      <c r="AG22" s="48"/>
      <c r="AH22" s="48"/>
      <c r="AI22" s="48"/>
      <c r="AJ22" s="48"/>
      <c r="AK22" s="48"/>
    </row>
    <row r="23" spans="1:37">
      <c r="A23" s="2" t="s">
        <v>2</v>
      </c>
      <c r="B23" s="72">
        <v>485</v>
      </c>
      <c r="C23" s="379">
        <v>143.10263111342047</v>
      </c>
      <c r="D23" s="396">
        <v>2.2495497598278549</v>
      </c>
      <c r="E23" s="386">
        <f t="shared" ref="E23:E29" si="11">C23+D23</f>
        <v>145.35218087324833</v>
      </c>
      <c r="F23" s="386">
        <v>131.92429124874087</v>
      </c>
      <c r="H23" s="103">
        <v>209.22078643146409</v>
      </c>
      <c r="I23" s="135">
        <f t="shared" ref="I23:I29" si="12">1000*C23/K23</f>
        <v>217.05401881413687</v>
      </c>
      <c r="J23" s="10"/>
      <c r="K23" s="77">
        <v>659.29500819774785</v>
      </c>
      <c r="L23" s="379">
        <f t="shared" ref="L23:L29" si="13">K23*H23/1000</f>
        <v>137.93822010547137</v>
      </c>
      <c r="M23" s="77">
        <v>377</v>
      </c>
      <c r="N23" s="379">
        <f t="shared" ref="N23:N29" si="14">M23*H23/1000</f>
        <v>78.876236484661959</v>
      </c>
      <c r="O23" s="77">
        <v>261.74823820379896</v>
      </c>
      <c r="P23" s="379">
        <f>O23*'T4a. THg loads daily calib'!$H23/1000</f>
        <v>54.763172244049009</v>
      </c>
      <c r="Q23" s="579"/>
      <c r="R23" s="579"/>
      <c r="T23" s="386">
        <f t="shared" si="10"/>
        <v>140.18776986529923</v>
      </c>
      <c r="U23" s="386">
        <f t="shared" ref="U23:U28" si="15">D23+N23</f>
        <v>81.125786244489817</v>
      </c>
      <c r="AC23" s="48"/>
      <c r="AD23" s="46"/>
      <c r="AE23" s="48"/>
      <c r="AF23" s="48"/>
      <c r="AG23" s="48"/>
      <c r="AH23" s="48"/>
      <c r="AI23" s="48"/>
      <c r="AJ23" s="48"/>
      <c r="AK23" s="48"/>
    </row>
    <row r="24" spans="1:37">
      <c r="A24" s="2" t="s">
        <v>3</v>
      </c>
      <c r="B24" s="72">
        <v>36.921198227783513</v>
      </c>
      <c r="C24" s="394">
        <v>3.3860741383697843</v>
      </c>
      <c r="D24" s="395">
        <v>0.12678747283839573</v>
      </c>
      <c r="E24" s="397">
        <f t="shared" si="11"/>
        <v>3.5128616112081801</v>
      </c>
      <c r="F24" s="397">
        <v>3.54023082917998</v>
      </c>
      <c r="H24" s="103">
        <v>277.56360412104095</v>
      </c>
      <c r="I24" s="135">
        <f t="shared" si="12"/>
        <v>225.11484266155017</v>
      </c>
      <c r="J24" s="10"/>
      <c r="K24" s="408">
        <v>15.04154101229385</v>
      </c>
      <c r="L24" s="394">
        <f t="shared" si="13"/>
        <v>4.174984334906731</v>
      </c>
      <c r="M24" s="36">
        <v>4.6901451574999999</v>
      </c>
      <c r="N24" s="394">
        <f t="shared" si="14"/>
        <v>1.3018135937665472</v>
      </c>
      <c r="O24" s="408">
        <v>6.5706891602051725</v>
      </c>
      <c r="P24" s="394">
        <f>O24*'T4a. THg loads daily calib'!$H24/1000</f>
        <v>1.8237841648656035</v>
      </c>
      <c r="Q24" s="580"/>
      <c r="R24" s="580"/>
      <c r="T24" s="397">
        <f t="shared" si="10"/>
        <v>4.3017718077451264</v>
      </c>
      <c r="U24" s="397">
        <f t="shared" si="15"/>
        <v>1.4286010666049429</v>
      </c>
      <c r="AC24" s="48"/>
      <c r="AD24" s="46"/>
      <c r="AE24" s="48"/>
      <c r="AF24" s="48"/>
      <c r="AG24" s="48"/>
      <c r="AH24" s="48"/>
      <c r="AI24" s="48"/>
      <c r="AJ24" s="48"/>
      <c r="AK24" s="48"/>
    </row>
    <row r="25" spans="1:37">
      <c r="A25" s="2" t="s">
        <v>4</v>
      </c>
      <c r="B25" s="72">
        <v>117.21609517589853</v>
      </c>
      <c r="C25" s="379">
        <v>20.8493792747438</v>
      </c>
      <c r="D25" s="396">
        <v>0.96107604670979485</v>
      </c>
      <c r="E25" s="386">
        <f t="shared" si="11"/>
        <v>21.810455321453595</v>
      </c>
      <c r="F25" s="386">
        <v>19.970519966983037</v>
      </c>
      <c r="H25" s="103">
        <v>250.88524995324968</v>
      </c>
      <c r="I25" s="135">
        <f t="shared" si="12"/>
        <v>219.46982435547164</v>
      </c>
      <c r="J25" s="10"/>
      <c r="K25" s="407">
        <v>94.998842487677962</v>
      </c>
      <c r="L25" s="379">
        <f t="shared" si="13"/>
        <v>23.833808342790483</v>
      </c>
      <c r="M25" s="143">
        <v>81.510549787499997</v>
      </c>
      <c r="N25" s="379">
        <f t="shared" si="14"/>
        <v>20.449794657263741</v>
      </c>
      <c r="O25" s="407">
        <v>45.749063945340147</v>
      </c>
      <c r="P25" s="379">
        <f>O25*'T4a. THg loads daily calib'!$H25/1000</f>
        <v>11.477765343053866</v>
      </c>
      <c r="Q25" s="579"/>
      <c r="R25" s="579"/>
      <c r="T25" s="386">
        <f t="shared" si="10"/>
        <v>24.794884389500279</v>
      </c>
      <c r="U25" s="386">
        <f t="shared" si="15"/>
        <v>21.410870703973536</v>
      </c>
      <c r="AC25" s="48"/>
      <c r="AD25" s="46"/>
      <c r="AE25" s="48"/>
      <c r="AF25" s="48"/>
      <c r="AG25" s="48"/>
      <c r="AH25" s="48"/>
      <c r="AI25" s="48"/>
      <c r="AJ25" s="48"/>
      <c r="AK25" s="48"/>
    </row>
    <row r="26" spans="1:37">
      <c r="A26" s="2" t="s">
        <v>5</v>
      </c>
      <c r="B26" s="72">
        <v>3</v>
      </c>
      <c r="C26" s="380">
        <v>0.12114419034728659</v>
      </c>
      <c r="D26" s="395">
        <v>7.5860662298752029E-3</v>
      </c>
      <c r="E26" s="387">
        <f t="shared" si="11"/>
        <v>0.12873025657716178</v>
      </c>
      <c r="F26" s="387">
        <v>0.13662494688323606</v>
      </c>
      <c r="H26" s="103">
        <v>237.80309436716911</v>
      </c>
      <c r="I26" s="135">
        <f t="shared" si="12"/>
        <v>230.1655450750911</v>
      </c>
      <c r="J26" s="10"/>
      <c r="K26" s="408">
        <v>0.52633503554045635</v>
      </c>
      <c r="L26" s="380">
        <f t="shared" si="13"/>
        <v>0.12516410012537443</v>
      </c>
      <c r="M26" s="39">
        <v>0.12</v>
      </c>
      <c r="N26" s="380">
        <f t="shared" si="14"/>
        <v>2.853637132406029E-2</v>
      </c>
      <c r="O26" s="408">
        <v>0.28424632099844893</v>
      </c>
      <c r="P26" s="380">
        <f>O26*'T4a. THg loads daily calib'!$H26/1000</f>
        <v>6.7594654695914802E-2</v>
      </c>
      <c r="Q26" s="586"/>
      <c r="R26" s="586"/>
      <c r="T26" s="387">
        <f t="shared" si="10"/>
        <v>0.13275016635524964</v>
      </c>
      <c r="U26" s="387">
        <f t="shared" si="15"/>
        <v>3.6122437553935495E-2</v>
      </c>
      <c r="Y26" s="32"/>
      <c r="AC26" s="48"/>
      <c r="AD26" s="46"/>
      <c r="AE26" s="6"/>
      <c r="AF26" s="48"/>
      <c r="AG26" s="48"/>
      <c r="AH26" s="48"/>
      <c r="AI26" s="48"/>
      <c r="AJ26" s="48"/>
      <c r="AK26" s="48"/>
    </row>
    <row r="27" spans="1:37">
      <c r="A27" s="2" t="s">
        <v>88</v>
      </c>
      <c r="B27" s="72">
        <v>86</v>
      </c>
      <c r="C27" s="379">
        <v>15.357888467441683</v>
      </c>
      <c r="D27" s="396">
        <v>0.59020241717241828</v>
      </c>
      <c r="E27" s="386">
        <f t="shared" si="11"/>
        <v>15.948090884614102</v>
      </c>
      <c r="F27" s="386">
        <v>14.361752291592603</v>
      </c>
      <c r="H27" s="103">
        <v>300.36708816477477</v>
      </c>
      <c r="I27" s="135">
        <f t="shared" si="12"/>
        <v>217.88023253373706</v>
      </c>
      <c r="J27" s="10"/>
      <c r="K27" s="407">
        <v>70.487755079220562</v>
      </c>
      <c r="L27" s="379">
        <f t="shared" si="13"/>
        <v>21.172201744417293</v>
      </c>
      <c r="M27" s="143">
        <v>102</v>
      </c>
      <c r="N27" s="379">
        <f t="shared" si="14"/>
        <v>30.637442992807028</v>
      </c>
      <c r="O27" s="407">
        <v>42.780646091142877</v>
      </c>
      <c r="P27" s="379">
        <f>O27*'T4a. THg loads daily calib'!$H27/1000</f>
        <v>12.84989809620434</v>
      </c>
      <c r="Q27" s="579"/>
      <c r="R27" s="579"/>
      <c r="T27" s="386">
        <f t="shared" si="10"/>
        <v>21.762404161589711</v>
      </c>
      <c r="U27" s="386">
        <f t="shared" si="15"/>
        <v>31.227645409979445</v>
      </c>
      <c r="AC27" s="48"/>
      <c r="AD27" s="46"/>
      <c r="AE27" s="6"/>
      <c r="AF27" s="48"/>
      <c r="AG27" s="48"/>
      <c r="AH27" s="48"/>
      <c r="AI27" s="48"/>
      <c r="AJ27" s="48"/>
      <c r="AK27" s="48"/>
    </row>
    <row r="28" spans="1:37">
      <c r="A28" s="62" t="s">
        <v>95</v>
      </c>
      <c r="B28" s="72">
        <v>140.84107579462102</v>
      </c>
      <c r="C28" s="379">
        <v>19.754333502012447</v>
      </c>
      <c r="D28" s="395">
        <v>0.52211327338450875</v>
      </c>
      <c r="E28" s="386">
        <f t="shared" si="11"/>
        <v>20.276446775396956</v>
      </c>
      <c r="F28" s="386">
        <v>19.416527947114986</v>
      </c>
      <c r="H28" s="103">
        <v>161.06664361320759</v>
      </c>
      <c r="I28" s="135">
        <f t="shared" si="12"/>
        <v>221.15045841195365</v>
      </c>
      <c r="J28" s="10"/>
      <c r="K28" s="407">
        <v>89.325311120154041</v>
      </c>
      <c r="L28" s="379">
        <f t="shared" si="13"/>
        <v>14.387328051828739</v>
      </c>
      <c r="M28" s="143">
        <v>151</v>
      </c>
      <c r="N28" s="379">
        <f t="shared" si="14"/>
        <v>24.321063185594348</v>
      </c>
      <c r="O28" s="407">
        <v>61.391010633013835</v>
      </c>
      <c r="P28" s="394">
        <f>O28*'T4a. THg loads daily calib'!$H28/1000</f>
        <v>9.888044030682277</v>
      </c>
      <c r="Q28" s="580"/>
      <c r="R28" s="580"/>
      <c r="T28" s="386">
        <f t="shared" si="10"/>
        <v>14.909441325213248</v>
      </c>
      <c r="U28" s="386">
        <f t="shared" si="15"/>
        <v>24.843176458978856</v>
      </c>
      <c r="AC28" s="48"/>
      <c r="AD28" s="46"/>
      <c r="AE28" s="6"/>
      <c r="AF28" s="48"/>
      <c r="AG28" s="48"/>
      <c r="AH28" s="48"/>
      <c r="AI28" s="48"/>
      <c r="AJ28" s="48"/>
      <c r="AK28" s="48"/>
    </row>
    <row r="29" spans="1:37">
      <c r="A29" s="62" t="s">
        <v>125</v>
      </c>
      <c r="B29" s="72">
        <v>1043</v>
      </c>
      <c r="C29" s="379">
        <v>411.07596724773379</v>
      </c>
      <c r="D29" s="395">
        <v>7.8403313389560862</v>
      </c>
      <c r="E29" s="386">
        <f t="shared" si="11"/>
        <v>418.91629858668989</v>
      </c>
      <c r="F29" s="386">
        <v>372.68663510461164</v>
      </c>
      <c r="H29" s="103">
        <v>262.51445685220114</v>
      </c>
      <c r="I29" s="135">
        <f t="shared" si="12"/>
        <v>216.01131689510495</v>
      </c>
      <c r="J29" s="10"/>
      <c r="K29" s="77">
        <v>1903.0297724973002</v>
      </c>
      <c r="L29" s="379">
        <f t="shared" si="13"/>
        <v>499.57282710069666</v>
      </c>
      <c r="M29" s="77">
        <v>1065</v>
      </c>
      <c r="N29" s="379">
        <f t="shared" si="14"/>
        <v>279.57789654759421</v>
      </c>
      <c r="O29" s="77">
        <v>1472.1768089480147</v>
      </c>
      <c r="P29" s="379">
        <f>O29*'T4a. THg loads daily calib'!$H29/1000</f>
        <v>386.46769539139478</v>
      </c>
      <c r="Q29" s="579"/>
      <c r="R29" s="579"/>
      <c r="T29" s="386">
        <f t="shared" si="10"/>
        <v>507.41315843965276</v>
      </c>
      <c r="U29" s="386">
        <f>D29+N29</f>
        <v>287.41822788655031</v>
      </c>
      <c r="Y29" s="32"/>
      <c r="AC29" s="48"/>
      <c r="AD29" s="46"/>
      <c r="AE29" s="6"/>
      <c r="AF29" s="48"/>
      <c r="AG29" s="48"/>
      <c r="AH29" s="48"/>
      <c r="AI29" s="48"/>
      <c r="AJ29" s="48"/>
      <c r="AK29" s="48"/>
    </row>
    <row r="30" spans="1:37">
      <c r="A30" s="2" t="s">
        <v>261</v>
      </c>
      <c r="B30" s="414">
        <f>SUM(B22:B29)</f>
        <v>2116.9591723943099</v>
      </c>
      <c r="C30" s="415">
        <f>SUM(C22:C29)</f>
        <v>657.07440190088766</v>
      </c>
      <c r="D30" s="416">
        <f>SUM(D22:D29)</f>
        <v>13.294126313192981</v>
      </c>
      <c r="E30" s="415">
        <f>SUM(E22:E29)</f>
        <v>670.3685282140807</v>
      </c>
      <c r="F30" s="415">
        <f>SUM(F22:F29)</f>
        <v>603.32804291056948</v>
      </c>
      <c r="H30" s="582">
        <f>1000*C30/O30</f>
        <v>335.22241726817413</v>
      </c>
      <c r="I30" s="155">
        <f>1000*C30/K30</f>
        <v>216.78400475571567</v>
      </c>
      <c r="J30" s="10" t="s">
        <v>26</v>
      </c>
      <c r="K30" s="415">
        <f t="shared" ref="K30:P30" si="16">SUM(K22:K29)</f>
        <v>3031.0096108858024</v>
      </c>
      <c r="L30" s="415">
        <f t="shared" si="16"/>
        <v>751.17170787227747</v>
      </c>
      <c r="M30" s="415">
        <f t="shared" si="16"/>
        <v>1962.3094956784998</v>
      </c>
      <c r="N30" s="415">
        <f t="shared" si="16"/>
        <v>480.7967617558686</v>
      </c>
      <c r="O30" s="415">
        <f t="shared" si="16"/>
        <v>1960.1147418945902</v>
      </c>
      <c r="P30" s="415">
        <f t="shared" si="16"/>
        <v>494.82829736420945</v>
      </c>
      <c r="Q30" s="558"/>
      <c r="R30" s="558"/>
      <c r="S30" s="43"/>
      <c r="T30" s="415">
        <f>L30+$D$30</f>
        <v>764.4658341854705</v>
      </c>
      <c r="U30" s="415">
        <f>N30+$D$30</f>
        <v>494.09088806906158</v>
      </c>
      <c r="AC30" s="48"/>
      <c r="AD30" s="250"/>
      <c r="AE30" s="48"/>
      <c r="AF30" s="66"/>
      <c r="AG30" s="498"/>
      <c r="AH30" s="498"/>
      <c r="AI30" s="498"/>
      <c r="AJ30" s="48"/>
      <c r="AK30" s="48"/>
    </row>
    <row r="31" spans="1:37">
      <c r="A31" s="2" t="s">
        <v>261</v>
      </c>
      <c r="C31" s="31"/>
      <c r="D31" s="498">
        <f>D30/F30</f>
        <v>2.2034656716865973E-2</v>
      </c>
      <c r="E31" s="31"/>
      <c r="F31" s="31"/>
      <c r="H31" s="150">
        <v>243</v>
      </c>
      <c r="I31" s="502">
        <f>1000*C30/M30</f>
        <v>334.84748626449152</v>
      </c>
      <c r="J31" s="87" t="s">
        <v>264</v>
      </c>
      <c r="K31" s="415">
        <f>SUM(K22:K29)</f>
        <v>3031.0096108858024</v>
      </c>
      <c r="L31" s="420">
        <f>K31*H31/1000</f>
        <v>736.53533544524998</v>
      </c>
      <c r="M31" s="415">
        <f>SUM(M22:M29)</f>
        <v>1962.3094956784998</v>
      </c>
      <c r="N31" s="420">
        <f>M31*H31/1000</f>
        <v>476.84120744987547</v>
      </c>
      <c r="O31" s="435">
        <f>SUM(O22:O29)</f>
        <v>1960.1147418945902</v>
      </c>
      <c r="P31" s="435">
        <f>O31*'T4a. THg loads daily calib'!$H31/1000</f>
        <v>478.26799702227999</v>
      </c>
      <c r="Q31" s="562"/>
      <c r="R31" s="562"/>
      <c r="S31" s="43"/>
      <c r="T31" s="420">
        <f>L31+$D$30</f>
        <v>749.82946175844302</v>
      </c>
      <c r="U31" s="420">
        <f>N31+$D$30</f>
        <v>490.13533376306845</v>
      </c>
      <c r="W31" s="33"/>
      <c r="X31" s="6"/>
      <c r="Y31" s="33"/>
      <c r="Z31" s="6"/>
      <c r="AA31" s="162"/>
      <c r="AB31" s="162"/>
      <c r="AC31" s="48"/>
      <c r="AD31" s="6"/>
      <c r="AE31" s="48"/>
      <c r="AF31" s="48"/>
      <c r="AG31" s="48"/>
      <c r="AH31" s="48"/>
      <c r="AI31" s="48"/>
      <c r="AJ31" s="48"/>
      <c r="AK31" s="48"/>
    </row>
    <row r="32" spans="1:37">
      <c r="A32" s="331" t="s">
        <v>288</v>
      </c>
      <c r="C32" s="31"/>
      <c r="D32" s="253"/>
      <c r="E32" s="31"/>
      <c r="F32" s="31"/>
      <c r="H32" s="428">
        <f>1000*(F30-D30)/K30</f>
        <v>194.66580194212614</v>
      </c>
      <c r="I32" s="501">
        <f>1000*(F30-D30)/M30</f>
        <v>300.68341303794324</v>
      </c>
      <c r="J32" s="6"/>
      <c r="K32" s="250"/>
      <c r="L32" s="250"/>
      <c r="M32" s="250"/>
      <c r="N32" s="250"/>
      <c r="O32" s="250"/>
      <c r="P32" s="250"/>
      <c r="Q32" s="250"/>
      <c r="R32" s="250"/>
      <c r="S32" s="48"/>
      <c r="T32" s="250"/>
      <c r="U32" s="250"/>
      <c r="V32" s="48"/>
      <c r="W32" s="33"/>
      <c r="X32" s="6"/>
      <c r="Y32" s="33"/>
      <c r="Z32" s="6"/>
      <c r="AA32" s="48"/>
      <c r="AB32" s="48"/>
      <c r="AC32" s="48"/>
      <c r="AD32" s="6"/>
      <c r="AE32" s="48"/>
      <c r="AF32" s="48"/>
      <c r="AG32" s="48"/>
      <c r="AH32" s="48"/>
      <c r="AI32" s="48"/>
      <c r="AJ32" s="48"/>
      <c r="AK32" s="48"/>
    </row>
    <row r="33" spans="1:33">
      <c r="A33" s="54" t="s">
        <v>291</v>
      </c>
      <c r="B33" s="72">
        <v>204.980803196007</v>
      </c>
      <c r="C33" s="379">
        <v>43.42698396681844</v>
      </c>
      <c r="D33" s="395">
        <v>0.99647993807404811</v>
      </c>
      <c r="E33" s="386">
        <f>C33+D33</f>
        <v>44.423463904892486</v>
      </c>
      <c r="F33" s="386">
        <v>41.291460575463063</v>
      </c>
      <c r="H33" s="103">
        <v>251.97126970307443</v>
      </c>
      <c r="I33" s="135">
        <f t="shared" ref="I33:I40" si="17">1000*C33/K33</f>
        <v>218.99081723809758</v>
      </c>
      <c r="J33" s="27"/>
      <c r="K33" s="407">
        <v>198.30504545586717</v>
      </c>
      <c r="L33" s="379">
        <f>K33*H33/1000</f>
        <v>49.967174092040736</v>
      </c>
      <c r="M33" s="143">
        <v>180.9888007335</v>
      </c>
      <c r="N33" s="379">
        <f t="shared" ref="N33:N42" si="18">M33*H33/1000</f>
        <v>45.603977922856721</v>
      </c>
      <c r="O33" s="407">
        <v>69.414038592076182</v>
      </c>
      <c r="P33" s="379">
        <f t="shared" ref="P33:P42" si="19">O33*$H33/1000</f>
        <v>17.490343439263643</v>
      </c>
      <c r="Q33" s="579"/>
      <c r="R33" s="579"/>
      <c r="T33" s="386">
        <f t="shared" ref="T33:T42" si="20">D33+L33</f>
        <v>50.963654030114782</v>
      </c>
      <c r="U33" s="386">
        <f>D33+N33</f>
        <v>46.600457860930767</v>
      </c>
      <c r="V33" s="26"/>
      <c r="W33" s="33"/>
      <c r="X33" s="6"/>
      <c r="Y33" s="33"/>
      <c r="Z33" s="6"/>
      <c r="AA33" s="48"/>
      <c r="AB33" s="48"/>
      <c r="AC33" s="26"/>
      <c r="AD33" s="541">
        <f>AVERAGE(K33,M33)</f>
        <v>189.64692309468359</v>
      </c>
    </row>
    <row r="34" spans="1:33">
      <c r="A34" s="54" t="s">
        <v>292</v>
      </c>
      <c r="B34" s="72">
        <v>485</v>
      </c>
      <c r="C34" s="379">
        <v>143.10263111342047</v>
      </c>
      <c r="D34" s="396">
        <v>2.2495497598278549</v>
      </c>
      <c r="E34" s="386">
        <f t="shared" ref="E34:E42" si="21">C34+D34</f>
        <v>145.35218087324833</v>
      </c>
      <c r="F34" s="386">
        <v>131.92429124874087</v>
      </c>
      <c r="H34" s="103">
        <v>209.22078643146409</v>
      </c>
      <c r="I34" s="135">
        <f t="shared" si="17"/>
        <v>217.05401881413687</v>
      </c>
      <c r="J34" s="27"/>
      <c r="K34" s="77">
        <v>659.29500819774785</v>
      </c>
      <c r="L34" s="379">
        <f t="shared" ref="L34:L42" si="22">K34*H34/1000</f>
        <v>137.93822010547137</v>
      </c>
      <c r="M34" s="77">
        <v>377</v>
      </c>
      <c r="N34" s="379">
        <f t="shared" si="18"/>
        <v>78.876236484661959</v>
      </c>
      <c r="O34" s="77">
        <v>261.74823820379896</v>
      </c>
      <c r="P34" s="379">
        <f t="shared" si="19"/>
        <v>54.763172244049009</v>
      </c>
      <c r="Q34" s="579"/>
      <c r="R34" s="579"/>
      <c r="T34" s="386">
        <f t="shared" si="20"/>
        <v>140.18776986529923</v>
      </c>
      <c r="U34" s="386">
        <f t="shared" ref="U34:U39" si="23">D34+N34</f>
        <v>81.125786244489817</v>
      </c>
      <c r="V34" s="26"/>
      <c r="W34" s="33"/>
      <c r="X34" s="6"/>
      <c r="Y34" s="33"/>
      <c r="Z34" s="6"/>
      <c r="AA34" s="48"/>
      <c r="AB34" s="48"/>
      <c r="AC34" s="26"/>
      <c r="AD34" s="480">
        <f t="shared" ref="AD34:AD42" si="24">AVERAGE(K34,M34)</f>
        <v>518.14750409887392</v>
      </c>
    </row>
    <row r="35" spans="1:33">
      <c r="A35" s="54" t="s">
        <v>293</v>
      </c>
      <c r="B35" s="72">
        <v>36.921198227783513</v>
      </c>
      <c r="C35" s="394">
        <v>3.3860741383697843</v>
      </c>
      <c r="D35" s="395">
        <v>0.12678747283839573</v>
      </c>
      <c r="E35" s="397">
        <f t="shared" si="21"/>
        <v>3.5128616112081801</v>
      </c>
      <c r="F35" s="397">
        <v>3.54023082917998</v>
      </c>
      <c r="H35" s="103">
        <v>277.56360412104095</v>
      </c>
      <c r="I35" s="135">
        <f t="shared" si="17"/>
        <v>225.11484266155017</v>
      </c>
      <c r="J35" s="27"/>
      <c r="K35" s="408">
        <v>15.04154101229385</v>
      </c>
      <c r="L35" s="394">
        <f t="shared" si="22"/>
        <v>4.174984334906731</v>
      </c>
      <c r="M35" s="36">
        <v>4.6901451574999999</v>
      </c>
      <c r="N35" s="394">
        <f t="shared" si="18"/>
        <v>1.3018135937665472</v>
      </c>
      <c r="O35" s="408">
        <v>6.5706891602051725</v>
      </c>
      <c r="P35" s="394">
        <f t="shared" si="19"/>
        <v>1.8237841648656035</v>
      </c>
      <c r="Q35" s="579"/>
      <c r="R35" s="579"/>
      <c r="T35" s="397">
        <f t="shared" si="20"/>
        <v>4.3017718077451264</v>
      </c>
      <c r="U35" s="397">
        <f t="shared" si="23"/>
        <v>1.4286010666049429</v>
      </c>
      <c r="V35" s="26"/>
      <c r="W35" s="33"/>
      <c r="X35" s="6"/>
      <c r="Y35" s="33"/>
      <c r="Z35" s="6"/>
      <c r="AA35" s="48"/>
      <c r="AB35" s="48"/>
      <c r="AC35" s="26"/>
      <c r="AD35" s="480">
        <f t="shared" si="24"/>
        <v>9.865843084896925</v>
      </c>
    </row>
    <row r="36" spans="1:33">
      <c r="A36" s="54" t="s">
        <v>294</v>
      </c>
      <c r="B36" s="72">
        <v>117.21609517589853</v>
      </c>
      <c r="C36" s="379">
        <v>20.8493792747438</v>
      </c>
      <c r="D36" s="396">
        <v>0.96107604670979485</v>
      </c>
      <c r="E36" s="386">
        <f t="shared" si="21"/>
        <v>21.810455321453595</v>
      </c>
      <c r="F36" s="386">
        <v>19.970519966983037</v>
      </c>
      <c r="H36" s="103">
        <v>250.88524995324968</v>
      </c>
      <c r="I36" s="135">
        <f t="shared" si="17"/>
        <v>219.46982435547164</v>
      </c>
      <c r="J36" s="27"/>
      <c r="K36" s="407">
        <v>94.998842487677962</v>
      </c>
      <c r="L36" s="379">
        <f t="shared" si="22"/>
        <v>23.833808342790483</v>
      </c>
      <c r="M36" s="143">
        <v>81.510549787499997</v>
      </c>
      <c r="N36" s="379">
        <f t="shared" si="18"/>
        <v>20.449794657263741</v>
      </c>
      <c r="O36" s="407">
        <v>45.749063945340147</v>
      </c>
      <c r="P36" s="379">
        <f t="shared" si="19"/>
        <v>11.477765343053866</v>
      </c>
      <c r="Q36" s="579"/>
      <c r="R36" s="579"/>
      <c r="T36" s="386">
        <f t="shared" si="20"/>
        <v>24.794884389500279</v>
      </c>
      <c r="U36" s="386">
        <f t="shared" si="23"/>
        <v>21.410870703973536</v>
      </c>
      <c r="V36" s="26"/>
      <c r="W36" s="33"/>
      <c r="X36" s="6"/>
      <c r="Y36" s="33"/>
      <c r="Z36" s="6"/>
      <c r="AA36" s="48"/>
      <c r="AB36" s="48"/>
      <c r="AC36" s="26"/>
      <c r="AD36" s="480">
        <f t="shared" si="24"/>
        <v>88.254696137588979</v>
      </c>
    </row>
    <row r="37" spans="1:33">
      <c r="A37" s="54" t="s">
        <v>295</v>
      </c>
      <c r="B37" s="72">
        <v>3</v>
      </c>
      <c r="C37" s="380">
        <v>0.12114419034728659</v>
      </c>
      <c r="D37" s="395">
        <v>7.5860662298752029E-3</v>
      </c>
      <c r="E37" s="387">
        <f t="shared" si="21"/>
        <v>0.12873025657716178</v>
      </c>
      <c r="F37" s="387">
        <v>0.13662494688323606</v>
      </c>
      <c r="H37" s="103">
        <v>237.80309436716911</v>
      </c>
      <c r="I37" s="135">
        <f t="shared" si="17"/>
        <v>230.1655450750911</v>
      </c>
      <c r="J37" s="27"/>
      <c r="K37" s="408">
        <v>0.52633503554045635</v>
      </c>
      <c r="L37" s="380">
        <f t="shared" si="22"/>
        <v>0.12516410012537443</v>
      </c>
      <c r="M37" s="39">
        <v>0.12</v>
      </c>
      <c r="N37" s="380">
        <f t="shared" si="18"/>
        <v>2.853637132406029E-2</v>
      </c>
      <c r="O37" s="408">
        <v>0.28424632099844893</v>
      </c>
      <c r="P37" s="380">
        <f t="shared" si="19"/>
        <v>6.7594654695914802E-2</v>
      </c>
      <c r="Q37" s="579"/>
      <c r="R37" s="579"/>
      <c r="T37" s="387">
        <f t="shared" si="20"/>
        <v>0.13275016635524964</v>
      </c>
      <c r="U37" s="387">
        <f t="shared" si="23"/>
        <v>3.6122437553935495E-2</v>
      </c>
      <c r="V37" s="26"/>
      <c r="W37" s="33"/>
      <c r="X37" s="6"/>
      <c r="Y37" s="33"/>
      <c r="Z37" s="6"/>
      <c r="AA37" s="48"/>
      <c r="AB37" s="48"/>
      <c r="AC37" s="26"/>
      <c r="AD37" s="480">
        <f t="shared" si="24"/>
        <v>0.32316751777022817</v>
      </c>
    </row>
    <row r="38" spans="1:33">
      <c r="A38" s="54" t="s">
        <v>296</v>
      </c>
      <c r="B38" s="72">
        <v>86</v>
      </c>
      <c r="C38" s="379">
        <v>15.357888467441683</v>
      </c>
      <c r="D38" s="396">
        <v>0.59020241717241828</v>
      </c>
      <c r="E38" s="386">
        <f t="shared" si="21"/>
        <v>15.948090884614102</v>
      </c>
      <c r="F38" s="386">
        <v>14.361752291592603</v>
      </c>
      <c r="H38" s="103">
        <v>300.36708816477477</v>
      </c>
      <c r="I38" s="135">
        <f t="shared" si="17"/>
        <v>217.88023253373706</v>
      </c>
      <c r="J38" s="27"/>
      <c r="K38" s="407">
        <v>70.487755079220562</v>
      </c>
      <c r="L38" s="379">
        <f t="shared" si="22"/>
        <v>21.172201744417293</v>
      </c>
      <c r="M38" s="143">
        <v>102</v>
      </c>
      <c r="N38" s="379">
        <f t="shared" si="18"/>
        <v>30.637442992807028</v>
      </c>
      <c r="O38" s="407">
        <v>42.780646091142877</v>
      </c>
      <c r="P38" s="379">
        <f t="shared" si="19"/>
        <v>12.84989809620434</v>
      </c>
      <c r="Q38" s="579"/>
      <c r="R38" s="579"/>
      <c r="T38" s="386">
        <f t="shared" si="20"/>
        <v>21.762404161589711</v>
      </c>
      <c r="U38" s="386">
        <f t="shared" si="23"/>
        <v>31.227645409979445</v>
      </c>
      <c r="V38" s="26"/>
      <c r="W38" s="33"/>
      <c r="X38" s="6"/>
      <c r="Y38" s="33"/>
      <c r="Z38" s="6"/>
      <c r="AA38" s="48"/>
      <c r="AB38" s="48"/>
      <c r="AC38" s="26"/>
      <c r="AD38" s="480">
        <f t="shared" si="24"/>
        <v>86.243877539610281</v>
      </c>
    </row>
    <row r="39" spans="1:33">
      <c r="A39" s="54" t="s">
        <v>297</v>
      </c>
      <c r="B39" s="72">
        <v>140.84107579462102</v>
      </c>
      <c r="C39" s="379">
        <v>19.754333502012447</v>
      </c>
      <c r="D39" s="395">
        <v>0.52211327338450875</v>
      </c>
      <c r="E39" s="386">
        <f t="shared" si="21"/>
        <v>20.276446775396956</v>
      </c>
      <c r="F39" s="386">
        <v>19.416527947114986</v>
      </c>
      <c r="H39" s="103">
        <v>161.06664361320759</v>
      </c>
      <c r="I39" s="135">
        <f t="shared" si="17"/>
        <v>221.15045841195365</v>
      </c>
      <c r="J39" s="27"/>
      <c r="K39" s="407">
        <v>89.325311120154041</v>
      </c>
      <c r="L39" s="379">
        <f t="shared" si="22"/>
        <v>14.387328051828739</v>
      </c>
      <c r="M39" s="143">
        <v>151</v>
      </c>
      <c r="N39" s="379">
        <f t="shared" si="18"/>
        <v>24.321063185594348</v>
      </c>
      <c r="O39" s="407">
        <v>61.391010633013835</v>
      </c>
      <c r="P39" s="379">
        <f t="shared" si="19"/>
        <v>9.888044030682277</v>
      </c>
      <c r="Q39" s="579"/>
      <c r="R39" s="579"/>
      <c r="T39" s="386">
        <f t="shared" si="20"/>
        <v>14.909441325213248</v>
      </c>
      <c r="U39" s="386">
        <f t="shared" si="23"/>
        <v>24.843176458978856</v>
      </c>
      <c r="V39" s="26"/>
      <c r="W39" s="33"/>
      <c r="X39" s="6"/>
      <c r="Y39" s="33"/>
      <c r="Z39" s="6"/>
      <c r="AA39" s="48"/>
      <c r="AB39" s="48"/>
      <c r="AC39" s="26"/>
      <c r="AD39" s="480">
        <f t="shared" si="24"/>
        <v>120.16265556007701</v>
      </c>
    </row>
    <row r="40" spans="1:33">
      <c r="A40" s="54" t="s">
        <v>298</v>
      </c>
      <c r="B40" s="72">
        <f>AVERAGE(B16,B29)</f>
        <v>1049.3487720000001</v>
      </c>
      <c r="C40" s="379">
        <v>411.07596724773379</v>
      </c>
      <c r="D40" s="395">
        <v>7.8403313389560862</v>
      </c>
      <c r="E40" s="386">
        <f t="shared" si="21"/>
        <v>418.91629858668989</v>
      </c>
      <c r="F40" s="386">
        <v>372.68663510461164</v>
      </c>
      <c r="H40" s="103">
        <f>AVERAGE(H16,H29)</f>
        <v>246.93841455958659</v>
      </c>
      <c r="I40" s="135">
        <f t="shared" si="17"/>
        <v>222.43534103128076</v>
      </c>
      <c r="J40" s="27"/>
      <c r="K40" s="77">
        <f>AVERAGE(K16,K29)</f>
        <v>1848.0694899553969</v>
      </c>
      <c r="L40" s="379">
        <f t="shared" si="22"/>
        <v>456.35934984552955</v>
      </c>
      <c r="M40" s="77">
        <f>AVERAGE(M16,M29)</f>
        <v>1064.5950264000001</v>
      </c>
      <c r="N40" s="379">
        <f t="shared" si="18"/>
        <v>262.88940796723722</v>
      </c>
      <c r="O40" s="77">
        <f>AVERAGE('T4b, THg loads inst calib'!O16,'T4b, THg loads inst calib'!O29)</f>
        <v>1378.373768660357</v>
      </c>
      <c r="P40" s="379">
        <f t="shared" si="19"/>
        <v>340.37343310351093</v>
      </c>
      <c r="Q40" s="579"/>
      <c r="R40" s="579"/>
      <c r="T40" s="386">
        <f>D40+L40</f>
        <v>464.19968118448566</v>
      </c>
      <c r="U40" s="386">
        <f>D40+N40</f>
        <v>270.72973930619332</v>
      </c>
      <c r="V40" s="26"/>
      <c r="W40" s="33"/>
      <c r="X40" s="6"/>
      <c r="Y40" s="33"/>
      <c r="Z40" s="6"/>
      <c r="AA40" s="48"/>
      <c r="AB40" s="48"/>
      <c r="AC40" s="26"/>
      <c r="AD40" s="480">
        <f t="shared" si="24"/>
        <v>1456.3322581776983</v>
      </c>
    </row>
    <row r="41" spans="1:33">
      <c r="A41" s="328" t="s">
        <v>299</v>
      </c>
      <c r="B41" s="72">
        <v>17.287506015999998</v>
      </c>
      <c r="C41" s="380">
        <v>0.65945601009203914</v>
      </c>
      <c r="D41" s="385">
        <v>3.8883067762065432E-2</v>
      </c>
      <c r="E41" s="387">
        <f t="shared" si="21"/>
        <v>0.69833907785410454</v>
      </c>
      <c r="F41" s="387">
        <v>0.66967672731008587</v>
      </c>
      <c r="H41" s="103">
        <v>149.87609630133861</v>
      </c>
      <c r="I41" s="135">
        <f>1000*C41/K41</f>
        <v>144.14776607662529</v>
      </c>
      <c r="K41" s="408">
        <v>4.5748611167618725</v>
      </c>
      <c r="L41" s="394">
        <f t="shared" si="22"/>
        <v>0.68566232530105187</v>
      </c>
      <c r="M41" s="36">
        <v>2.8213919999999999</v>
      </c>
      <c r="N41" s="380">
        <f t="shared" si="18"/>
        <v>0.4228592190958263</v>
      </c>
      <c r="O41" s="408">
        <v>1.7666781118794652</v>
      </c>
      <c r="P41" s="380">
        <f t="shared" si="19"/>
        <v>0.26478281882951382</v>
      </c>
      <c r="Q41" s="579"/>
      <c r="R41" s="579"/>
      <c r="T41" s="397">
        <f t="shared" si="20"/>
        <v>0.72454539306311727</v>
      </c>
      <c r="U41" s="397">
        <f t="shared" ref="U41:U42" si="25">D41+N41</f>
        <v>0.46174228685789176</v>
      </c>
      <c r="V41" s="26"/>
      <c r="W41" s="33"/>
      <c r="X41" s="6"/>
      <c r="Y41" s="33"/>
      <c r="Z41" s="6"/>
      <c r="AA41" s="48"/>
      <c r="AB41" s="48"/>
      <c r="AC41" s="26"/>
      <c r="AD41" s="480">
        <f t="shared" si="24"/>
        <v>3.6981265583809364</v>
      </c>
    </row>
    <row r="42" spans="1:33">
      <c r="A42" s="328" t="s">
        <v>300</v>
      </c>
      <c r="B42" s="340">
        <v>828.16597600000011</v>
      </c>
      <c r="C42" s="379">
        <v>342.71270383821809</v>
      </c>
      <c r="D42" s="384">
        <v>5.2066380859868033</v>
      </c>
      <c r="E42" s="386">
        <f t="shared" si="21"/>
        <v>347.9193419242049</v>
      </c>
      <c r="F42" s="386">
        <v>325.71044427770522</v>
      </c>
      <c r="H42" s="103">
        <v>248.64603689263458</v>
      </c>
      <c r="I42" s="135">
        <f t="shared" ref="I42" si="26">1000*C42/K42</f>
        <v>245.76401106926301</v>
      </c>
      <c r="K42" s="77">
        <v>1394.4788024379707</v>
      </c>
      <c r="L42" s="379">
        <f t="shared" si="22"/>
        <v>346.73162775698859</v>
      </c>
      <c r="M42" s="77">
        <v>733.9248</v>
      </c>
      <c r="N42" s="379">
        <f t="shared" si="18"/>
        <v>182.48749289721945</v>
      </c>
      <c r="O42" s="77">
        <v>1019.3538419631114</v>
      </c>
      <c r="P42" s="379">
        <f t="shared" si="19"/>
        <v>253.45829299540861</v>
      </c>
      <c r="Q42" s="579"/>
      <c r="R42" s="579"/>
      <c r="T42" s="386">
        <f t="shared" si="20"/>
        <v>351.9382658429754</v>
      </c>
      <c r="U42" s="386">
        <f t="shared" si="25"/>
        <v>187.69413098320626</v>
      </c>
      <c r="V42" s="26"/>
      <c r="W42" s="33"/>
      <c r="X42" s="6"/>
      <c r="Y42" s="33"/>
      <c r="Z42" s="6"/>
      <c r="AA42" s="48"/>
      <c r="AB42" s="48"/>
      <c r="AC42" s="26"/>
      <c r="AD42" s="480">
        <f t="shared" si="24"/>
        <v>1064.2018012189853</v>
      </c>
    </row>
    <row r="43" spans="1:33">
      <c r="A43" s="54" t="s">
        <v>253</v>
      </c>
      <c r="B43" s="414">
        <f>SUM(B33:B42)</f>
        <v>2968.7614264103099</v>
      </c>
      <c r="C43" s="415">
        <f>SUM(C33:C42)</f>
        <v>1000.4465617491978</v>
      </c>
      <c r="D43" s="416">
        <f>SUM(D33:D42)</f>
        <v>18.539647466941851</v>
      </c>
      <c r="E43" s="415">
        <f>SUM(E33:E42)</f>
        <v>1018.9862092161397</v>
      </c>
      <c r="F43" s="415">
        <f>SUM(F33:F42)</f>
        <v>929.70816391558469</v>
      </c>
      <c r="H43" s="135"/>
      <c r="I43" s="155">
        <f>1000*C43/K43</f>
        <v>228.66811675101647</v>
      </c>
      <c r="J43" s="10" t="s">
        <v>26</v>
      </c>
      <c r="K43" s="415">
        <f>SUM(K33:K42)</f>
        <v>4375.1029918986314</v>
      </c>
      <c r="L43" s="415">
        <f>SUM(L33:L42)</f>
        <v>1055.3755206993999</v>
      </c>
      <c r="M43" s="415">
        <f>SUM(M33:M42)</f>
        <v>2698.6507140785002</v>
      </c>
      <c r="N43" s="415">
        <f>SUM(N33:N42)</f>
        <v>647.01862529182688</v>
      </c>
      <c r="O43" s="415">
        <f t="shared" ref="O43:P43" si="27">SUM(O33:O42)</f>
        <v>2887.4322216819237</v>
      </c>
      <c r="P43" s="415">
        <f t="shared" si="27"/>
        <v>702.45711089056374</v>
      </c>
      <c r="Q43" s="558"/>
      <c r="R43" s="558"/>
      <c r="S43" s="26"/>
      <c r="T43" s="415">
        <f>D42+L43</f>
        <v>1060.5821587853866</v>
      </c>
      <c r="U43" s="415">
        <f>D42+N43</f>
        <v>652.22526337781369</v>
      </c>
      <c r="V43" s="26"/>
      <c r="W43" s="33"/>
      <c r="X43" s="6"/>
      <c r="Y43" s="33"/>
      <c r="Z43" s="6"/>
      <c r="AA43" s="48"/>
      <c r="AB43" s="48"/>
      <c r="AC43" s="26"/>
      <c r="AD43" s="481">
        <f>SUM(AD33:AD42)</f>
        <v>3536.8768529885656</v>
      </c>
    </row>
    <row r="44" spans="1:33">
      <c r="A44" s="54" t="s">
        <v>253</v>
      </c>
      <c r="B44" s="2"/>
      <c r="C44" s="4"/>
      <c r="D44" s="498">
        <f>D43/F43</f>
        <v>1.9941362447393984E-2</v>
      </c>
      <c r="E44" s="4"/>
      <c r="F44" s="4"/>
      <c r="H44" s="427">
        <v>239</v>
      </c>
      <c r="I44" s="502">
        <f>1000*C43/M43</f>
        <v>370.72102607795881</v>
      </c>
      <c r="J44" s="87" t="s">
        <v>263</v>
      </c>
      <c r="K44" s="415">
        <f>SUM(K33:K42)</f>
        <v>4375.1029918986314</v>
      </c>
      <c r="L44" s="415">
        <f>H44*K44/1000</f>
        <v>1045.6496150637729</v>
      </c>
      <c r="M44" s="415">
        <f>SUM(M33:M42)</f>
        <v>2698.6507140785002</v>
      </c>
      <c r="N44" s="415">
        <f>H44*M44/1000</f>
        <v>644.97752066476153</v>
      </c>
      <c r="O44" s="562">
        <f>SUM(O33:O42)</f>
        <v>2887.4322216819237</v>
      </c>
      <c r="P44" s="417">
        <f>$H44*O44/1000</f>
        <v>690.09630098197977</v>
      </c>
      <c r="Q44" s="562"/>
      <c r="R44" s="562"/>
      <c r="S44" s="26"/>
      <c r="T44" s="415">
        <f>D43+L44</f>
        <v>1064.1892625307148</v>
      </c>
      <c r="U44" s="415">
        <f>D43+N44</f>
        <v>663.51716813170333</v>
      </c>
      <c r="V44" s="26"/>
      <c r="W44" s="24" t="s">
        <v>214</v>
      </c>
      <c r="X44" s="456" t="s">
        <v>286</v>
      </c>
      <c r="Y44" s="24" t="s">
        <v>81</v>
      </c>
      <c r="Z44" s="456" t="s">
        <v>286</v>
      </c>
      <c r="AA44" s="26"/>
      <c r="AB44" s="26"/>
      <c r="AC44" s="26"/>
      <c r="AD44" s="522" t="s">
        <v>286</v>
      </c>
    </row>
    <row r="45" spans="1:33" ht="16">
      <c r="A45" s="450" t="s">
        <v>277</v>
      </c>
      <c r="B45" s="451"/>
      <c r="C45" s="451"/>
      <c r="D45" s="451"/>
      <c r="E45" s="451"/>
      <c r="F45" s="451"/>
      <c r="H45" s="428">
        <f>1000*(F43-D43)/K43</f>
        <v>208.2621867727118</v>
      </c>
      <c r="I45" s="501">
        <f>1000*(F43-D43)/M43</f>
        <v>337.63855088589219</v>
      </c>
      <c r="K45" s="26"/>
      <c r="M45" s="26"/>
      <c r="W45" s="130">
        <f>AVERAGE(C43,L43,L44,N43,N44)</f>
        <v>878.69356869379192</v>
      </c>
      <c r="X45" s="131">
        <f>W45/10</f>
        <v>87.869356869379189</v>
      </c>
      <c r="Y45" s="133">
        <f>AVERAGE(E43,F43,T43,T44,U43,U44)</f>
        <v>898.20137099289047</v>
      </c>
      <c r="Z45" s="134">
        <f>Y45/10</f>
        <v>89.820137099289042</v>
      </c>
      <c r="AB45" s="128">
        <f>K43/10</f>
        <v>437.51029918986313</v>
      </c>
      <c r="AC45" s="128">
        <f>M43/10</f>
        <v>269.86507140785</v>
      </c>
      <c r="AD45" s="128">
        <f>AVERAGE(AB45:AC45)</f>
        <v>353.68768529885654</v>
      </c>
      <c r="AE45" s="374" t="s">
        <v>83</v>
      </c>
      <c r="AG45" s="119"/>
    </row>
    <row r="46" spans="1:33">
      <c r="A46" s="2" t="s">
        <v>301</v>
      </c>
      <c r="B46" s="72">
        <v>86.403555712866023</v>
      </c>
      <c r="C46" s="394">
        <v>9.1733258938803601</v>
      </c>
      <c r="D46" s="395">
        <v>0.58190696072996995</v>
      </c>
      <c r="E46" s="397">
        <f t="shared" ref="E46:E48" si="28">C46+D46</f>
        <v>9.7552328546103304</v>
      </c>
      <c r="F46" s="418">
        <v>9.8959849410136531</v>
      </c>
      <c r="H46" s="103">
        <v>318</v>
      </c>
      <c r="I46" s="135">
        <f>1000*C46/K46</f>
        <v>177.74124087829165</v>
      </c>
      <c r="K46" s="407">
        <v>51.610565159505079</v>
      </c>
      <c r="L46" s="394">
        <f>K46*H46/1000</f>
        <v>16.412159720722617</v>
      </c>
      <c r="M46" s="143">
        <v>36.182764800000001</v>
      </c>
      <c r="N46" s="379">
        <f>M46*H46/1000</f>
        <v>11.506119206400001</v>
      </c>
      <c r="O46" s="579"/>
      <c r="P46" s="579"/>
      <c r="Q46" s="579"/>
      <c r="R46" s="579"/>
      <c r="T46" s="386">
        <f t="shared" ref="T46:T55" si="29">D46+L46</f>
        <v>16.994066681452587</v>
      </c>
      <c r="U46" s="386">
        <f t="shared" ref="U46:U55" si="30">D46+N46</f>
        <v>12.088026167129971</v>
      </c>
      <c r="AD46" s="6"/>
    </row>
    <row r="47" spans="1:33">
      <c r="A47" s="2" t="s">
        <v>302</v>
      </c>
      <c r="B47" s="72">
        <v>360</v>
      </c>
      <c r="C47" s="379">
        <v>61.892855030154571</v>
      </c>
      <c r="D47" s="395">
        <v>2.425625767640248</v>
      </c>
      <c r="E47" s="397">
        <f t="shared" si="28"/>
        <v>64.31848079779482</v>
      </c>
      <c r="F47" s="419">
        <v>63.829658776488706</v>
      </c>
      <c r="H47" s="103">
        <v>221.0360679575366</v>
      </c>
      <c r="I47" s="135">
        <f>1000*C47/K47</f>
        <v>268.58444889301535</v>
      </c>
      <c r="K47" s="77">
        <v>230.44094803421851</v>
      </c>
      <c r="L47" s="379">
        <f t="shared" ref="L47:L53" si="31">K47*H47/1000</f>
        <v>50.935761049890679</v>
      </c>
      <c r="M47" s="77">
        <v>67.6716768</v>
      </c>
      <c r="N47" s="379">
        <f>M47*H47/1000</f>
        <v>14.957881351965254</v>
      </c>
      <c r="O47" s="579"/>
      <c r="P47" s="579"/>
      <c r="Q47" s="579"/>
      <c r="R47" s="579"/>
      <c r="T47" s="386">
        <f t="shared" si="29"/>
        <v>53.361386817530928</v>
      </c>
      <c r="U47" s="386">
        <f t="shared" si="30"/>
        <v>17.3835071196055</v>
      </c>
    </row>
    <row r="48" spans="1:33">
      <c r="A48" s="2" t="s">
        <v>303</v>
      </c>
      <c r="B48" s="72">
        <v>0</v>
      </c>
      <c r="C48" s="379">
        <v>0</v>
      </c>
      <c r="D48" s="413">
        <v>0</v>
      </c>
      <c r="E48" s="397">
        <f t="shared" si="28"/>
        <v>0</v>
      </c>
      <c r="F48" s="418">
        <v>0</v>
      </c>
      <c r="H48" s="103" t="s">
        <v>19</v>
      </c>
      <c r="I48" s="135" t="s">
        <v>32</v>
      </c>
      <c r="K48" s="407">
        <v>0</v>
      </c>
      <c r="L48" s="379" t="s">
        <v>19</v>
      </c>
      <c r="M48" s="144">
        <v>0</v>
      </c>
      <c r="N48" s="379" t="s">
        <v>19</v>
      </c>
      <c r="O48" s="579"/>
      <c r="P48" s="579"/>
      <c r="Q48" s="579"/>
      <c r="R48" s="579"/>
      <c r="T48" s="386">
        <v>0</v>
      </c>
      <c r="U48" s="386">
        <v>0</v>
      </c>
    </row>
    <row r="49" spans="1:33">
      <c r="A49" s="2" t="s">
        <v>304</v>
      </c>
      <c r="B49" s="72">
        <v>63.341694194967005</v>
      </c>
      <c r="C49" s="394">
        <v>11.075663294190027</v>
      </c>
      <c r="D49" s="395">
        <v>0.76083437332351189</v>
      </c>
      <c r="E49" s="397">
        <f>C49+D49</f>
        <v>11.836497667513539</v>
      </c>
      <c r="F49" s="397">
        <v>11.663643688217093</v>
      </c>
      <c r="H49" s="103">
        <v>245.96658724686762</v>
      </c>
      <c r="I49" s="135">
        <f t="shared" ref="I49:I53" si="32">1000*C49/K49</f>
        <v>273.06872433392385</v>
      </c>
      <c r="K49" s="407">
        <v>40.559984748184057</v>
      </c>
      <c r="L49" s="394">
        <f t="shared" si="31"/>
        <v>9.9764010272958323</v>
      </c>
      <c r="M49" s="144">
        <v>33.765076800000003</v>
      </c>
      <c r="N49" s="394">
        <f>M49*H49/1000</f>
        <v>8.3050807086243861</v>
      </c>
      <c r="O49" s="580"/>
      <c r="P49" s="580"/>
      <c r="Q49" s="580"/>
      <c r="R49" s="580"/>
      <c r="T49" s="386">
        <f t="shared" si="29"/>
        <v>10.737235400619344</v>
      </c>
      <c r="U49" s="386">
        <f t="shared" si="30"/>
        <v>9.0659150819478977</v>
      </c>
    </row>
    <row r="50" spans="1:33">
      <c r="A50" s="2" t="s">
        <v>305</v>
      </c>
      <c r="B50" s="72">
        <v>0</v>
      </c>
      <c r="C50" s="379">
        <v>0</v>
      </c>
      <c r="D50" s="413">
        <v>0</v>
      </c>
      <c r="E50" s="386">
        <f t="shared" ref="E50:E51" si="33">C50+D50</f>
        <v>0</v>
      </c>
      <c r="F50" s="386">
        <v>0</v>
      </c>
      <c r="H50" s="373" t="s">
        <v>19</v>
      </c>
      <c r="I50" s="135" t="s">
        <v>32</v>
      </c>
      <c r="K50" s="407">
        <v>0</v>
      </c>
      <c r="L50" s="379">
        <v>0</v>
      </c>
      <c r="M50" s="143">
        <v>0</v>
      </c>
      <c r="N50" s="446">
        <v>0</v>
      </c>
      <c r="O50" s="581"/>
      <c r="P50" s="581"/>
      <c r="Q50" s="581"/>
      <c r="R50" s="581"/>
      <c r="T50" s="386">
        <f t="shared" si="29"/>
        <v>0</v>
      </c>
      <c r="U50" s="386">
        <f t="shared" si="30"/>
        <v>0</v>
      </c>
    </row>
    <row r="51" spans="1:33">
      <c r="A51" s="2" t="s">
        <v>306</v>
      </c>
      <c r="B51" s="72">
        <v>66.400000000000006</v>
      </c>
      <c r="C51" s="394">
        <v>6.0417401957449508</v>
      </c>
      <c r="D51" s="395">
        <v>0.52817807764414171</v>
      </c>
      <c r="E51" s="397">
        <f t="shared" si="33"/>
        <v>6.5699182733890922</v>
      </c>
      <c r="F51" s="397">
        <v>6.5726092539478085</v>
      </c>
      <c r="H51" s="103">
        <v>379.12813002803733</v>
      </c>
      <c r="I51" s="135">
        <f t="shared" si="32"/>
        <v>271.59869140620532</v>
      </c>
      <c r="K51" s="407">
        <v>22.245100535881718</v>
      </c>
      <c r="L51" s="394">
        <f t="shared" si="31"/>
        <v>8.4337433684545271</v>
      </c>
      <c r="M51" s="143">
        <v>23.184403200000002</v>
      </c>
      <c r="N51" s="394">
        <f>M51*H51/1000</f>
        <v>8.7898594310320455</v>
      </c>
      <c r="O51" s="580"/>
      <c r="P51" s="580"/>
      <c r="Q51" s="580"/>
      <c r="R51" s="580"/>
      <c r="T51" s="386">
        <f t="shared" si="29"/>
        <v>8.9619214460986694</v>
      </c>
      <c r="U51" s="386">
        <f t="shared" si="30"/>
        <v>9.3180375086761877</v>
      </c>
    </row>
    <row r="52" spans="1:33">
      <c r="A52" s="2" t="s">
        <v>307</v>
      </c>
      <c r="B52" s="72">
        <v>61.2</v>
      </c>
      <c r="C52" s="394">
        <v>4.8108812927250719</v>
      </c>
      <c r="D52" s="395">
        <v>0.39889188901254219</v>
      </c>
      <c r="E52" s="397">
        <f>C52+D52</f>
        <v>5.2097731817376145</v>
      </c>
      <c r="F52" s="397">
        <v>5.2125405164667606</v>
      </c>
      <c r="H52" s="103">
        <v>208.63034671370917</v>
      </c>
      <c r="I52" s="135">
        <f t="shared" si="32"/>
        <v>267.63639430041201</v>
      </c>
      <c r="K52" s="407">
        <v>17.975437553253819</v>
      </c>
      <c r="L52" s="394">
        <f t="shared" si="31"/>
        <v>3.750221769065972</v>
      </c>
      <c r="M52" s="145">
        <v>13.529073600000002</v>
      </c>
      <c r="N52" s="394">
        <f>M52*H52/1000</f>
        <v>2.8225753158832898</v>
      </c>
      <c r="O52" s="580"/>
      <c r="P52" s="580"/>
      <c r="Q52" s="580"/>
      <c r="R52" s="580"/>
      <c r="T52" s="386">
        <f t="shared" si="29"/>
        <v>4.1491136580785142</v>
      </c>
      <c r="U52" s="386">
        <f t="shared" si="30"/>
        <v>3.2214672048958319</v>
      </c>
    </row>
    <row r="53" spans="1:33">
      <c r="A53" s="2" t="s">
        <v>308</v>
      </c>
      <c r="B53" s="72">
        <v>1026.16425</v>
      </c>
      <c r="C53" s="379">
        <v>144.22947194622876</v>
      </c>
      <c r="D53" s="396">
        <v>7.111725887178209</v>
      </c>
      <c r="E53" s="386">
        <f t="shared" ref="E53:E55" si="34">C53+D53</f>
        <v>151.34119783340697</v>
      </c>
      <c r="F53" s="386">
        <v>148.88813415111301</v>
      </c>
      <c r="H53" s="103">
        <v>265.47266816270223</v>
      </c>
      <c r="I53" s="135">
        <f t="shared" si="32"/>
        <v>259.89116438175449</v>
      </c>
      <c r="K53" s="77">
        <v>554.96104413295825</v>
      </c>
      <c r="L53" s="379">
        <f t="shared" si="31"/>
        <v>147.32698911233558</v>
      </c>
      <c r="M53" s="506">
        <v>277.60320000000002</v>
      </c>
      <c r="N53" s="379">
        <f>M53*H53/1000</f>
        <v>73.696062194504265</v>
      </c>
      <c r="O53" s="579"/>
      <c r="P53" s="579"/>
      <c r="Q53" s="579"/>
      <c r="R53" s="579"/>
      <c r="T53" s="386">
        <f t="shared" si="29"/>
        <v>154.43871499951379</v>
      </c>
      <c r="U53" s="386">
        <f t="shared" si="30"/>
        <v>80.807788081682475</v>
      </c>
    </row>
    <row r="54" spans="1:33">
      <c r="A54" s="62" t="s">
        <v>309</v>
      </c>
      <c r="B54" s="72">
        <v>0</v>
      </c>
      <c r="C54" s="379">
        <v>0</v>
      </c>
      <c r="D54" s="413">
        <v>0</v>
      </c>
      <c r="E54" s="386">
        <f t="shared" si="34"/>
        <v>0</v>
      </c>
      <c r="F54" s="386">
        <v>0</v>
      </c>
      <c r="H54" s="103">
        <v>319.22392320641728</v>
      </c>
      <c r="I54" s="135" t="s">
        <v>32</v>
      </c>
      <c r="K54" s="407">
        <v>0</v>
      </c>
      <c r="L54" s="379">
        <v>0</v>
      </c>
      <c r="M54" s="143">
        <v>0</v>
      </c>
      <c r="N54" s="446">
        <v>0</v>
      </c>
      <c r="O54" s="581"/>
      <c r="P54" s="581"/>
      <c r="Q54" s="581"/>
      <c r="R54" s="581"/>
      <c r="T54" s="386">
        <f t="shared" si="29"/>
        <v>0</v>
      </c>
      <c r="U54" s="386">
        <f t="shared" si="30"/>
        <v>0</v>
      </c>
    </row>
    <row r="55" spans="1:33">
      <c r="A55" s="62" t="s">
        <v>310</v>
      </c>
      <c r="B55" s="72">
        <v>658.12894400000005</v>
      </c>
      <c r="C55" s="379">
        <v>46.546841420137575</v>
      </c>
      <c r="D55" s="396">
        <v>2.8663884607480701</v>
      </c>
      <c r="E55" s="386">
        <f t="shared" si="34"/>
        <v>49.413229880885645</v>
      </c>
      <c r="F55" s="386">
        <v>49.281638698190498</v>
      </c>
      <c r="H55" s="103">
        <f>AVERAGE(H22,H32)</f>
        <v>223.31853582260027</v>
      </c>
      <c r="I55" s="135">
        <f>1000*C55/K55</f>
        <v>256.19928337438546</v>
      </c>
      <c r="K55" s="77">
        <v>181.68216868943546</v>
      </c>
      <c r="L55" s="379">
        <f>K55*H55/1000</f>
        <v>40.572995896799398</v>
      </c>
      <c r="M55" s="507">
        <v>188.69759999999999</v>
      </c>
      <c r="N55" s="379">
        <f>M55*H55/1000</f>
        <v>42.139671745238694</v>
      </c>
      <c r="O55" s="579"/>
      <c r="P55" s="579"/>
      <c r="Q55" s="579"/>
      <c r="R55" s="579"/>
      <c r="T55" s="386">
        <f t="shared" si="29"/>
        <v>43.439384357547468</v>
      </c>
      <c r="U55" s="386">
        <f t="shared" si="30"/>
        <v>45.006060205986763</v>
      </c>
    </row>
    <row r="56" spans="1:33">
      <c r="A56" s="2" t="s">
        <v>253</v>
      </c>
      <c r="B56" s="372">
        <f>SUM(B46:B55)</f>
        <v>2321.6384439078329</v>
      </c>
      <c r="C56" s="415">
        <f>SUM(C46:C55)</f>
        <v>283.77077907306131</v>
      </c>
      <c r="D56" s="416">
        <f>SUM(D46:D55)</f>
        <v>14.673551416276691</v>
      </c>
      <c r="E56" s="415">
        <f>SUM(E46:E55)</f>
        <v>298.44433048933803</v>
      </c>
      <c r="F56" s="415">
        <f>SUM(F46:F55)</f>
        <v>295.34421002543752</v>
      </c>
      <c r="H56" s="135"/>
      <c r="I56" s="155">
        <f>1000*C56/K56</f>
        <v>258.0965595805684</v>
      </c>
      <c r="J56" s="10" t="s">
        <v>26</v>
      </c>
      <c r="K56" s="415">
        <f>SUM(K46:K55)</f>
        <v>1099.4752488534368</v>
      </c>
      <c r="L56" s="415">
        <f>SUM(L46:L55)</f>
        <v>277.4082719445646</v>
      </c>
      <c r="M56" s="415">
        <f>SUM(M46:M55)</f>
        <v>640.63379520000001</v>
      </c>
      <c r="N56" s="415">
        <f>SUM(N46:N55)</f>
        <v>162.21724995364795</v>
      </c>
      <c r="O56" s="558"/>
      <c r="P56" s="558"/>
      <c r="Q56" s="558"/>
      <c r="R56" s="558"/>
      <c r="T56" s="415">
        <f t="shared" ref="T56:U56" si="35">SUM(T46:T55)</f>
        <v>292.08182336084127</v>
      </c>
      <c r="U56" s="415">
        <f t="shared" si="35"/>
        <v>176.89080136992462</v>
      </c>
      <c r="AG56" s="120">
        <f>D56/E56</f>
        <v>4.9166795670795647E-2</v>
      </c>
    </row>
    <row r="57" spans="1:33">
      <c r="A57" s="2" t="s">
        <v>253</v>
      </c>
      <c r="B57" s="37"/>
      <c r="C57" s="31"/>
      <c r="D57" s="498">
        <f>D56/F56</f>
        <v>4.9682881594370454E-2</v>
      </c>
      <c r="E57" s="31"/>
      <c r="F57" s="31"/>
      <c r="H57" s="150">
        <v>244</v>
      </c>
      <c r="I57" s="502">
        <f>1000*C56/M56</f>
        <v>442.95318354922358</v>
      </c>
      <c r="J57" s="87" t="s">
        <v>263</v>
      </c>
      <c r="K57" s="415">
        <f>SUM(K46:K55)</f>
        <v>1099.4752488534368</v>
      </c>
      <c r="L57" s="415">
        <f>K57*H57/1000</f>
        <v>268.27196072023855</v>
      </c>
      <c r="M57" s="415">
        <f>SUM(M46:M55)</f>
        <v>640.63379520000001</v>
      </c>
      <c r="N57" s="415">
        <f>M57*H57/1000</f>
        <v>156.31464602879998</v>
      </c>
      <c r="O57" s="558"/>
      <c r="P57" s="558"/>
      <c r="Q57" s="558"/>
      <c r="R57" s="558"/>
      <c r="T57" s="415"/>
      <c r="U57" s="415"/>
    </row>
    <row r="58" spans="1:33" ht="16">
      <c r="A58" s="12" t="s">
        <v>12</v>
      </c>
      <c r="B58" s="37"/>
      <c r="D58" s="35"/>
      <c r="H58" s="428">
        <f>1000*(F56-D56)/K56</f>
        <v>255.27692315206912</v>
      </c>
      <c r="I58" s="501">
        <f>1000*(F56-D56)/M56</f>
        <v>438.1140375548531</v>
      </c>
      <c r="K58" s="9"/>
    </row>
    <row r="59" spans="1:33">
      <c r="A59" s="2" t="s">
        <v>1</v>
      </c>
      <c r="B59" s="72">
        <v>85.576335327999999</v>
      </c>
      <c r="C59" s="394">
        <v>3.6435904772327246</v>
      </c>
      <c r="D59" s="395">
        <v>0.47034834263204223</v>
      </c>
      <c r="E59" s="397">
        <f>C59+D59</f>
        <v>4.1139388198647664</v>
      </c>
      <c r="F59" s="397">
        <v>4.0725792391269744</v>
      </c>
      <c r="H59" s="103">
        <v>341.27241396473482</v>
      </c>
      <c r="I59" s="135">
        <f>1000*C59/K59</f>
        <v>224.73388607858701</v>
      </c>
      <c r="K59" s="407">
        <v>16.212910926831036</v>
      </c>
      <c r="L59" s="394">
        <f>K59*H59/1000</f>
        <v>5.5330192493948536</v>
      </c>
      <c r="M59" s="36">
        <v>6.0563653909999999</v>
      </c>
      <c r="N59" s="394">
        <f>M59*H59/1000</f>
        <v>2.0668704368390451</v>
      </c>
      <c r="O59" s="580"/>
      <c r="P59" s="580"/>
      <c r="Q59" s="580"/>
      <c r="R59" s="580"/>
    </row>
    <row r="60" spans="1:33">
      <c r="A60" s="2" t="s">
        <v>2</v>
      </c>
      <c r="B60" s="72">
        <v>95.922905232000005</v>
      </c>
      <c r="C60" s="394">
        <v>8.4521152179849484</v>
      </c>
      <c r="D60" s="395">
        <v>0.57497144602187922</v>
      </c>
      <c r="E60" s="397">
        <f t="shared" ref="E60:E68" si="36">C60+D60</f>
        <v>9.027086664006827</v>
      </c>
      <c r="F60" s="397">
        <v>8.7732451375840963</v>
      </c>
      <c r="H60" s="103">
        <v>251.87810956867779</v>
      </c>
      <c r="I60" s="135">
        <f t="shared" ref="I60:I68" si="37">1000*C60/K60</f>
        <v>243.88550706102231</v>
      </c>
      <c r="K60" s="77">
        <v>34.656078255073005</v>
      </c>
      <c r="L60" s="394">
        <f t="shared" ref="L60:L68" si="38">K60*H60/1000</f>
        <v>8.7291074759519507</v>
      </c>
      <c r="M60" s="77">
        <v>20.282836640500001</v>
      </c>
      <c r="N60" s="394">
        <f t="shared" ref="N60:N68" si="39">M60*H60/1000</f>
        <v>5.1088025496994511</v>
      </c>
      <c r="O60" s="580"/>
      <c r="P60" s="580"/>
      <c r="Q60" s="580"/>
      <c r="R60" s="580"/>
    </row>
    <row r="61" spans="1:33">
      <c r="A61" s="2" t="s">
        <v>3</v>
      </c>
      <c r="B61" s="72">
        <v>22.119493616</v>
      </c>
      <c r="C61" s="380">
        <v>0.5819550092328567</v>
      </c>
      <c r="D61" s="400">
        <v>0.11156861636222175</v>
      </c>
      <c r="E61" s="387">
        <f t="shared" si="36"/>
        <v>0.69352362559507841</v>
      </c>
      <c r="F61" s="387">
        <v>0.69644493126643803</v>
      </c>
      <c r="H61" s="103">
        <v>340.52128292342712</v>
      </c>
      <c r="I61" s="135">
        <f t="shared" si="37"/>
        <v>242.9677652288878</v>
      </c>
      <c r="K61" s="408">
        <v>2.3951943118241465</v>
      </c>
      <c r="L61" s="380">
        <f t="shared" si="38"/>
        <v>0.81561463991325356</v>
      </c>
      <c r="M61" s="36">
        <v>1.3417262452499998</v>
      </c>
      <c r="N61" s="394">
        <f t="shared" si="39"/>
        <v>0.45688634236456277</v>
      </c>
      <c r="O61" s="580"/>
      <c r="P61" s="580"/>
      <c r="Q61" s="580"/>
      <c r="R61" s="580"/>
    </row>
    <row r="62" spans="1:33">
      <c r="A62" s="2" t="s">
        <v>4</v>
      </c>
      <c r="B62" s="72">
        <v>39.228399584000002</v>
      </c>
      <c r="C62" s="394">
        <v>1.4827026062493114</v>
      </c>
      <c r="D62" s="395">
        <v>0.20889035012162499</v>
      </c>
      <c r="E62" s="397">
        <f t="shared" si="36"/>
        <v>1.6915929563709364</v>
      </c>
      <c r="F62" s="397">
        <v>1.6817564895446877</v>
      </c>
      <c r="H62" s="103">
        <v>303.09479978388185</v>
      </c>
      <c r="I62" s="135">
        <f t="shared" si="37"/>
        <v>229.6732023932903</v>
      </c>
      <c r="K62" s="408">
        <v>6.4557057192521095</v>
      </c>
      <c r="L62" s="394">
        <f t="shared" si="38"/>
        <v>1.9566908324403791</v>
      </c>
      <c r="M62" s="36">
        <v>9.1</v>
      </c>
      <c r="N62" s="394">
        <f t="shared" si="39"/>
        <v>2.758162678033325</v>
      </c>
      <c r="O62" s="580"/>
      <c r="P62" s="580"/>
      <c r="Q62" s="580"/>
      <c r="R62" s="580"/>
    </row>
    <row r="63" spans="1:33">
      <c r="A63" s="2" t="s">
        <v>5</v>
      </c>
      <c r="B63" s="85">
        <v>0.64834263999999997</v>
      </c>
      <c r="C63" s="380">
        <v>8.4431470721199123E-3</v>
      </c>
      <c r="D63" s="400">
        <v>2.4369636797208346E-3</v>
      </c>
      <c r="E63" s="387">
        <f t="shared" si="36"/>
        <v>1.0880110751840748E-2</v>
      </c>
      <c r="F63" s="387">
        <v>1.2459746321464746E-2</v>
      </c>
      <c r="H63" s="373" t="s">
        <v>19</v>
      </c>
      <c r="I63" s="135" t="s">
        <v>19</v>
      </c>
      <c r="K63" s="444">
        <v>1.226203950587303E-2</v>
      </c>
      <c r="L63" s="379">
        <v>0</v>
      </c>
      <c r="M63" s="39">
        <v>1.0999999999999999E-2</v>
      </c>
      <c r="N63" s="379">
        <v>0</v>
      </c>
      <c r="O63" s="579"/>
      <c r="P63" s="579"/>
      <c r="Q63" s="579"/>
      <c r="R63" s="579"/>
    </row>
    <row r="64" spans="1:33">
      <c r="A64" s="2" t="s">
        <v>88</v>
      </c>
      <c r="B64" s="72">
        <v>17.353563567999998</v>
      </c>
      <c r="C64" s="380">
        <v>0.68893383418051612</v>
      </c>
      <c r="D64" s="395">
        <v>9.3201847542093888E-2</v>
      </c>
      <c r="E64" s="387">
        <f t="shared" si="36"/>
        <v>0.78213568172261005</v>
      </c>
      <c r="F64" s="387">
        <v>0.77839841314873059</v>
      </c>
      <c r="H64" s="103">
        <v>302.47945414546439</v>
      </c>
      <c r="I64" s="135">
        <f t="shared" si="37"/>
        <v>225.69233459293733</v>
      </c>
      <c r="K64" s="408">
        <v>3.0525353704328917</v>
      </c>
      <c r="L64" s="394">
        <f t="shared" si="38"/>
        <v>0.92332923260826394</v>
      </c>
      <c r="M64" s="36">
        <v>3.8</v>
      </c>
      <c r="N64" s="394">
        <f t="shared" si="39"/>
        <v>1.1494219257527645</v>
      </c>
      <c r="O64" s="580"/>
      <c r="P64" s="580"/>
      <c r="Q64" s="580"/>
      <c r="R64" s="580"/>
    </row>
    <row r="65" spans="1:33">
      <c r="A65" s="2" t="s">
        <v>95</v>
      </c>
      <c r="B65" s="72">
        <v>52.050904399999993</v>
      </c>
      <c r="C65" s="394">
        <v>2.9401756247629898</v>
      </c>
      <c r="D65" s="395">
        <v>0.29952398569123689</v>
      </c>
      <c r="E65" s="397">
        <f t="shared" si="36"/>
        <v>3.2396996104542266</v>
      </c>
      <c r="F65" s="397">
        <v>3.1909884570122045</v>
      </c>
      <c r="H65" s="103">
        <v>206.33957929603184</v>
      </c>
      <c r="I65" s="135">
        <f t="shared" si="37"/>
        <v>222.95374921886543</v>
      </c>
      <c r="K65" s="407">
        <v>13.187379154035792</v>
      </c>
      <c r="L65" s="394">
        <f t="shared" si="38"/>
        <v>2.7210782666610056</v>
      </c>
      <c r="M65" s="36">
        <v>8.9</v>
      </c>
      <c r="N65" s="394">
        <f t="shared" si="39"/>
        <v>1.8364222557346834</v>
      </c>
      <c r="O65" s="580"/>
      <c r="P65" s="580"/>
      <c r="Q65" s="580"/>
      <c r="R65" s="580"/>
    </row>
    <row r="66" spans="1:33">
      <c r="A66" s="2" t="s">
        <v>125</v>
      </c>
      <c r="B66" s="72">
        <v>31.805487999999997</v>
      </c>
      <c r="C66" s="394">
        <v>1.9417361062773777</v>
      </c>
      <c r="D66" s="395">
        <v>0.18488984850394424</v>
      </c>
      <c r="E66" s="397">
        <f t="shared" si="36"/>
        <v>2.1266259547813218</v>
      </c>
      <c r="F66" s="397">
        <v>2.0913173194609791</v>
      </c>
      <c r="H66" s="103">
        <v>277.73418561754659</v>
      </c>
      <c r="I66" s="135">
        <f t="shared" si="37"/>
        <v>224.14401235475304</v>
      </c>
      <c r="K66" s="81">
        <v>8.6628952782561477</v>
      </c>
      <c r="L66" s="394">
        <f t="shared" si="38"/>
        <v>2.4059821651965607</v>
      </c>
      <c r="M66" s="81">
        <v>1.3</v>
      </c>
      <c r="N66" s="394">
        <f t="shared" si="39"/>
        <v>0.36105444130281056</v>
      </c>
      <c r="O66" s="580"/>
      <c r="P66" s="580"/>
      <c r="Q66" s="580"/>
      <c r="R66" s="580"/>
    </row>
    <row r="67" spans="1:33">
      <c r="A67" s="62" t="s">
        <v>128</v>
      </c>
      <c r="B67" s="93">
        <v>7.9269062400000001</v>
      </c>
      <c r="C67" s="380">
        <v>0.19214043222579902</v>
      </c>
      <c r="D67" s="400">
        <v>4.0062450430831606E-2</v>
      </c>
      <c r="E67" s="387">
        <f t="shared" si="36"/>
        <v>0.23220288265663064</v>
      </c>
      <c r="F67" s="387">
        <v>0.23604828405262918</v>
      </c>
      <c r="H67" s="103">
        <v>319.22392320641728</v>
      </c>
      <c r="I67" s="135">
        <f t="shared" si="37"/>
        <v>265.73928601602427</v>
      </c>
      <c r="K67" s="445">
        <v>0.72304112465408232</v>
      </c>
      <c r="L67" s="380">
        <f t="shared" si="38"/>
        <v>0.23081202445165636</v>
      </c>
      <c r="M67" s="36">
        <v>0.5</v>
      </c>
      <c r="N67" s="394">
        <f t="shared" si="39"/>
        <v>0.15961196160320865</v>
      </c>
      <c r="O67" s="580"/>
      <c r="P67" s="580"/>
      <c r="Q67" s="580"/>
      <c r="R67" s="580"/>
    </row>
    <row r="68" spans="1:33">
      <c r="A68" s="62" t="s">
        <v>247</v>
      </c>
      <c r="B68" s="72">
        <v>145.32661440000001</v>
      </c>
      <c r="C68" s="379">
        <v>17.781363891375232</v>
      </c>
      <c r="D68" s="395">
        <v>0.93346831391082319</v>
      </c>
      <c r="E68" s="386">
        <f t="shared" si="36"/>
        <v>18.714832205286054</v>
      </c>
      <c r="F68" s="386">
        <v>18.085565997064137</v>
      </c>
      <c r="H68" s="103">
        <v>271.55664071646174</v>
      </c>
      <c r="I68" s="135">
        <f t="shared" si="37"/>
        <v>248.73813981400292</v>
      </c>
      <c r="K68" s="77">
        <v>71.48627831932599</v>
      </c>
      <c r="L68" s="379">
        <f t="shared" si="38"/>
        <v>19.412573597718197</v>
      </c>
      <c r="M68" s="77">
        <v>26.49024</v>
      </c>
      <c r="N68" s="394">
        <f t="shared" si="39"/>
        <v>7.1936005861728436</v>
      </c>
      <c r="O68" s="580"/>
      <c r="P68" s="580"/>
      <c r="Q68" s="580"/>
      <c r="R68" s="580"/>
    </row>
    <row r="69" spans="1:33">
      <c r="A69" s="2" t="s">
        <v>253</v>
      </c>
      <c r="B69" s="414">
        <f>SUM(B59:B68)</f>
        <v>497.95895300800009</v>
      </c>
      <c r="C69" s="415">
        <f>SUM(C59:C68)</f>
        <v>37.713156346593877</v>
      </c>
      <c r="D69" s="416">
        <f>SUM(D59:D68)</f>
        <v>2.9193621648964188</v>
      </c>
      <c r="E69" s="415">
        <f>SUM(E59:E68)</f>
        <v>40.632518511490289</v>
      </c>
      <c r="F69" s="415">
        <f>SUM(F59:F68)</f>
        <v>39.618804014582338</v>
      </c>
      <c r="H69" s="135"/>
      <c r="I69" s="155">
        <f>1000*C69/K69</f>
        <v>240.44967547789145</v>
      </c>
      <c r="J69" s="10" t="s">
        <v>26</v>
      </c>
      <c r="K69" s="415">
        <f>SUM(K59:K68)</f>
        <v>156.84428049919109</v>
      </c>
      <c r="L69" s="415">
        <f>SUM(L59:L68)</f>
        <v>42.728207484336124</v>
      </c>
      <c r="M69" s="415">
        <f>SUM(M59:M68)</f>
        <v>77.782168276749999</v>
      </c>
      <c r="N69" s="415">
        <f>SUM(N59:N68)</f>
        <v>21.090833177502695</v>
      </c>
      <c r="O69" s="558"/>
      <c r="P69" s="558"/>
      <c r="Q69" s="558"/>
      <c r="R69" s="558"/>
      <c r="AG69" s="120">
        <f>D69/E69</f>
        <v>7.1847925549356859E-2</v>
      </c>
    </row>
    <row r="70" spans="1:33">
      <c r="A70" s="2" t="s">
        <v>253</v>
      </c>
      <c r="B70" s="37"/>
      <c r="C70" s="31"/>
      <c r="D70" s="498">
        <f>D69/F69</f>
        <v>7.3686276946217266E-2</v>
      </c>
      <c r="E70" s="31"/>
      <c r="F70" s="31"/>
      <c r="H70" s="150">
        <v>283</v>
      </c>
      <c r="I70" s="502">
        <f>1000*C69/M69</f>
        <v>484.85606896956068</v>
      </c>
      <c r="J70" s="87" t="s">
        <v>263</v>
      </c>
      <c r="K70" s="415">
        <f>SUM(K59:K68)</f>
        <v>156.84428049919109</v>
      </c>
      <c r="L70" s="416">
        <f>K70*H70/1000</f>
        <v>44.386931381271076</v>
      </c>
      <c r="M70" s="415">
        <f>SUM(M59:M68)</f>
        <v>77.782168276749999</v>
      </c>
      <c r="N70" s="415">
        <f>M70*H70/1000</f>
        <v>22.012353622320251</v>
      </c>
      <c r="O70" s="558"/>
      <c r="P70" s="558"/>
      <c r="Q70" s="558"/>
      <c r="R70" s="558"/>
    </row>
    <row r="71" spans="1:33" ht="16">
      <c r="A71" s="14" t="s">
        <v>25</v>
      </c>
      <c r="B71" s="37"/>
      <c r="D71" s="35"/>
      <c r="H71" s="428">
        <f>1000*(F69-D69)/K69</f>
        <v>233.98648476617672</v>
      </c>
      <c r="I71" s="501">
        <f>1000*(F69-D69)/M69</f>
        <v>471.82333255494774</v>
      </c>
    </row>
    <row r="72" spans="1:33">
      <c r="A72" s="2" t="s">
        <v>1</v>
      </c>
      <c r="B72" s="72">
        <f t="shared" ref="B72:B81" si="40">SUM(B46,B59)</f>
        <v>171.97989104086602</v>
      </c>
      <c r="C72" s="394">
        <f t="shared" ref="C72:F81" si="41">C46+C59</f>
        <v>12.816916371113084</v>
      </c>
      <c r="D72" s="448">
        <f t="shared" si="41"/>
        <v>1.0522553033620121</v>
      </c>
      <c r="E72" s="397">
        <f t="shared" si="41"/>
        <v>13.869171674475098</v>
      </c>
      <c r="F72" s="397">
        <f t="shared" si="41"/>
        <v>13.968564180140628</v>
      </c>
      <c r="H72" s="103">
        <v>341.27241396473482</v>
      </c>
      <c r="I72" s="135">
        <f>1000*C72/K72</f>
        <v>188.97463106723916</v>
      </c>
      <c r="K72" s="407">
        <f t="shared" ref="K72:N81" si="42">K46+K59</f>
        <v>67.823476086336115</v>
      </c>
      <c r="L72" s="379">
        <f t="shared" si="42"/>
        <v>21.945178970117471</v>
      </c>
      <c r="M72" s="36">
        <f t="shared" si="42"/>
        <v>42.239130191000001</v>
      </c>
      <c r="N72" s="379">
        <f t="shared" si="42"/>
        <v>13.572989643239046</v>
      </c>
      <c r="O72" s="579"/>
      <c r="P72" s="579"/>
      <c r="Q72" s="579"/>
      <c r="R72" s="579"/>
      <c r="T72" s="419">
        <f t="shared" ref="T72:T80" si="43">D72+L72</f>
        <v>22.997434273479485</v>
      </c>
      <c r="U72" s="419">
        <f t="shared" ref="U72:U80" si="44">D72+N72</f>
        <v>14.625244946601057</v>
      </c>
      <c r="AD72" s="77">
        <f t="shared" ref="AD72:AD81" si="45">AVERAGE(K72,M72)</f>
        <v>55.031303138668058</v>
      </c>
    </row>
    <row r="73" spans="1:33">
      <c r="A73" s="2" t="s">
        <v>2</v>
      </c>
      <c r="B73" s="72">
        <f t="shared" si="40"/>
        <v>455.92290523200001</v>
      </c>
      <c r="C73" s="394">
        <f t="shared" si="41"/>
        <v>70.344970248139518</v>
      </c>
      <c r="D73" s="384">
        <f t="shared" si="41"/>
        <v>3.0005972136621271</v>
      </c>
      <c r="E73" s="386">
        <f t="shared" si="41"/>
        <v>73.34556746180165</v>
      </c>
      <c r="F73" s="386">
        <f t="shared" si="41"/>
        <v>72.602903914072797</v>
      </c>
      <c r="H73" s="103">
        <v>227.52505029532156</v>
      </c>
      <c r="I73" s="135">
        <f t="shared" ref="I73:I81" si="46">1000*C73/K73</f>
        <v>265.35556144403671</v>
      </c>
      <c r="K73" s="77">
        <f t="shared" si="42"/>
        <v>265.09702628929153</v>
      </c>
      <c r="L73" s="379">
        <f t="shared" si="42"/>
        <v>59.664868525842628</v>
      </c>
      <c r="M73" s="77">
        <f t="shared" si="42"/>
        <v>87.954513440499994</v>
      </c>
      <c r="N73" s="379">
        <f t="shared" si="42"/>
        <v>20.066683901664703</v>
      </c>
      <c r="O73" s="579"/>
      <c r="P73" s="579"/>
      <c r="Q73" s="579"/>
      <c r="R73" s="579"/>
      <c r="T73" s="419">
        <f t="shared" si="43"/>
        <v>62.665465739504754</v>
      </c>
      <c r="U73" s="419">
        <f t="shared" si="44"/>
        <v>23.067281115326828</v>
      </c>
      <c r="AD73" s="77">
        <f t="shared" si="45"/>
        <v>176.52576986489578</v>
      </c>
    </row>
    <row r="74" spans="1:33">
      <c r="A74" s="2" t="s">
        <v>3</v>
      </c>
      <c r="B74" s="72">
        <f t="shared" si="40"/>
        <v>22.119493616</v>
      </c>
      <c r="C74" s="380">
        <f t="shared" si="41"/>
        <v>0.5819550092328567</v>
      </c>
      <c r="D74" s="385">
        <f t="shared" si="41"/>
        <v>0.11156861636222175</v>
      </c>
      <c r="E74" s="387">
        <f t="shared" si="41"/>
        <v>0.69352362559507841</v>
      </c>
      <c r="F74" s="387">
        <f t="shared" si="41"/>
        <v>0.69644493126643803</v>
      </c>
      <c r="H74" s="103">
        <v>340.52128292342712</v>
      </c>
      <c r="I74" s="135">
        <f t="shared" si="46"/>
        <v>242.9677652288878</v>
      </c>
      <c r="K74" s="408">
        <f t="shared" si="42"/>
        <v>2.3951943118241465</v>
      </c>
      <c r="L74" s="394">
        <f>L61</f>
        <v>0.81561463991325356</v>
      </c>
      <c r="M74" s="36">
        <f t="shared" si="42"/>
        <v>1.3417262452499998</v>
      </c>
      <c r="N74" s="394">
        <f>N61</f>
        <v>0.45688634236456277</v>
      </c>
      <c r="O74" s="580"/>
      <c r="P74" s="580"/>
      <c r="Q74" s="580"/>
      <c r="R74" s="580"/>
      <c r="T74" s="418">
        <f t="shared" si="43"/>
        <v>0.92718325627547526</v>
      </c>
      <c r="U74" s="418">
        <f t="shared" si="44"/>
        <v>0.56845495872678453</v>
      </c>
      <c r="AD74" s="81">
        <f t="shared" si="45"/>
        <v>1.8684602785370732</v>
      </c>
    </row>
    <row r="75" spans="1:33">
      <c r="A75" s="2" t="s">
        <v>4</v>
      </c>
      <c r="B75" s="72">
        <f t="shared" si="40"/>
        <v>102.57009377896701</v>
      </c>
      <c r="C75" s="394">
        <f t="shared" si="41"/>
        <v>12.558365900439339</v>
      </c>
      <c r="D75" s="448">
        <f t="shared" si="41"/>
        <v>0.96972472344513694</v>
      </c>
      <c r="E75" s="397">
        <f t="shared" si="41"/>
        <v>13.528090623884475</v>
      </c>
      <c r="F75" s="397">
        <f t="shared" si="41"/>
        <v>13.34540017776178</v>
      </c>
      <c r="H75" s="103">
        <v>267.7367983662877</v>
      </c>
      <c r="I75" s="135">
        <f t="shared" si="46"/>
        <v>267.11010251221279</v>
      </c>
      <c r="K75" s="408">
        <f t="shared" si="42"/>
        <v>47.015690467436166</v>
      </c>
      <c r="L75" s="394">
        <f t="shared" si="42"/>
        <v>11.933091859736212</v>
      </c>
      <c r="M75" s="36">
        <f t="shared" si="42"/>
        <v>42.865076800000004</v>
      </c>
      <c r="N75" s="379">
        <f t="shared" si="42"/>
        <v>11.06324338665771</v>
      </c>
      <c r="O75" s="579"/>
      <c r="P75" s="579"/>
      <c r="Q75" s="579"/>
      <c r="R75" s="579"/>
      <c r="T75" s="418">
        <f t="shared" si="43"/>
        <v>12.902816583181348</v>
      </c>
      <c r="U75" s="419">
        <f t="shared" si="44"/>
        <v>12.032968110102846</v>
      </c>
      <c r="AD75" s="77">
        <f t="shared" si="45"/>
        <v>44.940383633718085</v>
      </c>
    </row>
    <row r="76" spans="1:33">
      <c r="A76" s="2" t="s">
        <v>5</v>
      </c>
      <c r="B76" s="93">
        <f t="shared" si="40"/>
        <v>0.64834263999999997</v>
      </c>
      <c r="C76" s="380">
        <f t="shared" si="41"/>
        <v>8.4431470721199123E-3</v>
      </c>
      <c r="D76" s="385">
        <f t="shared" si="41"/>
        <v>2.4369636797208346E-3</v>
      </c>
      <c r="E76" s="387">
        <f t="shared" si="41"/>
        <v>1.0880110751840748E-2</v>
      </c>
      <c r="F76" s="387">
        <f t="shared" si="41"/>
        <v>1.2459746321464746E-2</v>
      </c>
      <c r="H76" s="393" t="s">
        <v>19</v>
      </c>
      <c r="I76" s="135">
        <f t="shared" si="46"/>
        <v>688.5597675717795</v>
      </c>
      <c r="K76" s="444">
        <f t="shared" si="42"/>
        <v>1.226203950587303E-2</v>
      </c>
      <c r="L76" s="379">
        <f t="shared" si="42"/>
        <v>0</v>
      </c>
      <c r="M76" s="39">
        <f t="shared" si="42"/>
        <v>1.0999999999999999E-2</v>
      </c>
      <c r="N76" s="446">
        <f t="shared" si="42"/>
        <v>0</v>
      </c>
      <c r="O76" s="581"/>
      <c r="P76" s="581"/>
      <c r="Q76" s="581"/>
      <c r="R76" s="581"/>
      <c r="T76" s="449">
        <f t="shared" si="43"/>
        <v>2.4369636797208346E-3</v>
      </c>
      <c r="U76" s="449">
        <f t="shared" si="44"/>
        <v>2.4369636797208346E-3</v>
      </c>
      <c r="AD76" s="77">
        <f t="shared" si="45"/>
        <v>1.1631019752936515E-2</v>
      </c>
    </row>
    <row r="77" spans="1:33">
      <c r="A77" s="2" t="s">
        <v>88</v>
      </c>
      <c r="B77" s="72">
        <f t="shared" si="40"/>
        <v>83.753563568000004</v>
      </c>
      <c r="C77" s="394">
        <f t="shared" si="41"/>
        <v>6.730674029925467</v>
      </c>
      <c r="D77" s="384">
        <f t="shared" si="41"/>
        <v>0.62137992518623564</v>
      </c>
      <c r="E77" s="386">
        <f t="shared" si="41"/>
        <v>7.3520539551117023</v>
      </c>
      <c r="F77" s="386">
        <f t="shared" si="41"/>
        <v>7.351007667096539</v>
      </c>
      <c r="H77" s="103">
        <v>363.50429921264481</v>
      </c>
      <c r="I77" s="135">
        <f t="shared" si="46"/>
        <v>266.05940787713706</v>
      </c>
      <c r="K77" s="408">
        <f t="shared" si="42"/>
        <v>25.297635906314611</v>
      </c>
      <c r="L77" s="379">
        <f t="shared" si="42"/>
        <v>9.3570726010627912</v>
      </c>
      <c r="M77" s="36">
        <f t="shared" si="42"/>
        <v>26.984403200000003</v>
      </c>
      <c r="N77" s="394">
        <f t="shared" si="42"/>
        <v>9.9392813567848108</v>
      </c>
      <c r="O77" s="580"/>
      <c r="P77" s="580"/>
      <c r="Q77" s="580"/>
      <c r="R77" s="580"/>
      <c r="T77" s="419">
        <f t="shared" si="43"/>
        <v>9.9784525262490273</v>
      </c>
      <c r="U77" s="419">
        <f t="shared" si="44"/>
        <v>10.560661281971047</v>
      </c>
      <c r="AD77" s="77">
        <f t="shared" si="45"/>
        <v>26.141019553157307</v>
      </c>
    </row>
    <row r="78" spans="1:33">
      <c r="A78" s="2" t="s">
        <v>95</v>
      </c>
      <c r="B78" s="72">
        <f t="shared" si="40"/>
        <v>113.2509044</v>
      </c>
      <c r="C78" s="394">
        <f t="shared" si="41"/>
        <v>7.7510569174880617</v>
      </c>
      <c r="D78" s="384">
        <f t="shared" si="41"/>
        <v>0.69841587470377908</v>
      </c>
      <c r="E78" s="397">
        <f t="shared" si="41"/>
        <v>8.4494727921918411</v>
      </c>
      <c r="F78" s="386">
        <f t="shared" si="41"/>
        <v>8.4035289734789647</v>
      </c>
      <c r="H78" s="103">
        <v>207.57618825601696</v>
      </c>
      <c r="I78" s="135">
        <f t="shared" si="46"/>
        <v>248.72773826234177</v>
      </c>
      <c r="K78" s="407">
        <f t="shared" si="42"/>
        <v>31.162816707289611</v>
      </c>
      <c r="L78" s="379">
        <f t="shared" si="42"/>
        <v>6.4713000357269781</v>
      </c>
      <c r="M78" s="36">
        <f t="shared" si="42"/>
        <v>22.429073600000002</v>
      </c>
      <c r="N78" s="394">
        <f t="shared" si="42"/>
        <v>4.6589975716179737</v>
      </c>
      <c r="O78" s="580"/>
      <c r="P78" s="580"/>
      <c r="Q78" s="580"/>
      <c r="R78" s="580"/>
      <c r="T78" s="418">
        <f t="shared" si="43"/>
        <v>7.1697159104307575</v>
      </c>
      <c r="U78" s="418">
        <f t="shared" si="44"/>
        <v>5.3574134463217531</v>
      </c>
      <c r="AD78" s="77">
        <f t="shared" si="45"/>
        <v>26.795945153644809</v>
      </c>
    </row>
    <row r="79" spans="1:33">
      <c r="A79" s="2" t="s">
        <v>125</v>
      </c>
      <c r="B79" s="72">
        <f t="shared" si="40"/>
        <v>1057.969738</v>
      </c>
      <c r="C79" s="379">
        <f t="shared" si="41"/>
        <v>146.17120805250613</v>
      </c>
      <c r="D79" s="384">
        <f t="shared" si="41"/>
        <v>7.2966157356821535</v>
      </c>
      <c r="E79" s="386">
        <f t="shared" si="41"/>
        <v>153.4678237881883</v>
      </c>
      <c r="F79" s="386">
        <f t="shared" si="41"/>
        <v>150.97945147057399</v>
      </c>
      <c r="H79" s="103">
        <v>265.83227747310917</v>
      </c>
      <c r="I79" s="135">
        <f t="shared" si="46"/>
        <v>259.34173095131973</v>
      </c>
      <c r="K79" s="77">
        <f>K53+K66</f>
        <v>563.62393941121445</v>
      </c>
      <c r="L79" s="379">
        <f t="shared" si="42"/>
        <v>149.73297127753213</v>
      </c>
      <c r="M79" s="81">
        <f t="shared" si="42"/>
        <v>278.90320000000003</v>
      </c>
      <c r="N79" s="394">
        <f t="shared" si="42"/>
        <v>74.057116635807077</v>
      </c>
      <c r="O79" s="580"/>
      <c r="P79" s="580"/>
      <c r="Q79" s="580"/>
      <c r="R79" s="580"/>
      <c r="T79" s="419">
        <f t="shared" si="43"/>
        <v>157.0295870132143</v>
      </c>
      <c r="U79" s="419">
        <f t="shared" si="44"/>
        <v>81.35373237148923</v>
      </c>
      <c r="AD79" s="77">
        <f t="shared" si="45"/>
        <v>421.26356970560721</v>
      </c>
    </row>
    <row r="80" spans="1:33">
      <c r="A80" s="62" t="s">
        <v>128</v>
      </c>
      <c r="B80" s="93">
        <f t="shared" si="40"/>
        <v>7.9269062400000001</v>
      </c>
      <c r="C80" s="380">
        <f t="shared" si="41"/>
        <v>0.19214043222579902</v>
      </c>
      <c r="D80" s="385">
        <f t="shared" si="41"/>
        <v>4.0062450430831606E-2</v>
      </c>
      <c r="E80" s="387">
        <f t="shared" si="41"/>
        <v>0.23220288265663064</v>
      </c>
      <c r="F80" s="387">
        <f t="shared" si="41"/>
        <v>0.23604828405262918</v>
      </c>
      <c r="H80" s="103">
        <v>319.22392320641728</v>
      </c>
      <c r="I80" s="135">
        <f t="shared" si="46"/>
        <v>265.73928601602427</v>
      </c>
      <c r="K80" s="445">
        <f t="shared" si="42"/>
        <v>0.72304112465408232</v>
      </c>
      <c r="L80" s="380">
        <f t="shared" si="42"/>
        <v>0.23081202445165636</v>
      </c>
      <c r="M80" s="36">
        <f t="shared" si="42"/>
        <v>0.5</v>
      </c>
      <c r="N80" s="394">
        <f t="shared" si="42"/>
        <v>0.15961196160320865</v>
      </c>
      <c r="O80" s="580"/>
      <c r="P80" s="580"/>
      <c r="Q80" s="580"/>
      <c r="R80" s="580"/>
      <c r="T80" s="449">
        <f t="shared" si="43"/>
        <v>0.27087447488248795</v>
      </c>
      <c r="U80" s="449">
        <f t="shared" si="44"/>
        <v>0.19967441203404024</v>
      </c>
      <c r="AD80" s="81">
        <f t="shared" si="45"/>
        <v>0.61152056232704122</v>
      </c>
    </row>
    <row r="81" spans="1:35">
      <c r="A81" s="62" t="s">
        <v>247</v>
      </c>
      <c r="B81" s="72">
        <f t="shared" si="40"/>
        <v>803.45555840000009</v>
      </c>
      <c r="C81" s="379">
        <f t="shared" si="41"/>
        <v>64.328205311512804</v>
      </c>
      <c r="D81" s="384">
        <f t="shared" si="41"/>
        <v>3.7998567746588932</v>
      </c>
      <c r="E81" s="386">
        <f>E55+E68</f>
        <v>68.128062086171695</v>
      </c>
      <c r="F81" s="386">
        <f>F55+F68</f>
        <v>67.367204695254628</v>
      </c>
      <c r="H81" s="103">
        <v>249</v>
      </c>
      <c r="I81" s="135">
        <f t="shared" si="46"/>
        <v>254.09250667515678</v>
      </c>
      <c r="K81" s="77">
        <f t="shared" si="42"/>
        <v>253.16844700876146</v>
      </c>
      <c r="L81" s="379">
        <f t="shared" si="42"/>
        <v>59.985569494517591</v>
      </c>
      <c r="M81" s="77">
        <f t="shared" si="42"/>
        <v>215.18783999999999</v>
      </c>
      <c r="N81" s="379">
        <f t="shared" si="42"/>
        <v>49.333272331411536</v>
      </c>
      <c r="O81" s="579"/>
      <c r="P81" s="579"/>
      <c r="Q81" s="579"/>
      <c r="R81" s="579"/>
      <c r="T81" s="419">
        <f t="shared" ref="T81" si="47">D81+L81</f>
        <v>63.785426269176483</v>
      </c>
      <c r="U81" s="419">
        <f t="shared" ref="U81" si="48">D81+N81</f>
        <v>53.133129106070427</v>
      </c>
      <c r="AD81" s="77">
        <f t="shared" si="45"/>
        <v>234.17814350438073</v>
      </c>
    </row>
    <row r="82" spans="1:35">
      <c r="A82" s="2" t="s">
        <v>253</v>
      </c>
      <c r="B82" s="447">
        <f>SUM(B72:B81)</f>
        <v>2819.5973969158331</v>
      </c>
      <c r="C82" s="415">
        <f>SUM(C72:C81)</f>
        <v>321.48393541965521</v>
      </c>
      <c r="D82" s="415">
        <f>SUM(D72:D81)</f>
        <v>17.592913581173111</v>
      </c>
      <c r="E82" s="415">
        <f>SUM(E72:E81)</f>
        <v>339.07684900082836</v>
      </c>
      <c r="F82" s="415">
        <f>SUM(F72:F81)</f>
        <v>334.96301404001986</v>
      </c>
      <c r="H82" s="135"/>
      <c r="I82" s="155">
        <f>1000*C82/K82</f>
        <v>255.89344741406151</v>
      </c>
      <c r="J82" s="10" t="s">
        <v>26</v>
      </c>
      <c r="K82" s="415">
        <f>SUM(K72:K81)</f>
        <v>1256.319529352628</v>
      </c>
      <c r="L82" s="415">
        <f>SUM(L72:L81)</f>
        <v>320.13647942890077</v>
      </c>
      <c r="M82" s="415">
        <f>SUM(M72:M81)</f>
        <v>718.41596347674999</v>
      </c>
      <c r="N82" s="415">
        <f>SUM(N72:N81)</f>
        <v>183.30808313115062</v>
      </c>
      <c r="O82" s="558"/>
      <c r="P82" s="558"/>
      <c r="Q82" s="558"/>
      <c r="R82" s="558"/>
      <c r="T82" s="133">
        <f>L82+$D$82</f>
        <v>337.72939301007386</v>
      </c>
      <c r="U82" s="133">
        <f>N82+$D$82</f>
        <v>200.90099671232375</v>
      </c>
      <c r="AD82" s="131">
        <f>SUM(AD72:AD81)</f>
        <v>987.36774641468912</v>
      </c>
      <c r="AG82" s="120">
        <f>D82/E82</f>
        <v>5.1884738321164865E-2</v>
      </c>
      <c r="AH82" s="120">
        <f>D82/T82</f>
        <v>5.2091745478156669E-2</v>
      </c>
      <c r="AI82" s="120">
        <f>D82/U82</f>
        <v>8.7570066197157501E-2</v>
      </c>
    </row>
    <row r="83" spans="1:35">
      <c r="A83" s="2" t="s">
        <v>253</v>
      </c>
      <c r="B83" s="37"/>
      <c r="C83" s="31"/>
      <c r="D83" s="498">
        <f>D82/F82</f>
        <v>5.2521958675327628E-2</v>
      </c>
      <c r="E83" s="31"/>
      <c r="F83" s="31"/>
      <c r="H83" s="150">
        <v>261</v>
      </c>
      <c r="I83" s="502">
        <f>1000*C82/M82</f>
        <v>447.48996648660824</v>
      </c>
      <c r="J83" s="87" t="s">
        <v>263</v>
      </c>
      <c r="K83" s="415">
        <f>K57+K70</f>
        <v>1256.3195293526278</v>
      </c>
      <c r="L83" s="415">
        <f>L57+L70</f>
        <v>312.65889210150965</v>
      </c>
      <c r="M83" s="415">
        <f>M57+M70</f>
        <v>718.41596347674999</v>
      </c>
      <c r="N83" s="415">
        <f>N57+N70</f>
        <v>178.32699965112025</v>
      </c>
      <c r="O83" s="558"/>
      <c r="P83" s="558"/>
      <c r="Q83" s="558"/>
      <c r="R83" s="558"/>
      <c r="T83" s="133">
        <f>L83+$D$82</f>
        <v>330.25180568268274</v>
      </c>
      <c r="U83" s="133">
        <f>N83+$D$82</f>
        <v>195.91991323229337</v>
      </c>
      <c r="W83" s="24" t="s">
        <v>214</v>
      </c>
      <c r="X83" s="376" t="s">
        <v>286</v>
      </c>
      <c r="Y83" s="24" t="s">
        <v>81</v>
      </c>
      <c r="Z83" s="376" t="s">
        <v>286</v>
      </c>
      <c r="AD83" s="376" t="s">
        <v>286</v>
      </c>
    </row>
    <row r="84" spans="1:35" ht="16">
      <c r="A84" s="14" t="s">
        <v>131</v>
      </c>
      <c r="B84" s="37"/>
      <c r="D84" s="35"/>
      <c r="H84" s="428">
        <f>1000*(F82-D82)/K82</f>
        <v>252.61893415155711</v>
      </c>
      <c r="I84" s="501">
        <f>1000*(F82-D82)/M82</f>
        <v>441.76370876134877</v>
      </c>
      <c r="W84" s="130">
        <f>AVERAGE(C82,L82,L83,N82,N83)</f>
        <v>263.18287794646733</v>
      </c>
      <c r="X84" s="131">
        <f>W84/10</f>
        <v>26.318287794646732</v>
      </c>
      <c r="Y84" s="133">
        <f>AVERAGE(E82,F82,T82,T83,U82,U83)</f>
        <v>289.80699527970364</v>
      </c>
      <c r="Z84" s="134">
        <f>Y84/10</f>
        <v>28.980699527970366</v>
      </c>
      <c r="AB84" s="128">
        <f>K82/10</f>
        <v>125.6319529352628</v>
      </c>
      <c r="AC84" s="128">
        <f>M82/10</f>
        <v>71.841596347674994</v>
      </c>
      <c r="AD84" s="128">
        <f>AVERAGE(AB84:AC84)</f>
        <v>98.736774641468898</v>
      </c>
      <c r="AE84" s="374" t="s">
        <v>83</v>
      </c>
    </row>
    <row r="85" spans="1:35">
      <c r="A85" s="2" t="s">
        <v>1</v>
      </c>
      <c r="B85" s="72">
        <f t="shared" ref="B85:B94" si="49">B72</f>
        <v>171.97989104086602</v>
      </c>
      <c r="C85" s="394">
        <v>16.377407612401441</v>
      </c>
      <c r="D85" s="395">
        <v>1.0318641611319215</v>
      </c>
      <c r="E85" s="397">
        <f>SUM(C85:D85)</f>
        <v>17.409271773533362</v>
      </c>
      <c r="F85" s="386">
        <v>13.814998192506671</v>
      </c>
      <c r="H85" s="103">
        <v>341.27241396473482</v>
      </c>
      <c r="I85" s="135">
        <f>1000*C85/K85</f>
        <v>257.05379806761226</v>
      </c>
      <c r="K85" s="407">
        <v>63.711984555442079</v>
      </c>
      <c r="L85" s="379">
        <f>K85*H85/1000</f>
        <v>21.743142767719622</v>
      </c>
      <c r="M85" s="143">
        <v>42.23852196</v>
      </c>
      <c r="N85" s="379">
        <f>M85*H85/1000</f>
        <v>14.414842351591663</v>
      </c>
      <c r="O85" s="579"/>
      <c r="P85" s="579"/>
      <c r="Q85" s="579"/>
      <c r="R85" s="579"/>
      <c r="T85" s="386">
        <f t="shared" ref="T85:T93" si="50">D85+L85</f>
        <v>22.775006928851543</v>
      </c>
      <c r="U85" s="386">
        <f t="shared" ref="U85:U93" si="51">D85+N85</f>
        <v>15.446706512723583</v>
      </c>
      <c r="AD85" s="77">
        <f t="shared" ref="AD85:AD94" si="52">AVERAGE(K85,M85)</f>
        <v>52.975253257721036</v>
      </c>
    </row>
    <row r="86" spans="1:35">
      <c r="A86" s="2" t="s">
        <v>2</v>
      </c>
      <c r="B86" s="72">
        <f t="shared" si="49"/>
        <v>455.92290523200001</v>
      </c>
      <c r="C86" s="379">
        <v>52.362396272737961</v>
      </c>
      <c r="D86" s="396">
        <v>3.0779867171290665</v>
      </c>
      <c r="E86" s="386">
        <f t="shared" ref="E86:E94" si="53">SUM(C86:D86)</f>
        <v>55.440382989867025</v>
      </c>
      <c r="F86" s="386">
        <v>62.490806585841476</v>
      </c>
      <c r="H86" s="103">
        <v>227.52505029532156</v>
      </c>
      <c r="I86" s="135">
        <f t="shared" ref="I86:I92" si="54">1000*C86/K86</f>
        <v>240.83482333215773</v>
      </c>
      <c r="K86" s="77">
        <v>217.42036948087073</v>
      </c>
      <c r="L86" s="379">
        <f>K86*H86/1000</f>
        <v>49.468580501362517</v>
      </c>
      <c r="M86" s="77">
        <v>88</v>
      </c>
      <c r="N86" s="379">
        <f>M86*H86/1000</f>
        <v>20.022204425988296</v>
      </c>
      <c r="O86" s="579"/>
      <c r="P86" s="579"/>
      <c r="Q86" s="579"/>
      <c r="R86" s="579"/>
      <c r="T86" s="386">
        <f t="shared" si="50"/>
        <v>52.546567218491582</v>
      </c>
      <c r="U86" s="386">
        <f t="shared" si="51"/>
        <v>23.100191143117364</v>
      </c>
      <c r="AD86" s="77">
        <f t="shared" si="52"/>
        <v>152.71018474043535</v>
      </c>
    </row>
    <row r="87" spans="1:35">
      <c r="A87" s="2" t="s">
        <v>3</v>
      </c>
      <c r="B87" s="72">
        <f t="shared" si="49"/>
        <v>22.119493616</v>
      </c>
      <c r="C87" s="380">
        <v>1.55874745365155</v>
      </c>
      <c r="D87" s="400">
        <v>0.11487937399105692</v>
      </c>
      <c r="E87" s="387">
        <f t="shared" si="53"/>
        <v>1.673626827642607</v>
      </c>
      <c r="F87" s="387">
        <v>0.78571409534674919</v>
      </c>
      <c r="H87" s="103">
        <v>340.52128292342712</v>
      </c>
      <c r="I87" s="135">
        <f t="shared" si="54"/>
        <v>289.08935987474132</v>
      </c>
      <c r="K87" s="408">
        <v>5.391922602502337</v>
      </c>
      <c r="L87" s="394">
        <f>K87*H87/1000</f>
        <v>1.8360644020279198</v>
      </c>
      <c r="M87" s="36">
        <v>1.3417262452499998</v>
      </c>
      <c r="N87" s="394">
        <f>M87*H87/1000</f>
        <v>0.45688634236456277</v>
      </c>
      <c r="O87" s="580"/>
      <c r="P87" s="580"/>
      <c r="Q87" s="580"/>
      <c r="R87" s="580"/>
      <c r="T87" s="387">
        <f t="shared" si="50"/>
        <v>1.9509437760189767</v>
      </c>
      <c r="U87" s="387">
        <f t="shared" si="51"/>
        <v>0.57176571635561968</v>
      </c>
      <c r="AD87" s="81">
        <f t="shared" si="52"/>
        <v>3.3668244238761682</v>
      </c>
    </row>
    <row r="88" spans="1:35">
      <c r="A88" s="2" t="s">
        <v>4</v>
      </c>
      <c r="B88" s="72">
        <f t="shared" si="49"/>
        <v>102.57009377896701</v>
      </c>
      <c r="C88" s="394">
        <v>9.4465151588141563</v>
      </c>
      <c r="D88" s="395">
        <v>0.60485079671480646</v>
      </c>
      <c r="E88" s="397">
        <f t="shared" si="53"/>
        <v>10.051365955528963</v>
      </c>
      <c r="F88" s="397">
        <v>7.5713470953914479</v>
      </c>
      <c r="H88" s="103">
        <v>267.7367983662877</v>
      </c>
      <c r="I88" s="135">
        <f t="shared" si="54"/>
        <v>260.08450255695504</v>
      </c>
      <c r="K88" s="407">
        <v>36.320945946194911</v>
      </c>
      <c r="L88" s="394">
        <f>K88*H88/1000</f>
        <v>9.7244537812692222</v>
      </c>
      <c r="M88" s="143">
        <v>42.919817707249997</v>
      </c>
      <c r="N88" s="379">
        <f>M88*H88/1000</f>
        <v>11.491214579403817</v>
      </c>
      <c r="O88" s="579"/>
      <c r="P88" s="579"/>
      <c r="Q88" s="579"/>
      <c r="R88" s="579"/>
      <c r="T88" s="386">
        <f t="shared" si="50"/>
        <v>10.329304577984029</v>
      </c>
      <c r="U88" s="386">
        <f t="shared" si="51"/>
        <v>12.096065376118624</v>
      </c>
      <c r="AD88" s="77">
        <f t="shared" si="52"/>
        <v>39.620381826722451</v>
      </c>
    </row>
    <row r="89" spans="1:35">
      <c r="A89" s="2" t="s">
        <v>5</v>
      </c>
      <c r="B89" s="93">
        <f t="shared" si="49"/>
        <v>0.64834263999999997</v>
      </c>
      <c r="C89" s="398">
        <v>2.7463221665379772E-2</v>
      </c>
      <c r="D89" s="400">
        <v>3.0199097387516691E-3</v>
      </c>
      <c r="E89" s="403">
        <f t="shared" si="53"/>
        <v>3.048313140413144E-2</v>
      </c>
      <c r="F89" s="403">
        <v>1.1970701616240458E-2</v>
      </c>
      <c r="H89" s="373" t="s">
        <v>19</v>
      </c>
      <c r="I89" s="135">
        <f t="shared" si="54"/>
        <v>348.28714116623541</v>
      </c>
      <c r="K89" s="444">
        <v>7.8852241209421317E-2</v>
      </c>
      <c r="L89" s="379">
        <v>0</v>
      </c>
      <c r="M89" s="39">
        <v>1.2E-2</v>
      </c>
      <c r="N89" s="446">
        <v>0</v>
      </c>
      <c r="O89" s="581"/>
      <c r="P89" s="581"/>
      <c r="Q89" s="581"/>
      <c r="R89" s="581"/>
      <c r="T89" s="387">
        <f t="shared" si="50"/>
        <v>3.0199097387516691E-3</v>
      </c>
      <c r="U89" s="387">
        <f t="shared" si="51"/>
        <v>3.0199097387516691E-3</v>
      </c>
      <c r="Y89" s="32"/>
      <c r="AD89" s="72">
        <f t="shared" si="52"/>
        <v>4.5426120604710657E-2</v>
      </c>
      <c r="AE89" s="73" t="s">
        <v>84</v>
      </c>
    </row>
    <row r="90" spans="1:35">
      <c r="A90" s="2" t="s">
        <v>88</v>
      </c>
      <c r="B90" s="72">
        <f t="shared" si="49"/>
        <v>83.753563568000004</v>
      </c>
      <c r="C90" s="394">
        <v>7.872474323599187</v>
      </c>
      <c r="D90" s="395">
        <v>0.49809452037461238</v>
      </c>
      <c r="E90" s="397">
        <f t="shared" si="53"/>
        <v>8.3705688439737997</v>
      </c>
      <c r="F90" s="397">
        <v>6.1529659303488309</v>
      </c>
      <c r="H90" s="103">
        <v>363.50429921264481</v>
      </c>
      <c r="I90" s="135">
        <f t="shared" si="54"/>
        <v>259.03935178508635</v>
      </c>
      <c r="K90" s="407">
        <v>30.391036224220617</v>
      </c>
      <c r="L90" s="394">
        <f>K90*H90/1000</f>
        <v>11.047272325031418</v>
      </c>
      <c r="M90" s="143">
        <v>27</v>
      </c>
      <c r="N90" s="394">
        <f>M90*H90/1000</f>
        <v>9.8146160787414107</v>
      </c>
      <c r="O90" s="580"/>
      <c r="P90" s="580"/>
      <c r="Q90" s="580"/>
      <c r="R90" s="580"/>
      <c r="T90" s="386">
        <f t="shared" si="50"/>
        <v>11.545366845406031</v>
      </c>
      <c r="U90" s="386">
        <f t="shared" si="51"/>
        <v>10.312710599116024</v>
      </c>
      <c r="Z90">
        <v>1</v>
      </c>
      <c r="AD90" s="77">
        <f t="shared" si="52"/>
        <v>28.695518112110307</v>
      </c>
      <c r="AE90" s="6"/>
    </row>
    <row r="91" spans="1:35">
      <c r="A91" s="2" t="s">
        <v>95</v>
      </c>
      <c r="B91" s="72">
        <f t="shared" si="49"/>
        <v>113.2509044</v>
      </c>
      <c r="C91" s="379">
        <v>11.101905651964406</v>
      </c>
      <c r="D91" s="395">
        <v>0.69056965887017774</v>
      </c>
      <c r="E91" s="386">
        <f t="shared" si="53"/>
        <v>11.792475310834584</v>
      </c>
      <c r="F91" s="397">
        <v>9.5045474661656204</v>
      </c>
      <c r="H91" s="103">
        <v>207.57618825601696</v>
      </c>
      <c r="I91" s="135">
        <f t="shared" si="54"/>
        <v>255.13712608751058</v>
      </c>
      <c r="K91" s="407">
        <v>43.513485560531535</v>
      </c>
      <c r="L91" s="394">
        <f>K91*H91/1000</f>
        <v>9.0323634703883684</v>
      </c>
      <c r="M91" s="143">
        <v>22.30949352</v>
      </c>
      <c r="N91" s="394">
        <f>M91*H91/1000</f>
        <v>4.6309196268039106</v>
      </c>
      <c r="O91" s="580"/>
      <c r="P91" s="580"/>
      <c r="Q91" s="580"/>
      <c r="R91" s="580"/>
      <c r="T91" s="397">
        <f t="shared" si="50"/>
        <v>9.7229331292585464</v>
      </c>
      <c r="U91" s="397">
        <f t="shared" si="51"/>
        <v>5.3214892856740885</v>
      </c>
      <c r="AD91" s="77">
        <f t="shared" si="52"/>
        <v>32.911489540265769</v>
      </c>
      <c r="AE91" s="6"/>
    </row>
    <row r="92" spans="1:35">
      <c r="A92" s="2" t="s">
        <v>125</v>
      </c>
      <c r="B92" s="72">
        <f t="shared" si="49"/>
        <v>1057.969738</v>
      </c>
      <c r="C92" s="379">
        <v>128.55608780161629</v>
      </c>
      <c r="D92" s="396">
        <v>7.3925153545184275</v>
      </c>
      <c r="E92" s="386">
        <f t="shared" si="53"/>
        <v>135.94860315613471</v>
      </c>
      <c r="F92" s="386">
        <v>171.75597176494836</v>
      </c>
      <c r="H92" s="103">
        <v>265.83227747310917</v>
      </c>
      <c r="I92" s="135">
        <f t="shared" si="54"/>
        <v>235.80711705829461</v>
      </c>
      <c r="K92" s="77">
        <v>545.17475725652309</v>
      </c>
      <c r="L92" s="379">
        <f>K92*H92/1000</f>
        <v>144.92504734235101</v>
      </c>
      <c r="M92" s="77">
        <v>278.83782471000001</v>
      </c>
      <c r="N92" s="379">
        <f>M92*H92/1000</f>
        <v>74.124093988306896</v>
      </c>
      <c r="O92" s="579"/>
      <c r="P92" s="579"/>
      <c r="Q92" s="579"/>
      <c r="R92" s="579"/>
      <c r="T92" s="386">
        <f t="shared" si="50"/>
        <v>152.31756269686943</v>
      </c>
      <c r="U92" s="386">
        <f t="shared" si="51"/>
        <v>81.516609342825319</v>
      </c>
      <c r="Y92" s="32"/>
      <c r="AD92" s="72">
        <f t="shared" si="52"/>
        <v>412.00629098326158</v>
      </c>
      <c r="AE92" s="73" t="s">
        <v>85</v>
      </c>
    </row>
    <row r="93" spans="1:35">
      <c r="A93" s="62" t="s">
        <v>128</v>
      </c>
      <c r="B93" s="93">
        <f t="shared" si="49"/>
        <v>7.9269062400000001</v>
      </c>
      <c r="C93" s="398">
        <v>0.54074092282715414</v>
      </c>
      <c r="D93" s="400">
        <v>4.2371408873511991E-2</v>
      </c>
      <c r="E93" s="403">
        <f t="shared" si="53"/>
        <v>0.58311233170066612</v>
      </c>
      <c r="F93" s="403">
        <v>0.26217903571744988</v>
      </c>
      <c r="H93" s="103">
        <v>319.22392320641728</v>
      </c>
      <c r="I93" s="135">
        <f>1000*C93/K93</f>
        <v>297.07876536521906</v>
      </c>
      <c r="K93" s="445">
        <v>1.8201937865279085</v>
      </c>
      <c r="L93" s="380">
        <f>K93*H93/1000</f>
        <v>0.58104940153138296</v>
      </c>
      <c r="M93" s="39">
        <f>M80</f>
        <v>0.5</v>
      </c>
      <c r="N93" s="394">
        <f>M93*H93/1000</f>
        <v>0.15961196160320865</v>
      </c>
      <c r="O93" s="580"/>
      <c r="P93" s="580"/>
      <c r="Q93" s="580"/>
      <c r="R93" s="580"/>
      <c r="T93" s="387">
        <f t="shared" si="50"/>
        <v>0.62342081040489494</v>
      </c>
      <c r="U93" s="387">
        <f t="shared" si="51"/>
        <v>0.20198337047672063</v>
      </c>
      <c r="AD93" s="81">
        <f t="shared" si="52"/>
        <v>1.1600968932639542</v>
      </c>
      <c r="AE93" s="6"/>
    </row>
    <row r="94" spans="1:35">
      <c r="A94" s="62" t="s">
        <v>247</v>
      </c>
      <c r="B94" s="72">
        <f t="shared" si="49"/>
        <v>803.45555840000009</v>
      </c>
      <c r="C94" s="379">
        <v>95.320533652324769</v>
      </c>
      <c r="D94" s="396">
        <v>5.5226558566476154</v>
      </c>
      <c r="E94" s="386">
        <f t="shared" si="53"/>
        <v>100.84318950897239</v>
      </c>
      <c r="F94" s="386">
        <v>122.11112982374361</v>
      </c>
      <c r="H94" s="103">
        <v>249</v>
      </c>
      <c r="I94" s="135">
        <f>1000*C94/K94</f>
        <v>237.79213066035231</v>
      </c>
      <c r="K94" s="77">
        <v>400.85655226528405</v>
      </c>
      <c r="L94" s="379">
        <f>K94*H94/1000</f>
        <v>99.813281514055731</v>
      </c>
      <c r="M94" s="77">
        <f>M81</f>
        <v>215.18783999999999</v>
      </c>
      <c r="N94" s="379">
        <f>M94*H94/1000</f>
        <v>53.58177216</v>
      </c>
      <c r="O94" s="579"/>
      <c r="P94" s="579"/>
      <c r="Q94" s="579"/>
      <c r="R94" s="579"/>
      <c r="T94" s="386">
        <f t="shared" ref="T94" si="55">D94+L94</f>
        <v>105.33593737070335</v>
      </c>
      <c r="U94" s="386">
        <f t="shared" ref="U94" si="56">D94+N94</f>
        <v>59.104428016647617</v>
      </c>
      <c r="AD94" s="77">
        <f t="shared" si="52"/>
        <v>308.02219613264202</v>
      </c>
      <c r="AE94" s="6"/>
    </row>
    <row r="95" spans="1:35">
      <c r="A95" s="2" t="s">
        <v>253</v>
      </c>
      <c r="B95" s="414">
        <f>SUM(B85:B94)</f>
        <v>2819.5973969158331</v>
      </c>
      <c r="C95" s="415">
        <f>SUM(C85:C94)</f>
        <v>323.16427207160228</v>
      </c>
      <c r="D95" s="415">
        <f>SUM(D85:D94)</f>
        <v>18.978807757989948</v>
      </c>
      <c r="E95" s="415">
        <f>SUM(E85:E94)</f>
        <v>342.14307982959224</v>
      </c>
      <c r="F95" s="415">
        <f>SUM(F85:F94)</f>
        <v>394.46163069162645</v>
      </c>
      <c r="H95" s="135"/>
      <c r="I95" s="155">
        <f>1000*C95/K95</f>
        <v>240.32799480783208</v>
      </c>
      <c r="J95" s="10" t="s">
        <v>26</v>
      </c>
      <c r="K95" s="415">
        <f>SUM(K85:K94)</f>
        <v>1344.6800999193067</v>
      </c>
      <c r="L95" s="415">
        <f>SUM(L85:L94)</f>
        <v>348.17125550573718</v>
      </c>
      <c r="M95" s="415">
        <f>SUM(M85:M94)</f>
        <v>718.34722414249995</v>
      </c>
      <c r="N95" s="415">
        <f>SUM(N85:N94)</f>
        <v>188.69616151480375</v>
      </c>
      <c r="O95" s="558"/>
      <c r="P95" s="558"/>
      <c r="Q95" s="558"/>
      <c r="R95" s="558"/>
      <c r="S95" s="86"/>
      <c r="T95" s="133">
        <f>L95+$D$95</f>
        <v>367.15006326372713</v>
      </c>
      <c r="U95" s="133">
        <f>N95+$D$95</f>
        <v>207.6749692727937</v>
      </c>
      <c r="AD95" s="131">
        <f>SUM(AD85:AD94)</f>
        <v>1031.5136620309033</v>
      </c>
      <c r="AE95" s="6"/>
      <c r="AG95" s="120">
        <f>D95/E95</f>
        <v>5.5470383231022914E-2</v>
      </c>
      <c r="AH95" s="120">
        <f>D95/T95</f>
        <v>5.1692236109890856E-2</v>
      </c>
      <c r="AI95" s="120">
        <f>D95/U95</f>
        <v>9.1387073870516047E-2</v>
      </c>
    </row>
    <row r="96" spans="1:35">
      <c r="A96" s="2" t="s">
        <v>253</v>
      </c>
      <c r="C96" s="31"/>
      <c r="D96" s="498">
        <f>D95/F95</f>
        <v>4.8113190945120801E-2</v>
      </c>
      <c r="E96" s="31"/>
      <c r="F96" s="31"/>
      <c r="H96" s="150">
        <v>261</v>
      </c>
      <c r="I96" s="502">
        <f>1000*C95/M95</f>
        <v>449.87195775325438</v>
      </c>
      <c r="J96" s="87" t="s">
        <v>263</v>
      </c>
      <c r="K96" s="415">
        <f>SUM(K85:K94)</f>
        <v>1344.6800999193067</v>
      </c>
      <c r="L96" s="415">
        <f>K96*H96/1000</f>
        <v>350.96150607893907</v>
      </c>
      <c r="M96" s="415">
        <f>M95</f>
        <v>718.34722414249995</v>
      </c>
      <c r="N96" s="415">
        <f>M96*H96/1000</f>
        <v>187.4886255011925</v>
      </c>
      <c r="O96" s="558"/>
      <c r="P96" s="558"/>
      <c r="Q96" s="558"/>
      <c r="R96" s="558"/>
      <c r="S96" s="86"/>
      <c r="T96" s="133">
        <f>L96+$D$95</f>
        <v>369.94031383692902</v>
      </c>
      <c r="U96" s="133">
        <f>N96+$D$95</f>
        <v>206.46743325918246</v>
      </c>
      <c r="W96" s="24" t="s">
        <v>214</v>
      </c>
      <c r="X96" s="376" t="s">
        <v>286</v>
      </c>
      <c r="Y96" s="24" t="s">
        <v>81</v>
      </c>
      <c r="Z96" s="376" t="s">
        <v>286</v>
      </c>
      <c r="AD96" s="376" t="s">
        <v>286</v>
      </c>
    </row>
    <row r="97" spans="1:31">
      <c r="H97" s="428">
        <f>1000*(F95-D95)/K95</f>
        <v>279.23579961967829</v>
      </c>
      <c r="I97" s="501">
        <f>1000*(F95-D95)/M95</f>
        <v>522.7037988235495</v>
      </c>
      <c r="W97" s="130">
        <f>AVERAGE(C95,L95,L96,N95,N96)</f>
        <v>279.69636413445494</v>
      </c>
      <c r="X97" s="131">
        <f>W97/10</f>
        <v>27.969636413445492</v>
      </c>
      <c r="Y97" s="133">
        <f>AVERAGE(E95,F95,T95,T96,U95,U96)</f>
        <v>314.63958169230847</v>
      </c>
      <c r="Z97" s="134">
        <f>Y97/10</f>
        <v>31.463958169230846</v>
      </c>
      <c r="AB97" s="128">
        <f>K95/10</f>
        <v>134.46800999193067</v>
      </c>
      <c r="AC97" s="128">
        <f>M95/10</f>
        <v>71.834722414249995</v>
      </c>
      <c r="AD97" s="128">
        <f>AVERAGE(AB97:AC97)</f>
        <v>103.15136620309033</v>
      </c>
      <c r="AE97" s="374" t="s">
        <v>83</v>
      </c>
    </row>
    <row r="99" spans="1:31" ht="64">
      <c r="I99" s="154" t="s">
        <v>135</v>
      </c>
      <c r="W99" s="24" t="s">
        <v>215</v>
      </c>
      <c r="X99" s="89" t="s">
        <v>287</v>
      </c>
      <c r="Y99" s="24" t="s">
        <v>82</v>
      </c>
      <c r="Z99" s="89" t="s">
        <v>287</v>
      </c>
      <c r="AA99" s="88"/>
      <c r="AB99" s="88"/>
      <c r="AC99" s="88"/>
      <c r="AD99" s="89" t="s">
        <v>287</v>
      </c>
    </row>
    <row r="100" spans="1:31">
      <c r="I100" s="155">
        <f>AVERAGE(I82,I95)</f>
        <v>248.1107211109468</v>
      </c>
      <c r="J100" s="374" t="s">
        <v>83</v>
      </c>
      <c r="W100" s="130">
        <f>AVERAGE(W84,W97)</f>
        <v>271.43962104046113</v>
      </c>
      <c r="X100" s="131">
        <f>AVERAGE(X84,X97)</f>
        <v>27.143962104046111</v>
      </c>
      <c r="Y100" s="133">
        <f>AVERAGE(Y84,Y97)</f>
        <v>302.22328848600603</v>
      </c>
      <c r="Z100" s="134">
        <f>AVERAGE(Z84,Z97)</f>
        <v>30.222328848600604</v>
      </c>
      <c r="AB100" s="128">
        <f>AVERAGE(AB84,AB97)</f>
        <v>130.04998146359674</v>
      </c>
      <c r="AC100" s="128">
        <f>AVERAGE(AC84,AC97)</f>
        <v>71.838159380962495</v>
      </c>
      <c r="AD100" s="128">
        <f>AVERAGE(AD84,AD97)</f>
        <v>100.94407042227962</v>
      </c>
      <c r="AE100" s="374" t="s">
        <v>132</v>
      </c>
    </row>
    <row r="101" spans="1:31">
      <c r="H101" s="150">
        <f t="shared" ref="H101:I102" si="57">AVERAGE(H83,H96)</f>
        <v>261</v>
      </c>
      <c r="I101" s="502">
        <f>AVERAGE(I83,I96)</f>
        <v>448.68096211993134</v>
      </c>
    </row>
    <row r="102" spans="1:31">
      <c r="H102" s="497">
        <f>AVERAGE(H84,H97)</f>
        <v>265.92736688561769</v>
      </c>
      <c r="I102" s="501">
        <f t="shared" si="57"/>
        <v>482.23375379244914</v>
      </c>
      <c r="Z102" s="86"/>
    </row>
    <row r="103" spans="1:31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</row>
    <row r="104" spans="1:31">
      <c r="H104" s="150">
        <f>H96</f>
        <v>261</v>
      </c>
      <c r="I104" t="s">
        <v>318</v>
      </c>
    </row>
    <row r="105" spans="1:31">
      <c r="A105" t="s">
        <v>278</v>
      </c>
      <c r="C105" s="454"/>
      <c r="H105" s="155">
        <v>265.10462385211531</v>
      </c>
      <c r="I105" t="s">
        <v>317</v>
      </c>
    </row>
    <row r="106" spans="1:31">
      <c r="H106" s="497">
        <f>H102</f>
        <v>265.92736688561769</v>
      </c>
      <c r="I106" t="s">
        <v>319</v>
      </c>
    </row>
    <row r="107" spans="1:31">
      <c r="A107" t="s">
        <v>280</v>
      </c>
      <c r="C107" s="379"/>
      <c r="D107" s="396"/>
      <c r="E107" s="386"/>
      <c r="H107" s="502">
        <f>I101</f>
        <v>448.68096211993134</v>
      </c>
      <c r="I107" t="s">
        <v>320</v>
      </c>
    </row>
    <row r="108" spans="1:31">
      <c r="H108" s="501">
        <f>I102</f>
        <v>482.23375379244914</v>
      </c>
      <c r="I108" t="s">
        <v>321</v>
      </c>
    </row>
  </sheetData>
  <mergeCells count="5">
    <mergeCell ref="A1:AE1"/>
    <mergeCell ref="A2:AE2"/>
    <mergeCell ref="W3:X3"/>
    <mergeCell ref="Y3:Z3"/>
    <mergeCell ref="AB3:AD3"/>
  </mergeCells>
  <conditionalFormatting sqref="A39:A40">
    <cfRule type="duplicateValues" dxfId="7" priority="2"/>
  </conditionalFormatting>
  <conditionalFormatting sqref="A52:A53">
    <cfRule type="duplicateValues" dxfId="6" priority="1"/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4A740-6349-4891-8A46-FF292305E7BF}">
  <sheetPr>
    <tabColor theme="5" tint="0.79998168889431442"/>
    <pageSetUpPr fitToPage="1"/>
  </sheetPr>
  <dimension ref="A1:Q29"/>
  <sheetViews>
    <sheetView zoomScaleNormal="100" workbookViewId="0">
      <selection activeCell="A19" sqref="A19"/>
    </sheetView>
  </sheetViews>
  <sheetFormatPr baseColWidth="10" defaultColWidth="8.83203125" defaultRowHeight="15"/>
  <cols>
    <col min="1" max="1" width="17.5" customWidth="1"/>
    <col min="2" max="2" width="9.5" bestFit="1" customWidth="1"/>
    <col min="5" max="5" width="6.83203125" customWidth="1"/>
    <col min="6" max="6" width="9" bestFit="1" customWidth="1"/>
    <col min="7" max="7" width="1.5" customWidth="1"/>
    <col min="8" max="9" width="10.1640625" customWidth="1"/>
    <col min="10" max="10" width="1.83203125" customWidth="1"/>
    <col min="11" max="11" width="6.5" customWidth="1"/>
    <col min="12" max="12" width="10.5" customWidth="1"/>
    <col min="13" max="13" width="9.83203125" customWidth="1"/>
    <col min="14" max="14" width="10.5" bestFit="1" customWidth="1"/>
    <col min="15" max="15" width="1.5" customWidth="1"/>
    <col min="16" max="16" width="12.33203125" bestFit="1" customWidth="1"/>
    <col min="17" max="17" width="12.83203125" bestFit="1" customWidth="1"/>
  </cols>
  <sheetData>
    <row r="1" spans="1:17" ht="20.5" customHeight="1">
      <c r="A1" s="618" t="s">
        <v>203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</row>
    <row r="2" spans="1:17" ht="66" customHeight="1">
      <c r="A2" s="619" t="s">
        <v>163</v>
      </c>
      <c r="B2" s="619"/>
      <c r="C2" s="619"/>
      <c r="D2" s="619"/>
      <c r="E2" s="619"/>
      <c r="F2" s="619"/>
      <c r="G2" s="619"/>
      <c r="H2" s="619"/>
      <c r="I2" s="619"/>
      <c r="J2" s="619"/>
      <c r="K2" s="619"/>
      <c r="L2" s="619"/>
      <c r="M2" s="619"/>
      <c r="N2" s="619"/>
      <c r="O2" s="619"/>
      <c r="P2" s="619"/>
      <c r="Q2" s="619"/>
    </row>
    <row r="4" spans="1:17">
      <c r="B4" s="42" t="s">
        <v>27</v>
      </c>
      <c r="C4" s="40" t="s">
        <v>56</v>
      </c>
      <c r="D4" s="40" t="s">
        <v>57</v>
      </c>
      <c r="E4" s="159" t="s">
        <v>58</v>
      </c>
      <c r="F4" s="159" t="s">
        <v>59</v>
      </c>
      <c r="G4" s="43"/>
      <c r="H4" s="40" t="s">
        <v>56</v>
      </c>
      <c r="I4" s="528"/>
      <c r="J4" s="44"/>
      <c r="K4" s="40" t="s">
        <v>16</v>
      </c>
      <c r="L4" s="40" t="s">
        <v>60</v>
      </c>
      <c r="M4" s="40" t="s">
        <v>17</v>
      </c>
      <c r="N4" s="40" t="s">
        <v>61</v>
      </c>
      <c r="P4" s="40" t="s">
        <v>68</v>
      </c>
      <c r="Q4" s="40" t="s">
        <v>69</v>
      </c>
    </row>
    <row r="5" spans="1:17">
      <c r="B5" s="159" t="s">
        <v>30</v>
      </c>
      <c r="C5" s="159" t="s">
        <v>31</v>
      </c>
      <c r="D5" s="159" t="s">
        <v>31</v>
      </c>
      <c r="E5" s="159" t="s">
        <v>31</v>
      </c>
      <c r="F5" s="159" t="s">
        <v>31</v>
      </c>
      <c r="G5" s="43"/>
      <c r="H5" s="40" t="s">
        <v>29</v>
      </c>
      <c r="I5" s="528"/>
      <c r="J5" s="44"/>
      <c r="K5" s="159" t="s">
        <v>31</v>
      </c>
      <c r="L5" s="159" t="s">
        <v>31</v>
      </c>
      <c r="M5" s="159" t="s">
        <v>31</v>
      </c>
      <c r="N5" s="159" t="s">
        <v>31</v>
      </c>
      <c r="P5" s="159" t="s">
        <v>31</v>
      </c>
      <c r="Q5" s="159" t="s">
        <v>31</v>
      </c>
    </row>
    <row r="6" spans="1:17" ht="32">
      <c r="A6" s="162"/>
      <c r="B6" s="19" t="s">
        <v>28</v>
      </c>
      <c r="C6" s="18" t="s">
        <v>8</v>
      </c>
      <c r="D6" s="18" t="s">
        <v>8</v>
      </c>
      <c r="E6" s="19" t="s">
        <v>8</v>
      </c>
      <c r="F6" s="19" t="s">
        <v>8</v>
      </c>
      <c r="G6" s="20"/>
      <c r="H6" s="21" t="s">
        <v>136</v>
      </c>
      <c r="I6" s="533"/>
      <c r="J6" s="22"/>
      <c r="K6" s="18" t="s">
        <v>13</v>
      </c>
      <c r="L6" s="18" t="s">
        <v>8</v>
      </c>
      <c r="M6" s="18" t="s">
        <v>13</v>
      </c>
      <c r="N6" s="18" t="s">
        <v>8</v>
      </c>
      <c r="P6" s="18" t="s">
        <v>8</v>
      </c>
      <c r="Q6" s="18" t="s">
        <v>8</v>
      </c>
    </row>
    <row r="7" spans="1:17" ht="16">
      <c r="A7" s="534" t="s">
        <v>314</v>
      </c>
      <c r="B7" s="318"/>
      <c r="C7" s="192"/>
      <c r="D7" s="192"/>
      <c r="E7" s="318"/>
      <c r="F7" s="318"/>
      <c r="G7" s="190"/>
      <c r="H7" s="194"/>
      <c r="I7" s="194"/>
      <c r="J7" s="192"/>
      <c r="K7" s="192"/>
      <c r="L7" s="192"/>
      <c r="M7" s="192"/>
      <c r="N7" s="192"/>
      <c r="P7" s="192"/>
      <c r="Q7" s="192"/>
    </row>
    <row r="8" spans="1:17" ht="16">
      <c r="A8" s="164" t="s">
        <v>164</v>
      </c>
      <c r="I8" s="26"/>
    </row>
    <row r="9" spans="1:17">
      <c r="A9" t="s">
        <v>125</v>
      </c>
      <c r="B9" s="72">
        <v>1055.6975440000001</v>
      </c>
      <c r="C9" s="306">
        <v>486.15332923578148</v>
      </c>
      <c r="D9" s="319">
        <v>5.3189725483183441</v>
      </c>
      <c r="E9" s="309">
        <f>C9+D9</f>
        <v>491.47230178409984</v>
      </c>
      <c r="F9" s="309">
        <v>461.39007149460787</v>
      </c>
      <c r="H9" s="103">
        <v>231.36237226697207</v>
      </c>
      <c r="I9" s="135">
        <f>1000*C9/K9</f>
        <v>276.39059467109001</v>
      </c>
      <c r="K9" s="16">
        <v>1758.9358632637739</v>
      </c>
      <c r="L9" s="306">
        <f t="shared" ref="L9" si="0">K9*H9/1000</f>
        <v>406.95157399016114</v>
      </c>
      <c r="M9" s="16">
        <v>1064.1900528000001</v>
      </c>
      <c r="N9" s="306">
        <f>M9*H9/1000</f>
        <v>246.21353515872229</v>
      </c>
      <c r="P9" s="309">
        <f t="shared" ref="P9" si="1">D9+L9</f>
        <v>412.27054653847949</v>
      </c>
      <c r="Q9" s="309">
        <f t="shared" ref="Q9" si="2">D9+N9</f>
        <v>251.53250770704065</v>
      </c>
    </row>
    <row r="10" spans="1:17">
      <c r="A10" t="s">
        <v>160</v>
      </c>
      <c r="C10" s="327">
        <v>100.10384689023313</v>
      </c>
      <c r="D10" s="324">
        <v>0.91682653692520877</v>
      </c>
      <c r="E10" s="309">
        <f>SUM(C10:D10)</f>
        <v>101.02067342715834</v>
      </c>
      <c r="F10" s="325">
        <v>84.576456914404147</v>
      </c>
      <c r="H10" s="162"/>
      <c r="I10" s="48"/>
      <c r="K10" s="165">
        <v>202</v>
      </c>
      <c r="L10" s="77">
        <f>K10*$H9/1000</f>
        <v>46.735199197928353</v>
      </c>
      <c r="M10" s="162"/>
      <c r="N10" s="162"/>
      <c r="P10" s="82">
        <f>D10+L10</f>
        <v>47.652025734853559</v>
      </c>
      <c r="Q10" s="162"/>
    </row>
    <row r="11" spans="1:17">
      <c r="A11" t="s">
        <v>176</v>
      </c>
      <c r="C11" s="109">
        <f>C10/C9</f>
        <v>0.20591003058149038</v>
      </c>
      <c r="D11" s="182">
        <f>D10/D9</f>
        <v>0.17236910485937257</v>
      </c>
      <c r="E11" s="183">
        <f>E10/E9</f>
        <v>0.20554703298729535</v>
      </c>
      <c r="F11" s="183">
        <f>F10/F9</f>
        <v>0.18330792563531045</v>
      </c>
      <c r="H11" s="162"/>
      <c r="I11" s="48"/>
      <c r="K11" s="56">
        <f>K10/K9</f>
        <v>0.11484216350286994</v>
      </c>
      <c r="L11" s="109">
        <f>L10/L9</f>
        <v>0.11484216350286992</v>
      </c>
      <c r="M11" s="162"/>
      <c r="N11" s="162"/>
      <c r="P11" s="183">
        <f>P10/P9</f>
        <v>0.11558435627999909</v>
      </c>
      <c r="Q11" s="162"/>
    </row>
    <row r="12" spans="1:17" ht="16">
      <c r="A12" s="1" t="s">
        <v>165</v>
      </c>
      <c r="I12" s="26"/>
    </row>
    <row r="13" spans="1:17">
      <c r="A13" t="s">
        <v>125</v>
      </c>
      <c r="B13" s="140">
        <v>1043</v>
      </c>
      <c r="C13" s="306">
        <v>333.2243781677584</v>
      </c>
      <c r="D13" s="304">
        <v>5.7911508492750494</v>
      </c>
      <c r="E13" s="309">
        <f t="shared" ref="E13" si="3">C13+D13</f>
        <v>339.01552901703343</v>
      </c>
      <c r="F13" s="309">
        <v>338.11760179896532</v>
      </c>
      <c r="H13" s="103">
        <v>262.51445685220114</v>
      </c>
      <c r="I13" s="135">
        <f>1000*C13/K13</f>
        <v>272.26628358285274</v>
      </c>
      <c r="J13" s="10"/>
      <c r="K13" s="16">
        <v>1223.8914557569726</v>
      </c>
      <c r="L13" s="306">
        <f t="shared" ref="L13" si="4">K13*H13/1000</f>
        <v>321.28920075409144</v>
      </c>
      <c r="M13" s="16">
        <v>1065</v>
      </c>
      <c r="N13" s="306">
        <f t="shared" ref="N13" si="5">M13*H13/1000</f>
        <v>279.57789654759421</v>
      </c>
      <c r="P13" s="309">
        <f t="shared" ref="P13" si="6">D13+L13</f>
        <v>327.08035160336647</v>
      </c>
      <c r="Q13" s="309">
        <f>D13+N13</f>
        <v>285.36904739686923</v>
      </c>
    </row>
    <row r="14" spans="1:17">
      <c r="A14" t="s">
        <v>160</v>
      </c>
      <c r="B14" s="46"/>
      <c r="C14" s="306">
        <v>73.846890915676056</v>
      </c>
      <c r="D14" s="79">
        <v>1.21</v>
      </c>
      <c r="E14" s="82">
        <f t="shared" ref="E14" si="7">SUM(C14:D14)</f>
        <v>75.05689091567605</v>
      </c>
      <c r="F14" s="82">
        <v>60.9</v>
      </c>
      <c r="H14" s="6"/>
      <c r="I14" s="6"/>
      <c r="J14" s="10"/>
      <c r="K14" s="143">
        <v>237</v>
      </c>
      <c r="L14" s="77">
        <f>K14*$H13/1000</f>
        <v>62.215926273971675</v>
      </c>
      <c r="M14" s="46"/>
      <c r="N14" s="46"/>
      <c r="P14" s="82">
        <f>D14+L14</f>
        <v>63.425926273971676</v>
      </c>
      <c r="Q14" s="46"/>
    </row>
    <row r="15" spans="1:17">
      <c r="A15" t="s">
        <v>176</v>
      </c>
      <c r="B15" s="46"/>
      <c r="C15" s="109">
        <f>C14/C13</f>
        <v>0.22161311042644843</v>
      </c>
      <c r="D15" s="182">
        <f>D14/D13</f>
        <v>0.20893947187569303</v>
      </c>
      <c r="E15" s="183">
        <f>E14/E13</f>
        <v>0.22139661605856675</v>
      </c>
      <c r="F15" s="183">
        <f>F14/F13</f>
        <v>0.18011484665684258</v>
      </c>
      <c r="H15" s="6"/>
      <c r="I15" s="6"/>
      <c r="J15" s="10"/>
      <c r="K15" s="56">
        <f>K14/K13</f>
        <v>0.19364462337341534</v>
      </c>
      <c r="L15" s="109">
        <f>L14/L13</f>
        <v>0.19364462337341537</v>
      </c>
      <c r="M15" s="46"/>
      <c r="N15" s="46"/>
      <c r="P15" s="183">
        <f>P14/P13</f>
        <v>0.19391542770164635</v>
      </c>
      <c r="Q15" s="46"/>
    </row>
    <row r="16" spans="1:17">
      <c r="I16" s="26"/>
    </row>
    <row r="17" spans="1:17">
      <c r="A17" t="s">
        <v>162</v>
      </c>
      <c r="B17" s="166">
        <f>B9/B13</f>
        <v>1.0121740594439119</v>
      </c>
      <c r="C17" s="321">
        <f>C9/C13</f>
        <v>1.4589368638300304</v>
      </c>
      <c r="D17" s="166">
        <f>D9/D13</f>
        <v>0.91846554972474703</v>
      </c>
      <c r="E17" s="321">
        <f>E9/E13</f>
        <v>1.4497043932149976</v>
      </c>
      <c r="F17" s="321">
        <f>F9/F13</f>
        <v>1.3645845973110169</v>
      </c>
      <c r="H17" s="166">
        <f>H9/H13</f>
        <v>0.88133192754878231</v>
      </c>
      <c r="I17" s="181"/>
      <c r="K17" s="166">
        <f>K9/K13</f>
        <v>1.4371665518131085</v>
      </c>
      <c r="L17" s="166">
        <f>L9/L13</f>
        <v>1.2666207673180836</v>
      </c>
      <c r="M17" s="166">
        <f>M9/M13</f>
        <v>0.99923948619718317</v>
      </c>
      <c r="N17" s="166">
        <f>N9/N13</f>
        <v>0.88066166245301836</v>
      </c>
      <c r="P17" s="166">
        <f>P9/P13</f>
        <v>1.2604564735163879</v>
      </c>
      <c r="Q17" s="166">
        <f>Q9/Q13</f>
        <v>0.88142883750538181</v>
      </c>
    </row>
    <row r="19" spans="1:17" ht="16">
      <c r="A19" s="535" t="s">
        <v>315</v>
      </c>
    </row>
    <row r="20" spans="1:17" ht="16">
      <c r="A20" s="164" t="s">
        <v>164</v>
      </c>
    </row>
    <row r="21" spans="1:17">
      <c r="A21" s="62" t="s">
        <v>125</v>
      </c>
      <c r="B21" s="72">
        <v>1055.6975440000001</v>
      </c>
      <c r="C21" s="379">
        <v>543.56873838503031</v>
      </c>
      <c r="D21" s="384">
        <v>6.6462147055163641</v>
      </c>
      <c r="E21" s="386">
        <f>C21+D21</f>
        <v>550.21495309054671</v>
      </c>
      <c r="F21" s="386">
        <v>511.70028637047432</v>
      </c>
      <c r="H21" s="103">
        <v>231.36237226697207</v>
      </c>
      <c r="I21" s="135">
        <f>1000*C21/K21</f>
        <v>303.14313045612658</v>
      </c>
      <c r="K21" s="407">
        <v>1793.1092074134933</v>
      </c>
      <c r="L21" s="409">
        <f t="shared" ref="L21" si="8">K21*H21/1000</f>
        <v>414.8579999609359</v>
      </c>
      <c r="M21" s="16">
        <v>1064.1900528000001</v>
      </c>
      <c r="N21" s="379">
        <f t="shared" ref="N21" si="9">M21*H21/1000</f>
        <v>246.21353515872229</v>
      </c>
      <c r="P21" s="386">
        <f t="shared" ref="P21" si="10">D21+L21</f>
        <v>421.50421466645224</v>
      </c>
      <c r="Q21" s="386">
        <f t="shared" ref="Q21" si="11">D21+N21</f>
        <v>252.85974986423867</v>
      </c>
    </row>
    <row r="22" spans="1:17">
      <c r="A22" t="s">
        <v>160</v>
      </c>
    </row>
    <row r="23" spans="1:17">
      <c r="A23" t="s">
        <v>176</v>
      </c>
    </row>
    <row r="24" spans="1:17" ht="16">
      <c r="A24" s="1" t="s">
        <v>165</v>
      </c>
    </row>
    <row r="25" spans="1:17">
      <c r="A25" t="s">
        <v>125</v>
      </c>
      <c r="B25" s="72">
        <v>1043</v>
      </c>
      <c r="C25" s="379">
        <v>411.07596724773379</v>
      </c>
      <c r="D25" s="395">
        <v>7.8403313389560862</v>
      </c>
      <c r="E25" s="386">
        <f t="shared" ref="E25" si="12">C25+D25</f>
        <v>418.91629858668989</v>
      </c>
      <c r="F25" s="386">
        <v>372.68663510461164</v>
      </c>
      <c r="H25" s="103">
        <v>262.51445685220114</v>
      </c>
      <c r="I25" s="135">
        <f>1000*C25/K25</f>
        <v>216.01131689510495</v>
      </c>
      <c r="J25" s="10"/>
      <c r="K25" s="407">
        <v>1903.0297724973002</v>
      </c>
      <c r="L25" s="379">
        <f t="shared" ref="L25" si="13">K25*H25/1000</f>
        <v>499.57282710069666</v>
      </c>
      <c r="M25" s="16">
        <v>1065</v>
      </c>
      <c r="N25" s="379">
        <f t="shared" ref="N25" si="14">M25*H25/1000</f>
        <v>279.57789654759421</v>
      </c>
      <c r="P25" s="386">
        <f t="shared" ref="P25" si="15">D25+L25</f>
        <v>507.41315843965276</v>
      </c>
      <c r="Q25" s="386">
        <f>D25+N25</f>
        <v>287.41822788655031</v>
      </c>
    </row>
    <row r="26" spans="1:17">
      <c r="A26" t="s">
        <v>160</v>
      </c>
    </row>
    <row r="27" spans="1:17">
      <c r="A27" t="s">
        <v>176</v>
      </c>
    </row>
    <row r="29" spans="1:17">
      <c r="A29" t="s">
        <v>162</v>
      </c>
      <c r="B29" s="166">
        <f>B21/B25</f>
        <v>1.0121740594439119</v>
      </c>
      <c r="C29" s="321">
        <f>C21/C25</f>
        <v>1.3223072660373991</v>
      </c>
      <c r="D29" s="166">
        <f>D21/D25</f>
        <v>0.84769564169991896</v>
      </c>
      <c r="E29" s="321">
        <f>E21/E25</f>
        <v>1.3134245550885055</v>
      </c>
      <c r="F29" s="321">
        <f>F21/F25</f>
        <v>1.3730041224226945</v>
      </c>
      <c r="H29" s="166">
        <f>H21/H25</f>
        <v>0.88133192754878231</v>
      </c>
      <c r="I29" s="181"/>
      <c r="K29" s="166">
        <f>K21/K25</f>
        <v>0.94223917740416596</v>
      </c>
      <c r="L29" s="166">
        <f>L21/L25</f>
        <v>0.83042547043359272</v>
      </c>
      <c r="M29" s="166">
        <f>M21/M25</f>
        <v>0.99923948619718317</v>
      </c>
      <c r="N29" s="166">
        <f>N21/N25</f>
        <v>0.88066166245301836</v>
      </c>
      <c r="P29" s="166">
        <f>P21/P25</f>
        <v>0.83069232174155816</v>
      </c>
      <c r="Q29" s="166">
        <f>Q21/Q25</f>
        <v>0.87976239963474911</v>
      </c>
    </row>
  </sheetData>
  <mergeCells count="2">
    <mergeCell ref="A1:Q1"/>
    <mergeCell ref="A2:Q2"/>
  </mergeCells>
  <pageMargins left="0.7" right="0.7" top="0.75" bottom="0.75" header="0.3" footer="0.3"/>
  <pageSetup scale="84" orientation="landscape" horizontalDpi="1200" verticalDpi="1200" r:id="rId1"/>
  <headerFooter>
    <oddHeader>&amp;LDraft Open-File Report&amp;RU.S. GEOLOGICAL SURVEY</oddHeader>
    <oddFooter>&amp;LPRELIMINARY - SUBJECT TO REVISION&amp;ROctober 21, 2019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99"/>
    <pageSetUpPr fitToPage="1"/>
  </sheetPr>
  <dimension ref="A1:T86"/>
  <sheetViews>
    <sheetView topLeftCell="A58" zoomScaleNormal="100" workbookViewId="0">
      <selection activeCell="B70" sqref="B70"/>
    </sheetView>
  </sheetViews>
  <sheetFormatPr baseColWidth="10" defaultColWidth="8.83203125" defaultRowHeight="15"/>
  <cols>
    <col min="1" max="1" width="21.1640625" customWidth="1"/>
    <col min="2" max="2" width="9.83203125" bestFit="1" customWidth="1"/>
    <col min="7" max="7" width="1.83203125" customWidth="1"/>
    <col min="8" max="8" width="5.1640625" customWidth="1"/>
    <col min="9" max="9" width="1.83203125" customWidth="1"/>
    <col min="12" max="12" width="13.33203125" customWidth="1"/>
    <col min="13" max="13" width="15.5" customWidth="1"/>
    <col min="14" max="14" width="14.33203125" customWidth="1"/>
    <col min="15" max="15" width="13.5" customWidth="1"/>
  </cols>
  <sheetData>
    <row r="1" spans="1:17" ht="25.25" customHeight="1">
      <c r="A1" s="618" t="s">
        <v>316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3"/>
      <c r="O1" s="63"/>
      <c r="P1" s="63"/>
      <c r="Q1" s="63"/>
    </row>
    <row r="2" spans="1:17" ht="64.5" customHeight="1">
      <c r="A2" s="626" t="s">
        <v>124</v>
      </c>
      <c r="B2" s="626"/>
      <c r="C2" s="626"/>
      <c r="D2" s="626"/>
      <c r="E2" s="626"/>
      <c r="F2" s="626"/>
      <c r="G2" s="626"/>
      <c r="H2" s="626"/>
      <c r="I2" s="626"/>
      <c r="J2" s="626"/>
      <c r="K2" s="626"/>
      <c r="L2" s="626"/>
      <c r="M2" s="626"/>
      <c r="N2" s="626"/>
      <c r="O2" s="626"/>
      <c r="P2" s="64"/>
      <c r="Q2" s="64"/>
    </row>
    <row r="3" spans="1:17" ht="19">
      <c r="A3" s="543" t="s">
        <v>314</v>
      </c>
      <c r="B3" s="526"/>
      <c r="C3" s="526"/>
      <c r="D3" s="526"/>
      <c r="E3" s="526"/>
      <c r="F3" s="526"/>
      <c r="G3" s="526"/>
      <c r="H3" s="526"/>
      <c r="I3" s="526"/>
      <c r="J3" s="526"/>
      <c r="K3" s="526"/>
      <c r="L3" s="526"/>
      <c r="M3" s="526"/>
      <c r="N3" s="526"/>
      <c r="O3" s="526"/>
      <c r="P3" s="526"/>
      <c r="Q3" s="526"/>
    </row>
    <row r="4" spans="1:17">
      <c r="B4" s="42" t="s">
        <v>27</v>
      </c>
      <c r="C4" s="55" t="s">
        <v>56</v>
      </c>
      <c r="D4" s="41" t="s">
        <v>57</v>
      </c>
      <c r="E4" s="57" t="s">
        <v>58</v>
      </c>
      <c r="F4" s="57" t="s">
        <v>59</v>
      </c>
      <c r="G4" s="43"/>
      <c r="H4" s="44"/>
      <c r="I4" s="44"/>
      <c r="J4" s="41" t="s">
        <v>16</v>
      </c>
      <c r="K4" s="55" t="s">
        <v>60</v>
      </c>
      <c r="L4" s="41" t="s">
        <v>17</v>
      </c>
      <c r="M4" s="55" t="s">
        <v>61</v>
      </c>
      <c r="N4" s="40" t="s">
        <v>68</v>
      </c>
      <c r="O4" s="40" t="s">
        <v>69</v>
      </c>
      <c r="P4" s="44"/>
      <c r="Q4" s="44"/>
    </row>
    <row r="5" spans="1:17">
      <c r="B5" s="41" t="s">
        <v>37</v>
      </c>
      <c r="C5" s="55" t="s">
        <v>37</v>
      </c>
      <c r="D5" s="41" t="s">
        <v>37</v>
      </c>
      <c r="E5" s="57" t="s">
        <v>37</v>
      </c>
      <c r="F5" s="57" t="s">
        <v>37</v>
      </c>
      <c r="G5" s="43"/>
      <c r="H5" s="44"/>
      <c r="I5" s="44"/>
      <c r="J5" s="41" t="s">
        <v>37</v>
      </c>
      <c r="K5" s="55" t="s">
        <v>37</v>
      </c>
      <c r="L5" s="41" t="s">
        <v>37</v>
      </c>
      <c r="M5" s="55" t="s">
        <v>37</v>
      </c>
      <c r="N5" s="102" t="s">
        <v>37</v>
      </c>
      <c r="O5" s="102" t="s">
        <v>37</v>
      </c>
      <c r="P5" s="44"/>
      <c r="Q5" s="44"/>
    </row>
    <row r="6" spans="1:17" ht="16">
      <c r="A6" s="1" t="s">
        <v>266</v>
      </c>
      <c r="C6" s="6"/>
      <c r="D6" s="6"/>
      <c r="E6" s="26"/>
      <c r="F6" s="26"/>
      <c r="G6" s="26"/>
      <c r="H6" s="27"/>
      <c r="I6" s="26"/>
      <c r="J6" s="26"/>
      <c r="K6" s="26"/>
      <c r="L6" s="26"/>
      <c r="M6" s="26"/>
      <c r="N6" s="26"/>
      <c r="O6" s="26"/>
      <c r="P6" s="26"/>
      <c r="Q6" s="26"/>
    </row>
    <row r="7" spans="1:17">
      <c r="A7" s="2" t="s">
        <v>1</v>
      </c>
      <c r="B7" s="45">
        <f>('T4a. THg loads daily calib'!B33-'T4a. THg loads daily calib'!B72)/'T4a. THg loads daily calib'!B33</f>
        <v>0.16099513535218615</v>
      </c>
      <c r="C7" s="56">
        <f>('T4a. THg loads daily calib'!C33-'T4a. THg loads daily calib'!C72)/'T4a. THg loads daily calib'!C33</f>
        <v>0.65992990058910717</v>
      </c>
      <c r="D7" s="45">
        <f>('T4a. THg loads daily calib'!D33-'T4a. THg loads daily calib'!D72)/'T4a. THg loads daily calib'!D33</f>
        <v>-0.18403914753473685</v>
      </c>
      <c r="E7" s="58">
        <f>('T4a. THg loads daily calib'!E33-'T4a. THg loads daily calib'!E72)/'T4a. THg loads daily calib'!E33</f>
        <v>0.64326819808697278</v>
      </c>
      <c r="F7" s="58">
        <f>('T4a. THg loads daily calib'!F33-'T4a. THg loads daily calib'!F72)/'T4a. THg loads daily calib'!F33</f>
        <v>0.17563256982500991</v>
      </c>
      <c r="J7" s="45">
        <f>('T4a. THg loads daily calib'!K33-'T4a. THg loads daily calib'!K72)/'T4a. THg loads daily calib'!K33</f>
        <v>0.70978800597073954</v>
      </c>
      <c r="K7" s="56">
        <f>('T4a. THg loads daily calib'!L33-'T4a. THg loads daily calib'!L72)/'T4a. THg loads daily calib'!L33</f>
        <v>0.62523585757815492</v>
      </c>
      <c r="L7" s="45">
        <f>('T4a. THg loads daily calib'!M33-'T4a. THg loads daily calib'!M72)/'T4a. THg loads daily calib'!M33</f>
        <v>0.76662019959347794</v>
      </c>
      <c r="M7" s="56">
        <f>('T4a. THg loads daily calib'!N33-'T4a. THg loads daily calib'!N72)/'T4a. THg loads daily calib'!N33</f>
        <v>0.70237268191386737</v>
      </c>
      <c r="N7" s="58">
        <f>('T4a. THg loads daily calib'!T33-'T4a. THg loads daily calib'!T72)/'T4a. THg loads daily calib'!T33</f>
        <v>0.61005359856353525</v>
      </c>
      <c r="O7" s="58">
        <f>('T4a. THg loads daily calib'!U33-'T4a. THg loads daily calib'!U72)/'T4a. THg loads daily calib'!U33</f>
        <v>0.68725372008050201</v>
      </c>
      <c r="P7" s="66"/>
      <c r="Q7" s="66"/>
    </row>
    <row r="8" spans="1:17">
      <c r="A8" s="2" t="s">
        <v>2</v>
      </c>
      <c r="B8" s="45">
        <f>('T4a. THg loads daily calib'!B34-'T4a. THg loads daily calib'!B73)/'T4a. THg loads daily calib'!B34</f>
        <v>5.9952772717525762E-2</v>
      </c>
      <c r="C8" s="56">
        <f>('T4a. THg loads daily calib'!C34-'T4a. THg loads daily calib'!C73)/'T4a. THg loads daily calib'!C34</f>
        <v>0.63589875655818817</v>
      </c>
      <c r="D8" s="45">
        <f>('T4a. THg loads daily calib'!D34-'T4a. THg loads daily calib'!D73)/'T4a. THg loads daily calib'!D34</f>
        <v>1.1496137886374234E-2</v>
      </c>
      <c r="E8" s="58">
        <f>('T4a. THg loads daily calib'!E34-'T4a. THg loads daily calib'!E73)/'T4a. THg loads daily calib'!E34</f>
        <v>0.62532069897046438</v>
      </c>
      <c r="F8" s="58">
        <f>('T4a. THg loads daily calib'!F34-'T4a. THg loads daily calib'!F73)/'T4a. THg loads daily calib'!F34</f>
        <v>0.30120720691351194</v>
      </c>
      <c r="J8" s="45">
        <f>('T4a. THg loads daily calib'!K34-'T4a. THg loads daily calib'!K73)/'T4a. THg loads daily calib'!K34</f>
        <v>0.80878338494001956</v>
      </c>
      <c r="K8" s="56">
        <f>('T4a. THg loads daily calib'!L34-'T4a. THg loads daily calib'!L73)/'T4a. THg loads daily calib'!L34</f>
        <v>0.79094943669394469</v>
      </c>
      <c r="L8" s="45">
        <f>('T4a. THg loads daily calib'!M34-'T4a. THg loads daily calib'!M73)/'T4a. THg loads daily calib'!M34</f>
        <v>0.76669890334084878</v>
      </c>
      <c r="M8" s="56">
        <f>('T4a. THg loads daily calib'!N34-'T4a. THg loads daily calib'!N73)/'T4a. THg loads daily calib'!N34</f>
        <v>0.74559278185684208</v>
      </c>
      <c r="N8" s="58">
        <f>('T4a. THg loads daily calib'!T34-'T4a. THg loads daily calib'!T73)/'T4a. THg loads daily calib'!T34</f>
        <v>0.77594631914675238</v>
      </c>
      <c r="O8" s="58">
        <f>('T4a. THg loads daily calib'!U34-'T4a. THg loads daily calib'!U73)/'T4a. THg loads daily calib'!U34</f>
        <v>0.71829038499805287</v>
      </c>
      <c r="P8" s="66"/>
      <c r="Q8" s="66"/>
    </row>
    <row r="9" spans="1:17">
      <c r="A9" s="2" t="s">
        <v>3</v>
      </c>
      <c r="B9" s="45">
        <f>('T4a. THg loads daily calib'!B35-'T4a. THg loads daily calib'!B74)/'T4a. THg loads daily calib'!B35</f>
        <v>0.40089989822283467</v>
      </c>
      <c r="C9" s="56">
        <f>('T4a. THg loads daily calib'!C35-'T4a. THg loads daily calib'!C74)/'T4a. THg loads daily calib'!C35</f>
        <v>0.49700822580131843</v>
      </c>
      <c r="D9" s="45">
        <f>('T4a. THg loads daily calib'!D35-'T4a. THg loads daily calib'!D74)/'T4a. THg loads daily calib'!D35</f>
        <v>0.49818055559937485</v>
      </c>
      <c r="E9" s="58">
        <f>('T4a. THg loads daily calib'!E35-'T4a. THg loads daily calib'!E74)/'T4a. THg loads daily calib'!E35</f>
        <v>0.49712775312104718</v>
      </c>
      <c r="F9" s="58">
        <f>('T4a. THg loads daily calib'!F35-'T4a. THg loads daily calib'!F74)/'T4a. THg loads daily calib'!F35</f>
        <v>0.36114605006534395</v>
      </c>
      <c r="J9" s="45">
        <f>('T4a. THg loads daily calib'!K35-'T4a. THg loads daily calib'!K74)/'T4a. THg loads daily calib'!K35</f>
        <v>0.59637840281600851</v>
      </c>
      <c r="K9" s="56">
        <f>('T4a. THg loads daily calib'!L35-'T4a. THg loads daily calib'!L74)/'T4a. THg loads daily calib'!L35</f>
        <v>0.50482793115498159</v>
      </c>
      <c r="L9" s="45">
        <f>('T4a. THg loads daily calib'!M35-'T4a. THg loads daily calib'!M74)/'T4a. THg loads daily calib'!M35</f>
        <v>0.71392649903288208</v>
      </c>
      <c r="M9" s="56">
        <f>('T4a. THg loads daily calib'!N35-'T4a. THg loads daily calib'!N74)/'T4a. THg loads daily calib'!N35</f>
        <v>0.64903858390151692</v>
      </c>
      <c r="N9" s="58">
        <f>('T4a. THg loads daily calib'!T35-'T4a. THg loads daily calib'!T74)/'T4a. THg loads daily calib'!T35</f>
        <v>0.50422853062607675</v>
      </c>
      <c r="O9" s="58">
        <f>('T4a. THg loads daily calib'!U35-'T4a. THg loads daily calib'!U74)/'T4a. THg loads daily calib'!U35</f>
        <v>0.63435036582496929</v>
      </c>
      <c r="P9" s="66"/>
      <c r="Q9" s="66"/>
    </row>
    <row r="10" spans="1:17">
      <c r="A10" s="2" t="s">
        <v>4</v>
      </c>
      <c r="B10" s="45">
        <f>('T4a. THg loads daily calib'!B36-'T4a. THg loads daily calib'!B75)/'T4a. THg loads daily calib'!B36</f>
        <v>0.12494872291175736</v>
      </c>
      <c r="C10" s="56">
        <f>('T4a. THg loads daily calib'!C36-'T4a. THg loads daily calib'!C75)/'T4a. THg loads daily calib'!C36</f>
        <v>0.70256595905198049</v>
      </c>
      <c r="D10" s="45">
        <f>('T4a. THg loads daily calib'!D36-'T4a. THg loads daily calib'!D75)/'T4a. THg loads daily calib'!D36</f>
        <v>0.16217074708689944</v>
      </c>
      <c r="E10" s="58">
        <f>('T4a. THg loads daily calib'!E36-'T4a. THg loads daily calib'!E75)/'T4a. THg loads daily calib'!E36</f>
        <v>0.68107114936903246</v>
      </c>
      <c r="F10" s="58">
        <f>('T4a. THg loads daily calib'!F36-'T4a. THg loads daily calib'!F75)/'T4a. THg loads daily calib'!F36</f>
        <v>0.68458267753751512</v>
      </c>
      <c r="J10" s="45">
        <f>('T4a. THg loads daily calib'!K36-'T4a. THg loads daily calib'!K75)/'T4a. THg loads daily calib'!K36</f>
        <v>0.73256614481053772</v>
      </c>
      <c r="K10" s="56">
        <f>('T4a. THg loads daily calib'!L36-'T4a. THg loads daily calib'!L75)/'T4a. THg loads daily calib'!L36</f>
        <v>0.72278627509442683</v>
      </c>
      <c r="L10" s="45">
        <f>('T4a. THg loads daily calib'!M36-'T4a. THg loads daily calib'!M75)/'T4a. THg loads daily calib'!M36</f>
        <v>0.47411621057948561</v>
      </c>
      <c r="M10" s="56">
        <f>('T4a. THg loads daily calib'!N36-'T4a. THg loads daily calib'!N75)/'T4a. THg loads daily calib'!N36</f>
        <v>0.45900467109443271</v>
      </c>
      <c r="N10" s="58">
        <f>('T4a. THg loads daily calib'!T36-'T4a. THg loads daily calib'!T75)/'T4a. THg loads daily calib'!T36</f>
        <v>0.7014767665488667</v>
      </c>
      <c r="O10" s="58">
        <f>('T4a. THg loads daily calib'!U36-'T4a. THg loads daily calib'!U75)/'T4a. THg loads daily calib'!U36</f>
        <v>0.4465620693653099</v>
      </c>
      <c r="P10" s="66"/>
      <c r="Q10" s="66"/>
    </row>
    <row r="11" spans="1:17">
      <c r="A11" s="2" t="s">
        <v>5</v>
      </c>
      <c r="B11" s="45">
        <f>('T4a. THg loads daily calib'!B37-'T4a. THg loads daily calib'!B76)/'T4a. THg loads daily calib'!B37</f>
        <v>0.78388578666666664</v>
      </c>
      <c r="C11" s="56">
        <f>('T4a. THg loads daily calib'!C37-'T4a. THg loads daily calib'!C76)/'T4a. THg loads daily calib'!C37</f>
        <v>0.73356638026392007</v>
      </c>
      <c r="D11" s="45">
        <f>('T4a. THg loads daily calib'!D37-'T4a. THg loads daily calib'!D76)/'T4a. THg loads daily calib'!D37</f>
        <v>0.88955700343536492</v>
      </c>
      <c r="E11" s="58">
        <f>('T4a. THg loads daily calib'!E37-'T4a. THg loads daily calib'!E76)/'T4a. THg loads daily calib'!E37</f>
        <v>0.77998617776169443</v>
      </c>
      <c r="F11" s="58">
        <f>('T4a. THg loads daily calib'!F37-'T4a. THg loads daily calib'!F76)/'T4a. THg loads daily calib'!F37</f>
        <v>0.84327625834366804</v>
      </c>
      <c r="J11" s="45">
        <f>('T4a. THg loads daily calib'!K37-'T4a. THg loads daily calib'!K76)/'T4a. THg loads daily calib'!K37</f>
        <v>0.94603434684334176</v>
      </c>
      <c r="K11" s="56">
        <f>('T4a. THg loads daily calib'!L37-'T4a. THg loads daily calib'!L76)/'T4a. THg loads daily calib'!L37</f>
        <v>1</v>
      </c>
      <c r="L11" s="45">
        <f>('T4a. THg loads daily calib'!M37-'T4a. THg loads daily calib'!M76)/'T4a. THg loads daily calib'!M37</f>
        <v>0.90833333333333333</v>
      </c>
      <c r="M11" s="56">
        <f>('T4a. THg loads daily calib'!N37-'T4a. THg loads daily calib'!N76)/'T4a. THg loads daily calib'!N37</f>
        <v>1</v>
      </c>
      <c r="N11" s="58">
        <f>('T4a. THg loads daily calib'!T37-'T4a. THg loads daily calib'!T76)/'T4a. THg loads daily calib'!T37</f>
        <v>0.96644790103412415</v>
      </c>
      <c r="O11" s="58">
        <f>('T4a. THg loads daily calib'!U37-'T4a. THg loads daily calib'!U76)/'T4a. THg loads daily calib'!U37</f>
        <v>0.9599083991296794</v>
      </c>
      <c r="P11" s="66"/>
      <c r="Q11" s="66"/>
    </row>
    <row r="12" spans="1:17">
      <c r="A12" s="2" t="s">
        <v>88</v>
      </c>
      <c r="B12" s="45">
        <f>('T4a. THg loads daily calib'!B38-'T4a. THg loads daily calib'!B77)/'T4a. THg loads daily calib'!B38</f>
        <v>2.6121353860465067E-2</v>
      </c>
      <c r="C12" s="56">
        <f>('T4a. THg loads daily calib'!C38-'T4a. THg loads daily calib'!C77)/'T4a. THg loads daily calib'!C38</f>
        <v>0.76498235452147323</v>
      </c>
      <c r="D12" s="45">
        <f>('T4a. THg loads daily calib'!D38-'T4a. THg loads daily calib'!D77)/'T4a. THg loads daily calib'!D38</f>
        <v>0.470019580964322</v>
      </c>
      <c r="E12" s="58">
        <f>('T4a. THg loads daily calib'!E38-'T4a. THg loads daily calib'!E77)/'T4a. THg loads daily calib'!E38</f>
        <v>0.75118144321334557</v>
      </c>
      <c r="F12" s="58">
        <f>('T4a. THg loads daily calib'!F38-'T4a. THg loads daily calib'!F77)/'T4a. THg loads daily calib'!F38</f>
        <v>0.863628130033256</v>
      </c>
      <c r="J12" s="45">
        <f>('T4a. THg loads daily calib'!K38-'T4a. THg loads daily calib'!K77)/'T4a. THg loads daily calib'!K38</f>
        <v>0.79158689022712936</v>
      </c>
      <c r="K12" s="56">
        <f>('T4a. THg loads daily calib'!L38-'T4a. THg loads daily calib'!L77)/'T4a. THg loads daily calib'!L38</f>
        <v>0.74434943400522635</v>
      </c>
      <c r="L12" s="45">
        <f>('T4a. THg loads daily calib'!M38-'T4a. THg loads daily calib'!M77)/'T4a. THg loads daily calib'!M38</f>
        <v>0.73544702745098034</v>
      </c>
      <c r="M12" s="56">
        <f>('T4a. THg loads daily calib'!N38-'T4a. THg loads daily calib'!N77)/'T4a. THg loads daily calib'!N38</f>
        <v>0.67558384819783013</v>
      </c>
      <c r="N12" s="58">
        <f>('T4a. THg loads daily calib'!T38-'T4a. THg loads daily calib'!T77)/'T4a. THg loads daily calib'!T38</f>
        <v>0.7340639078191451</v>
      </c>
      <c r="O12" s="58">
        <f>('T4a. THg loads daily calib'!U38-'T4a. THg loads daily calib'!U77)/'T4a. THg loads daily calib'!U38</f>
        <v>0.66820519629202302</v>
      </c>
      <c r="P12" s="66"/>
      <c r="Q12" s="66"/>
    </row>
    <row r="13" spans="1:17">
      <c r="A13" s="2" t="s">
        <v>95</v>
      </c>
      <c r="B13" s="45">
        <f>('T4a. THg loads daily calib'!B39-'T4a. THg loads daily calib'!B78)/'T4a. THg loads daily calib'!B39</f>
        <v>0.19589577286993956</v>
      </c>
      <c r="C13" s="56">
        <f>('T4a. THg loads daily calib'!C39-'T4a. THg loads daily calib'!C78)/'T4a. THg loads daily calib'!C39</f>
        <v>0.7925708071562052</v>
      </c>
      <c r="D13" s="45">
        <f>('T4a. THg loads daily calib'!D39-'T4a. THg loads daily calib'!D78)/'T4a. THg loads daily calib'!D39</f>
        <v>0.29472850136858636</v>
      </c>
      <c r="E13" s="58">
        <f>('T4a. THg loads daily calib'!E39-'T4a. THg loads daily calib'!E78)/'T4a. THg loads daily calib'!E39</f>
        <v>0.7805540937565999</v>
      </c>
      <c r="F13" s="58">
        <f>('T4a. THg loads daily calib'!F39-'T4a. THg loads daily calib'!F78)/'T4a. THg loads daily calib'!F39</f>
        <v>0.79388461998593385</v>
      </c>
      <c r="J13" s="45">
        <f>('T4a. THg loads daily calib'!K39-'T4a. THg loads daily calib'!K78)/'T4a. THg loads daily calib'!K39</f>
        <v>0.8260054632613365</v>
      </c>
      <c r="K13" s="56">
        <f>('T4a. THg loads daily calib'!L39-'T4a. THg loads daily calib'!L78)/'T4a. THg loads daily calib'!L39</f>
        <v>0.7756299562946698</v>
      </c>
      <c r="L13" s="45">
        <f>('T4a. THg loads daily calib'!M39-'T4a. THg loads daily calib'!M78)/'T4a. THg loads daily calib'!M39</f>
        <v>0.85146308874172183</v>
      </c>
      <c r="M13" s="56">
        <f>('T4a. THg loads daily calib'!N39-'T4a. THg loads daily calib'!N78)/'T4a. THg loads daily calib'!N39</f>
        <v>0.80843775060057599</v>
      </c>
      <c r="N13" s="58">
        <f>('T4a. THg loads daily calib'!T39-'T4a. THg loads daily calib'!T78)/'T4a. THg loads daily calib'!T39</f>
        <v>0.76029194165702063</v>
      </c>
      <c r="O13" s="58">
        <f>('T4a. THg loads daily calib'!U39-'T4a. THg loads daily calib'!U78)/'T4a. THg loads daily calib'!U39</f>
        <v>0.78900837856433903</v>
      </c>
      <c r="P13" s="66"/>
      <c r="Q13" s="66"/>
    </row>
    <row r="14" spans="1:17">
      <c r="A14" s="2" t="s">
        <v>125</v>
      </c>
      <c r="B14" s="45">
        <f>('T4a. THg loads daily calib'!B40-'T4a. THg loads daily calib'!B79)/'T4a. THg loads daily calib'!B40</f>
        <v>-8.2155392277906553E-3</v>
      </c>
      <c r="C14" s="56">
        <f>('T4a. THg loads daily calib'!C40-'T4a. THg loads daily calib'!C79)/'T4a. THg loads daily calib'!C40</f>
        <v>0.62501432168473858</v>
      </c>
      <c r="D14" s="45">
        <f>('T4a. THg loads daily calib'!D40-'T4a. THg loads daily calib'!D79)/'T4a. THg loads daily calib'!D40</f>
        <v>-0.32213853862201802</v>
      </c>
      <c r="E14" s="58">
        <f>('T4a. THg loads daily calib'!E40-'T4a. THg loads daily calib'!E79)/'T4a. THg loads daily calib'!E40</f>
        <v>0.61234347358303842</v>
      </c>
      <c r="F14" s="58">
        <f>('T4a. THg loads daily calib'!F40-'T4a. THg loads daily calib'!F79)/'T4a. THg loads daily calib'!F40</f>
        <v>0.59641008019878405</v>
      </c>
      <c r="J14" s="45">
        <f>('T4a. THg loads daily calib'!K40-'T4a. THg loads daily calib'!K79)/'T4a. THg loads daily calib'!K40</f>
        <v>0.59612908340005633</v>
      </c>
      <c r="K14" s="56">
        <f>('T4a. THg loads daily calib'!L40-'T4a. THg loads daily calib'!L79)/'T4a. THg loads daily calib'!L40</f>
        <v>0.56553463110905555</v>
      </c>
      <c r="L14" s="45">
        <f>('T4a. THg loads daily calib'!M40-'T4a. THg loads daily calib'!M79)/'T4a. THg loads daily calib'!M40</f>
        <v>0.73801944111731388</v>
      </c>
      <c r="M14" s="56">
        <f>('T4a. THg loads daily calib'!N40-'T4a. THg loads daily calib'!N79)/'T4a. THg loads daily calib'!N40</f>
        <v>0.71829554789428229</v>
      </c>
      <c r="N14" s="58">
        <f>('T4a. THg loads daily calib'!T40-'T4a. THg loads daily calib'!T79)/'T4a. THg loads daily calib'!T40</f>
        <v>0.55234436856033997</v>
      </c>
      <c r="O14" s="58">
        <f>('T4a. THg loads daily calib'!U40-'T4a. THg loads daily calib'!U79)/'T4a. THg loads daily calib'!U40</f>
        <v>0.69676530161534189</v>
      </c>
      <c r="P14" s="66"/>
      <c r="Q14" s="66"/>
    </row>
    <row r="15" spans="1:17">
      <c r="A15" s="62" t="s">
        <v>128</v>
      </c>
      <c r="B15" s="45">
        <f>('T4a. THg loads daily calib'!B41-'T4a. THg loads daily calib'!B80)/'T4a. THg loads daily calib'!B41</f>
        <v>0.54146617605434466</v>
      </c>
      <c r="C15" s="56">
        <f>('T4a. THg loads daily calib'!C41-'T4a. THg loads daily calib'!C80)/'T4a. THg loads daily calib'!C41</f>
        <v>0.77553261955080288</v>
      </c>
      <c r="D15" s="45">
        <f>('T4a. THg loads daily calib'!D41-'T4a. THg loads daily calib'!D80)/'T4a. THg loads daily calib'!D41</f>
        <v>0.29359669466817545</v>
      </c>
      <c r="E15" s="58">
        <f>('T4a. THg loads daily calib'!E41-'T4a. THg loads daily calib'!E80)/'T4a. THg loads daily calib'!E41</f>
        <v>0.75420795467531165</v>
      </c>
      <c r="F15" s="58">
        <f>('T4a. THg loads daily calib'!F41-'T4a. THg loads daily calib'!F80)/'T4a. THg loads daily calib'!F41</f>
        <v>0.73216951617938064</v>
      </c>
      <c r="J15" s="45">
        <f>('T4a. THg loads daily calib'!K41-'T4a. THg loads daily calib'!K80)/'T4a. THg loads daily calib'!K41</f>
        <v>0.92167724227770698</v>
      </c>
      <c r="K15" s="56">
        <f>('T4a. THg loads daily calib'!L41-'T4a. THg loads daily calib'!L80)/'T4a. THg loads daily calib'!L41</f>
        <v>0.83317888166645038</v>
      </c>
      <c r="L15" s="45">
        <f>('T4a. THg loads daily calib'!M41-'T4a. THg loads daily calib'!M80)/'T4a. THg loads daily calib'!M41</f>
        <v>0.82278251302902961</v>
      </c>
      <c r="M15" s="56">
        <f>('T4a. THg loads daily calib'!N41-'T4a. THg loads daily calib'!N80)/'T4a. THg loads daily calib'!N41</f>
        <v>0.62254113332447381</v>
      </c>
      <c r="N15" s="58">
        <f>('T4a. THg loads daily calib'!T41-'T4a. THg loads daily calib'!T80)/'T4a. THg loads daily calib'!T41</f>
        <v>0.81397000240608497</v>
      </c>
      <c r="O15" s="58">
        <f>('T4a. THg loads daily calib'!U41-'T4a. THg loads daily calib'!U80)/'T4a. THg loads daily calib'!U41</f>
        <v>0.59202097746454496</v>
      </c>
      <c r="P15" s="66"/>
      <c r="Q15" s="66"/>
    </row>
    <row r="16" spans="1:17">
      <c r="A16" s="62" t="s">
        <v>247</v>
      </c>
      <c r="B16" s="45">
        <f>('T4a. THg loads daily calib'!B42-'T4a. THg loads daily calib'!B81)/'T4a. THg loads daily calib'!B42</f>
        <v>2.9837518463810959E-2</v>
      </c>
      <c r="C16" s="56">
        <f>('T4a. THg loads daily calib'!C42-'T4a. THg loads daily calib'!C81)/'T4a. THg loads daily calib'!C42</f>
        <v>0.71944942526604705</v>
      </c>
      <c r="D16" s="45">
        <f>('T4a. THg loads daily calib'!D42-'T4a. THg loads daily calib'!D81)/'T4a. THg loads daily calib'!D42</f>
        <v>6.6428050753477158E-2</v>
      </c>
      <c r="E16" s="58">
        <f>('T4a. THg loads daily calib'!E42-'T4a. THg loads daily calib'!E81)/'T4a. THg loads daily calib'!E42</f>
        <v>0.70965454874059619</v>
      </c>
      <c r="F16" s="58">
        <f>('T4a. THg loads daily calib'!F42-'T4a. THg loads daily calib'!F81)/'T4a. THg loads daily calib'!F42</f>
        <v>0.69521272227515762</v>
      </c>
      <c r="J16" s="45">
        <f>('T4a. THg loads daily calib'!K42-'T4a. THg loads daily calib'!K81)/'T4a. THg loads daily calib'!K42</f>
        <v>0.69558226003057988</v>
      </c>
      <c r="K16" s="56">
        <f>('T4a. THg loads daily calib'!L42-'T4a. THg loads daily calib'!L81)/'T4a. THg loads daily calib'!L42</f>
        <v>0.69326235842890394</v>
      </c>
      <c r="L16" s="45">
        <f>('T4a. THg loads daily calib'!M42-'T4a. THg loads daily calib'!M81)/'T4a. THg loads daily calib'!M42</f>
        <v>0.70679851668726812</v>
      </c>
      <c r="M16" s="56">
        <f>('T4a. THg loads daily calib'!N42-'T4a. THg loads daily calib'!N81)/'T4a. THg loads daily calib'!N42</f>
        <v>0.70620885116565846</v>
      </c>
      <c r="N16" s="58">
        <f>('T4a. THg loads daily calib'!T42-'T4a. THg loads daily calib'!T81)/'T4a. THg loads daily calib'!T42</f>
        <v>0.68280443720092565</v>
      </c>
      <c r="O16" s="58">
        <f>('T4a. THg loads daily calib'!U42-'T4a. THg loads daily calib'!U81)/'T4a. THg loads daily calib'!U42</f>
        <v>0.6864013054862167</v>
      </c>
      <c r="P16" s="66"/>
      <c r="Q16" s="66"/>
    </row>
    <row r="17" spans="1:20">
      <c r="A17" s="2" t="s">
        <v>253</v>
      </c>
      <c r="B17" s="45">
        <f>('T4a. THg loads daily calib'!B43-'T4a. THg loads daily calib'!B82)/'T4a. THg loads daily calib'!B43</f>
        <v>5.0244532338470572E-2</v>
      </c>
      <c r="C17" s="107">
        <f>('T4a. THg loads daily calib'!C43-'T4a. THg loads daily calib'!C82)/'T4a. THg loads daily calib'!C43</f>
        <v>0.67147396304745255</v>
      </c>
      <c r="D17" s="530">
        <f>('T4a. THg loads daily calib'!D43-'T4a. THg loads daily calib'!D82)/'T4a. THg loads daily calib'!D43</f>
        <v>-2.4583195656200423E-2</v>
      </c>
      <c r="E17" s="108">
        <f>('T4a. THg loads daily calib'!E43-'T4a. THg loads daily calib'!E82)/'T4a. THg loads daily calib'!E43</f>
        <v>0.65995514370919905</v>
      </c>
      <c r="F17" s="108">
        <f>('T4a. THg loads daily calib'!F43-'T4a. THg loads daily calib'!F82)/'T4a. THg loads daily calib'!F43</f>
        <v>0.62007519009516388</v>
      </c>
      <c r="H17" s="10" t="s">
        <v>26</v>
      </c>
      <c r="J17" s="109">
        <f>('T4a. THg loads daily calib'!K43-'T4a. THg loads daily calib'!K82)/'T4a. THg loads daily calib'!K43</f>
        <v>0.6896940035600978</v>
      </c>
      <c r="K17" s="107">
        <f>('T4a. THg loads daily calib'!L43-'T4a. THg loads daily calib'!L82)/'T4a. THg loads daily calib'!L43</f>
        <v>0.66279491278347813</v>
      </c>
      <c r="L17" s="109">
        <f>('T4a. THg loads daily calib'!M43-'T4a. THg loads daily calib'!M82)/'T4a. THg loads daily calib'!M43</f>
        <v>0.7337869774221355</v>
      </c>
      <c r="M17" s="107">
        <f>('T4a. THg loads daily calib'!N43-'T4a. THg loads daily calib'!N82)/'T4a. THg loads daily calib'!N43</f>
        <v>0.71007322872459266</v>
      </c>
      <c r="N17" s="108">
        <f>('T4a. THg loads daily calib'!T43-'T4a. THg loads daily calib'!T82)/'T4a. THg loads daily calib'!T43</f>
        <v>0.65026893264968511</v>
      </c>
      <c r="O17" s="108">
        <f>('T4a. THg loads daily calib'!U43-'T4a. THg loads daily calib'!U82)/'T4a. THg loads daily calib'!U43</f>
        <v>0.68974268997567856</v>
      </c>
      <c r="P17" s="66"/>
      <c r="Q17" s="66"/>
    </row>
    <row r="18" spans="1:20">
      <c r="A18" s="2" t="s">
        <v>253</v>
      </c>
      <c r="C18" s="26"/>
      <c r="D18" s="26"/>
      <c r="E18" s="26"/>
      <c r="F18" s="26"/>
      <c r="H18" s="87" t="s">
        <v>263</v>
      </c>
      <c r="J18" s="109">
        <f>('T4a. THg loads daily calib'!K44-'T4a. THg loads daily calib'!K83)/'T4a. THg loads daily calib'!K44</f>
        <v>0.68969400356009791</v>
      </c>
      <c r="K18" s="107">
        <f>('T4a. THg loads daily calib'!L44-'T4a. THg loads daily calib'!L83)/'T4a. THg loads daily calib'!L44</f>
        <v>0.67700757696315061</v>
      </c>
      <c r="L18" s="109">
        <f>('T4a. THg loads daily calib'!M44-'T4a. THg loads daily calib'!M83)/'T4a. THg loads daily calib'!M44</f>
        <v>0.7337869774221355</v>
      </c>
      <c r="M18" s="107">
        <f>('T4a. THg loads daily calib'!N44-'T4a. THg loads daily calib'!N83)/'T4a. THg loads daily calib'!N44</f>
        <v>0.72351439556013797</v>
      </c>
      <c r="N18" s="108">
        <f>('T4a. THg loads daily calib'!T44-'T4a. THg loads daily calib'!T83)/'T4a. THg loads daily calib'!T44</f>
        <v>0.66425139995749749</v>
      </c>
      <c r="O18" s="108">
        <f>('T4a. THg loads daily calib'!U44-'T4a. THg loads daily calib'!U83)/'T4a. THg loads daily calib'!U44</f>
        <v>0.70274819543642708</v>
      </c>
      <c r="P18" s="66"/>
      <c r="Q18" s="66"/>
    </row>
    <row r="19" spans="1:20">
      <c r="C19" s="26"/>
      <c r="D19" s="26"/>
      <c r="E19" s="26"/>
      <c r="F19" s="26"/>
      <c r="H19" s="10"/>
      <c r="K19" s="26"/>
      <c r="L19" s="26"/>
      <c r="M19" s="26"/>
      <c r="N19" s="26"/>
      <c r="O19" s="26"/>
      <c r="P19" s="26"/>
      <c r="Q19" s="26"/>
    </row>
    <row r="20" spans="1:20" ht="16">
      <c r="A20" s="1" t="s">
        <v>267</v>
      </c>
      <c r="C20" s="6"/>
      <c r="D20" s="6"/>
      <c r="E20" s="26"/>
      <c r="F20" s="26"/>
      <c r="H20" s="10"/>
      <c r="K20" s="26"/>
      <c r="L20" s="26"/>
      <c r="M20" s="26"/>
      <c r="N20" s="26"/>
      <c r="O20" s="26"/>
      <c r="P20" s="26"/>
      <c r="Q20" s="26"/>
    </row>
    <row r="21" spans="1:20">
      <c r="A21" s="2" t="s">
        <v>1</v>
      </c>
      <c r="B21" s="45">
        <f>('T4a. THg loads daily calib'!B33-'T4a. THg loads daily calib'!B85)/'T4a. THg loads daily calib'!B33</f>
        <v>0.16099513535218615</v>
      </c>
      <c r="C21" s="56">
        <f>('T4a. THg loads daily calib'!C33-'T4a. THg loads daily calib'!C85)/'T4a. THg loads daily calib'!C33</f>
        <v>0.6464951881194958</v>
      </c>
      <c r="D21" s="45">
        <f>('T4a. THg loads daily calib'!D33-'T4a. THg loads daily calib'!D85)/'T4a. THg loads daily calib'!D33</f>
        <v>-0.33757100965291775</v>
      </c>
      <c r="E21" s="58">
        <f>('T4a. THg loads daily calib'!E33-'T4a. THg loads daily calib'!E85)/'T4a. THg loads daily calib'!E33</f>
        <v>0.62706767680715614</v>
      </c>
      <c r="F21" s="58">
        <f>('T4a. THg loads daily calib'!F33-'T4a. THg loads daily calib'!F85)/'T4a. THg loads daily calib'!F33</f>
        <v>3.1097484701287773E-2</v>
      </c>
      <c r="H21" s="10"/>
      <c r="J21" s="45">
        <f>('T4a. THg loads daily calib'!K33-'T4a. THg loads daily calib'!K85)/'T4a. THg loads daily calib'!K33</f>
        <v>0.67968499617043721</v>
      </c>
      <c r="K21" s="56">
        <f>('T4a. THg loads daily calib'!L33-'T4a. THg loads daily calib'!L85)/'T4a. THg loads daily calib'!L33</f>
        <v>0.56616214731601844</v>
      </c>
      <c r="L21" s="45">
        <f>('T4a. THg loads daily calib'!M33-'T4a. THg loads daily calib'!M85)/'T4a. THg loads daily calib'!M33</f>
        <v>0.76662356019367828</v>
      </c>
      <c r="M21" s="56">
        <f>('T4a. THg loads daily calib'!N33-'T4a. THg loads daily calib'!N85)/'T4a. THg loads daily calib'!N33</f>
        <v>0.68391261008029436</v>
      </c>
      <c r="N21" s="53">
        <f>('T4a. THg loads daily calib'!T33-'T4a. THg loads daily calib'!T85)/'T4a. THg loads daily calib'!T33</f>
        <v>0.54920782303500559</v>
      </c>
      <c r="O21" s="53">
        <f>('T4a. THg loads daily calib'!U33-'T4a. THg loads daily calib'!U85)/'T4a. THg loads daily calib'!U33</f>
        <v>0.66648981477558666</v>
      </c>
      <c r="P21" s="66"/>
      <c r="Q21" s="66"/>
    </row>
    <row r="22" spans="1:20">
      <c r="A22" s="2" t="s">
        <v>2</v>
      </c>
      <c r="B22" s="45">
        <f>('T4a. THg loads daily calib'!B34-'T4a. THg loads daily calib'!B86)/'T4a. THg loads daily calib'!B34</f>
        <v>5.9952772717525762E-2</v>
      </c>
      <c r="C22" s="56">
        <f>('T4a. THg loads daily calib'!C34-'T4a. THg loads daily calib'!C86)/'T4a. THg loads daily calib'!C34</f>
        <v>0.64304540517477737</v>
      </c>
      <c r="D22" s="45">
        <f>('T4a. THg loads daily calib'!D34-'T4a. THg loads daily calib'!D86)/'T4a. THg loads daily calib'!D34</f>
        <v>-2.8479757750409472E-2</v>
      </c>
      <c r="E22" s="58">
        <f>('T4a. THg loads daily calib'!E34-'T4a. THg loads daily calib'!E86)/'T4a. THg loads daily calib'!E34</f>
        <v>0.6316690405782639</v>
      </c>
      <c r="F22" s="58">
        <f>('T4a. THg loads daily calib'!F34-'T4a. THg loads daily calib'!F86)/'T4a. THg loads daily calib'!F34</f>
        <v>0.29582503652803505</v>
      </c>
      <c r="H22" s="10"/>
      <c r="J22" s="45">
        <f>('T4a. THg loads daily calib'!K34-'T4a. THg loads daily calib'!K86)/'T4a. THg loads daily calib'!K34</f>
        <v>0.65258796778261086</v>
      </c>
      <c r="K22" s="56">
        <f>('T4a. THg loads daily calib'!L34-'T4a. THg loads daily calib'!L86)/'T4a. THg loads daily calib'!L34</f>
        <v>0.62219365746742072</v>
      </c>
      <c r="L22" s="45">
        <f>('T4a. THg loads daily calib'!M34-'T4a. THg loads daily calib'!M86)/'T4a. THg loads daily calib'!M34</f>
        <v>0.76657824933687002</v>
      </c>
      <c r="M22" s="56">
        <f>('T4a. THg loads daily calib'!N34-'T4a. THg loads daily calib'!N86)/'T4a. THg loads daily calib'!N34</f>
        <v>0.7461566966385148</v>
      </c>
      <c r="N22" s="53">
        <f>('T4a. THg loads daily calib'!T34-'T4a. THg loads daily calib'!T86)/'T4a. THg loads daily calib'!T34</f>
        <v>0.60966932823784326</v>
      </c>
      <c r="O22" s="53">
        <f>('T4a. THg loads daily calib'!U34-'T4a. THg loads daily calib'!U86)/'T4a. THg loads daily calib'!U34</f>
        <v>0.71734655008257631</v>
      </c>
      <c r="P22" s="66"/>
      <c r="Q22" s="66"/>
    </row>
    <row r="23" spans="1:20">
      <c r="A23" s="2" t="s">
        <v>3</v>
      </c>
      <c r="B23" s="45">
        <f>('T4a. THg loads daily calib'!B35-'T4a. THg loads daily calib'!B87)/'T4a. THg loads daily calib'!B35</f>
        <v>0.40089989822283467</v>
      </c>
      <c r="C23" s="56">
        <f>('T4a. THg loads daily calib'!C35-'T4a. THg loads daily calib'!C87)/'T4a. THg loads daily calib'!C35</f>
        <v>0.47618469277895403</v>
      </c>
      <c r="D23" s="45">
        <f>('T4a. THg loads daily calib'!D35-'T4a. THg loads daily calib'!D87)/'T4a. THg loads daily calib'!D35</f>
        <v>0.18047839465866605</v>
      </c>
      <c r="E23" s="58">
        <f>('T4a. THg loads daily calib'!E35-'T4a. THg loads daily calib'!E87)/'T4a. THg loads daily calib'!E35</f>
        <v>0.44603534291185098</v>
      </c>
      <c r="F23" s="58">
        <f>('T4a. THg loads daily calib'!F35-'T4a. THg loads daily calib'!F87)/'T4a. THg loads daily calib'!F35</f>
        <v>0.34804009984833317</v>
      </c>
      <c r="H23" s="10"/>
      <c r="J23" s="45">
        <f>('T4a. THg loads daily calib'!K35-'T4a. THg loads daily calib'!K87)/'T4a. THg loads daily calib'!K35</f>
        <v>0.59907582219603095</v>
      </c>
      <c r="K23" s="56">
        <f>('T4a. THg loads daily calib'!L35-'T4a. THg loads daily calib'!L87)/'T4a. THg loads daily calib'!L35</f>
        <v>0.50813718602208313</v>
      </c>
      <c r="L23" s="45">
        <f>('T4a. THg loads daily calib'!M35-'T4a. THg loads daily calib'!M87)/'T4a. THg loads daily calib'!M35</f>
        <v>0.71392649903288208</v>
      </c>
      <c r="M23" s="56">
        <f>('T4a. THg loads daily calib'!N35-'T4a. THg loads daily calib'!N87)/'T4a. THg loads daily calib'!N35</f>
        <v>0.64903858390151692</v>
      </c>
      <c r="N23" s="53">
        <f>('T4a. THg loads daily calib'!T35-'T4a. THg loads daily calib'!T87)/'T4a. THg loads daily calib'!T35</f>
        <v>0.47859186378165114</v>
      </c>
      <c r="O23" s="53">
        <f>('T4a. THg loads daily calib'!U35-'T4a. THg loads daily calib'!U87)/'T4a. THg loads daily calib'!U35</f>
        <v>0.60341745044878914</v>
      </c>
      <c r="P23" s="66"/>
      <c r="Q23" s="66"/>
    </row>
    <row r="24" spans="1:20">
      <c r="A24" s="2" t="s">
        <v>4</v>
      </c>
      <c r="B24" s="45">
        <f>('T4a. THg loads daily calib'!B36-'T4a. THg loads daily calib'!B88)/'T4a. THg loads daily calib'!B36</f>
        <v>0.12494872291175736</v>
      </c>
      <c r="C24" s="56">
        <f>('T4a. THg loads daily calib'!C36-'T4a. THg loads daily calib'!C88)/'T4a. THg loads daily calib'!C36</f>
        <v>0.65117555671890592</v>
      </c>
      <c r="D24" s="45">
        <f>('T4a. THg loads daily calib'!D36-'T4a. THg loads daily calib'!D88)/'T4a. THg loads daily calib'!D36</f>
        <v>0.30784836979610053</v>
      </c>
      <c r="E24" s="58">
        <f>('T4a. THg loads daily calib'!E36-'T4a. THg loads daily calib'!E88)/'T4a. THg loads daily calib'!E36</f>
        <v>0.63751934293593759</v>
      </c>
      <c r="F24" s="58">
        <f>('T4a. THg loads daily calib'!F36-'T4a. THg loads daily calib'!F88)/'T4a. THg loads daily calib'!F36</f>
        <v>0.61786742515440374</v>
      </c>
      <c r="H24" s="10"/>
      <c r="J24" s="45">
        <f>('T4a. THg loads daily calib'!K36-'T4a. THg loads daily calib'!K88)/'T4a. THg loads daily calib'!K36</f>
        <v>0.68766969332791483</v>
      </c>
      <c r="K24" s="56">
        <f>('T4a. THg loads daily calib'!L36-'T4a. THg loads daily calib'!L88)/'T4a. THg loads daily calib'!L36</f>
        <v>0.66669098180651443</v>
      </c>
      <c r="L24" s="45">
        <f>('T4a. THg loads daily calib'!M36-'T4a. THg loads daily calib'!M88)/'T4a. THg loads daily calib'!M36</f>
        <v>0.47344462993878689</v>
      </c>
      <c r="M24" s="56">
        <f>('T4a. THg loads daily calib'!N36-'T4a. THg loads daily calib'!N88)/'T4a. THg loads daily calib'!N36</f>
        <v>0.43807677426618308</v>
      </c>
      <c r="N24" s="53">
        <f>('T4a. THg loads daily calib'!T36-'T4a. THg loads daily calib'!T88)/'T4a. THg loads daily calib'!T36</f>
        <v>0.65305104619088095</v>
      </c>
      <c r="O24" s="53">
        <f>('T4a. THg loads daily calib'!U36-'T4a. THg loads daily calib'!U88)/'T4a. THg loads daily calib'!U36</f>
        <v>0.43261789628901748</v>
      </c>
      <c r="P24" s="66"/>
      <c r="Q24" s="66"/>
      <c r="S24" s="60"/>
      <c r="T24" s="60"/>
    </row>
    <row r="25" spans="1:20">
      <c r="A25" s="2" t="s">
        <v>5</v>
      </c>
      <c r="B25" s="45">
        <f>('T4a. THg loads daily calib'!B37-'T4a. THg loads daily calib'!B89)/'T4a. THg loads daily calib'!B37</f>
        <v>0.78388578666666664</v>
      </c>
      <c r="C25" s="56">
        <f>('T4a. THg loads daily calib'!C37-'T4a. THg loads daily calib'!C89)/'T4a. THg loads daily calib'!C37</f>
        <v>0.89835808707722142</v>
      </c>
      <c r="D25" s="45">
        <f>('T4a. THg loads daily calib'!D37-'T4a. THg loads daily calib'!D89)/'T4a. THg loads daily calib'!D37</f>
        <v>0.84447177354946612</v>
      </c>
      <c r="E25" s="58">
        <f>('T4a. THg loads daily calib'!E37-'T4a. THg loads daily calib'!E89)/'T4a. THg loads daily calib'!E37</f>
        <v>0.88232256063977166</v>
      </c>
      <c r="F25" s="58">
        <f>('T4a. THg loads daily calib'!F37-'T4a. THg loads daily calib'!F89)/'T4a. THg loads daily calib'!F37</f>
        <v>0.9340020260339349</v>
      </c>
      <c r="H25" s="10"/>
      <c r="J25" s="45">
        <f>('T4a. THg loads daily calib'!K37-'T4a. THg loads daily calib'!K89)/'T4a. THg loads daily calib'!K37</f>
        <v>0.93883363484291982</v>
      </c>
      <c r="K25" s="56">
        <f>('T4a. THg loads daily calib'!L37-'T4a. THg loads daily calib'!L89)/'T4a. THg loads daily calib'!L37</f>
        <v>1</v>
      </c>
      <c r="L25" s="45">
        <f>('T4a. THg loads daily calib'!M37-'T4a. THg loads daily calib'!M89)/'T4a. THg loads daily calib'!M37</f>
        <v>0.9</v>
      </c>
      <c r="M25" s="56">
        <f>('T4a. THg loads daily calib'!N37-'T4a. THg loads daily calib'!N89)/'T4a. THg loads daily calib'!N37</f>
        <v>1</v>
      </c>
      <c r="N25" s="53">
        <f>('T4a. THg loads daily calib'!T37-'T4a. THg loads daily calib'!T89)/'T4a. THg loads daily calib'!T37</f>
        <v>0.95275120552527259</v>
      </c>
      <c r="O25" s="53">
        <f>('T4a. THg loads daily calib'!U37-'T4a. THg loads daily calib'!U89)/'T4a. THg loads daily calib'!U37</f>
        <v>0.94354213691336708</v>
      </c>
      <c r="P25" s="66"/>
      <c r="Q25" s="66"/>
      <c r="S25" s="60"/>
      <c r="T25" s="60"/>
    </row>
    <row r="26" spans="1:20">
      <c r="A26" s="2" t="s">
        <v>88</v>
      </c>
      <c r="B26" s="45">
        <f>('T4a. THg loads daily calib'!B38-'T4a. THg loads daily calib'!B90)/'T4a. THg loads daily calib'!B38</f>
        <v>2.6121353860465067E-2</v>
      </c>
      <c r="C26" s="56">
        <f>('T4a. THg loads daily calib'!C38-'T4a. THg loads daily calib'!C90)/'T4a. THg loads daily calib'!C38</f>
        <v>0.73161546255362386</v>
      </c>
      <c r="D26" s="45">
        <f>('T4a. THg loads daily calib'!D38-'T4a. THg loads daily calib'!D90)/'T4a. THg loads daily calib'!D38</f>
        <v>0.55087282633107648</v>
      </c>
      <c r="E26" s="58">
        <f>('T4a. THg loads daily calib'!E38-'T4a. THg loads daily calib'!E90)/'T4a. THg loads daily calib'!E38</f>
        <v>0.7231587577904337</v>
      </c>
      <c r="F26" s="58">
        <f>('T4a. THg loads daily calib'!F38-'T4a. THg loads daily calib'!F90)/'T4a. THg loads daily calib'!F38</f>
        <v>0.83277576767124561</v>
      </c>
      <c r="H26" s="10"/>
      <c r="J26" s="45">
        <f>('T4a. THg loads daily calib'!K38-'T4a. THg loads daily calib'!K90)/'T4a. THg loads daily calib'!K38</f>
        <v>0.7636095868275975</v>
      </c>
      <c r="K26" s="56">
        <f>('T4a. THg loads daily calib'!L38-'T4a. THg loads daily calib'!L90)/'T4a. THg loads daily calib'!L38</f>
        <v>0.71392028332450652</v>
      </c>
      <c r="L26" s="45">
        <f>('T4a. THg loads daily calib'!M38-'T4a. THg loads daily calib'!M90)/'T4a. THg loads daily calib'!M38</f>
        <v>0.73529411764705888</v>
      </c>
      <c r="M26" s="56">
        <f>('T4a. THg loads daily calib'!N38-'T4a. THg loads daily calib'!N90)/'T4a. THg loads daily calib'!N38</f>
        <v>0.67965289789211003</v>
      </c>
      <c r="N26" s="53">
        <f>('T4a. THg loads daily calib'!T38-'T4a. THg loads daily calib'!T90)/'T4a. THg loads daily calib'!T38</f>
        <v>0.70780709925106255</v>
      </c>
      <c r="O26" s="53">
        <f>('T4a. THg loads daily calib'!U38-'T4a. THg loads daily calib'!U90)/'T4a. THg loads daily calib'!U38</f>
        <v>0.67503038575397467</v>
      </c>
      <c r="P26" s="66"/>
      <c r="Q26" s="66"/>
      <c r="S26" s="60"/>
      <c r="T26" s="60"/>
    </row>
    <row r="27" spans="1:20">
      <c r="A27" s="2" t="s">
        <v>95</v>
      </c>
      <c r="B27" s="45">
        <f>('T4a. THg loads daily calib'!B39-'T4a. THg loads daily calib'!B91)/'T4a. THg loads daily calib'!B39</f>
        <v>0.19589577286993956</v>
      </c>
      <c r="C27" s="56">
        <f>('T4a. THg loads daily calib'!C39-'T4a. THg loads daily calib'!C91)/'T4a. THg loads daily calib'!C39</f>
        <v>0.74987457336839236</v>
      </c>
      <c r="D27" s="45">
        <f>('T4a. THg loads daily calib'!D39-'T4a. THg loads daily calib'!D91)/'T4a. THg loads daily calib'!D39</f>
        <v>0.25716302738921187</v>
      </c>
      <c r="E27" s="58">
        <f>('T4a. THg loads daily calib'!E39-'T4a. THg loads daily calib'!E91)/'T4a. THg loads daily calib'!E39</f>
        <v>0.73798170414479103</v>
      </c>
      <c r="F27" s="58">
        <f>('T4a. THg loads daily calib'!F39-'T4a. THg loads daily calib'!F91)/'T4a. THg loads daily calib'!F39</f>
        <v>0.7422457089636233</v>
      </c>
      <c r="H27" s="10"/>
      <c r="J27" s="45">
        <f>('T4a. THg loads daily calib'!K39-'T4a. THg loads daily calib'!K91)/'T4a. THg loads daily calib'!K39</f>
        <v>0.79658609724556495</v>
      </c>
      <c r="K27" s="56">
        <f>('T4a. THg loads daily calib'!L39-'T4a. THg loads daily calib'!L91)/'T4a. THg loads daily calib'!L39</f>
        <v>0.7378483736617496</v>
      </c>
      <c r="L27" s="45">
        <f>('T4a. THg loads daily calib'!M39-'T4a. THg loads daily calib'!M91)/'T4a. THg loads daily calib'!M39</f>
        <v>0.85225500980132463</v>
      </c>
      <c r="M27" s="56">
        <f>('T4a. THg loads daily calib'!N39-'T4a. THg loads daily calib'!N91)/'T4a. THg loads daily calib'!N39</f>
        <v>0.80959222088831806</v>
      </c>
      <c r="N27" s="53">
        <f>('T4a. THg loads daily calib'!T39-'T4a. THg loads daily calib'!T91)/'T4a. THg loads daily calib'!T39</f>
        <v>0.72251725165804315</v>
      </c>
      <c r="O27" s="53">
        <f>('T4a. THg loads daily calib'!U39-'T4a. THg loads daily calib'!U91)/'T4a. THg loads daily calib'!U39</f>
        <v>0.78869839361108052</v>
      </c>
      <c r="P27" s="66"/>
      <c r="Q27" s="66"/>
      <c r="S27" s="60"/>
      <c r="T27" s="60"/>
    </row>
    <row r="28" spans="1:20">
      <c r="A28" s="2" t="s">
        <v>125</v>
      </c>
      <c r="B28" s="45">
        <f>('T4a. THg loads daily calib'!B40-'T4a. THg loads daily calib'!B92)/'T4a. THg loads daily calib'!B40</f>
        <v>-8.2155392277906553E-3</v>
      </c>
      <c r="C28" s="56">
        <f>('T4a. THg loads daily calib'!C40-'T4a. THg loads daily calib'!C92)/'T4a. THg loads daily calib'!C40</f>
        <v>0.57986616834850691</v>
      </c>
      <c r="D28" s="45">
        <f>('T4a. THg loads daily calib'!D40-'T4a. THg loads daily calib'!D92)/'T4a. THg loads daily calib'!D40</f>
        <v>-0.34907607652797484</v>
      </c>
      <c r="E28" s="58">
        <f>('T4a. THg loads daily calib'!E40-'T4a. THg loads daily calib'!E92)/'T4a. THg loads daily calib'!E40</f>
        <v>0.5674389387287071</v>
      </c>
      <c r="F28" s="58">
        <f>('T4a. THg loads daily calib'!F40-'T4a. THg loads daily calib'!F92)/'T4a. THg loads daily calib'!F40</f>
        <v>0.56758860964053925</v>
      </c>
      <c r="H28" s="10"/>
      <c r="J28" s="45">
        <f>('T4a. THg loads daily calib'!K40-'T4a. THg loads daily calib'!K92)/'T4a. THg loads daily calib'!K40</f>
        <v>0.51870181330883391</v>
      </c>
      <c r="K28" s="56">
        <f>('T4a. THg loads daily calib'!L40-'T4a. THg loads daily calib'!L92)/'T4a. THg loads daily calib'!L40</f>
        <v>0.48187651022227995</v>
      </c>
      <c r="L28" s="45">
        <f>('T4a. THg loads daily calib'!M40-'T4a. THg loads daily calib'!M92)/'T4a. THg loads daily calib'!M40</f>
        <v>0.73808084971718413</v>
      </c>
      <c r="M28" s="56">
        <f>('T4a. THg loads daily calib'!N40-'T4a. THg loads daily calib'!N92)/'T4a. THg loads daily calib'!N40</f>
        <v>0.71804077402180977</v>
      </c>
      <c r="N28" s="53">
        <f>('T4a. THg loads daily calib'!T40-'T4a. THg loads daily calib'!T92)/'T4a. THg loads daily calib'!T40</f>
        <v>0.46952907970560603</v>
      </c>
      <c r="O28" s="53">
        <f>('T4a. THg loads daily calib'!U40-'T4a. THg loads daily calib'!U92)/'T4a. THg loads daily calib'!U40</f>
        <v>0.69595836736241956</v>
      </c>
      <c r="P28" s="66"/>
      <c r="Q28" s="66"/>
      <c r="S28" s="60"/>
      <c r="T28" s="60"/>
    </row>
    <row r="29" spans="1:20">
      <c r="A29" s="62" t="s">
        <v>128</v>
      </c>
      <c r="B29" s="45">
        <f>('T4a. THg loads daily calib'!B41-'T4a. THg loads daily calib'!B93)/'T4a. THg loads daily calib'!B41</f>
        <v>0.54146617605434466</v>
      </c>
      <c r="C29" s="56">
        <f>('T4a. THg loads daily calib'!C41-'T4a. THg loads daily calib'!C93)/'T4a. THg loads daily calib'!C41</f>
        <v>0.78786392537222516</v>
      </c>
      <c r="D29" s="45">
        <f>('T4a. THg loads daily calib'!D41-'T4a. THg loads daily calib'!D93)/'T4a. THg loads daily calib'!D41</f>
        <v>4.3541433189120307E-2</v>
      </c>
      <c r="E29" s="58">
        <f>('T4a. THg loads daily calib'!E41-'T4a. THg loads daily calib'!E93)/'T4a. THg loads daily calib'!E41</f>
        <v>0.75492919922795454</v>
      </c>
      <c r="F29" s="58">
        <f>('T4a. THg loads daily calib'!F41-'T4a. THg loads daily calib'!F93)/'T4a. THg loads daily calib'!F41</f>
        <v>0.75111575404324837</v>
      </c>
      <c r="H29" s="10"/>
      <c r="J29" s="45">
        <f>('T4a. THg loads daily calib'!K41-'T4a. THg loads daily calib'!K93)/'T4a. THg loads daily calib'!K41</f>
        <v>0.92149421771118389</v>
      </c>
      <c r="K29" s="56">
        <f>('T4a. THg loads daily calib'!L41-'T4a. THg loads daily calib'!L93)/'T4a. THg loads daily calib'!L41</f>
        <v>0.8327890541915528</v>
      </c>
      <c r="L29" s="45">
        <f>('T4a. THg loads daily calib'!M41-'T4a. THg loads daily calib'!M93)/'T4a. THg loads daily calib'!M41</f>
        <v>0.82278251302902961</v>
      </c>
      <c r="M29" s="56">
        <f>('T4a. THg loads daily calib'!N41-'T4a. THg loads daily calib'!N93)/'T4a. THg loads daily calib'!N41</f>
        <v>0.62254113332447381</v>
      </c>
      <c r="N29" s="53">
        <f>('T4a. THg loads daily calib'!T41-'T4a. THg loads daily calib'!T93)/'T4a. THg loads daily calib'!T41</f>
        <v>0.80469219958131188</v>
      </c>
      <c r="O29" s="53">
        <f>('T4a. THg loads daily calib'!U41-'T4a. THg loads daily calib'!U93)/'T4a. THg loads daily calib'!U41</f>
        <v>0.56882032514432102</v>
      </c>
      <c r="P29" s="66"/>
      <c r="Q29" s="66"/>
      <c r="S29" s="60"/>
      <c r="T29" s="60"/>
    </row>
    <row r="30" spans="1:20">
      <c r="A30" s="62" t="s">
        <v>247</v>
      </c>
      <c r="B30" s="45">
        <f>('T4a. THg loads daily calib'!B42-'T4a. THg loads daily calib'!B94)/'T4a. THg loads daily calib'!B42</f>
        <v>2.9837518463810959E-2</v>
      </c>
      <c r="C30" s="56">
        <f>('T4a. THg loads daily calib'!C42-'T4a. THg loads daily calib'!C94)/'T4a. THg loads daily calib'!C42</f>
        <v>0.68023240536585661</v>
      </c>
      <c r="D30" s="45">
        <f>('T4a. THg loads daily calib'!D42-'T4a. THg loads daily calib'!D94)/'T4a. THg loads daily calib'!D42</f>
        <v>3.7209110317516156E-2</v>
      </c>
      <c r="E30" s="58">
        <f>('T4a. THg loads daily calib'!E42-'T4a. THg loads daily calib'!E94)/'T4a. THg loads daily calib'!E42</f>
        <v>0.67058749323309785</v>
      </c>
      <c r="F30" s="58">
        <f>('T4a. THg loads daily calib'!F42-'T4a. THg loads daily calib'!F94)/'T4a. THg loads daily calib'!F42</f>
        <v>0.66148741380483977</v>
      </c>
      <c r="H30" s="10"/>
      <c r="J30" s="45">
        <f>('T4a. THg loads daily calib'!K42-'T4a. THg loads daily calib'!K94)/'T4a. THg loads daily calib'!K42</f>
        <v>0.63327209175481602</v>
      </c>
      <c r="K30" s="56">
        <f>('T4a. THg loads daily calib'!L42-'T4a. THg loads daily calib'!L94)/'T4a. THg loads daily calib'!L42</f>
        <v>0.63275003175505773</v>
      </c>
      <c r="L30" s="45">
        <f>('T4a. THg loads daily calib'!M42-'T4a. THg loads daily calib'!M94)/'T4a. THg loads daily calib'!M42</f>
        <v>0.70705445571535397</v>
      </c>
      <c r="M30" s="56">
        <f>('T4a. THg loads daily calib'!N42-'T4a. THg loads daily calib'!N94)/'T4a. THg loads daily calib'!N42</f>
        <v>0.70663742950234976</v>
      </c>
      <c r="N30" s="53">
        <f>('T4a. THg loads daily calib'!T42-'T4a. THg loads daily calib'!T94)/'T4a. THg loads daily calib'!T42</f>
        <v>0.62281420027906842</v>
      </c>
      <c r="O30" s="53">
        <f>('T4a. THg loads daily calib'!U42-'T4a. THg loads daily calib'!U94)/'T4a. THg loads daily calib'!U42</f>
        <v>0.68591199978826189</v>
      </c>
      <c r="P30" s="66"/>
      <c r="Q30" s="66"/>
      <c r="S30" s="60"/>
      <c r="T30" s="60"/>
    </row>
    <row r="31" spans="1:20">
      <c r="A31" s="2" t="s">
        <v>253</v>
      </c>
      <c r="B31" s="45">
        <f>('T4a. THg loads daily calib'!B43-'T4a. THg loads daily calib'!B95)/'T4a. THg loads daily calib'!B43</f>
        <v>5.0244532338470572E-2</v>
      </c>
      <c r="C31" s="107">
        <f>('T4a. THg loads daily calib'!C43-'T4a. THg loads daily calib'!C95)/'T4a. THg loads daily calib'!C43</f>
        <v>0.63828576611652299</v>
      </c>
      <c r="D31" s="530">
        <f>('T4a. THg loads daily calib'!D43-'T4a. THg loads daily calib'!D95)/'T4a. THg loads daily calib'!D43</f>
        <v>-4.8085828733433138E-2</v>
      </c>
      <c r="E31" s="58">
        <f>('T4a. THg loads daily calib'!E43-'T4a. THg loads daily calib'!E95)/'T4a. THg loads daily calib'!E43</f>
        <v>0.6269272299659715</v>
      </c>
      <c r="F31" s="58">
        <f>('T4a. THg loads daily calib'!F43-'T4a. THg loads daily calib'!F95)/'T4a. THg loads daily calib'!F43</f>
        <v>0.58804083429764242</v>
      </c>
      <c r="H31" s="10"/>
      <c r="J31" s="109">
        <f>('T4a. THg loads daily calib'!K43-'T4a. THg loads daily calib'!K95)/'T4a. THg loads daily calib'!K43</f>
        <v>0.60929800397672285</v>
      </c>
      <c r="K31" s="107">
        <f>('T4a. THg loads daily calib'!L43-'T4a. THg loads daily calib'!L95)/'T4a. THg loads daily calib'!L43</f>
        <v>0.5786308119703194</v>
      </c>
      <c r="L31" s="109">
        <f>('T4a. THg loads daily calib'!M43-'T4a. THg loads daily calib'!M95)/'T4a. THg loads daily calib'!M43</f>
        <v>0.73388205431849385</v>
      </c>
      <c r="M31" s="107">
        <f>('T4a. THg loads daily calib'!N43-'T4a. THg loads daily calib'!N95)/'T4a. THg loads daily calib'!N43</f>
        <v>0.70843283024547155</v>
      </c>
      <c r="N31" s="108">
        <f>('T4a. THg loads daily calib'!T43-'T4a. THg loads daily calib'!T95)/'T4a. THg loads daily calib'!T43</f>
        <v>0.56721025595524288</v>
      </c>
      <c r="O31" s="108">
        <f>('T4a. THg loads daily calib'!U43-'T4a. THg loads daily calib'!U95)/'T4a. THg loads daily calib'!U43</f>
        <v>0.68749728622758499</v>
      </c>
      <c r="P31" s="66"/>
      <c r="Q31" s="66"/>
    </row>
    <row r="32" spans="1:20">
      <c r="A32" s="2" t="s">
        <v>253</v>
      </c>
      <c r="H32" s="87" t="s">
        <v>263</v>
      </c>
      <c r="J32" s="109">
        <f>('T4a. THg loads daily calib'!K44-'T4a. THg loads daily calib'!K96)/'T4a. THg loads daily calib'!K44</f>
        <v>0.60929800397672285</v>
      </c>
      <c r="K32" s="107">
        <f>('T4a. THg loads daily calib'!L44-'T4a. THg loads daily calib'!L96)/'T4a. THg loads daily calib'!L44</f>
        <v>0.57333380350596075</v>
      </c>
      <c r="L32" s="109">
        <f>('T4a. THg loads daily calib'!M44-'T4a. THg loads daily calib'!M96)/'T4a. THg loads daily calib'!M44</f>
        <v>0.73388205431849385</v>
      </c>
      <c r="M32" s="107">
        <f>('T4a. THg loads daily calib'!N44-'T4a. THg loads daily calib'!N96)/'T4a. THg loads daily calib'!N44</f>
        <v>0.70938584174530084</v>
      </c>
      <c r="N32" s="108">
        <f>('T4a. THg loads daily calib'!T44-'T4a. THg loads daily calib'!T96)/'T4a. THg loads daily calib'!T44</f>
        <v>0.56203528144296544</v>
      </c>
      <c r="O32" s="108">
        <f>('T4a. THg loads daily calib'!U44-'T4a. THg loads daily calib'!U96)/'T4a. THg loads daily calib'!U44</f>
        <v>0.68835942957409235</v>
      </c>
      <c r="P32" s="66"/>
      <c r="Q32" s="66"/>
    </row>
    <row r="33" spans="1:17">
      <c r="N33" s="26"/>
      <c r="O33" s="26"/>
      <c r="P33" s="26"/>
      <c r="Q33" s="26"/>
    </row>
    <row r="35" spans="1:17">
      <c r="E35" s="2"/>
      <c r="F35" s="2"/>
      <c r="G35" s="2"/>
      <c r="H35" s="3" t="s">
        <v>34</v>
      </c>
      <c r="I35" s="2"/>
      <c r="J35" s="3" t="s">
        <v>91</v>
      </c>
      <c r="K35" s="3" t="s">
        <v>90</v>
      </c>
      <c r="M35" s="5" t="s">
        <v>285</v>
      </c>
    </row>
    <row r="36" spans="1:17">
      <c r="E36" s="620" t="s">
        <v>89</v>
      </c>
      <c r="F36" s="621"/>
      <c r="G36" s="110"/>
      <c r="H36" s="111">
        <v>8</v>
      </c>
      <c r="I36" s="110"/>
      <c r="J36" s="112">
        <f>AVERAGE(J17:J18,J31:J32,L17:L18,L31:L32)</f>
        <v>0.69166525981936255</v>
      </c>
      <c r="K36" s="109">
        <f>STDEV(J17,J18,J31,J32,L17:L18,L31:L32)</f>
        <v>5.4365817826687993E-2</v>
      </c>
      <c r="M36" s="112">
        <f>('T4a. THg loads daily calib'!AD45-'T4a. THg loads daily calib'!AD100)/'T4a. THg loads daily calib'!AD45</f>
        <v>0.68267704214642833</v>
      </c>
    </row>
    <row r="37" spans="1:17">
      <c r="E37" s="622" t="s">
        <v>92</v>
      </c>
      <c r="F37" s="623"/>
      <c r="G37" s="113"/>
      <c r="H37" s="114">
        <v>10</v>
      </c>
      <c r="I37" s="113"/>
      <c r="J37" s="115">
        <f>AVERAGE(C17,K17,M17,K18,M18,C31,K31,M31,K32,M32)</f>
        <v>0.66529331306623873</v>
      </c>
      <c r="K37" s="107">
        <f>STDEV(C17,K17,K18,M17,M18,C31,K31,K32,M31,M32)</f>
        <v>5.3829069825719632E-2</v>
      </c>
      <c r="M37" s="115">
        <f>('T4a. THg loads daily calib'!X45-'T4a. THg loads daily calib'!X100)/'T4a. THg loads daily calib'!X45</f>
        <v>0.65749849832472718</v>
      </c>
    </row>
    <row r="38" spans="1:17">
      <c r="E38" s="624" t="s">
        <v>93</v>
      </c>
      <c r="F38" s="625"/>
      <c r="G38" s="116"/>
      <c r="H38" s="104">
        <v>12</v>
      </c>
      <c r="I38" s="116"/>
      <c r="J38" s="117">
        <f>AVERAGE(E17,F17,E31,F31,N17:O18,N31:O32)</f>
        <v>0.6422593224405958</v>
      </c>
      <c r="K38" s="108">
        <f>STDEV(E17,F17,E31,F31,N17:O18,N31:O32)</f>
        <v>4.9250128741928384E-2</v>
      </c>
      <c r="M38" s="108">
        <f>('T4a. THg loads daily calib'!Z45-'T4a. THg loads daily calib'!Z100)/'T4a. THg loads daily calib'!Z45</f>
        <v>0.63618229615445321</v>
      </c>
    </row>
    <row r="39" spans="1:17">
      <c r="E39" s="531" t="s">
        <v>313</v>
      </c>
      <c r="F39" s="529"/>
      <c r="G39" s="454"/>
      <c r="H39" s="453">
        <v>2</v>
      </c>
      <c r="I39" s="454"/>
      <c r="J39" s="530">
        <f>AVERAGE(D17,D31)</f>
        <v>-3.633451219481678E-2</v>
      </c>
      <c r="K39" s="530">
        <f>STDEV(D17,D31)</f>
        <v>1.6618871224650507E-2</v>
      </c>
      <c r="L39" s="46"/>
      <c r="M39" s="532">
        <f>J39</f>
        <v>-3.633451219481678E-2</v>
      </c>
    </row>
    <row r="42" spans="1:17" ht="19">
      <c r="A42" s="542" t="s">
        <v>328</v>
      </c>
      <c r="B42" s="526"/>
      <c r="C42" s="526"/>
      <c r="D42" s="526"/>
      <c r="E42" s="526"/>
      <c r="F42" s="526"/>
      <c r="G42" s="526"/>
      <c r="H42" s="526"/>
      <c r="I42" s="526"/>
      <c r="J42" s="526"/>
      <c r="K42" s="526"/>
      <c r="L42" s="526"/>
      <c r="M42" s="526"/>
      <c r="N42" s="526"/>
      <c r="O42" s="526"/>
    </row>
    <row r="43" spans="1:17">
      <c r="B43" s="42" t="s">
        <v>27</v>
      </c>
      <c r="C43" s="55" t="s">
        <v>56</v>
      </c>
      <c r="D43" s="525" t="s">
        <v>57</v>
      </c>
      <c r="E43" s="57" t="s">
        <v>58</v>
      </c>
      <c r="F43" s="57" t="s">
        <v>59</v>
      </c>
      <c r="G43" s="43"/>
      <c r="H43" s="528"/>
      <c r="I43" s="528"/>
      <c r="J43" s="525" t="s">
        <v>16</v>
      </c>
      <c r="K43" s="55" t="s">
        <v>60</v>
      </c>
      <c r="L43" s="525" t="s">
        <v>17</v>
      </c>
      <c r="M43" s="55" t="s">
        <v>61</v>
      </c>
      <c r="N43" s="40" t="s">
        <v>68</v>
      </c>
      <c r="O43" s="40" t="s">
        <v>69</v>
      </c>
    </row>
    <row r="44" spans="1:17">
      <c r="B44" s="525" t="s">
        <v>37</v>
      </c>
      <c r="C44" s="55" t="s">
        <v>37</v>
      </c>
      <c r="D44" s="525" t="s">
        <v>37</v>
      </c>
      <c r="E44" s="57" t="s">
        <v>37</v>
      </c>
      <c r="F44" s="57" t="s">
        <v>37</v>
      </c>
      <c r="G44" s="43"/>
      <c r="H44" s="528"/>
      <c r="I44" s="528"/>
      <c r="J44" s="525" t="s">
        <v>37</v>
      </c>
      <c r="K44" s="55" t="s">
        <v>37</v>
      </c>
      <c r="L44" s="525" t="s">
        <v>37</v>
      </c>
      <c r="M44" s="55" t="s">
        <v>37</v>
      </c>
      <c r="N44" s="525" t="s">
        <v>37</v>
      </c>
      <c r="O44" s="525" t="s">
        <v>37</v>
      </c>
    </row>
    <row r="45" spans="1:17" ht="16">
      <c r="A45" s="1" t="s">
        <v>266</v>
      </c>
      <c r="C45" s="6"/>
      <c r="D45" s="6"/>
      <c r="E45" s="26"/>
      <c r="F45" s="26"/>
      <c r="G45" s="26"/>
      <c r="H45" s="27"/>
      <c r="I45" s="26"/>
      <c r="J45" s="26"/>
      <c r="K45" s="26"/>
      <c r="L45" s="26"/>
      <c r="M45" s="26"/>
      <c r="N45" s="26"/>
      <c r="O45" s="26"/>
    </row>
    <row r="46" spans="1:17">
      <c r="A46" s="2" t="s">
        <v>1</v>
      </c>
      <c r="B46" s="45">
        <f>('T4b, THg loads inst calib'!B33-'T4b, THg loads inst calib'!B72)/'T4b, THg loads inst calib'!B33</f>
        <v>0.16099513535218615</v>
      </c>
      <c r="C46" s="56">
        <f>('T4b, THg loads inst calib'!C33-'T4b, THg loads inst calib'!C72)/'T4b, THg loads inst calib'!C33</f>
        <v>0.70486284792639076</v>
      </c>
      <c r="D46" s="45">
        <f>('T4b, THg loads inst calib'!D33-'T4b, THg loads inst calib'!D72)/'T4b, THg loads inst calib'!D33</f>
        <v>-5.5972391572442631E-2</v>
      </c>
      <c r="E46" s="58">
        <f>('T4b, THg loads inst calib'!E33-'T4b, THg loads inst calib'!E72)/'T4b, THg loads inst calib'!E33</f>
        <v>0.68779625775765663</v>
      </c>
      <c r="F46" s="58">
        <f>('T4b, THg loads inst calib'!F33-'T4b, THg loads inst calib'!F72)/'T4b, THg loads inst calib'!F33</f>
        <v>0.66170815986002507</v>
      </c>
      <c r="J46" s="45">
        <f>('T4b, THg loads inst calib'!K33-'T4b, THg loads inst calib'!K72)/'T4b, THg loads inst calib'!K33</f>
        <v>0.6579841126562247</v>
      </c>
      <c r="K46" s="45">
        <f>('T4b, THg loads inst calib'!L33-'T4b, THg loads inst calib'!L72)/'T4b, THg loads inst calib'!L33</f>
        <v>0.56080808312885733</v>
      </c>
      <c r="L46" s="45">
        <f>('T4b, THg loads inst calib'!M33-'T4b, THg loads inst calib'!M72)/'T4b, THg loads inst calib'!M33</f>
        <v>0.76662019959347794</v>
      </c>
      <c r="M46" s="45">
        <f>('T4b, THg loads inst calib'!N33-'T4b, THg loads inst calib'!N72)/'T4b, THg loads inst calib'!N33</f>
        <v>0.70237268191386737</v>
      </c>
      <c r="N46" s="58">
        <f>('T4b, THg loads inst calib'!T33-'T4b, THg loads inst calib'!T72)/'T4b, THg loads inst calib'!T33</f>
        <v>0.54874832444529709</v>
      </c>
      <c r="O46" s="58">
        <f>('T4b, THg loads inst calib'!U33-'T4b, THg loads inst calib'!U72)/'T4b, THg loads inst calib'!U33</f>
        <v>0.68615662553687751</v>
      </c>
    </row>
    <row r="47" spans="1:17">
      <c r="A47" s="2" t="s">
        <v>2</v>
      </c>
      <c r="B47" s="45">
        <f>('T4b, THg loads inst calib'!B34-'T4b, THg loads inst calib'!B73)/'T4b, THg loads inst calib'!B34</f>
        <v>5.9952772717525762E-2</v>
      </c>
      <c r="C47" s="56">
        <f>('T4b, THg loads inst calib'!C34-'T4b, THg loads inst calib'!C73)/'T4b, THg loads inst calib'!C34</f>
        <v>0.50842993101653455</v>
      </c>
      <c r="D47" s="45">
        <f>('T4b, THg loads inst calib'!D34-'T4b, THg loads inst calib'!D73)/'T4b, THg loads inst calib'!D34</f>
        <v>-0.33386567714409904</v>
      </c>
      <c r="E47" s="58">
        <f>('T4b, THg loads inst calib'!E34-'T4b, THg loads inst calib'!E73)/'T4b, THg loads inst calib'!E34</f>
        <v>0.49539410402268891</v>
      </c>
      <c r="F47" s="58">
        <f>('T4b, THg loads inst calib'!F34-'T4b, THg loads inst calib'!F73)/'T4b, THg loads inst calib'!F34</f>
        <v>0.44966235386338871</v>
      </c>
      <c r="J47" s="45">
        <f>('T4b, THg loads inst calib'!K34-'T4b, THg loads inst calib'!K73)/'T4b, THg loads inst calib'!K34</f>
        <v>0.59790833694621459</v>
      </c>
      <c r="K47" s="45">
        <f>('T4b, THg loads inst calib'!L34-'T4b, THg loads inst calib'!L73)/'T4b, THg loads inst calib'!L34</f>
        <v>0.56745223709410475</v>
      </c>
      <c r="L47" s="45">
        <f>('T4b, THg loads inst calib'!M34-'T4b, THg loads inst calib'!M73)/'T4b, THg loads inst calib'!M34</f>
        <v>0.76669890334084878</v>
      </c>
      <c r="M47" s="45">
        <f>('T4b, THg loads inst calib'!N34-'T4b, THg loads inst calib'!N73)/'T4b, THg loads inst calib'!N34</f>
        <v>0.74559278185684208</v>
      </c>
      <c r="N47" s="58">
        <f>('T4b, THg loads inst calib'!T34-'T4b, THg loads inst calib'!T73)/'T4b, THg loads inst calib'!T34</f>
        <v>0.55298906745062371</v>
      </c>
      <c r="O47" s="58">
        <f>('T4b, THg loads inst calib'!U34-'T4b, THg loads inst calib'!U73)/'T4b, THg loads inst calib'!U34</f>
        <v>0.71566030749078147</v>
      </c>
    </row>
    <row r="48" spans="1:17">
      <c r="A48" s="2" t="s">
        <v>3</v>
      </c>
      <c r="B48" s="45">
        <f>('T4b, THg loads inst calib'!B35-'T4b, THg loads inst calib'!B74)/'T4b, THg loads inst calib'!B35</f>
        <v>0.40089989822283467</v>
      </c>
      <c r="C48" s="56">
        <f>('T4b, THg loads inst calib'!C35-'T4b, THg loads inst calib'!C74)/'T4b, THg loads inst calib'!C35</f>
        <v>0.82813282124028242</v>
      </c>
      <c r="D48" s="45">
        <f>('T4b, THg loads inst calib'!D35-'T4b, THg loads inst calib'!D74)/'T4b, THg loads inst calib'!D35</f>
        <v>0.12003438616977601</v>
      </c>
      <c r="E48" s="58">
        <f>('T4b, THg loads inst calib'!E35-'T4b, THg loads inst calib'!E74)/'T4b, THg loads inst calib'!E35</f>
        <v>0.80257587620807114</v>
      </c>
      <c r="F48" s="58">
        <f>('T4b, THg loads inst calib'!F35-'T4b, THg loads inst calib'!F74)/'T4b, THg loads inst calib'!F35</f>
        <v>0.80327697122852448</v>
      </c>
      <c r="J48" s="45">
        <f>('T4b, THg loads inst calib'!K35-'T4b, THg loads inst calib'!K74)/'T4b, THg loads inst calib'!K35</f>
        <v>0.84076137479088808</v>
      </c>
      <c r="K48" s="45">
        <f>('T4b, THg loads inst calib'!L35-'T4b, THg loads inst calib'!L74)/'T4b, THg loads inst calib'!L35</f>
        <v>0.80464246701623265</v>
      </c>
      <c r="L48" s="45">
        <f>('T4b, THg loads inst calib'!M35-'T4b, THg loads inst calib'!M74)/'T4b, THg loads inst calib'!M35</f>
        <v>0.71392649903288208</v>
      </c>
      <c r="M48" s="45">
        <f>('T4b, THg loads inst calib'!N35-'T4b, THg loads inst calib'!N74)/'T4b, THg loads inst calib'!N35</f>
        <v>0.64903858390151692</v>
      </c>
      <c r="N48" s="58">
        <f>('T4b, THg loads inst calib'!T35-'T4b, THg loads inst calib'!T74)/'T4b, THg loads inst calib'!T35</f>
        <v>0.78446479782908796</v>
      </c>
      <c r="O48" s="58">
        <f>('T4b, THg loads inst calib'!U35-'T4b, THg loads inst calib'!U74)/'T4b, THg loads inst calib'!U35</f>
        <v>0.6020897841846693</v>
      </c>
    </row>
    <row r="49" spans="1:15">
      <c r="A49" s="2" t="s">
        <v>4</v>
      </c>
      <c r="B49" s="45">
        <f>('T4b, THg loads inst calib'!B36-'T4b, THg loads inst calib'!B75)/'T4b, THg loads inst calib'!B36</f>
        <v>0.12494872291175736</v>
      </c>
      <c r="C49" s="56">
        <f>('T4b, THg loads inst calib'!C36-'T4b, THg loads inst calib'!C75)/'T4b, THg loads inst calib'!C36</f>
        <v>0.39766236035371572</v>
      </c>
      <c r="D49" s="45">
        <f>('T4b, THg loads inst calib'!D36-'T4b, THg loads inst calib'!D75)/'T4b, THg loads inst calib'!D36</f>
        <v>-8.9989515033180607E-3</v>
      </c>
      <c r="E49" s="58">
        <f>('T4b, THg loads inst calib'!E36-'T4b, THg loads inst calib'!E75)/'T4b, THg loads inst calib'!E36</f>
        <v>0.37974286072892161</v>
      </c>
      <c r="F49" s="58">
        <f>('T4b, THg loads inst calib'!F36-'T4b, THg loads inst calib'!F75)/'T4b, THg loads inst calib'!F36</f>
        <v>0.33174498211235703</v>
      </c>
      <c r="J49" s="45">
        <f>('T4b, THg loads inst calib'!K36-'T4b, THg loads inst calib'!K75)/'T4b, THg loads inst calib'!K36</f>
        <v>0.50509196495173669</v>
      </c>
      <c r="K49" s="45">
        <f>('T4b, THg loads inst calib'!L36-'T4b, THg loads inst calib'!L75)/'T4b, THg loads inst calib'!L36</f>
        <v>0.49932080982996296</v>
      </c>
      <c r="L49" s="45">
        <f>('T4b, THg loads inst calib'!M36-'T4b, THg loads inst calib'!M75)/'T4b, THg loads inst calib'!M36</f>
        <v>0.47411621057948561</v>
      </c>
      <c r="M49" s="45">
        <f>('T4b, THg loads inst calib'!N36-'T4b, THg loads inst calib'!N75)/'T4b, THg loads inst calib'!N36</f>
        <v>0.45900467109443271</v>
      </c>
      <c r="N49" s="58">
        <f>('T4b, THg loads inst calib'!T36-'T4b, THg loads inst calib'!T75)/'T4b, THg loads inst calib'!T36</f>
        <v>0.47961779613518923</v>
      </c>
      <c r="O49" s="58">
        <f>('T4b, THg loads inst calib'!U36-'T4b, THg loads inst calib'!U75)/'T4b, THg loads inst calib'!U36</f>
        <v>0.43799725492388741</v>
      </c>
    </row>
    <row r="50" spans="1:15">
      <c r="A50" s="2" t="s">
        <v>5</v>
      </c>
      <c r="B50" s="45">
        <f>('T4b, THg loads inst calib'!B37-'T4b, THg loads inst calib'!B76)/'T4b, THg loads inst calib'!B37</f>
        <v>0.78388578666666664</v>
      </c>
      <c r="C50" s="56">
        <f>('T4b, THg loads inst calib'!C37-'T4b, THg loads inst calib'!C76)/'T4b, THg loads inst calib'!C37</f>
        <v>0.9303049774989971</v>
      </c>
      <c r="D50" s="45">
        <f>('T4b, THg loads inst calib'!D37-'T4b, THg loads inst calib'!D76)/'T4b, THg loads inst calib'!D37</f>
        <v>0.67875792197494111</v>
      </c>
      <c r="E50" s="58">
        <f>('T4b, THg loads inst calib'!E37-'T4b, THg loads inst calib'!E76)/'T4b, THg loads inst calib'!E37</f>
        <v>0.91548132473954058</v>
      </c>
      <c r="F50" s="58">
        <f>('T4b, THg loads inst calib'!F37-'T4b, THg loads inst calib'!F76)/'T4b, THg loads inst calib'!F37</f>
        <v>0.90880328515616382</v>
      </c>
      <c r="J50" s="45">
        <f>('T4b, THg loads inst calib'!K37-'T4b, THg loads inst calib'!K76)/'T4b, THg loads inst calib'!K37</f>
        <v>0.97670297685336116</v>
      </c>
      <c r="K50" s="45">
        <f>('T4b, THg loads inst calib'!L37-'T4b, THg loads inst calib'!L76)/'T4b, THg loads inst calib'!L37</f>
        <v>1</v>
      </c>
      <c r="L50" s="45">
        <f>('T4b, THg loads inst calib'!M37-'T4b, THg loads inst calib'!M76)/'T4b, THg loads inst calib'!M37</f>
        <v>0.90833333333333333</v>
      </c>
      <c r="M50" s="45">
        <f>('T4b, THg loads inst calib'!N37-'T4b, THg loads inst calib'!N76)/'T4b, THg loads inst calib'!N37</f>
        <v>1</v>
      </c>
      <c r="N50" s="58">
        <f>('T4b, THg loads inst calib'!T37-'T4b, THg loads inst calib'!T76)/'T4b, THg loads inst calib'!T37</f>
        <v>0.98164248116119635</v>
      </c>
      <c r="O50" s="58">
        <f>('T4b, THg loads inst calib'!U37-'T4b, THg loads inst calib'!U76)/'T4b, THg loads inst calib'!U37</f>
        <v>0.93253601238614836</v>
      </c>
    </row>
    <row r="51" spans="1:15">
      <c r="A51" s="2" t="s">
        <v>88</v>
      </c>
      <c r="B51" s="45">
        <f>('T4b, THg loads inst calib'!B38-'T4b, THg loads inst calib'!B77)/'T4b, THg loads inst calib'!B38</f>
        <v>2.6121353860465067E-2</v>
      </c>
      <c r="C51" s="56">
        <f>('T4b, THg loads inst calib'!C38-'T4b, THg loads inst calib'!C77)/'T4b, THg loads inst calib'!C38</f>
        <v>0.56174482942793091</v>
      </c>
      <c r="D51" s="45">
        <f>('T4b, THg loads inst calib'!D38-'T4b, THg loads inst calib'!D77)/'T4b, THg loads inst calib'!D38</f>
        <v>-5.2825110685219952E-2</v>
      </c>
      <c r="E51" s="58">
        <f>('T4b, THg loads inst calib'!E38-'T4b, THg loads inst calib'!E77)/'T4b, THg loads inst calib'!E38</f>
        <v>0.53900099966168458</v>
      </c>
      <c r="F51" s="58">
        <f>('T4b, THg loads inst calib'!F38-'T4b, THg loads inst calib'!F77)/'T4b, THg loads inst calib'!F38</f>
        <v>0.48815384656092192</v>
      </c>
      <c r="J51" s="45">
        <f>('T4b, THg loads inst calib'!K38-'T4b, THg loads inst calib'!K77)/'T4b, THg loads inst calib'!K38</f>
        <v>0.64110594985068226</v>
      </c>
      <c r="K51" s="45">
        <f>('T4b, THg loads inst calib'!L38-'T4b, THg loads inst calib'!L77)/'T4b, THg loads inst calib'!L38</f>
        <v>0.55804914793379612</v>
      </c>
      <c r="L51" s="45">
        <f>('T4b, THg loads inst calib'!M38-'T4b, THg loads inst calib'!M77)/'T4b, THg loads inst calib'!M38</f>
        <v>0.73544702745098034</v>
      </c>
      <c r="M51" s="45">
        <f>('T4b, THg loads inst calib'!N38-'T4b, THg loads inst calib'!N77)/'T4b, THg loads inst calib'!N38</f>
        <v>0.67558384819783013</v>
      </c>
      <c r="N51" s="58">
        <f>('T4b, THg loads inst calib'!T38-'T4b, THg loads inst calib'!T77)/'T4b, THg loads inst calib'!T38</f>
        <v>0.54148206916123565</v>
      </c>
      <c r="O51" s="58">
        <f>('T4b, THg loads inst calib'!U38-'T4b, THg loads inst calib'!U77)/'T4b, THg loads inst calib'!U38</f>
        <v>0.66181692076610532</v>
      </c>
    </row>
    <row r="52" spans="1:15">
      <c r="A52" s="2" t="s">
        <v>95</v>
      </c>
      <c r="B52" s="45">
        <f>('T4b, THg loads inst calib'!B39-'T4b, THg loads inst calib'!B78)/'T4b, THg loads inst calib'!B39</f>
        <v>0.19589577286993956</v>
      </c>
      <c r="C52" s="56">
        <f>('T4b, THg loads inst calib'!C39-'T4b, THg loads inst calib'!C78)/'T4b, THg loads inst calib'!C39</f>
        <v>0.60762751541587412</v>
      </c>
      <c r="D52" s="45">
        <f>('T4b, THg loads inst calib'!D39-'T4b, THg loads inst calib'!D78)/'T4b, THg loads inst calib'!D39</f>
        <v>-0.33767117272544961</v>
      </c>
      <c r="E52" s="58">
        <f>('T4b, THg loads inst calib'!E39-'T4b, THg loads inst calib'!E78)/'T4b, THg loads inst calib'!E39</f>
        <v>0.58328631807204667</v>
      </c>
      <c r="F52" s="58">
        <f>('T4b, THg loads inst calib'!F39-'T4b, THg loads inst calib'!F78)/'T4b, THg loads inst calib'!F39</f>
        <v>0.56719713244470127</v>
      </c>
      <c r="J52" s="45">
        <f>('T4b, THg loads inst calib'!K39-'T4b, THg loads inst calib'!K78)/'T4b, THg loads inst calib'!K39</f>
        <v>0.65113117081258631</v>
      </c>
      <c r="K52" s="45">
        <f>('T4b, THg loads inst calib'!L39-'T4b, THg loads inst calib'!L78)/'T4b, THg loads inst calib'!L39</f>
        <v>0.5502083491517783</v>
      </c>
      <c r="L52" s="45">
        <f>('T4b, THg loads inst calib'!M39-'T4b, THg loads inst calib'!M78)/'T4b, THg loads inst calib'!M39</f>
        <v>0.85146308874172183</v>
      </c>
      <c r="M52" s="45">
        <f>('T4b, THg loads inst calib'!N39-'T4b, THg loads inst calib'!N78)/'T4b, THg loads inst calib'!N39</f>
        <v>0.80843775060057599</v>
      </c>
      <c r="N52" s="58">
        <f>('T4b, THg loads inst calib'!T39-'T4b, THg loads inst calib'!T78)/'T4b, THg loads inst calib'!T39</f>
        <v>0.51911572311525156</v>
      </c>
      <c r="O52" s="58">
        <f>('T4b, THg loads inst calib'!U39-'T4b, THg loads inst calib'!U78)/'T4b, THg loads inst calib'!U39</f>
        <v>0.78435070671546636</v>
      </c>
    </row>
    <row r="53" spans="1:15">
      <c r="A53" s="2" t="s">
        <v>125</v>
      </c>
      <c r="B53" s="45">
        <f>('T4b, THg loads inst calib'!B40-'T4b, THg loads inst calib'!B79)/'T4b, THg loads inst calib'!B40</f>
        <v>-8.2155392277906553E-3</v>
      </c>
      <c r="C53" s="56">
        <f>('T4b, THg loads inst calib'!C40-'T4b, THg loads inst calib'!C79)/'T4b, THg loads inst calib'!C40</f>
        <v>0.64441801589335812</v>
      </c>
      <c r="D53" s="45">
        <f>('T4b, THg loads inst calib'!D40-'T4b, THg loads inst calib'!D79)/'T4b, THg loads inst calib'!D40</f>
        <v>6.9348549157914371E-2</v>
      </c>
      <c r="E53" s="58">
        <f>('T4b, THg loads inst calib'!E40-'T4b, THg loads inst calib'!E79)/'T4b, THg loads inst calib'!E40</f>
        <v>0.63365516141065137</v>
      </c>
      <c r="F53" s="58">
        <f>('T4b, THg loads inst calib'!F40-'T4b, THg loads inst calib'!F79)/'T4b, THg loads inst calib'!F40</f>
        <v>0.59488901063437738</v>
      </c>
      <c r="J53" s="45">
        <f>('T4b, THg loads inst calib'!K40-'T4b, THg loads inst calib'!K79)/'T4b, THg loads inst calib'!K40</f>
        <v>0.69502015888763058</v>
      </c>
      <c r="K53" s="45">
        <f>('T4b, THg loads inst calib'!L40-'T4b, THg loads inst calib'!L79)/'T4b, THg loads inst calib'!L40</f>
        <v>0.67189678193683477</v>
      </c>
      <c r="L53" s="45">
        <f>('T4b, THg loads inst calib'!M40-'T4b, THg loads inst calib'!M79)/'T4b, THg loads inst calib'!M40</f>
        <v>0.73801944111731388</v>
      </c>
      <c r="M53" s="45">
        <f>('T4b, THg loads inst calib'!N40-'T4b, THg loads inst calib'!N79)/'T4b, THg loads inst calib'!N40</f>
        <v>0.71829554789428229</v>
      </c>
      <c r="N53" s="58">
        <f>('T4b, THg loads inst calib'!T40-'T4b, THg loads inst calib'!T79)/'T4b, THg loads inst calib'!T40</f>
        <v>0.66171974394181787</v>
      </c>
      <c r="O53" s="58">
        <f>('T4b, THg loads inst calib'!U40-'T4b, THg loads inst calib'!U79)/'T4b, THg loads inst calib'!U40</f>
        <v>0.69950204739244115</v>
      </c>
    </row>
    <row r="54" spans="1:15">
      <c r="A54" s="62" t="s">
        <v>128</v>
      </c>
      <c r="B54" s="45">
        <f>('T4b, THg loads inst calib'!B41-'T4b, THg loads inst calib'!B80)/'T4b, THg loads inst calib'!B41</f>
        <v>0.54146617605434466</v>
      </c>
      <c r="C54" s="56">
        <f>('T4b, THg loads inst calib'!C41-'T4b, THg loads inst calib'!C80)/'T4b, THg loads inst calib'!C41</f>
        <v>0.70863798451244331</v>
      </c>
      <c r="D54" s="45">
        <f>('T4b, THg loads inst calib'!D41-'T4b, THg loads inst calib'!D80)/'T4b, THg loads inst calib'!D41</f>
        <v>-3.0331523119088544E-2</v>
      </c>
      <c r="E54" s="58">
        <f>('T4b, THg loads inst calib'!E41-'T4b, THg loads inst calib'!E80)/'T4b, THg loads inst calib'!E41</f>
        <v>0.66749264072382053</v>
      </c>
      <c r="F54" s="58">
        <f>('T4b, THg loads inst calib'!F41-'T4b, THg loads inst calib'!F80)/'T4b, THg loads inst calib'!F41</f>
        <v>0.64751905744018812</v>
      </c>
      <c r="J54" s="45">
        <f>('T4b, THg loads inst calib'!K41-'T4b, THg loads inst calib'!K80)/'T4b, THg loads inst calib'!K41</f>
        <v>0.8419534263007622</v>
      </c>
      <c r="K54" s="45">
        <f>('T4b, THg loads inst calib'!L41-'T4b, THg loads inst calib'!L80)/'T4b, THg loads inst calib'!L41</f>
        <v>0.66337362294141744</v>
      </c>
      <c r="L54" s="45">
        <f>('T4b, THg loads inst calib'!M41-'T4b, THg loads inst calib'!M80)/'T4b, THg loads inst calib'!M41</f>
        <v>0.82278251302902961</v>
      </c>
      <c r="M54" s="45">
        <f>('T4b, THg loads inst calib'!N41-'T4b, THg loads inst calib'!N80)/'T4b, THg loads inst calib'!N41</f>
        <v>0.62254113332447381</v>
      </c>
      <c r="N54" s="58">
        <f>('T4b, THg loads inst calib'!T41-'T4b, THg loads inst calib'!T80)/'T4b, THg loads inst calib'!T41</f>
        <v>0.62614561147462666</v>
      </c>
      <c r="O54" s="58">
        <f>('T4b, THg loads inst calib'!U41-'T4b, THg loads inst calib'!U80)/'T4b, THg loads inst calib'!U41</f>
        <v>0.56756308071152883</v>
      </c>
    </row>
    <row r="55" spans="1:15">
      <c r="A55" s="62" t="s">
        <v>247</v>
      </c>
      <c r="B55" s="45">
        <f>('T4b, THg loads inst calib'!B42-'T4b, THg loads inst calib'!B81)/'T4b, THg loads inst calib'!B42</f>
        <v>2.9837518463810959E-2</v>
      </c>
      <c r="C55" s="56">
        <f>('T4b, THg loads inst calib'!C42-'T4b, THg loads inst calib'!C81)/'T4b, THg loads inst calib'!C42</f>
        <v>0.81229699222973717</v>
      </c>
      <c r="D55" s="45">
        <f>('T4b, THg loads inst calib'!D42-'T4b, THg loads inst calib'!D81)/'T4b, THg loads inst calib'!D42</f>
        <v>0.27018995522545253</v>
      </c>
      <c r="E55" s="58">
        <f>('T4b, THg loads inst calib'!E42-'T4b, THg loads inst calib'!E81)/'T4b, THg loads inst calib'!E42</f>
        <v>0.80418432125853601</v>
      </c>
      <c r="F55" s="58">
        <f>('T4b, THg loads inst calib'!F42-'T4b, THg loads inst calib'!F81)/'T4b, THg loads inst calib'!F42</f>
        <v>0.793168423430056</v>
      </c>
      <c r="J55" s="45">
        <f>('T4b, THg loads inst calib'!K42-'T4b, THg loads inst calib'!K81)/'T4b, THg loads inst calib'!K42</f>
        <v>0.81844941166108343</v>
      </c>
      <c r="K55" s="45">
        <f>('T4b, THg loads inst calib'!L42-'T4b, THg loads inst calib'!L81)/'T4b, THg loads inst calib'!L42</f>
        <v>0.82699712200307485</v>
      </c>
      <c r="L55" s="45">
        <f>('T4b, THg loads inst calib'!M42-'T4b, THg loads inst calib'!M81)/'T4b, THg loads inst calib'!M42</f>
        <v>0.70679851668726812</v>
      </c>
      <c r="M55" s="45">
        <f>('T4b, THg loads inst calib'!N42-'T4b, THg loads inst calib'!N81)/'T4b, THg loads inst calib'!N42</f>
        <v>0.72966217274299994</v>
      </c>
      <c r="N55" s="58">
        <f>('T4b, THg loads inst calib'!T42-'T4b, THg loads inst calib'!T81)/'T4b, THg loads inst calib'!T42</f>
        <v>0.81875961650150408</v>
      </c>
      <c r="O55" s="58">
        <f>('T4b, THg loads inst calib'!U42-'T4b, THg loads inst calib'!U81)/'T4b, THg loads inst calib'!U42</f>
        <v>0.71691640634823861</v>
      </c>
    </row>
    <row r="56" spans="1:15">
      <c r="A56" s="2" t="s">
        <v>253</v>
      </c>
      <c r="B56" s="45">
        <f>('T4b, THg loads inst calib'!B43-'T4b, THg loads inst calib'!B82)/'T4b, THg loads inst calib'!B43</f>
        <v>5.0244532338470572E-2</v>
      </c>
      <c r="C56" s="107">
        <f>('T4b, THg loads inst calib'!C43-'T4b, THg loads inst calib'!C82)/'T4b, THg loads inst calib'!C43</f>
        <v>0.67865956292801166</v>
      </c>
      <c r="D56" s="530">
        <f>('T4b, THg loads inst calib'!D43-'T4b, THg loads inst calib'!D82)/'T4b, THg loads inst calib'!D43</f>
        <v>5.1065366127207468E-2</v>
      </c>
      <c r="E56" s="108">
        <f>('T4b, THg loads inst calib'!E43-'T4b, THg loads inst calib'!E82)/'T4b, THg loads inst calib'!E43</f>
        <v>0.66724098330863091</v>
      </c>
      <c r="F56" s="108">
        <f>('T4b, THg loads inst calib'!F43-'T4b, THg loads inst calib'!F82)/'T4b, THg loads inst calib'!F43</f>
        <v>0.6397116567963862</v>
      </c>
      <c r="H56" s="10"/>
      <c r="J56" s="109">
        <f>('T4b, THg loads inst calib'!K43-'T4b, THg loads inst calib'!K82)/'T4b, THg loads inst calib'!K43</f>
        <v>0.71284801028022615</v>
      </c>
      <c r="K56" s="107">
        <f>('T4b, THg loads inst calib'!L43-'T4b, THg loads inst calib'!L82)/'T4b, THg loads inst calib'!L43</f>
        <v>0.69666107167546809</v>
      </c>
      <c r="L56" s="109">
        <f>('T4b, THg loads inst calib'!M43-'T4b, THg loads inst calib'!M82)/'T4b, THg loads inst calib'!M43</f>
        <v>0.7337869774221355</v>
      </c>
      <c r="M56" s="107">
        <f>('T4b, THg loads inst calib'!N43-'T4b, THg loads inst calib'!N82)/'T4b, THg loads inst calib'!N43</f>
        <v>0.71668808908171289</v>
      </c>
      <c r="N56" s="108">
        <f>('T4b, THg loads inst calib'!T43-'T4b, THg loads inst calib'!T82)/'T4b, THg loads inst calib'!T43</f>
        <v>0.68156225313383301</v>
      </c>
      <c r="O56" s="108">
        <f>('T4b, THg loads inst calib'!U43-'T4b, THg loads inst calib'!U82)/'T4b, THg loads inst calib'!U43</f>
        <v>0.69197605797745976</v>
      </c>
    </row>
    <row r="57" spans="1:15">
      <c r="A57" s="2" t="s">
        <v>253</v>
      </c>
      <c r="C57" s="26"/>
      <c r="D57" s="26"/>
      <c r="E57" s="26"/>
      <c r="F57" s="26"/>
      <c r="H57" s="87" t="s">
        <v>263</v>
      </c>
      <c r="J57" s="109">
        <f>('T4b, THg loads inst calib'!K44-'T4b, THg loads inst calib'!K83)/'T4b, THg loads inst calib'!K44</f>
        <v>0.71284801028022615</v>
      </c>
      <c r="K57" s="107">
        <f>('T4b, THg loads inst calib'!L44-'T4b, THg loads inst calib'!L83)/'T4b, THg loads inst calib'!L44</f>
        <v>0.70099076440396246</v>
      </c>
      <c r="L57" s="109">
        <f>('T4b, THg loads inst calib'!M44-'T4b, THg loads inst calib'!M83)/'T4b, THg loads inst calib'!M44</f>
        <v>0.7337869774221355</v>
      </c>
      <c r="M57" s="107">
        <f>('T4b, THg loads inst calib'!N44-'T4b, THg loads inst calib'!N83)/'T4b, THg loads inst calib'!N44</f>
        <v>0.72351439556013797</v>
      </c>
      <c r="N57" s="108">
        <f>('T4b, THg loads inst calib'!T44-'T4b, THg loads inst calib'!T83)/'T4b, THg loads inst calib'!T44</f>
        <v>0.68966816588872415</v>
      </c>
      <c r="O57" s="108">
        <f>('T4b, THg loads inst calib'!U44-'T4b, THg loads inst calib'!U83)/'T4b, THg loads inst calib'!U44</f>
        <v>0.70472517872603913</v>
      </c>
    </row>
    <row r="58" spans="1:15">
      <c r="C58" s="26"/>
      <c r="D58" s="26"/>
      <c r="E58" s="26"/>
      <c r="F58" s="26"/>
      <c r="H58" s="10"/>
      <c r="K58" s="26"/>
      <c r="L58" s="26"/>
      <c r="M58" s="26"/>
      <c r="N58" s="26"/>
      <c r="O58" s="26"/>
    </row>
    <row r="59" spans="1:15" ht="16">
      <c r="A59" s="1" t="s">
        <v>267</v>
      </c>
      <c r="C59" s="6"/>
      <c r="D59" s="6"/>
      <c r="E59" s="26"/>
      <c r="F59" s="26"/>
      <c r="H59" s="10"/>
      <c r="K59" s="26"/>
      <c r="L59" s="26"/>
      <c r="M59" s="26"/>
      <c r="N59" s="26"/>
      <c r="O59" s="26"/>
    </row>
    <row r="60" spans="1:15">
      <c r="A60" s="2" t="s">
        <v>1</v>
      </c>
      <c r="B60" s="45">
        <f>('T4b, THg loads inst calib'!B33-'T4b, THg loads inst calib'!B85)/'T4b, THg loads inst calib'!B33</f>
        <v>0.16099513535218615</v>
      </c>
      <c r="C60" s="56">
        <f>('T4b, THg loads inst calib'!C33-'T4b, THg loads inst calib'!C85)/'T4b, THg loads inst calib'!C33</f>
        <v>0.62287485529929865</v>
      </c>
      <c r="D60" s="45">
        <f>('T4b, THg loads inst calib'!D33-'T4b, THg loads inst calib'!D85)/'T4b, THg loads inst calib'!D33</f>
        <v>-3.5509217703130494E-2</v>
      </c>
      <c r="E60" s="58">
        <f>('T4b, THg loads inst calib'!E33-'T4b, THg loads inst calib'!E85)/'T4b, THg loads inst calib'!E33</f>
        <v>0.60810638695790609</v>
      </c>
      <c r="F60" s="58">
        <f>('T4b, THg loads inst calib'!F33-'T4b, THg loads inst calib'!F85)/'T4b, THg loads inst calib'!F33</f>
        <v>0.66542723362234224</v>
      </c>
      <c r="H60" s="10"/>
      <c r="J60" s="45">
        <f>('T4b, THg loads inst calib'!K33-'T4b, THg loads inst calib'!K85)/'T4b, THg loads inst calib'!K33</f>
        <v>0.67871727918480418</v>
      </c>
      <c r="K60" s="56">
        <f>('T4b, THg loads inst calib'!L33-'T4b, THg loads inst calib'!L85)/'T4b, THg loads inst calib'!L33</f>
        <v>0.56485146172828926</v>
      </c>
      <c r="L60" s="45">
        <f>('T4b, THg loads inst calib'!M33-'T4b, THg loads inst calib'!M85)/'T4b, THg loads inst calib'!M33</f>
        <v>0.76662356019367828</v>
      </c>
      <c r="M60" s="56">
        <f>('T4b, THg loads inst calib'!N33-'T4b, THg loads inst calib'!N85)/'T4b, THg loads inst calib'!N33</f>
        <v>0.68391261008029436</v>
      </c>
      <c r="N60" s="53">
        <f>('T4b, THg loads inst calib'!T33-'T4b, THg loads inst calib'!T85)/'T4b, THg loads inst calib'!T33</f>
        <v>0.55311275531001702</v>
      </c>
      <c r="O60" s="53">
        <f>('T4b, THg loads inst calib'!U33-'T4b, THg loads inst calib'!U85)/'T4b, THg loads inst calib'!U33</f>
        <v>0.66852886813213253</v>
      </c>
    </row>
    <row r="61" spans="1:15">
      <c r="A61" s="2" t="s">
        <v>2</v>
      </c>
      <c r="B61" s="45">
        <f>('T4b, THg loads inst calib'!B34-'T4b, THg loads inst calib'!B86)/'T4b, THg loads inst calib'!B34</f>
        <v>5.9952772717525762E-2</v>
      </c>
      <c r="C61" s="56">
        <f>('T4b, THg loads inst calib'!C34-'T4b, THg loads inst calib'!C86)/'T4b, THg loads inst calib'!C34</f>
        <v>0.63409200889369743</v>
      </c>
      <c r="D61" s="45">
        <f>('T4b, THg loads inst calib'!D34-'T4b, THg loads inst calib'!D86)/'T4b, THg loads inst calib'!D34</f>
        <v>-0.3682678961342945</v>
      </c>
      <c r="E61" s="58">
        <f>('T4b, THg loads inst calib'!E34-'T4b, THg loads inst calib'!E86)/'T4b, THg loads inst calib'!E34</f>
        <v>0.6185789393953931</v>
      </c>
      <c r="F61" s="58">
        <f>('T4b, THg loads inst calib'!F34-'T4b, THg loads inst calib'!F86)/'T4b, THg loads inst calib'!F34</f>
        <v>0.52631311493638278</v>
      </c>
      <c r="H61" s="10"/>
      <c r="J61" s="45">
        <f>('T4b, THg loads inst calib'!K34-'T4b, THg loads inst calib'!K86)/'T4b, THg loads inst calib'!K34</f>
        <v>0.67022293999280824</v>
      </c>
      <c r="K61" s="56">
        <f>('T4b, THg loads inst calib'!L34-'T4b, THg loads inst calib'!L86)/'T4b, THg loads inst calib'!L34</f>
        <v>0.64137147439239495</v>
      </c>
      <c r="L61" s="45">
        <f>('T4b, THg loads inst calib'!M34-'T4b, THg loads inst calib'!M86)/'T4b, THg loads inst calib'!M34</f>
        <v>0.76657824933687002</v>
      </c>
      <c r="M61" s="56">
        <f>('T4b, THg loads inst calib'!N34-'T4b, THg loads inst calib'!N86)/'T4b, THg loads inst calib'!N34</f>
        <v>0.7461566966385148</v>
      </c>
      <c r="N61" s="53">
        <f>('T4b, THg loads inst calib'!T34-'T4b, THg loads inst calib'!T86)/'T4b, THg loads inst calib'!T34</f>
        <v>0.62517010386154614</v>
      </c>
      <c r="O61" s="53">
        <f>('T4b, THg loads inst calib'!U34-'T4b, THg loads inst calib'!U86)/'T4b, THg loads inst calib'!U34</f>
        <v>0.71525464081790191</v>
      </c>
    </row>
    <row r="62" spans="1:15">
      <c r="A62" s="2" t="s">
        <v>3</v>
      </c>
      <c r="B62" s="45">
        <f>('T4b, THg loads inst calib'!B35-'T4b, THg loads inst calib'!B87)/'T4b, THg loads inst calib'!B35</f>
        <v>0.40089989822283467</v>
      </c>
      <c r="C62" s="56">
        <f>('T4b, THg loads inst calib'!C35-'T4b, THg loads inst calib'!C87)/'T4b, THg loads inst calib'!C35</f>
        <v>0.53965938430337956</v>
      </c>
      <c r="D62" s="45">
        <f>('T4b, THg loads inst calib'!D35-'T4b, THg loads inst calib'!D87)/'T4b, THg loads inst calib'!D35</f>
        <v>9.3921730441910101E-2</v>
      </c>
      <c r="E62" s="58">
        <f>('T4b, THg loads inst calib'!E35-'T4b, THg loads inst calib'!E87)/'T4b, THg loads inst calib'!E35</f>
        <v>0.52357165955450324</v>
      </c>
      <c r="F62" s="58">
        <f>('T4b, THg loads inst calib'!F35-'T4b, THg loads inst calib'!F87)/'T4b, THg loads inst calib'!F35</f>
        <v>0.77806133744992456</v>
      </c>
      <c r="H62" s="10"/>
      <c r="J62" s="45">
        <f>('T4b, THg loads inst calib'!K35-'T4b, THg loads inst calib'!K87)/'T4b, THg loads inst calib'!K35</f>
        <v>0.64153123685296765</v>
      </c>
      <c r="K62" s="56">
        <f>('T4b, THg loads inst calib'!L35-'T4b, THg loads inst calib'!L87)/'T4b, THg loads inst calib'!L35</f>
        <v>0.56022244522530951</v>
      </c>
      <c r="L62" s="45">
        <f>('T4b, THg loads inst calib'!M35-'T4b, THg loads inst calib'!M87)/'T4b, THg loads inst calib'!M35</f>
        <v>0.71392649903288208</v>
      </c>
      <c r="M62" s="56">
        <f>('T4b, THg loads inst calib'!N35-'T4b, THg loads inst calib'!N87)/'T4b, THg loads inst calib'!N35</f>
        <v>0.64903858390151692</v>
      </c>
      <c r="N62" s="53">
        <f>('T4b, THg loads inst calib'!T35-'T4b, THg loads inst calib'!T87)/'T4b, THg loads inst calib'!T35</f>
        <v>0.54647901766746454</v>
      </c>
      <c r="O62" s="53">
        <f>('T4b, THg loads inst calib'!U35-'T4b, THg loads inst calib'!U87)/'T4b, THg loads inst calib'!U35</f>
        <v>0.59977230192441644</v>
      </c>
    </row>
    <row r="63" spans="1:15">
      <c r="A63" s="2" t="s">
        <v>4</v>
      </c>
      <c r="B63" s="45">
        <f>('T4b, THg loads inst calib'!B36-'T4b, THg loads inst calib'!B88)/'T4b, THg loads inst calib'!B36</f>
        <v>0.12494872291175736</v>
      </c>
      <c r="C63" s="56">
        <f>('T4b, THg loads inst calib'!C36-'T4b, THg loads inst calib'!C88)/'T4b, THg loads inst calib'!C36</f>
        <v>0.54691623983945981</v>
      </c>
      <c r="D63" s="45">
        <f>('T4b, THg loads inst calib'!D36-'T4b, THg loads inst calib'!D88)/'T4b, THg loads inst calib'!D36</f>
        <v>0.37065251102086166</v>
      </c>
      <c r="E63" s="58">
        <f>('T4b, THg loads inst calib'!E36-'T4b, THg loads inst calib'!E88)/'T4b, THg loads inst calib'!E36</f>
        <v>0.53914919210136547</v>
      </c>
      <c r="F63" s="58">
        <f>('T4b, THg loads inst calib'!F36-'T4b, THg loads inst calib'!F88)/'T4b, THg loads inst calib'!F36</f>
        <v>0.62087381260432661</v>
      </c>
      <c r="H63" s="10"/>
      <c r="J63" s="45">
        <f>('T4b, THg loads inst calib'!K36-'T4b, THg loads inst calib'!K88)/'T4b, THg loads inst calib'!K36</f>
        <v>0.61766959475420979</v>
      </c>
      <c r="K63" s="56">
        <f>('T4b, THg loads inst calib'!L36-'T4b, THg loads inst calib'!L88)/'T4b, THg loads inst calib'!L36</f>
        <v>0.59198909207429351</v>
      </c>
      <c r="L63" s="45">
        <f>('T4b, THg loads inst calib'!M36-'T4b, THg loads inst calib'!M88)/'T4b, THg loads inst calib'!M36</f>
        <v>0.47344462993878689</v>
      </c>
      <c r="M63" s="56">
        <f>('T4b, THg loads inst calib'!N36-'T4b, THg loads inst calib'!N88)/'T4b, THg loads inst calib'!N36</f>
        <v>0.43807677426618308</v>
      </c>
      <c r="N63" s="53">
        <f>('T4b, THg loads inst calib'!T36-'T4b, THg loads inst calib'!T88)/'T4b, THg loads inst calib'!T36</f>
        <v>0.58340985117244148</v>
      </c>
      <c r="O63" s="53">
        <f>('T4b, THg loads inst calib'!U36-'T4b, THg loads inst calib'!U88)/'T4b, THg loads inst calib'!U36</f>
        <v>0.43505028154348829</v>
      </c>
    </row>
    <row r="64" spans="1:15">
      <c r="A64" s="2" t="s">
        <v>5</v>
      </c>
      <c r="B64" s="45">
        <f>('T4b, THg loads inst calib'!B37-'T4b, THg loads inst calib'!B89)/'T4b, THg loads inst calib'!B37</f>
        <v>0.78388578666666664</v>
      </c>
      <c r="C64" s="56">
        <f>('T4b, THg loads inst calib'!C37-'T4b, THg loads inst calib'!C89)/'T4b, THg loads inst calib'!C37</f>
        <v>0.77330137263165177</v>
      </c>
      <c r="D64" s="45">
        <f>('T4b, THg loads inst calib'!D37-'T4b, THg loads inst calib'!D89)/'T4b, THg loads inst calib'!D37</f>
        <v>0.60191360749544254</v>
      </c>
      <c r="E64" s="58">
        <f>('T4b, THg loads inst calib'!E37-'T4b, THg loads inst calib'!E89)/'T4b, THg loads inst calib'!E37</f>
        <v>0.76320150200384584</v>
      </c>
      <c r="F64" s="58">
        <f>('T4b, THg loads inst calib'!F37-'T4b, THg loads inst calib'!F89)/'T4b, THg loads inst calib'!F37</f>
        <v>0.91238275374064004</v>
      </c>
      <c r="H64" s="10"/>
      <c r="J64" s="45">
        <f>('T4b, THg loads inst calib'!K37-'T4b, THg loads inst calib'!K89)/'T4b, THg loads inst calib'!K37</f>
        <v>0.850186220021524</v>
      </c>
      <c r="K64" s="56">
        <f>('T4b, THg loads inst calib'!L37-'T4b, THg loads inst calib'!L89)/'T4b, THg loads inst calib'!L37</f>
        <v>1</v>
      </c>
      <c r="L64" s="45">
        <f>('T4b, THg loads inst calib'!M37-'T4b, THg loads inst calib'!M89)/'T4b, THg loads inst calib'!M37</f>
        <v>0.9</v>
      </c>
      <c r="M64" s="56">
        <f>('T4b, THg loads inst calib'!N37-'T4b, THg loads inst calib'!N89)/'T4b, THg loads inst calib'!N37</f>
        <v>1</v>
      </c>
      <c r="N64" s="53">
        <f>('T4b, THg loads inst calib'!T37-'T4b, THg loads inst calib'!T89)/'T4b, THg loads inst calib'!T37</f>
        <v>0.97725117925148097</v>
      </c>
      <c r="O64" s="53">
        <f>('T4b, THg loads inst calib'!U37-'T4b, THg loads inst calib'!U89)/'T4b, THg loads inst calib'!U37</f>
        <v>0.91639795254009215</v>
      </c>
    </row>
    <row r="65" spans="1:15">
      <c r="A65" s="2" t="s">
        <v>88</v>
      </c>
      <c r="B65" s="45">
        <f>('T4b, THg loads inst calib'!B38-'T4b, THg loads inst calib'!B90)/'T4b, THg loads inst calib'!B38</f>
        <v>2.6121353860465067E-2</v>
      </c>
      <c r="C65" s="56">
        <f>('T4b, THg loads inst calib'!C38-'T4b, THg loads inst calib'!C90)/'T4b, THg loads inst calib'!C38</f>
        <v>0.48739865247174935</v>
      </c>
      <c r="D65" s="45">
        <f>('T4b, THg loads inst calib'!D38-'T4b, THg loads inst calib'!D90)/'T4b, THg loads inst calib'!D38</f>
        <v>0.15606153773324524</v>
      </c>
      <c r="E65" s="58">
        <f>('T4b, THg loads inst calib'!E38-'T4b, THg loads inst calib'!E90)/'T4b, THg loads inst calib'!E38</f>
        <v>0.47513662265059609</v>
      </c>
      <c r="F65" s="58">
        <f>('T4b, THg loads inst calib'!F38-'T4b, THg loads inst calib'!F90)/'T4b, THg loads inst calib'!F38</f>
        <v>0.57157275759791593</v>
      </c>
      <c r="H65" s="10"/>
      <c r="J65" s="45">
        <f>('T4b, THg loads inst calib'!K38-'T4b, THg loads inst calib'!K90)/'T4b, THg loads inst calib'!K38</f>
        <v>0.56884658633170548</v>
      </c>
      <c r="K65" s="56">
        <f>('T4b, THg loads inst calib'!L38-'T4b, THg loads inst calib'!L90)/'T4b, THg loads inst calib'!L38</f>
        <v>0.47821806827698621</v>
      </c>
      <c r="L65" s="45">
        <f>('T4b, THg loads inst calib'!M38-'T4b, THg loads inst calib'!M90)/'T4b, THg loads inst calib'!M38</f>
        <v>0.73529411764705888</v>
      </c>
      <c r="M65" s="56">
        <f>('T4b, THg loads inst calib'!N38-'T4b, THg loads inst calib'!N90)/'T4b, THg loads inst calib'!N38</f>
        <v>0.67965289789211003</v>
      </c>
      <c r="N65" s="53">
        <f>('T4b, THg loads inst calib'!T38-'T4b, THg loads inst calib'!T90)/'T4b, THg loads inst calib'!T38</f>
        <v>0.46948109410708327</v>
      </c>
      <c r="O65" s="53">
        <f>('T4b, THg loads inst calib'!U38-'T4b, THg loads inst calib'!U90)/'T4b, THg loads inst calib'!U38</f>
        <v>0.66975702254450531</v>
      </c>
    </row>
    <row r="66" spans="1:15" ht="16.5" customHeight="1">
      <c r="A66" s="2" t="s">
        <v>95</v>
      </c>
      <c r="B66" s="45">
        <f>('T4b, THg loads inst calib'!B39-'T4b, THg loads inst calib'!B91)/'T4b, THg loads inst calib'!B39</f>
        <v>0.19589577286993956</v>
      </c>
      <c r="C66" s="56">
        <f>('T4b, THg loads inst calib'!C39-'T4b, THg loads inst calib'!C91)/'T4b, THg loads inst calib'!C39</f>
        <v>0.43800150732327092</v>
      </c>
      <c r="D66" s="45">
        <f>('T4b, THg loads inst calib'!D39-'T4b, THg loads inst calib'!D91)/'T4b, THg loads inst calib'!D39</f>
        <v>-0.32264336892582657</v>
      </c>
      <c r="E66" s="58">
        <f>('T4b, THg loads inst calib'!E39-'T4b, THg loads inst calib'!E91)/'T4b, THg loads inst calib'!E39</f>
        <v>0.41841509799718246</v>
      </c>
      <c r="F66" s="58">
        <f>('T4b, THg loads inst calib'!F39-'T4b, THg loads inst calib'!F91)/'T4b, THg loads inst calib'!F39</f>
        <v>0.51049191224850998</v>
      </c>
      <c r="H66" s="10"/>
      <c r="J66" s="45">
        <f>('T4b, THg loads inst calib'!K39-'T4b, THg loads inst calib'!K91)/'T4b, THg loads inst calib'!K39</f>
        <v>0.51286499856686429</v>
      </c>
      <c r="K66" s="56">
        <f>('T4b, THg loads inst calib'!L39-'T4b, THg loads inst calib'!L91)/'T4b, THg loads inst calib'!L39</f>
        <v>0.37220007510426606</v>
      </c>
      <c r="L66" s="45">
        <f>('T4b, THg loads inst calib'!M39-'T4b, THg loads inst calib'!M91)/'T4b, THg loads inst calib'!M39</f>
        <v>0.85225500980132463</v>
      </c>
      <c r="M66" s="56">
        <f>('T4b, THg loads inst calib'!N39-'T4b, THg loads inst calib'!N91)/'T4b, THg loads inst calib'!N39</f>
        <v>0.80959222088831806</v>
      </c>
      <c r="N66" s="53">
        <f>('T4b, THg loads inst calib'!T39-'T4b, THg loads inst calib'!T91)/'T4b, THg loads inst calib'!T39</f>
        <v>0.34786737362075631</v>
      </c>
      <c r="O66" s="53">
        <f>('T4b, THg loads inst calib'!U39-'T4b, THg loads inst calib'!U91)/'T4b, THg loads inst calib'!U39</f>
        <v>0.78579674404917788</v>
      </c>
    </row>
    <row r="67" spans="1:15">
      <c r="A67" s="2" t="s">
        <v>125</v>
      </c>
      <c r="B67" s="45">
        <f>('T4b, THg loads inst calib'!B40-'T4b, THg loads inst calib'!B92)/'T4b, THg loads inst calib'!B40</f>
        <v>-8.2155392277906553E-3</v>
      </c>
      <c r="C67" s="56">
        <f>('T4b, THg loads inst calib'!C40-'T4b, THg loads inst calib'!C92)/'T4b, THg loads inst calib'!C40</f>
        <v>0.68726926883530914</v>
      </c>
      <c r="D67" s="45">
        <f>('T4b, THg loads inst calib'!D40-'T4b, THg loads inst calib'!D92)/'T4b, THg loads inst calib'!D40</f>
        <v>5.7116971857121029E-2</v>
      </c>
      <c r="E67" s="58">
        <f>('T4b, THg loads inst calib'!E40-'T4b, THg loads inst calib'!E92)/'T4b, THg loads inst calib'!E40</f>
        <v>0.6754754980534573</v>
      </c>
      <c r="F67" s="58">
        <f>('T4b, THg loads inst calib'!F40-'T4b, THg loads inst calib'!F92)/'T4b, THg loads inst calib'!F40</f>
        <v>0.53914104884191205</v>
      </c>
      <c r="H67" s="10"/>
      <c r="J67" s="45">
        <f>('T4b, THg loads inst calib'!K40-'T4b, THg loads inst calib'!K92)/'T4b, THg loads inst calib'!K40</f>
        <v>0.70500310717770631</v>
      </c>
      <c r="K67" s="56">
        <f>('T4b, THg loads inst calib'!L40-'T4b, THg loads inst calib'!L92)/'T4b, THg loads inst calib'!L40</f>
        <v>0.68243217238475362</v>
      </c>
      <c r="L67" s="45">
        <f>('T4b, THg loads inst calib'!M40-'T4b, THg loads inst calib'!M92)/'T4b, THg loads inst calib'!M40</f>
        <v>0.73808084971718413</v>
      </c>
      <c r="M67" s="56">
        <f>('T4b, THg loads inst calib'!N40-'T4b, THg loads inst calib'!N92)/'T4b, THg loads inst calib'!N40</f>
        <v>0.71804077402180977</v>
      </c>
      <c r="N67" s="53">
        <f>('T4b, THg loads inst calib'!T40-'T4b, THg loads inst calib'!T92)/'T4b, THg loads inst calib'!T40</f>
        <v>0.6718706003670557</v>
      </c>
      <c r="O67" s="53">
        <f>('T4b, THg loads inst calib'!U40-'T4b, THg loads inst calib'!U92)/'T4b, THg loads inst calib'!U40</f>
        <v>0.69890042537724073</v>
      </c>
    </row>
    <row r="68" spans="1:15">
      <c r="A68" s="62" t="s">
        <v>128</v>
      </c>
      <c r="B68" s="45">
        <f>('T4b, THg loads inst calib'!B41-'T4b, THg loads inst calib'!B93)/'T4b, THg loads inst calib'!B41</f>
        <v>0.54146617605434466</v>
      </c>
      <c r="C68" s="56">
        <f>('T4b, THg loads inst calib'!C41-'T4b, THg loads inst calib'!C93)/'T4b, THg loads inst calib'!C41</f>
        <v>0.18001972147970285</v>
      </c>
      <c r="D68" s="45">
        <f>('T4b, THg loads inst calib'!D41-'T4b, THg loads inst calib'!D93)/'T4b, THg loads inst calib'!D41</f>
        <v>-8.9713628893495045E-2</v>
      </c>
      <c r="E68" s="58">
        <f>('T4b, THg loads inst calib'!E41-'T4b, THg loads inst calib'!E93)/'T4b, THg loads inst calib'!E41</f>
        <v>0.16500114315171024</v>
      </c>
      <c r="F68" s="58">
        <f>('T4b, THg loads inst calib'!F41-'T4b, THg loads inst calib'!F93)/'T4b, THg loads inst calib'!F41</f>
        <v>0.60849910856159861</v>
      </c>
      <c r="H68" s="10"/>
      <c r="J68" s="45">
        <f>('T4b, THg loads inst calib'!K41-'T4b, THg loads inst calib'!K93)/'T4b, THg loads inst calib'!K41</f>
        <v>0.6021313565435058</v>
      </c>
      <c r="K68" s="56">
        <f>('T4b, THg loads inst calib'!L41-'T4b, THg loads inst calib'!L93)/'T4b, THg loads inst calib'!L41</f>
        <v>0.15257207507170065</v>
      </c>
      <c r="L68" s="45">
        <f>('T4b, THg loads inst calib'!M41-'T4b, THg loads inst calib'!M93)/'T4b, THg loads inst calib'!M41</f>
        <v>0.82278251302902961</v>
      </c>
      <c r="M68" s="56">
        <f>('T4b, THg loads inst calib'!N41-'T4b, THg loads inst calib'!N93)/'T4b, THg loads inst calib'!N41</f>
        <v>0.62254113332447381</v>
      </c>
      <c r="N68" s="53">
        <f>('T4b, THg loads inst calib'!T41-'T4b, THg loads inst calib'!T93)/'T4b, THg loads inst calib'!T41</f>
        <v>0.13956969932650318</v>
      </c>
      <c r="O68" s="53">
        <f>('T4b, THg loads inst calib'!U41-'T4b, THg loads inst calib'!U93)/'T4b, THg loads inst calib'!U41</f>
        <v>0.56256254576292652</v>
      </c>
    </row>
    <row r="69" spans="1:15">
      <c r="A69" s="62" t="s">
        <v>247</v>
      </c>
      <c r="B69" s="45">
        <f>('T4b, THg loads inst calib'!B42-'T4b, THg loads inst calib'!B94)/'T4b, THg loads inst calib'!B42</f>
        <v>2.9837518463810959E-2</v>
      </c>
      <c r="C69" s="56">
        <f>('T4b, THg loads inst calib'!C42-'T4b, THg loads inst calib'!C94)/'T4b, THg loads inst calib'!C42</f>
        <v>0.72186460383644824</v>
      </c>
      <c r="D69" s="45">
        <f>('T4b, THg loads inst calib'!D42-'T4b, THg loads inst calib'!D94)/'T4b, THg loads inst calib'!D42</f>
        <v>-6.0695167484628013E-2</v>
      </c>
      <c r="E69" s="58">
        <f>('T4b, THg loads inst calib'!E42-'T4b, THg loads inst calib'!E94)/'T4b, THg loads inst calib'!E42</f>
        <v>0.71015354032561573</v>
      </c>
      <c r="F69" s="58">
        <f>('T4b, THg loads inst calib'!F42-'T4b, THg loads inst calib'!F94)/'T4b, THg loads inst calib'!F42</f>
        <v>0.62509298682596126</v>
      </c>
      <c r="H69" s="10"/>
      <c r="J69" s="45">
        <f>('T4b, THg loads inst calib'!K42-'T4b, THg loads inst calib'!K94)/'T4b, THg loads inst calib'!K42</f>
        <v>0.71254023254819965</v>
      </c>
      <c r="K69" s="56">
        <f>('T4b, THg loads inst calib'!L42-'T4b, THg loads inst calib'!L94)/'T4b, THg loads inst calib'!L42</f>
        <v>0.71213101567991022</v>
      </c>
      <c r="L69" s="45">
        <f>('T4b, THg loads inst calib'!M42-'T4b, THg loads inst calib'!M94)/'T4b, THg loads inst calib'!M42</f>
        <v>0.70679851668726812</v>
      </c>
      <c r="M69" s="56">
        <f>('T4b, THg loads inst calib'!N42-'T4b, THg loads inst calib'!N94)/'T4b, THg loads inst calib'!N42</f>
        <v>0.70638112612912973</v>
      </c>
      <c r="N69" s="53">
        <f>('T4b, THg loads inst calib'!T42-'T4b, THg loads inst calib'!T94)/'T4b, THg loads inst calib'!T42</f>
        <v>0.70069768594671322</v>
      </c>
      <c r="O69" s="53">
        <f>('T4b, THg loads inst calib'!U42-'T4b, THg loads inst calib'!U94)/'T4b, THg loads inst calib'!U42</f>
        <v>0.6851024179230415</v>
      </c>
    </row>
    <row r="70" spans="1:15">
      <c r="A70" s="2" t="s">
        <v>253</v>
      </c>
      <c r="B70" s="45">
        <f>('T4b, THg loads inst calib'!B43-'T4b, THg loads inst calib'!B95)/'T4b, THg loads inst calib'!B43</f>
        <v>5.0244532338470572E-2</v>
      </c>
      <c r="C70" s="107">
        <f>('T4b, THg loads inst calib'!C43-'T4b, THg loads inst calib'!C95)/'T4b, THg loads inst calib'!C43</f>
        <v>0.67697997631520035</v>
      </c>
      <c r="D70" s="530">
        <f>('T4b, THg loads inst calib'!D43-'T4b, THg loads inst calib'!D95)/'T4b, THg loads inst calib'!D43</f>
        <v>-2.3687629003257268E-2</v>
      </c>
      <c r="E70" s="108">
        <f>('T4b, THg loads inst calib'!E43-'T4b, THg loads inst calib'!E95)/'T4b, THg loads inst calib'!E43</f>
        <v>0.66423188387133569</v>
      </c>
      <c r="F70" s="108">
        <f>('T4b, THg loads inst calib'!F43-'T4b, THg loads inst calib'!F95)/'T4b, THg loads inst calib'!F43</f>
        <v>0.57571456721397296</v>
      </c>
      <c r="H70" s="10"/>
      <c r="J70" s="109">
        <f>('T4b, THg loads inst calib'!K43-'T4b, THg loads inst calib'!K95)/'T4b, THg loads inst calib'!K43</f>
        <v>0.69265178387588866</v>
      </c>
      <c r="K70" s="107">
        <f>('T4b, THg loads inst calib'!L43-'T4b, THg loads inst calib'!L95)/'T4b, THg loads inst calib'!L43</f>
        <v>0.67009727942618635</v>
      </c>
      <c r="L70" s="109">
        <f>('T4b, THg loads inst calib'!M43-'T4b, THg loads inst calib'!M95)/'T4b, THg loads inst calib'!M43</f>
        <v>0.73381244916395494</v>
      </c>
      <c r="M70" s="107">
        <f>('T4b, THg loads inst calib'!N43-'T4b, THg loads inst calib'!N95)/'T4b, THg loads inst calib'!N43</f>
        <v>0.70836054150729355</v>
      </c>
      <c r="N70" s="108">
        <f>('T4b, THg loads inst calib'!T43-'T4b, THg loads inst calib'!T95)/'T4b, THg loads inst calib'!T43</f>
        <v>0.65382213888625151</v>
      </c>
      <c r="O70" s="108">
        <f>('T4b, THg loads inst calib'!U43-'T4b, THg loads inst calib'!U95)/'T4b, THg loads inst calib'!U43</f>
        <v>0.68159011781103906</v>
      </c>
    </row>
    <row r="71" spans="1:15">
      <c r="A71" s="2" t="s">
        <v>253</v>
      </c>
      <c r="H71" s="87" t="s">
        <v>263</v>
      </c>
      <c r="J71" s="109">
        <f>('T4b, THg loads inst calib'!K44-'T4b, THg loads inst calib'!K96)/'T4b, THg loads inst calib'!K44</f>
        <v>0.69265178387588866</v>
      </c>
      <c r="K71" s="107">
        <f>('T4b, THg loads inst calib'!L44-'T4b, THg loads inst calib'!L96)/'T4b, THg loads inst calib'!L44</f>
        <v>0.66436031628287429</v>
      </c>
      <c r="L71" s="109">
        <f>('T4b, THg loads inst calib'!M44-'T4b, THg loads inst calib'!M96)/'T4b, THg loads inst calib'!M44</f>
        <v>0.73381244916395494</v>
      </c>
      <c r="M71" s="107">
        <f>('T4b, THg loads inst calib'!N44-'T4b, THg loads inst calib'!N96)/'T4b, THg loads inst calib'!N44</f>
        <v>0.70930982942172494</v>
      </c>
      <c r="N71" s="108">
        <f>('T4b, THg loads inst calib'!T44-'T4b, THg loads inst calib'!T96)/'T4b, THg loads inst calib'!T44</f>
        <v>0.65237357032039045</v>
      </c>
      <c r="O71" s="108">
        <f>('T4b, THg loads inst calib'!U44-'T4b, THg loads inst calib'!U96)/'T4b, THg loads inst calib'!U44</f>
        <v>0.6888288002546451</v>
      </c>
    </row>
    <row r="72" spans="1:15">
      <c r="N72" s="26"/>
      <c r="O72" s="26"/>
    </row>
    <row r="74" spans="1:15">
      <c r="E74" s="2"/>
      <c r="F74" s="2"/>
      <c r="G74" s="2"/>
      <c r="H74" s="521" t="s">
        <v>34</v>
      </c>
      <c r="I74" s="2"/>
      <c r="J74" s="521" t="s">
        <v>91</v>
      </c>
      <c r="K74" s="521" t="s">
        <v>90</v>
      </c>
      <c r="M74" s="5" t="s">
        <v>285</v>
      </c>
    </row>
    <row r="75" spans="1:15">
      <c r="E75" s="620" t="s">
        <v>89</v>
      </c>
      <c r="F75" s="621"/>
      <c r="G75" s="110"/>
      <c r="H75" s="111">
        <v>8</v>
      </c>
      <c r="I75" s="110"/>
      <c r="J75" s="112">
        <f>AVERAGE(J56:J57,J70:J71,L56:L57,L70:L71)</f>
        <v>0.71827480518555142</v>
      </c>
      <c r="K75" s="109">
        <f>STDEV(J56,J57,J70,J71,L56:L57,L70:L71)</f>
        <v>1.826812361837624E-2</v>
      </c>
      <c r="M75" s="112">
        <f>('T4b, THg loads inst calib'!AD45-'T4b, THg loads inst calib'!AD100)/'T4b, THg loads inst calib'!AD45</f>
        <v>0.7145954619907543</v>
      </c>
    </row>
    <row r="76" spans="1:15">
      <c r="E76" s="622" t="s">
        <v>92</v>
      </c>
      <c r="F76" s="623"/>
      <c r="G76" s="113"/>
      <c r="H76" s="520">
        <v>10</v>
      </c>
      <c r="I76" s="113"/>
      <c r="J76" s="115">
        <f>AVERAGE(C56,K56,M56,K57,M57,C70,K70,M70,K71,M71)</f>
        <v>0.69456218266025727</v>
      </c>
      <c r="K76" s="107">
        <f>STDEV(C56,K56,K57,M56,M57,C70,K70,K71,M70,M71)</f>
        <v>2.0693846842360416E-2</v>
      </c>
      <c r="M76" s="115">
        <f>('T4b, THg loads inst calib'!X45-'T4b, THg loads inst calib'!X100)/'T4b, THg loads inst calib'!X45</f>
        <v>0.6910872792161602</v>
      </c>
    </row>
    <row r="77" spans="1:15">
      <c r="E77" s="624" t="s">
        <v>93</v>
      </c>
      <c r="F77" s="625"/>
      <c r="G77" s="116"/>
      <c r="H77" s="524">
        <v>12</v>
      </c>
      <c r="I77" s="116"/>
      <c r="J77" s="117">
        <f>AVERAGE(E56,F56,E70,F70,N56:O57,N70:O71)</f>
        <v>0.66595378118239235</v>
      </c>
      <c r="K77" s="108">
        <f>STDEV(E56,F56,E70,F70,N56:O57,N70:O71)</f>
        <v>3.4274458603132212E-2</v>
      </c>
      <c r="M77" s="108">
        <f>('T4b, THg loads inst calib'!Z45-'T4b, THg loads inst calib'!Z100)/'T4b, THg loads inst calib'!Z45</f>
        <v>0.66352390650225557</v>
      </c>
    </row>
    <row r="78" spans="1:15">
      <c r="E78" s="531" t="s">
        <v>313</v>
      </c>
      <c r="F78" s="529"/>
      <c r="G78" s="454"/>
      <c r="H78" s="453">
        <v>2</v>
      </c>
      <c r="I78" s="454"/>
      <c r="J78" s="530">
        <f>AVERAGE(D56,D70)</f>
        <v>1.36888685619751E-2</v>
      </c>
      <c r="K78" s="530">
        <f>STDEV(D56,D70)</f>
        <v>5.2858349770756582E-2</v>
      </c>
      <c r="L78" s="46"/>
      <c r="M78" s="532">
        <f>J78</f>
        <v>1.36888685619751E-2</v>
      </c>
    </row>
    <row r="81" spans="1:13" ht="19">
      <c r="A81" s="542" t="s">
        <v>330</v>
      </c>
    </row>
    <row r="82" spans="1:13">
      <c r="E82" s="2"/>
      <c r="F82" s="2"/>
      <c r="G82" s="2"/>
      <c r="H82" s="521" t="s">
        <v>34</v>
      </c>
      <c r="I82" s="2"/>
      <c r="J82" s="521" t="s">
        <v>91</v>
      </c>
      <c r="K82" s="521" t="s">
        <v>90</v>
      </c>
      <c r="M82" s="5" t="s">
        <v>285</v>
      </c>
    </row>
    <row r="83" spans="1:13">
      <c r="E83" s="620" t="s">
        <v>89</v>
      </c>
      <c r="F83" s="621"/>
      <c r="G83" s="110"/>
      <c r="H83" s="111">
        <v>16</v>
      </c>
      <c r="I83" s="110"/>
      <c r="J83" s="112">
        <f>AVERAGE(J36,J75)</f>
        <v>0.70497003250245704</v>
      </c>
      <c r="K83" s="109">
        <f>STDEV(J17,J18,J31,J32,L17:L18,L31:L32,J56:J57,L56:L57,J70,L70,J71,L71)</f>
        <v>4.1519342510760247E-2</v>
      </c>
      <c r="M83" s="112">
        <f>AVERAGE(M36,M75)</f>
        <v>0.69863625206859137</v>
      </c>
    </row>
    <row r="84" spans="1:13">
      <c r="E84" s="622" t="s">
        <v>92</v>
      </c>
      <c r="F84" s="623"/>
      <c r="G84" s="113"/>
      <c r="H84" s="520">
        <v>20</v>
      </c>
      <c r="I84" s="113"/>
      <c r="J84" s="115">
        <f t="shared" ref="J84:J86" si="0">AVERAGE(J37,J76)</f>
        <v>0.67992774786324794</v>
      </c>
      <c r="K84" s="107">
        <f>STDEV(C17,K17:K18,M17:M18,C31,K31:K32,M31:M32,C56,K56:K57,M56:M57,C70,K70:K71,M70:M71)</f>
        <v>4.2436063446265375E-2</v>
      </c>
      <c r="M84" s="115">
        <f t="shared" ref="M84" si="1">AVERAGE(M37,M76)</f>
        <v>0.67429288877044369</v>
      </c>
    </row>
    <row r="85" spans="1:13">
      <c r="E85" s="624" t="s">
        <v>93</v>
      </c>
      <c r="F85" s="625"/>
      <c r="G85" s="116"/>
      <c r="H85" s="524">
        <v>24</v>
      </c>
      <c r="I85" s="116"/>
      <c r="J85" s="117">
        <f t="shared" si="0"/>
        <v>0.65410655181149413</v>
      </c>
      <c r="K85" s="108">
        <f>STDEV(E17:F17,N17:O18,E31:F31,N31:O32,E56:F56,N56:O57,E70:F70,N70:O71)</f>
        <v>4.3224396734482147E-2</v>
      </c>
      <c r="M85" s="108">
        <f t="shared" ref="M85" si="2">AVERAGE(M38,M77)</f>
        <v>0.64985310132835439</v>
      </c>
    </row>
    <row r="86" spans="1:13">
      <c r="E86" s="531" t="s">
        <v>313</v>
      </c>
      <c r="F86" s="529"/>
      <c r="G86" s="454"/>
      <c r="H86" s="453">
        <v>4</v>
      </c>
      <c r="I86" s="454"/>
      <c r="J86" s="530">
        <f t="shared" si="0"/>
        <v>-1.1322821816420841E-2</v>
      </c>
      <c r="K86" s="530">
        <f>STDEV(D17,D31,D56,D70)</f>
        <v>4.3098842380463596E-2</v>
      </c>
      <c r="L86" s="46"/>
      <c r="M86" s="532">
        <f t="shared" ref="M86" si="3">AVERAGE(M39,M78)</f>
        <v>-1.1322821816420841E-2</v>
      </c>
    </row>
  </sheetData>
  <mergeCells count="11">
    <mergeCell ref="E85:F85"/>
    <mergeCell ref="E75:F75"/>
    <mergeCell ref="E76:F76"/>
    <mergeCell ref="E77:F77"/>
    <mergeCell ref="E83:F83"/>
    <mergeCell ref="E84:F84"/>
    <mergeCell ref="A1:M1"/>
    <mergeCell ref="E36:F36"/>
    <mergeCell ref="E37:F37"/>
    <mergeCell ref="E38:F38"/>
    <mergeCell ref="A2:O2"/>
  </mergeCells>
  <pageMargins left="0.7" right="0.7" top="0.75" bottom="0.75" header="0.3" footer="0.3"/>
  <pageSetup scale="82" orientation="landscape" verticalDpi="1200" r:id="rId1"/>
  <headerFooter>
    <oddHeader>&amp;LDraft&amp;RU.S. GEOLOGICAL SURVEY</oddHeader>
    <oddFooter>&amp;LPRELIMINARY - SUBJECT TO REVISION&amp;ROctober 21, 2019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96"/>
  <sheetViews>
    <sheetView zoomScaleNormal="100" workbookViewId="0">
      <selection activeCell="F13" sqref="F13"/>
    </sheetView>
  </sheetViews>
  <sheetFormatPr baseColWidth="10" defaultColWidth="8.83203125" defaultRowHeight="15"/>
  <cols>
    <col min="1" max="1" width="18.83203125" customWidth="1"/>
    <col min="7" max="7" width="2.5" customWidth="1"/>
    <col min="8" max="8" width="10.83203125" customWidth="1"/>
    <col min="9" max="9" width="4.83203125" customWidth="1"/>
    <col min="11" max="11" width="10.5" bestFit="1" customWidth="1"/>
  </cols>
  <sheetData>
    <row r="1" spans="1:13" ht="31.5" customHeight="1">
      <c r="A1" s="618" t="s">
        <v>226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</row>
    <row r="2" spans="1:13" ht="81" customHeight="1">
      <c r="A2" s="619" t="s">
        <v>140</v>
      </c>
      <c r="B2" s="619"/>
      <c r="C2" s="619"/>
      <c r="D2" s="619"/>
      <c r="E2" s="619"/>
      <c r="F2" s="619"/>
      <c r="G2" s="619"/>
      <c r="H2" s="619"/>
      <c r="I2" s="619"/>
      <c r="J2" s="619"/>
      <c r="K2" s="619"/>
      <c r="L2" s="619"/>
      <c r="M2" s="619"/>
    </row>
    <row r="4" spans="1:13">
      <c r="B4" s="42" t="s">
        <v>27</v>
      </c>
      <c r="C4" s="40" t="s">
        <v>56</v>
      </c>
      <c r="D4" s="40" t="s">
        <v>57</v>
      </c>
      <c r="E4" s="41" t="s">
        <v>58</v>
      </c>
      <c r="F4" s="41" t="s">
        <v>59</v>
      </c>
      <c r="G4" s="43"/>
      <c r="H4" s="40" t="s">
        <v>56</v>
      </c>
      <c r="I4" s="44"/>
      <c r="J4" s="40" t="s">
        <v>16</v>
      </c>
      <c r="K4" s="40" t="s">
        <v>60</v>
      </c>
      <c r="L4" s="40" t="s">
        <v>17</v>
      </c>
      <c r="M4" s="40" t="s">
        <v>61</v>
      </c>
    </row>
    <row r="5" spans="1:13">
      <c r="B5" s="41" t="s">
        <v>30</v>
      </c>
      <c r="C5" s="41" t="s">
        <v>35</v>
      </c>
      <c r="D5" s="41" t="s">
        <v>35</v>
      </c>
      <c r="E5" s="41" t="s">
        <v>35</v>
      </c>
      <c r="F5" s="41" t="s">
        <v>35</v>
      </c>
      <c r="G5" s="43"/>
      <c r="H5" s="40" t="s">
        <v>29</v>
      </c>
      <c r="I5" s="44"/>
      <c r="J5" s="41" t="s">
        <v>35</v>
      </c>
      <c r="K5" s="41" t="s">
        <v>35</v>
      </c>
      <c r="L5" s="41" t="s">
        <v>35</v>
      </c>
      <c r="M5" s="41" t="s">
        <v>35</v>
      </c>
    </row>
    <row r="6" spans="1:13" ht="32">
      <c r="A6" s="17"/>
      <c r="B6" s="19" t="s">
        <v>28</v>
      </c>
      <c r="C6" s="18" t="s">
        <v>8</v>
      </c>
      <c r="D6" s="18" t="s">
        <v>8</v>
      </c>
      <c r="E6" s="19" t="s">
        <v>8</v>
      </c>
      <c r="F6" s="19" t="s">
        <v>8</v>
      </c>
      <c r="G6" s="20"/>
      <c r="H6" s="21" t="s">
        <v>136</v>
      </c>
      <c r="I6" s="22"/>
      <c r="J6" s="18" t="s">
        <v>13</v>
      </c>
      <c r="K6" s="18" t="s">
        <v>8</v>
      </c>
      <c r="L6" s="18" t="s">
        <v>13</v>
      </c>
      <c r="M6" s="18" t="s">
        <v>8</v>
      </c>
    </row>
    <row r="7" spans="1:13" ht="16">
      <c r="A7" s="1" t="s">
        <v>257</v>
      </c>
      <c r="B7" s="318"/>
      <c r="C7" s="192"/>
      <c r="D7" s="192"/>
      <c r="E7" s="318"/>
      <c r="F7" s="318"/>
      <c r="G7" s="190"/>
      <c r="H7" s="194"/>
      <c r="I7" s="192"/>
      <c r="J7" s="192"/>
      <c r="K7" s="192"/>
      <c r="L7" s="192"/>
      <c r="M7" s="192"/>
    </row>
    <row r="8" spans="1:13">
      <c r="A8" s="62" t="s">
        <v>88</v>
      </c>
      <c r="B8" s="302"/>
      <c r="C8" s="18"/>
      <c r="D8" s="18"/>
      <c r="E8" s="302"/>
      <c r="F8" s="302"/>
      <c r="G8" s="190"/>
      <c r="H8" s="21"/>
      <c r="I8" s="192"/>
      <c r="J8" s="18"/>
      <c r="K8" s="18"/>
      <c r="L8" s="18"/>
      <c r="M8" s="18"/>
    </row>
    <row r="9" spans="1:13">
      <c r="A9" s="62" t="s">
        <v>95</v>
      </c>
      <c r="B9" s="302"/>
      <c r="C9" s="18"/>
      <c r="D9" s="18"/>
      <c r="E9" s="302"/>
      <c r="F9" s="302"/>
      <c r="G9" s="190"/>
      <c r="H9" s="21"/>
      <c r="I9" s="192"/>
      <c r="J9" s="18"/>
      <c r="K9" s="18"/>
      <c r="L9" s="18"/>
      <c r="M9" s="18"/>
    </row>
    <row r="10" spans="1:13">
      <c r="A10" s="62" t="s">
        <v>125</v>
      </c>
      <c r="B10" s="302"/>
      <c r="C10" s="18"/>
      <c r="D10" s="18"/>
      <c r="E10" s="302"/>
      <c r="F10" s="302"/>
      <c r="G10" s="190"/>
      <c r="H10" s="21"/>
      <c r="I10" s="192"/>
      <c r="J10" s="18"/>
      <c r="K10" s="18"/>
      <c r="L10" s="18"/>
      <c r="M10" s="18"/>
    </row>
    <row r="11" spans="1:13">
      <c r="A11" s="62" t="s">
        <v>128</v>
      </c>
      <c r="B11" s="302"/>
      <c r="C11" s="18"/>
      <c r="D11" s="18"/>
      <c r="E11" s="302"/>
      <c r="F11" s="302"/>
      <c r="G11" s="190"/>
      <c r="H11" s="21"/>
      <c r="I11" s="192"/>
      <c r="J11" s="18"/>
      <c r="K11" s="18"/>
      <c r="L11" s="18"/>
      <c r="M11" s="18"/>
    </row>
    <row r="12" spans="1:13">
      <c r="A12" s="62" t="s">
        <v>247</v>
      </c>
      <c r="B12" s="302"/>
      <c r="C12" s="18"/>
      <c r="D12" s="18"/>
      <c r="E12" s="302"/>
      <c r="F12" s="302"/>
      <c r="G12" s="190"/>
      <c r="H12" s="21"/>
      <c r="I12" s="192"/>
      <c r="J12" s="18"/>
      <c r="K12" s="18"/>
      <c r="L12" s="18"/>
      <c r="M12" s="18"/>
    </row>
    <row r="13" spans="1:13">
      <c r="A13" s="2" t="s">
        <v>258</v>
      </c>
      <c r="B13" s="302"/>
      <c r="C13" s="18"/>
      <c r="D13" s="18"/>
      <c r="E13" s="302"/>
      <c r="F13" s="302"/>
      <c r="G13" s="190"/>
      <c r="H13" s="21"/>
      <c r="I13" s="10" t="s">
        <v>26</v>
      </c>
      <c r="J13" s="18"/>
      <c r="K13" s="18"/>
      <c r="L13" s="18"/>
      <c r="M13" s="18"/>
    </row>
    <row r="14" spans="1:13">
      <c r="A14" s="2" t="s">
        <v>258</v>
      </c>
      <c r="B14" s="302"/>
      <c r="C14" s="18"/>
      <c r="D14" s="18"/>
      <c r="E14" s="302"/>
      <c r="F14" s="302"/>
      <c r="G14" s="190"/>
      <c r="H14" s="21"/>
      <c r="I14" s="87" t="s">
        <v>265</v>
      </c>
      <c r="J14" s="18"/>
      <c r="K14" s="18"/>
      <c r="L14" s="18"/>
      <c r="M14" s="18"/>
    </row>
    <row r="15" spans="1:13" ht="16">
      <c r="A15" s="1" t="s">
        <v>255</v>
      </c>
      <c r="B15" s="318"/>
      <c r="C15" s="192"/>
      <c r="D15" s="192"/>
      <c r="E15" s="318"/>
      <c r="F15" s="318"/>
      <c r="G15" s="190"/>
      <c r="H15" s="194"/>
      <c r="J15" s="192"/>
      <c r="K15" s="192"/>
      <c r="L15" s="192"/>
      <c r="M15" s="192"/>
    </row>
    <row r="16" spans="1:13">
      <c r="A16" s="62" t="s">
        <v>125</v>
      </c>
      <c r="B16" s="72">
        <v>1055.6975440000001</v>
      </c>
      <c r="C16" s="381">
        <v>111.321475946316</v>
      </c>
      <c r="D16" s="388">
        <v>0.92508076530123495</v>
      </c>
      <c r="E16" s="386">
        <f>SUM(C16:D16)</f>
        <v>112.24655671161723</v>
      </c>
      <c r="F16" s="325">
        <v>84.576456914404147</v>
      </c>
      <c r="G16" s="190"/>
      <c r="H16" s="21"/>
      <c r="J16" s="322">
        <v>424.66370164676982</v>
      </c>
      <c r="K16" s="18"/>
      <c r="L16" s="18"/>
      <c r="M16" s="18"/>
    </row>
    <row r="17" spans="1:13">
      <c r="A17" s="62" t="s">
        <v>128</v>
      </c>
      <c r="B17" s="72">
        <v>17.287506015999998</v>
      </c>
      <c r="C17" s="382">
        <v>0.19873574602373414</v>
      </c>
      <c r="D17" s="389">
        <v>6.486459863096007E-3</v>
      </c>
      <c r="E17" s="387">
        <f>SUM(C17:D17)</f>
        <v>0.20522220588683016</v>
      </c>
      <c r="F17" s="326">
        <v>0.21477464742460456</v>
      </c>
      <c r="G17" s="190"/>
      <c r="H17" s="21"/>
      <c r="J17" s="323">
        <v>1.9183929207189003</v>
      </c>
      <c r="K17" s="18"/>
      <c r="L17" s="18"/>
      <c r="M17" s="18"/>
    </row>
    <row r="18" spans="1:13">
      <c r="A18" s="62" t="s">
        <v>247</v>
      </c>
      <c r="B18" s="340">
        <v>828.16597600000011</v>
      </c>
      <c r="C18" s="381">
        <v>74.745090993486684</v>
      </c>
      <c r="D18" s="388">
        <v>0.72890472138697349</v>
      </c>
      <c r="E18" s="386">
        <f>SUM(C18:D18)</f>
        <v>75.473995714873652</v>
      </c>
      <c r="F18" s="325">
        <v>68.613504842246982</v>
      </c>
      <c r="G18" s="190"/>
      <c r="H18" s="21"/>
      <c r="J18" s="322">
        <v>335.52241287333845</v>
      </c>
      <c r="K18" s="18"/>
      <c r="L18" s="18"/>
      <c r="M18" s="18"/>
    </row>
    <row r="19" spans="1:13">
      <c r="A19" s="2" t="s">
        <v>262</v>
      </c>
      <c r="B19" s="146">
        <f>SUM(B16:B18)</f>
        <v>1901.1510260160003</v>
      </c>
      <c r="C19" s="18"/>
      <c r="D19" s="18"/>
      <c r="E19" s="302"/>
      <c r="F19" s="302"/>
      <c r="G19" s="190"/>
      <c r="H19" s="21"/>
      <c r="I19" s="10" t="s">
        <v>26</v>
      </c>
      <c r="J19" s="18"/>
      <c r="K19" s="18"/>
      <c r="L19" s="18"/>
      <c r="M19" s="18"/>
    </row>
    <row r="20" spans="1:13">
      <c r="A20" s="2" t="s">
        <v>262</v>
      </c>
      <c r="B20" s="302"/>
      <c r="C20" s="18"/>
      <c r="D20" s="18"/>
      <c r="E20" s="302"/>
      <c r="F20" s="302"/>
      <c r="G20" s="190"/>
      <c r="H20" s="21"/>
      <c r="I20" s="87" t="s">
        <v>242</v>
      </c>
      <c r="J20" s="18"/>
      <c r="K20" s="18"/>
      <c r="L20" s="18"/>
      <c r="M20" s="18"/>
    </row>
    <row r="21" spans="1:13" ht="16">
      <c r="A21" s="1" t="s">
        <v>259</v>
      </c>
      <c r="B21" s="318"/>
      <c r="C21" s="192"/>
      <c r="D21" s="192"/>
      <c r="E21" s="318"/>
      <c r="F21" s="318"/>
      <c r="G21" s="190"/>
      <c r="H21" s="194"/>
      <c r="J21" s="192"/>
      <c r="K21" s="192"/>
      <c r="L21" s="192"/>
      <c r="M21" s="192"/>
    </row>
    <row r="22" spans="1:13">
      <c r="A22" s="2" t="s">
        <v>1</v>
      </c>
      <c r="B22" s="72">
        <v>204.980803196007</v>
      </c>
      <c r="C22" s="307">
        <v>8.2834094085530374</v>
      </c>
      <c r="D22" s="79">
        <v>9.6783629973036966E-2</v>
      </c>
      <c r="E22" s="83">
        <f>SUM(C22:D22)</f>
        <v>8.380193038526075</v>
      </c>
      <c r="F22" s="83">
        <v>3.1470249427831245</v>
      </c>
      <c r="H22" s="103">
        <v>251</v>
      </c>
      <c r="I22" s="10"/>
      <c r="J22" s="36">
        <v>22.327058892311701</v>
      </c>
      <c r="K22" s="81">
        <f t="shared" ref="K22:K29" si="0">J22*H22/1000</f>
        <v>5.6040917819702374</v>
      </c>
      <c r="L22" s="4" t="s">
        <v>32</v>
      </c>
      <c r="M22" s="4" t="s">
        <v>32</v>
      </c>
    </row>
    <row r="23" spans="1:13">
      <c r="A23" s="2" t="s">
        <v>2</v>
      </c>
      <c r="B23" s="72">
        <v>485</v>
      </c>
      <c r="C23" s="306">
        <v>42.639300735187376</v>
      </c>
      <c r="D23" s="79">
        <v>0.30334243257367577</v>
      </c>
      <c r="E23" s="82">
        <f>SUM(C23:D23)</f>
        <v>42.942643167761055</v>
      </c>
      <c r="F23" s="82">
        <v>17.283509638691385</v>
      </c>
      <c r="H23" s="103">
        <v>177</v>
      </c>
      <c r="I23" s="10"/>
      <c r="J23" s="143">
        <v>107.27957389764838</v>
      </c>
      <c r="K23" s="77">
        <f t="shared" si="0"/>
        <v>18.988484579883764</v>
      </c>
      <c r="L23" s="4" t="s">
        <v>32</v>
      </c>
      <c r="M23" s="4" t="s">
        <v>32</v>
      </c>
    </row>
    <row r="24" spans="1:13">
      <c r="A24" s="2" t="s">
        <v>3</v>
      </c>
      <c r="B24" s="72">
        <v>36.921198227783513</v>
      </c>
      <c r="C24" s="308">
        <v>0.19179409876991632</v>
      </c>
      <c r="D24" s="79">
        <v>1.3148749015942596E-2</v>
      </c>
      <c r="E24" s="84">
        <f>SUM(C24:D24)</f>
        <v>0.20494284778585892</v>
      </c>
      <c r="F24" s="84">
        <v>0.11856821988601675</v>
      </c>
      <c r="H24" s="103">
        <v>259</v>
      </c>
      <c r="I24" s="10"/>
      <c r="J24" s="39">
        <v>0.51232322347670534</v>
      </c>
      <c r="K24" s="78">
        <f t="shared" si="0"/>
        <v>0.13269171488046669</v>
      </c>
      <c r="L24" s="4" t="s">
        <v>32</v>
      </c>
      <c r="M24" s="4" t="s">
        <v>32</v>
      </c>
    </row>
    <row r="25" spans="1:13">
      <c r="A25" s="2" t="s">
        <v>4</v>
      </c>
      <c r="B25" s="72">
        <v>117.21609517589853</v>
      </c>
      <c r="C25" s="307">
        <v>4.4829155921054129</v>
      </c>
      <c r="D25" s="79">
        <v>0.13235482492964201</v>
      </c>
      <c r="E25" s="83">
        <f>SUM(C25:D25)</f>
        <v>4.6152704170350551</v>
      </c>
      <c r="F25" s="83">
        <v>3.1526127315406898</v>
      </c>
      <c r="H25" s="103">
        <v>255</v>
      </c>
      <c r="I25" s="10"/>
      <c r="J25" s="36">
        <v>25.351281027735499</v>
      </c>
      <c r="K25" s="81">
        <f t="shared" si="0"/>
        <v>6.4645766620725524</v>
      </c>
      <c r="L25" s="4" t="s">
        <v>32</v>
      </c>
      <c r="M25" s="4" t="s">
        <v>32</v>
      </c>
    </row>
    <row r="26" spans="1:13">
      <c r="A26" s="2" t="s">
        <v>5</v>
      </c>
      <c r="B26" s="72">
        <v>3</v>
      </c>
      <c r="C26" s="312">
        <v>6.8814900688152847E-3</v>
      </c>
      <c r="D26" s="68">
        <v>2.016924910614953E-3</v>
      </c>
      <c r="E26" s="91">
        <f t="shared" ref="E26:E30" si="1">SUM(C26:D26)</f>
        <v>8.8984149794302386E-3</v>
      </c>
      <c r="F26" s="91">
        <v>1.1359235641256375E-2</v>
      </c>
      <c r="H26" s="104">
        <v>242</v>
      </c>
      <c r="I26" s="10"/>
      <c r="J26" s="29">
        <v>1.6954627062322425E-2</v>
      </c>
      <c r="K26" s="90">
        <f t="shared" si="0"/>
        <v>4.1030197490820267E-3</v>
      </c>
      <c r="L26" s="13" t="s">
        <v>32</v>
      </c>
      <c r="M26" s="4" t="s">
        <v>32</v>
      </c>
    </row>
    <row r="27" spans="1:13">
      <c r="A27" s="2" t="s">
        <v>88</v>
      </c>
      <c r="B27" s="72">
        <v>86</v>
      </c>
      <c r="C27" s="306">
        <v>5.5402330959457595</v>
      </c>
      <c r="D27" s="79">
        <v>0.19181892763576536</v>
      </c>
      <c r="E27" s="82">
        <f t="shared" si="1"/>
        <v>5.7320520235815247</v>
      </c>
      <c r="F27" s="83">
        <v>9.037203422501479</v>
      </c>
      <c r="H27" s="104">
        <v>318</v>
      </c>
      <c r="I27" s="10"/>
      <c r="J27" s="143">
        <v>31.892775586674372</v>
      </c>
      <c r="K27" s="81">
        <f t="shared" si="0"/>
        <v>10.141902636562451</v>
      </c>
      <c r="L27" s="13" t="s">
        <v>32</v>
      </c>
      <c r="M27" s="4" t="s">
        <v>32</v>
      </c>
    </row>
    <row r="28" spans="1:13">
      <c r="A28" s="62" t="s">
        <v>95</v>
      </c>
      <c r="B28" s="72">
        <v>140.84107579462102</v>
      </c>
      <c r="C28" s="307">
        <v>9.304236606461167</v>
      </c>
      <c r="D28" s="79">
        <v>0.14000000000000001</v>
      </c>
      <c r="E28" s="83">
        <f t="shared" si="1"/>
        <v>9.4442366064611676</v>
      </c>
      <c r="F28" s="83">
        <v>7.2</v>
      </c>
      <c r="H28" s="104">
        <v>175</v>
      </c>
      <c r="I28" s="10"/>
      <c r="J28" s="143">
        <v>37</v>
      </c>
      <c r="K28" s="81">
        <f t="shared" si="0"/>
        <v>6.4749999999999996</v>
      </c>
      <c r="L28" s="13" t="s">
        <v>32</v>
      </c>
      <c r="M28" s="4" t="s">
        <v>32</v>
      </c>
    </row>
    <row r="29" spans="1:13">
      <c r="A29" s="62" t="s">
        <v>125</v>
      </c>
      <c r="B29" s="72">
        <v>1043</v>
      </c>
      <c r="C29" s="306">
        <v>73.846890915676056</v>
      </c>
      <c r="D29" s="79">
        <v>1.21</v>
      </c>
      <c r="E29" s="82">
        <f t="shared" si="1"/>
        <v>75.05689091567605</v>
      </c>
      <c r="F29" s="82">
        <v>60.9</v>
      </c>
      <c r="H29" s="104">
        <v>265</v>
      </c>
      <c r="I29" s="10"/>
      <c r="J29" s="143">
        <v>237</v>
      </c>
      <c r="K29" s="81">
        <f t="shared" si="0"/>
        <v>62.805</v>
      </c>
      <c r="L29" s="13" t="s">
        <v>32</v>
      </c>
      <c r="M29" s="4" t="s">
        <v>32</v>
      </c>
    </row>
    <row r="30" spans="1:13">
      <c r="A30" s="2" t="s">
        <v>261</v>
      </c>
      <c r="B30" s="146">
        <f>SUM(B22:B29)</f>
        <v>2116.9591723943099</v>
      </c>
      <c r="C30" s="136">
        <f>SUM(C22:C29)</f>
        <v>144.29566194276754</v>
      </c>
      <c r="D30" s="137">
        <f>SUM(D22:D29)</f>
        <v>2.0894654890386777</v>
      </c>
      <c r="E30" s="130">
        <f t="shared" si="1"/>
        <v>146.38512743180621</v>
      </c>
      <c r="F30" s="130">
        <f>SUM(F22:F29)</f>
        <v>100.85027819104396</v>
      </c>
      <c r="H30" s="13"/>
      <c r="I30" s="10" t="s">
        <v>26</v>
      </c>
      <c r="J30" s="128">
        <f>SUM(J22:J29)</f>
        <v>461.37996725490893</v>
      </c>
      <c r="K30" s="130">
        <f>SUM(K22:K29)</f>
        <v>110.61585039511854</v>
      </c>
      <c r="L30" s="11" t="s">
        <v>32</v>
      </c>
      <c r="M30" s="4" t="s">
        <v>32</v>
      </c>
    </row>
    <row r="31" spans="1:13">
      <c r="A31" s="2" t="s">
        <v>261</v>
      </c>
      <c r="C31" s="31"/>
      <c r="D31" s="31"/>
      <c r="E31" s="31"/>
      <c r="F31" s="31"/>
      <c r="H31" s="103">
        <v>219</v>
      </c>
      <c r="I31" s="87" t="s">
        <v>264</v>
      </c>
      <c r="J31" s="128">
        <f>SUM(J22:J29)</f>
        <v>461.37996725490893</v>
      </c>
      <c r="K31" s="130">
        <f>J31*H31/1000</f>
        <v>101.04221282882506</v>
      </c>
      <c r="L31" s="11" t="s">
        <v>32</v>
      </c>
      <c r="M31" s="4" t="s">
        <v>32</v>
      </c>
    </row>
    <row r="32" spans="1:13">
      <c r="A32" s="331" t="s">
        <v>260</v>
      </c>
      <c r="C32" s="31"/>
      <c r="D32" s="31"/>
      <c r="E32" s="31"/>
      <c r="F32" s="31"/>
      <c r="H32" s="332"/>
      <c r="I32" s="6"/>
      <c r="J32" s="329"/>
      <c r="K32" s="330"/>
      <c r="L32" s="333"/>
      <c r="M32" s="31"/>
    </row>
    <row r="33" spans="1:13">
      <c r="A33" s="54" t="s">
        <v>1</v>
      </c>
      <c r="B33" s="72">
        <v>204.980803196007</v>
      </c>
      <c r="C33" s="31"/>
      <c r="D33" s="31"/>
      <c r="E33" s="31"/>
      <c r="F33" s="31"/>
      <c r="H33" s="332"/>
      <c r="I33" s="27"/>
      <c r="J33" s="329"/>
      <c r="K33" s="330"/>
      <c r="L33" s="333"/>
      <c r="M33" s="31"/>
    </row>
    <row r="34" spans="1:13">
      <c r="A34" s="54" t="s">
        <v>2</v>
      </c>
      <c r="B34" s="72">
        <v>485</v>
      </c>
      <c r="C34" s="31"/>
      <c r="D34" s="31"/>
      <c r="E34" s="31"/>
      <c r="F34" s="31"/>
      <c r="H34" s="332"/>
      <c r="I34" s="27"/>
      <c r="J34" s="329"/>
      <c r="K34" s="330"/>
      <c r="L34" s="333"/>
      <c r="M34" s="31"/>
    </row>
    <row r="35" spans="1:13">
      <c r="A35" s="54" t="s">
        <v>3</v>
      </c>
      <c r="B35" s="72">
        <v>36.921198227783513</v>
      </c>
      <c r="C35" s="31"/>
      <c r="D35" s="31"/>
      <c r="E35" s="31"/>
      <c r="F35" s="31"/>
      <c r="H35" s="332"/>
      <c r="I35" s="27"/>
      <c r="J35" s="329"/>
      <c r="K35" s="330"/>
      <c r="L35" s="333"/>
      <c r="M35" s="31"/>
    </row>
    <row r="36" spans="1:13">
      <c r="A36" s="54" t="s">
        <v>4</v>
      </c>
      <c r="B36" s="72">
        <v>117.21609517589853</v>
      </c>
      <c r="C36" s="31"/>
      <c r="D36" s="31"/>
      <c r="E36" s="31"/>
      <c r="F36" s="31"/>
      <c r="H36" s="332"/>
      <c r="I36" s="27"/>
      <c r="J36" s="329"/>
      <c r="K36" s="330"/>
      <c r="L36" s="333"/>
      <c r="M36" s="31"/>
    </row>
    <row r="37" spans="1:13">
      <c r="A37" s="54" t="s">
        <v>5</v>
      </c>
      <c r="B37" s="72">
        <v>3</v>
      </c>
      <c r="C37" s="31"/>
      <c r="D37" s="31"/>
      <c r="E37" s="31"/>
      <c r="F37" s="31"/>
      <c r="H37" s="332"/>
      <c r="I37" s="27"/>
      <c r="J37" s="329"/>
      <c r="K37" s="330"/>
      <c r="L37" s="333"/>
      <c r="M37" s="31"/>
    </row>
    <row r="38" spans="1:13">
      <c r="A38" s="54" t="s">
        <v>88</v>
      </c>
      <c r="B38" s="72">
        <v>86</v>
      </c>
      <c r="C38" s="31"/>
      <c r="D38" s="31"/>
      <c r="E38" s="31"/>
      <c r="F38" s="31"/>
      <c r="H38" s="332"/>
      <c r="I38" s="27"/>
      <c r="J38" s="329"/>
      <c r="K38" s="330"/>
      <c r="L38" s="333"/>
      <c r="M38" s="31"/>
    </row>
    <row r="39" spans="1:13">
      <c r="A39" s="54" t="s">
        <v>95</v>
      </c>
      <c r="B39" s="72">
        <v>140.84107579462102</v>
      </c>
      <c r="C39" s="31"/>
      <c r="D39" s="31"/>
      <c r="E39" s="31"/>
      <c r="F39" s="31"/>
      <c r="H39" s="332"/>
      <c r="I39" s="27"/>
      <c r="J39" s="329"/>
      <c r="K39" s="330"/>
      <c r="L39" s="333"/>
      <c r="M39" s="31"/>
    </row>
    <row r="40" spans="1:13">
      <c r="A40" s="54" t="s">
        <v>125</v>
      </c>
      <c r="B40" s="72">
        <v>1043</v>
      </c>
      <c r="C40" s="31"/>
      <c r="D40" s="31"/>
      <c r="E40" s="31"/>
      <c r="F40" s="31"/>
      <c r="H40" s="332"/>
      <c r="I40" s="27"/>
      <c r="J40" s="329"/>
      <c r="K40" s="330"/>
      <c r="L40" s="333"/>
      <c r="M40" s="31"/>
    </row>
    <row r="41" spans="1:13">
      <c r="A41" s="328" t="s">
        <v>128</v>
      </c>
      <c r="B41" s="2"/>
      <c r="C41" s="31"/>
      <c r="D41" s="31"/>
      <c r="E41" s="31"/>
      <c r="F41" s="31"/>
      <c r="H41" s="332"/>
      <c r="I41" s="27"/>
      <c r="J41" s="329"/>
      <c r="K41" s="330"/>
      <c r="L41" s="333"/>
      <c r="M41" s="31"/>
    </row>
    <row r="42" spans="1:13">
      <c r="A42" s="328" t="s">
        <v>247</v>
      </c>
      <c r="B42" s="2"/>
      <c r="C42" s="31"/>
      <c r="D42" s="31"/>
      <c r="E42" s="31"/>
      <c r="F42" s="31"/>
      <c r="H42" s="332"/>
      <c r="I42" s="27"/>
      <c r="J42" s="329"/>
      <c r="K42" s="330"/>
      <c r="L42" s="333"/>
      <c r="M42" s="31"/>
    </row>
    <row r="43" spans="1:13">
      <c r="A43" s="54" t="s">
        <v>253</v>
      </c>
      <c r="B43" s="2"/>
      <c r="C43" s="31"/>
      <c r="D43" s="31"/>
      <c r="E43" s="31"/>
      <c r="F43" s="31"/>
      <c r="H43" s="332"/>
      <c r="I43" s="10" t="s">
        <v>26</v>
      </c>
      <c r="J43" s="329"/>
      <c r="K43" s="330"/>
      <c r="L43" s="333"/>
      <c r="M43" s="31"/>
    </row>
    <row r="44" spans="1:13">
      <c r="A44" s="54" t="s">
        <v>253</v>
      </c>
      <c r="B44" s="2"/>
      <c r="C44" s="31"/>
      <c r="D44" s="31"/>
      <c r="E44" s="31"/>
      <c r="F44" s="31"/>
      <c r="H44" s="332"/>
      <c r="I44" s="87" t="s">
        <v>263</v>
      </c>
      <c r="J44" s="329"/>
      <c r="K44" s="330"/>
      <c r="L44" s="333"/>
      <c r="M44" s="31"/>
    </row>
    <row r="45" spans="1:13" ht="16">
      <c r="A45" s="12" t="s">
        <v>11</v>
      </c>
      <c r="H45" s="10"/>
      <c r="M45" s="26"/>
    </row>
    <row r="46" spans="1:13">
      <c r="A46" s="2" t="s">
        <v>1</v>
      </c>
      <c r="B46" s="72">
        <v>86.403555712866023</v>
      </c>
      <c r="C46" s="81">
        <v>0.80715400286245143</v>
      </c>
      <c r="D46" s="68">
        <v>5.8122339737896205E-2</v>
      </c>
      <c r="E46" s="84">
        <f>SUM(C46:D46)</f>
        <v>0.86527634260034758</v>
      </c>
      <c r="F46" s="83">
        <v>2.8726390714348433</v>
      </c>
      <c r="H46" s="103">
        <v>318</v>
      </c>
      <c r="J46" s="36">
        <v>14.051275877241876</v>
      </c>
      <c r="K46" s="81">
        <f>J46*H46/1000</f>
        <v>4.4683057289629167</v>
      </c>
      <c r="L46" s="4" t="s">
        <v>32</v>
      </c>
      <c r="M46" s="4" t="s">
        <v>32</v>
      </c>
    </row>
    <row r="47" spans="1:13">
      <c r="A47" s="2" t="s">
        <v>2</v>
      </c>
      <c r="B47" s="72">
        <v>360</v>
      </c>
      <c r="C47" s="77">
        <v>11.498597236188617</v>
      </c>
      <c r="D47" s="79">
        <v>0.12575677378691352</v>
      </c>
      <c r="E47" s="82">
        <f>SUM(C47:D47)</f>
        <v>11.62435400997553</v>
      </c>
      <c r="F47" s="82">
        <v>16.735354843981575</v>
      </c>
      <c r="H47" s="103">
        <v>217</v>
      </c>
      <c r="J47" s="36">
        <v>36.269268256252296</v>
      </c>
      <c r="K47" s="81">
        <f t="shared" ref="K47:K57" si="2">J47*H47/1000</f>
        <v>7.870431211606749</v>
      </c>
      <c r="L47" s="4" t="s">
        <v>32</v>
      </c>
      <c r="M47" s="4" t="s">
        <v>32</v>
      </c>
    </row>
    <row r="48" spans="1:13">
      <c r="A48" s="2" t="s">
        <v>3</v>
      </c>
      <c r="B48" s="72">
        <v>0</v>
      </c>
      <c r="C48" s="77">
        <v>0</v>
      </c>
      <c r="D48" s="65">
        <v>0</v>
      </c>
      <c r="E48" s="82">
        <f>SUM(C48:D48)</f>
        <v>0</v>
      </c>
      <c r="F48" s="82">
        <v>0</v>
      </c>
      <c r="H48" s="103" t="s">
        <v>19</v>
      </c>
      <c r="J48" s="143">
        <v>0</v>
      </c>
      <c r="K48" s="77" t="s">
        <v>19</v>
      </c>
      <c r="L48" s="4" t="s">
        <v>32</v>
      </c>
      <c r="M48" s="4" t="s">
        <v>32</v>
      </c>
    </row>
    <row r="49" spans="1:13">
      <c r="A49" s="2" t="s">
        <v>4</v>
      </c>
      <c r="B49" s="72">
        <v>63.341694194967005</v>
      </c>
      <c r="C49" s="81">
        <v>1.1753458370792842</v>
      </c>
      <c r="D49" s="68">
        <v>5.4985419696308539E-2</v>
      </c>
      <c r="E49" s="83">
        <f>SUM(C49:D49)</f>
        <v>1.2303312567755926</v>
      </c>
      <c r="F49" s="83">
        <v>3.6158376226277009</v>
      </c>
      <c r="H49" s="103">
        <v>243</v>
      </c>
      <c r="J49" s="36">
        <v>10.175184401620006</v>
      </c>
      <c r="K49" s="81">
        <f t="shared" si="2"/>
        <v>2.4725698095936615</v>
      </c>
      <c r="L49" s="4" t="s">
        <v>32</v>
      </c>
      <c r="M49" s="4" t="s">
        <v>32</v>
      </c>
    </row>
    <row r="50" spans="1:13">
      <c r="A50" s="2" t="s">
        <v>5</v>
      </c>
      <c r="B50" s="72">
        <v>0</v>
      </c>
      <c r="C50" s="77">
        <v>0</v>
      </c>
      <c r="D50" s="65">
        <v>0</v>
      </c>
      <c r="E50" s="82">
        <v>0</v>
      </c>
      <c r="F50" s="82">
        <v>0</v>
      </c>
      <c r="H50" s="104" t="s">
        <v>19</v>
      </c>
      <c r="J50" s="143">
        <v>0</v>
      </c>
      <c r="K50" s="77">
        <v>0</v>
      </c>
      <c r="L50" s="13" t="s">
        <v>32</v>
      </c>
      <c r="M50" s="4" t="s">
        <v>32</v>
      </c>
    </row>
    <row r="51" spans="1:13">
      <c r="A51" s="2" t="s">
        <v>88</v>
      </c>
      <c r="B51" s="72">
        <v>66.400000000000006</v>
      </c>
      <c r="C51" s="77">
        <v>12.205017736616952</v>
      </c>
      <c r="D51" s="68">
        <v>9.1359215765682539E-2</v>
      </c>
      <c r="E51" s="82">
        <f>SUM(C51:D51)</f>
        <v>12.296376952382635</v>
      </c>
      <c r="F51" s="83">
        <v>6.4381557176064179</v>
      </c>
      <c r="H51" s="104">
        <v>356</v>
      </c>
      <c r="J51" s="143">
        <v>10.129657064582796</v>
      </c>
      <c r="K51" s="81">
        <f t="shared" si="2"/>
        <v>3.6061579149914755</v>
      </c>
      <c r="L51" s="13" t="s">
        <v>32</v>
      </c>
      <c r="M51" s="4" t="s">
        <v>32</v>
      </c>
    </row>
    <row r="52" spans="1:13">
      <c r="A52" s="2" t="s">
        <v>95</v>
      </c>
      <c r="B52" s="72">
        <v>61.2</v>
      </c>
      <c r="C52" s="81">
        <v>0.9</v>
      </c>
      <c r="D52" s="79">
        <v>7.0000000000000007E-2</v>
      </c>
      <c r="E52" s="83">
        <f>SUM(C52:D52)</f>
        <v>0.97</v>
      </c>
      <c r="F52" s="83">
        <v>0.92</v>
      </c>
      <c r="H52" s="148">
        <v>203</v>
      </c>
      <c r="J52" s="36">
        <v>6</v>
      </c>
      <c r="K52" s="81">
        <f t="shared" si="2"/>
        <v>1.218</v>
      </c>
      <c r="L52" s="13" t="s">
        <v>32</v>
      </c>
      <c r="M52" s="4" t="s">
        <v>32</v>
      </c>
    </row>
    <row r="53" spans="1:13">
      <c r="A53" s="2" t="s">
        <v>125</v>
      </c>
      <c r="B53" s="72">
        <v>1026.16425</v>
      </c>
      <c r="C53" s="77">
        <v>28.5</v>
      </c>
      <c r="D53" s="79">
        <v>0.45</v>
      </c>
      <c r="E53" s="82">
        <f>SUM(C53:D53)</f>
        <v>28.95</v>
      </c>
      <c r="F53" s="82">
        <v>27.5</v>
      </c>
      <c r="H53" s="148">
        <v>237</v>
      </c>
      <c r="J53" s="143">
        <v>72.3</v>
      </c>
      <c r="K53" s="77">
        <f t="shared" si="2"/>
        <v>17.135099999999998</v>
      </c>
      <c r="L53" s="13" t="s">
        <v>32</v>
      </c>
      <c r="M53" s="4" t="s">
        <v>32</v>
      </c>
    </row>
    <row r="54" spans="1:13">
      <c r="A54" s="62" t="s">
        <v>128</v>
      </c>
      <c r="B54" s="72">
        <v>0</v>
      </c>
      <c r="C54" s="77">
        <v>0</v>
      </c>
      <c r="D54" s="65">
        <v>0</v>
      </c>
      <c r="E54" s="82">
        <v>0</v>
      </c>
      <c r="F54" s="82">
        <v>0</v>
      </c>
      <c r="H54" s="104" t="s">
        <v>19</v>
      </c>
      <c r="J54" s="143">
        <v>0</v>
      </c>
      <c r="K54" s="77">
        <v>0</v>
      </c>
      <c r="L54" s="13" t="s">
        <v>32</v>
      </c>
      <c r="M54" s="4" t="s">
        <v>32</v>
      </c>
    </row>
    <row r="55" spans="1:13">
      <c r="A55" s="62" t="s">
        <v>247</v>
      </c>
      <c r="B55" s="72"/>
      <c r="C55" s="77"/>
      <c r="D55" s="65"/>
      <c r="E55" s="82"/>
      <c r="F55" s="82"/>
      <c r="H55" s="303"/>
      <c r="J55" s="143"/>
      <c r="K55" s="77"/>
      <c r="L55" s="13"/>
      <c r="M55" s="4"/>
    </row>
    <row r="56" spans="1:13">
      <c r="A56" s="2" t="s">
        <v>253</v>
      </c>
      <c r="B56" s="146">
        <f>SUM(B46:B53)</f>
        <v>1663.5094999078331</v>
      </c>
      <c r="C56" s="136">
        <f>SUM(C46:C53)</f>
        <v>55.086114812747304</v>
      </c>
      <c r="D56" s="137">
        <f>SUM(D46:D53)</f>
        <v>0.85022374898680086</v>
      </c>
      <c r="E56" s="130">
        <f>SUM(E46:E53)</f>
        <v>55.936338561734104</v>
      </c>
      <c r="F56" s="130">
        <f>SUM(F46:F53)</f>
        <v>58.081987255650539</v>
      </c>
      <c r="H56" s="3"/>
      <c r="I56" s="10" t="s">
        <v>26</v>
      </c>
      <c r="J56" s="128">
        <f>SUM(J46:J53)</f>
        <v>148.92538559969699</v>
      </c>
      <c r="K56" s="130">
        <f>SUM(K46:K53)</f>
        <v>36.770564665154801</v>
      </c>
      <c r="L56" s="11" t="s">
        <v>32</v>
      </c>
      <c r="M56" s="4" t="s">
        <v>32</v>
      </c>
    </row>
    <row r="57" spans="1:13">
      <c r="A57" s="2" t="s">
        <v>253</v>
      </c>
      <c r="B57" s="37"/>
      <c r="C57" s="31"/>
      <c r="D57" s="32"/>
      <c r="E57" s="31"/>
      <c r="F57" s="31"/>
      <c r="H57" s="103">
        <v>277</v>
      </c>
      <c r="I57" s="87" t="s">
        <v>263</v>
      </c>
      <c r="J57" s="128">
        <f>SUM(J46:J53)</f>
        <v>148.92538559969699</v>
      </c>
      <c r="K57" s="130">
        <f t="shared" si="2"/>
        <v>41.252331811116072</v>
      </c>
      <c r="L57" s="11" t="s">
        <v>32</v>
      </c>
      <c r="M57" s="4" t="s">
        <v>32</v>
      </c>
    </row>
    <row r="58" spans="1:13" ht="16">
      <c r="A58" s="12" t="s">
        <v>12</v>
      </c>
      <c r="B58" s="37"/>
      <c r="H58" s="10"/>
      <c r="J58" s="9"/>
      <c r="M58" s="26"/>
    </row>
    <row r="59" spans="1:13">
      <c r="A59" s="2" t="s">
        <v>1</v>
      </c>
      <c r="B59" s="72">
        <v>85</v>
      </c>
      <c r="C59" s="78">
        <v>0.48676930532408941</v>
      </c>
      <c r="D59" s="68">
        <v>6.1786397710660829E-2</v>
      </c>
      <c r="E59" s="84">
        <f t="shared" ref="E59:E67" si="3">SUM(C59:D59)</f>
        <v>0.54855570303475021</v>
      </c>
      <c r="F59" s="84">
        <v>0.44593920591543768</v>
      </c>
      <c r="H59" s="103">
        <v>318</v>
      </c>
      <c r="J59" s="36">
        <v>1.818523719687591</v>
      </c>
      <c r="K59" s="78">
        <f>J59*H59/1000</f>
        <v>0.57829054286065384</v>
      </c>
      <c r="L59" s="4" t="s">
        <v>32</v>
      </c>
      <c r="M59" s="4" t="s">
        <v>32</v>
      </c>
    </row>
    <row r="60" spans="1:13">
      <c r="A60" s="2" t="s">
        <v>2</v>
      </c>
      <c r="B60" s="72">
        <v>95.92362156151502</v>
      </c>
      <c r="C60" s="78">
        <v>0.56626636143731646</v>
      </c>
      <c r="D60" s="68">
        <v>4.2866931773217286E-2</v>
      </c>
      <c r="E60" s="84">
        <f t="shared" si="3"/>
        <v>0.60913329321053378</v>
      </c>
      <c r="F60" s="84">
        <v>0.54382988748690242</v>
      </c>
      <c r="H60" s="103">
        <v>266</v>
      </c>
      <c r="J60" s="36">
        <v>2.071117691649818</v>
      </c>
      <c r="K60" s="81">
        <f>J60*H60/1000</f>
        <v>0.55091730597885158</v>
      </c>
      <c r="L60" s="4" t="s">
        <v>32</v>
      </c>
      <c r="M60" s="4" t="s">
        <v>32</v>
      </c>
    </row>
    <row r="61" spans="1:13">
      <c r="A61" s="2" t="s">
        <v>3</v>
      </c>
      <c r="B61" s="72">
        <v>22.120468177770004</v>
      </c>
      <c r="C61" s="78">
        <v>0.10195362324803349</v>
      </c>
      <c r="D61" s="68">
        <v>9.4417366043602208E-3</v>
      </c>
      <c r="E61" s="84">
        <f t="shared" si="3"/>
        <v>0.11139535985239371</v>
      </c>
      <c r="F61" s="91">
        <v>9.4445777793617069E-2</v>
      </c>
      <c r="H61" s="103">
        <v>348</v>
      </c>
      <c r="J61" s="39">
        <v>0.35399669545231066</v>
      </c>
      <c r="K61" s="78">
        <f>J61*H61/1000</f>
        <v>0.12319085001740411</v>
      </c>
      <c r="L61" s="4" t="s">
        <v>32</v>
      </c>
      <c r="M61" s="4" t="s">
        <v>32</v>
      </c>
    </row>
    <row r="62" spans="1:13">
      <c r="A62" s="2" t="s">
        <v>4</v>
      </c>
      <c r="B62" s="72">
        <v>39</v>
      </c>
      <c r="C62" s="78">
        <v>0.38535404266861173</v>
      </c>
      <c r="D62" s="68">
        <v>3.834807213790134E-2</v>
      </c>
      <c r="E62" s="84">
        <f t="shared" si="3"/>
        <v>0.4237021148065131</v>
      </c>
      <c r="F62" s="84">
        <v>0.45546045805555418</v>
      </c>
      <c r="H62" s="103">
        <v>286</v>
      </c>
      <c r="J62" s="36">
        <v>2.2543061810729563</v>
      </c>
      <c r="K62" s="78">
        <f>J62*H62/1000</f>
        <v>0.64473156778686558</v>
      </c>
      <c r="L62" s="4" t="s">
        <v>32</v>
      </c>
      <c r="M62" s="4" t="s">
        <v>32</v>
      </c>
    </row>
    <row r="63" spans="1:13">
      <c r="A63" s="2" t="s">
        <v>5</v>
      </c>
      <c r="B63" s="85">
        <v>0.65</v>
      </c>
      <c r="C63" s="90">
        <v>4.198576737568684E-3</v>
      </c>
      <c r="D63" s="92">
        <v>3.6516635219180761E-4</v>
      </c>
      <c r="E63" s="91">
        <f t="shared" si="3"/>
        <v>4.5637430897604919E-3</v>
      </c>
      <c r="F63" s="91">
        <v>4.9593074406742363E-3</v>
      </c>
      <c r="H63" s="104" t="s">
        <v>19</v>
      </c>
      <c r="J63" s="29">
        <v>3.3875363453196245E-3</v>
      </c>
      <c r="K63" s="90">
        <v>0</v>
      </c>
      <c r="L63" s="13" t="s">
        <v>32</v>
      </c>
      <c r="M63" s="4" t="s">
        <v>32</v>
      </c>
    </row>
    <row r="64" spans="1:13">
      <c r="A64" s="2" t="s">
        <v>88</v>
      </c>
      <c r="B64" s="72">
        <v>17</v>
      </c>
      <c r="C64" s="78">
        <v>0.12191434608161009</v>
      </c>
      <c r="D64" s="68">
        <v>3.3836234950463721E-2</v>
      </c>
      <c r="E64" s="84">
        <f t="shared" si="3"/>
        <v>0.15575058103207381</v>
      </c>
      <c r="F64" s="84">
        <v>0.1324169424536113</v>
      </c>
      <c r="H64" s="104">
        <v>304</v>
      </c>
      <c r="J64" s="39">
        <v>0.4666478437036774</v>
      </c>
      <c r="K64" s="78">
        <f>J64*H64/1000</f>
        <v>0.14186094448591793</v>
      </c>
      <c r="L64" s="13" t="s">
        <v>32</v>
      </c>
      <c r="M64" s="4" t="s">
        <v>32</v>
      </c>
    </row>
    <row r="65" spans="1:13">
      <c r="A65" s="2" t="s">
        <v>95</v>
      </c>
      <c r="B65" s="72">
        <v>52.023969000000001</v>
      </c>
      <c r="C65" s="78">
        <v>0.726494132551467</v>
      </c>
      <c r="D65" s="68">
        <v>4.4578101872696112E-2</v>
      </c>
      <c r="E65" s="84">
        <f t="shared" si="3"/>
        <v>0.77107223442416306</v>
      </c>
      <c r="F65" s="84">
        <v>0.74859021443993456</v>
      </c>
      <c r="H65" s="104">
        <v>217</v>
      </c>
      <c r="J65" s="36">
        <v>3.975879390894077</v>
      </c>
      <c r="K65" s="81">
        <f>J65*H65/1000</f>
        <v>0.86276582782401479</v>
      </c>
      <c r="L65" s="13" t="s">
        <v>32</v>
      </c>
      <c r="M65" s="4" t="s">
        <v>32</v>
      </c>
    </row>
    <row r="66" spans="1:13">
      <c r="A66" s="2" t="s">
        <v>125</v>
      </c>
      <c r="B66" s="72">
        <v>31.800677832000002</v>
      </c>
      <c r="C66" s="78">
        <v>0.63350814839320868</v>
      </c>
      <c r="D66" s="68">
        <v>1.7599740853466671E-2</v>
      </c>
      <c r="E66" s="84">
        <f t="shared" si="3"/>
        <v>0.6511078892466754</v>
      </c>
      <c r="F66" s="84">
        <v>0.64979070714032938</v>
      </c>
      <c r="H66" s="104">
        <v>266</v>
      </c>
      <c r="J66" s="39">
        <v>1.7799750534670713</v>
      </c>
      <c r="K66" s="78">
        <f>J66*H66/1000</f>
        <v>0.47347336422224096</v>
      </c>
      <c r="L66" s="13" t="s">
        <v>32</v>
      </c>
      <c r="M66" s="4" t="s">
        <v>32</v>
      </c>
    </row>
    <row r="67" spans="1:13">
      <c r="A67" s="62" t="s">
        <v>128</v>
      </c>
      <c r="B67" s="93">
        <v>8.4</v>
      </c>
      <c r="C67" s="90">
        <v>4.1737907153218505E-2</v>
      </c>
      <c r="D67" s="92">
        <v>3.7708053338479028E-3</v>
      </c>
      <c r="E67" s="91">
        <f t="shared" si="3"/>
        <v>4.5508712487066408E-2</v>
      </c>
      <c r="F67" s="91">
        <v>5.0779750131318607E-2</v>
      </c>
      <c r="H67" s="104">
        <v>316</v>
      </c>
      <c r="J67" s="39">
        <v>0.11335127653661574</v>
      </c>
      <c r="K67" s="78">
        <f>J67*H67/1000</f>
        <v>3.5819003385570578E-2</v>
      </c>
      <c r="L67" s="13" t="s">
        <v>32</v>
      </c>
      <c r="M67" s="4" t="s">
        <v>32</v>
      </c>
    </row>
    <row r="68" spans="1:13">
      <c r="A68" s="62" t="s">
        <v>247</v>
      </c>
      <c r="B68" s="93"/>
      <c r="C68" s="90"/>
      <c r="D68" s="92"/>
      <c r="E68" s="91"/>
      <c r="F68" s="91"/>
      <c r="H68" s="303"/>
      <c r="J68" s="39"/>
      <c r="K68" s="78"/>
      <c r="L68" s="13"/>
      <c r="M68" s="4"/>
    </row>
    <row r="69" spans="1:13">
      <c r="A69" s="2" t="s">
        <v>253</v>
      </c>
      <c r="B69" s="146">
        <f>SUM(B59:B67)</f>
        <v>351.91873657128502</v>
      </c>
      <c r="C69" s="138">
        <f>SUM(C59:C67)</f>
        <v>3.0681964435951246</v>
      </c>
      <c r="D69" s="137">
        <f>SUM(D59:D67)</f>
        <v>0.25259318758880589</v>
      </c>
      <c r="E69" s="139">
        <f>SUM(E59:E67)</f>
        <v>3.32078963118393</v>
      </c>
      <c r="F69" s="139">
        <f>SUM(F59:F67)</f>
        <v>3.1262122508573791</v>
      </c>
      <c r="H69" s="3"/>
      <c r="I69" s="10" t="s">
        <v>26</v>
      </c>
      <c r="J69" s="128">
        <f>SUM(J59:J67)</f>
        <v>12.837185388809436</v>
      </c>
      <c r="K69" s="139">
        <f>SUM(K59:K67)</f>
        <v>3.4110494065615193</v>
      </c>
      <c r="L69" s="11" t="s">
        <v>32</v>
      </c>
      <c r="M69" s="4" t="s">
        <v>32</v>
      </c>
    </row>
    <row r="70" spans="1:13">
      <c r="A70" s="2" t="s">
        <v>253</v>
      </c>
      <c r="B70" s="37"/>
      <c r="C70" s="31"/>
      <c r="D70" s="32"/>
      <c r="E70" s="31"/>
      <c r="F70" s="31"/>
      <c r="H70" s="103">
        <v>295</v>
      </c>
      <c r="I70" s="87" t="s">
        <v>263</v>
      </c>
      <c r="J70" s="128">
        <f>SUM(J59:J67)</f>
        <v>12.837185388809436</v>
      </c>
      <c r="K70" s="139">
        <f>J70*H70/1000</f>
        <v>3.7869696896987834</v>
      </c>
      <c r="L70" s="11" t="s">
        <v>32</v>
      </c>
      <c r="M70" s="4" t="s">
        <v>32</v>
      </c>
    </row>
    <row r="71" spans="1:13" ht="16">
      <c r="A71" s="14" t="s">
        <v>14</v>
      </c>
      <c r="B71" s="37"/>
      <c r="H71" s="10"/>
      <c r="M71" s="26"/>
    </row>
    <row r="72" spans="1:13">
      <c r="A72" s="2" t="s">
        <v>1</v>
      </c>
      <c r="B72" s="72">
        <f t="shared" ref="B72:B80" si="4">SUM(B46,B59)</f>
        <v>171.40355571286602</v>
      </c>
      <c r="C72" s="81">
        <f t="shared" ref="C72:F80" si="5">C46+C59</f>
        <v>1.2939233081865409</v>
      </c>
      <c r="D72" s="79">
        <f t="shared" si="5"/>
        <v>0.11990873744855704</v>
      </c>
      <c r="E72" s="83">
        <f t="shared" si="5"/>
        <v>1.4138320456350977</v>
      </c>
      <c r="F72" s="83">
        <f t="shared" si="5"/>
        <v>3.318578277350281</v>
      </c>
      <c r="H72" s="13"/>
      <c r="J72" s="143">
        <f>SUM(J46+J59)</f>
        <v>15.869799596929466</v>
      </c>
      <c r="K72" s="77">
        <f>SUM(K46+K59)</f>
        <v>5.0465962718235708</v>
      </c>
      <c r="L72" s="4" t="s">
        <v>32</v>
      </c>
      <c r="M72" s="4" t="s">
        <v>32</v>
      </c>
    </row>
    <row r="73" spans="1:13">
      <c r="A73" s="2" t="s">
        <v>2</v>
      </c>
      <c r="B73" s="72">
        <f t="shared" si="4"/>
        <v>455.92362156151501</v>
      </c>
      <c r="C73" s="77">
        <f t="shared" si="5"/>
        <v>12.064863597625934</v>
      </c>
      <c r="D73" s="79">
        <f t="shared" si="5"/>
        <v>0.16862370556013082</v>
      </c>
      <c r="E73" s="82">
        <f t="shared" si="5"/>
        <v>12.233487303186063</v>
      </c>
      <c r="F73" s="82">
        <f t="shared" si="5"/>
        <v>17.279184731468479</v>
      </c>
      <c r="H73" s="13"/>
      <c r="J73" s="143">
        <f>SUM(J47+J60)</f>
        <v>38.340385947902114</v>
      </c>
      <c r="K73" s="77">
        <f>SUM(K47+K60)</f>
        <v>8.4213485175856011</v>
      </c>
      <c r="L73" s="4" t="s">
        <v>32</v>
      </c>
      <c r="M73" s="4" t="s">
        <v>32</v>
      </c>
    </row>
    <row r="74" spans="1:13">
      <c r="A74" s="2" t="s">
        <v>3</v>
      </c>
      <c r="B74" s="72">
        <f t="shared" si="4"/>
        <v>22.120468177770004</v>
      </c>
      <c r="C74" s="78">
        <f t="shared" si="5"/>
        <v>0.10195362324803349</v>
      </c>
      <c r="D74" s="68">
        <f t="shared" si="5"/>
        <v>9.4417366043602208E-3</v>
      </c>
      <c r="E74" s="84">
        <f t="shared" si="5"/>
        <v>0.11139535985239371</v>
      </c>
      <c r="F74" s="84">
        <f t="shared" si="5"/>
        <v>9.4445777793617069E-2</v>
      </c>
      <c r="H74" s="13"/>
      <c r="J74" s="39">
        <f t="shared" ref="J74:J80" si="6">SUM(J48+J61)</f>
        <v>0.35399669545231066</v>
      </c>
      <c r="K74" s="78">
        <f>K61</f>
        <v>0.12319085001740411</v>
      </c>
      <c r="L74" s="4" t="s">
        <v>32</v>
      </c>
      <c r="M74" s="4" t="s">
        <v>32</v>
      </c>
    </row>
    <row r="75" spans="1:13">
      <c r="A75" s="2" t="s">
        <v>4</v>
      </c>
      <c r="B75" s="72">
        <f t="shared" si="4"/>
        <v>102.341694194967</v>
      </c>
      <c r="C75" s="81">
        <f t="shared" si="5"/>
        <v>1.5606998797478959</v>
      </c>
      <c r="D75" s="79">
        <f t="shared" si="5"/>
        <v>9.3333491834209886E-2</v>
      </c>
      <c r="E75" s="83">
        <f t="shared" si="5"/>
        <v>1.6540333715821056</v>
      </c>
      <c r="F75" s="83">
        <f t="shared" si="5"/>
        <v>4.0712980806832553</v>
      </c>
      <c r="H75" s="13"/>
      <c r="J75" s="143">
        <f t="shared" si="6"/>
        <v>12.429490582692964</v>
      </c>
      <c r="K75" s="77">
        <f t="shared" ref="K75:K80" si="7">SUM(K49+K62)</f>
        <v>3.1173013773805271</v>
      </c>
      <c r="L75" s="4" t="s">
        <v>32</v>
      </c>
      <c r="M75" s="4" t="s">
        <v>32</v>
      </c>
    </row>
    <row r="76" spans="1:13">
      <c r="A76" s="2" t="s">
        <v>5</v>
      </c>
      <c r="B76" s="93">
        <f t="shared" si="4"/>
        <v>0.65</v>
      </c>
      <c r="C76" s="90">
        <f t="shared" si="5"/>
        <v>4.198576737568684E-3</v>
      </c>
      <c r="D76" s="92">
        <f t="shared" si="5"/>
        <v>3.6516635219180761E-4</v>
      </c>
      <c r="E76" s="91">
        <f t="shared" si="5"/>
        <v>4.5637430897604919E-3</v>
      </c>
      <c r="F76" s="91">
        <f t="shared" si="5"/>
        <v>4.9593074406742363E-3</v>
      </c>
      <c r="H76" s="3"/>
      <c r="J76" s="158">
        <f t="shared" si="6"/>
        <v>3.3875363453196245E-3</v>
      </c>
      <c r="K76" s="78">
        <f t="shared" si="7"/>
        <v>0</v>
      </c>
      <c r="L76" s="13" t="s">
        <v>32</v>
      </c>
      <c r="M76" s="4" t="s">
        <v>32</v>
      </c>
    </row>
    <row r="77" spans="1:13">
      <c r="A77" s="2" t="s">
        <v>88</v>
      </c>
      <c r="B77" s="72">
        <f t="shared" si="4"/>
        <v>83.4</v>
      </c>
      <c r="C77" s="77">
        <f t="shared" si="5"/>
        <v>12.326932082698562</v>
      </c>
      <c r="D77" s="79">
        <f t="shared" si="5"/>
        <v>0.12519545071614627</v>
      </c>
      <c r="E77" s="82">
        <f t="shared" si="5"/>
        <v>12.452127533414709</v>
      </c>
      <c r="F77" s="83">
        <f t="shared" si="5"/>
        <v>6.5705726600600292</v>
      </c>
      <c r="H77" s="5"/>
      <c r="J77" s="143">
        <f t="shared" si="6"/>
        <v>10.596304908286474</v>
      </c>
      <c r="K77" s="81">
        <f t="shared" si="7"/>
        <v>3.7480188594773933</v>
      </c>
      <c r="L77" s="13" t="s">
        <v>32</v>
      </c>
      <c r="M77" s="4" t="s">
        <v>32</v>
      </c>
    </row>
    <row r="78" spans="1:13">
      <c r="A78" s="2" t="s">
        <v>95</v>
      </c>
      <c r="B78" s="72">
        <f t="shared" si="4"/>
        <v>113.22396900000001</v>
      </c>
      <c r="C78" s="81">
        <f t="shared" si="5"/>
        <v>1.626494132551467</v>
      </c>
      <c r="D78" s="79">
        <f t="shared" si="5"/>
        <v>0.11457810187269613</v>
      </c>
      <c r="E78" s="83">
        <f t="shared" si="5"/>
        <v>1.7410722344241631</v>
      </c>
      <c r="F78" s="83">
        <f t="shared" si="5"/>
        <v>1.6685902144399347</v>
      </c>
      <c r="H78" s="5"/>
      <c r="J78" s="143">
        <f t="shared" si="6"/>
        <v>9.975879390894077</v>
      </c>
      <c r="K78" s="81">
        <f t="shared" si="7"/>
        <v>2.0807658278240146</v>
      </c>
      <c r="L78" s="13" t="s">
        <v>32</v>
      </c>
      <c r="M78" s="4" t="s">
        <v>32</v>
      </c>
    </row>
    <row r="79" spans="1:13">
      <c r="A79" s="2" t="s">
        <v>125</v>
      </c>
      <c r="B79" s="72">
        <f t="shared" si="4"/>
        <v>1057.9649278320001</v>
      </c>
      <c r="C79" s="77">
        <f t="shared" si="5"/>
        <v>29.133508148393208</v>
      </c>
      <c r="D79" s="79">
        <f t="shared" si="5"/>
        <v>0.46759974085346667</v>
      </c>
      <c r="E79" s="82">
        <f t="shared" si="5"/>
        <v>29.601107889246673</v>
      </c>
      <c r="F79" s="83">
        <f t="shared" si="5"/>
        <v>28.14979070714033</v>
      </c>
      <c r="H79" s="5"/>
      <c r="J79" s="143">
        <f t="shared" si="6"/>
        <v>74.079975053467066</v>
      </c>
      <c r="K79" s="77">
        <f t="shared" si="7"/>
        <v>17.608573364222238</v>
      </c>
      <c r="L79" s="13" t="s">
        <v>32</v>
      </c>
      <c r="M79" s="4" t="s">
        <v>32</v>
      </c>
    </row>
    <row r="80" spans="1:13">
      <c r="A80" s="62" t="s">
        <v>128</v>
      </c>
      <c r="B80" s="93">
        <f t="shared" si="4"/>
        <v>8.4</v>
      </c>
      <c r="C80" s="90">
        <f t="shared" si="5"/>
        <v>4.1737907153218505E-2</v>
      </c>
      <c r="D80" s="92">
        <f t="shared" si="5"/>
        <v>3.7708053338479028E-3</v>
      </c>
      <c r="E80" s="91">
        <f t="shared" si="5"/>
        <v>4.5508712487066408E-2</v>
      </c>
      <c r="F80" s="91">
        <f t="shared" si="5"/>
        <v>5.0779750131318607E-2</v>
      </c>
      <c r="H80" s="5"/>
      <c r="J80" s="39">
        <f t="shared" si="6"/>
        <v>0.11335127653661574</v>
      </c>
      <c r="K80" s="90">
        <f t="shared" si="7"/>
        <v>3.5819003385570578E-2</v>
      </c>
      <c r="L80" s="13" t="s">
        <v>32</v>
      </c>
      <c r="M80" s="4" t="s">
        <v>32</v>
      </c>
    </row>
    <row r="81" spans="1:13">
      <c r="A81" s="62" t="s">
        <v>247</v>
      </c>
      <c r="B81" s="93"/>
      <c r="C81" s="90"/>
      <c r="D81" s="92"/>
      <c r="E81" s="91"/>
      <c r="F81" s="91"/>
      <c r="H81" s="5"/>
      <c r="J81" s="39"/>
      <c r="K81" s="90"/>
      <c r="L81" s="13"/>
      <c r="M81" s="4"/>
    </row>
    <row r="82" spans="1:13">
      <c r="A82" s="2" t="s">
        <v>253</v>
      </c>
      <c r="B82" s="146">
        <f>SUM(B72:B80)</f>
        <v>2015.4282364791181</v>
      </c>
      <c r="C82" s="136">
        <f>SUM(C72:C80)</f>
        <v>58.154311256342424</v>
      </c>
      <c r="D82" s="137">
        <f>SUM(D72:D80)</f>
        <v>1.1028169365756066</v>
      </c>
      <c r="E82" s="130">
        <f>SUM(E72:E80)</f>
        <v>59.257128192918032</v>
      </c>
      <c r="F82" s="130">
        <f>SUM(F72:F80)</f>
        <v>61.208199506507917</v>
      </c>
      <c r="H82" s="5"/>
      <c r="I82" s="10" t="s">
        <v>26</v>
      </c>
      <c r="J82" s="128">
        <f>SUM(J72:J80)</f>
        <v>161.76257098850641</v>
      </c>
      <c r="K82" s="130">
        <f>SUM(K72:K80)</f>
        <v>40.181614071716318</v>
      </c>
      <c r="L82" s="11" t="s">
        <v>32</v>
      </c>
      <c r="M82" s="4" t="s">
        <v>32</v>
      </c>
    </row>
    <row r="83" spans="1:13">
      <c r="A83" s="2" t="s">
        <v>253</v>
      </c>
      <c r="B83" s="37"/>
      <c r="C83" s="31"/>
      <c r="D83" s="32"/>
      <c r="E83" s="31"/>
      <c r="F83" s="31"/>
      <c r="H83" s="8"/>
      <c r="I83" s="87" t="s">
        <v>263</v>
      </c>
      <c r="J83" s="128">
        <f>SUM(J72:J80)</f>
        <v>161.76257098850641</v>
      </c>
      <c r="K83" s="130">
        <f>SUM(K72:K80)</f>
        <v>40.181614071716318</v>
      </c>
      <c r="L83" s="11" t="s">
        <v>32</v>
      </c>
      <c r="M83" s="4" t="s">
        <v>32</v>
      </c>
    </row>
    <row r="84" spans="1:13" ht="16">
      <c r="A84" s="14" t="s">
        <v>131</v>
      </c>
      <c r="B84" s="37"/>
      <c r="M84" s="26"/>
    </row>
    <row r="85" spans="1:13">
      <c r="A85" s="2" t="s">
        <v>1</v>
      </c>
      <c r="B85" s="72">
        <f t="shared" ref="B85:B93" si="8">B72</f>
        <v>171.40355571286602</v>
      </c>
      <c r="C85" s="81">
        <v>3.9916121429844327</v>
      </c>
      <c r="D85" s="79">
        <v>0.106837263389815</v>
      </c>
      <c r="E85" s="83">
        <f>SUM(C85:D85)</f>
        <v>4.0984494063742476</v>
      </c>
      <c r="F85" s="83">
        <v>2.8784725723330191</v>
      </c>
      <c r="H85" s="103">
        <v>318</v>
      </c>
      <c r="J85" s="65">
        <v>10.277580973463635</v>
      </c>
      <c r="K85" s="81">
        <f>J85*H85/1000</f>
        <v>3.2682707495614358</v>
      </c>
      <c r="L85" s="4" t="s">
        <v>32</v>
      </c>
      <c r="M85" s="4" t="s">
        <v>32</v>
      </c>
    </row>
    <row r="86" spans="1:13">
      <c r="A86" s="2" t="s">
        <v>2</v>
      </c>
      <c r="B86" s="72">
        <f t="shared" si="8"/>
        <v>455.92362156151501</v>
      </c>
      <c r="C86" s="77">
        <v>14.490984427736143</v>
      </c>
      <c r="D86" s="79">
        <v>0.31504444386896624</v>
      </c>
      <c r="E86" s="82">
        <f t="shared" ref="E86:E93" si="9">SUM(C86:D86)</f>
        <v>14.806028871605109</v>
      </c>
      <c r="F86" s="82">
        <v>12.199213894679856</v>
      </c>
      <c r="H86" s="103">
        <v>228</v>
      </c>
      <c r="J86" s="65">
        <v>50.010898619829646</v>
      </c>
      <c r="K86" s="77">
        <f t="shared" ref="K86:K93" si="10">J86*H86/1000</f>
        <v>11.402484885321158</v>
      </c>
      <c r="L86" s="4" t="s">
        <v>32</v>
      </c>
      <c r="M86" s="4" t="s">
        <v>32</v>
      </c>
    </row>
    <row r="87" spans="1:13">
      <c r="A87" s="2" t="s">
        <v>3</v>
      </c>
      <c r="B87" s="72">
        <f t="shared" si="8"/>
        <v>22.120468177770004</v>
      </c>
      <c r="C87" s="78">
        <v>0.17156591567285223</v>
      </c>
      <c r="D87" s="92">
        <v>9.0374576332739251E-3</v>
      </c>
      <c r="E87" s="84">
        <f t="shared" si="9"/>
        <v>0.18060337330612616</v>
      </c>
      <c r="F87" s="84">
        <v>0.1139061134390404</v>
      </c>
      <c r="H87" s="103">
        <v>348</v>
      </c>
      <c r="J87" s="79">
        <v>0.45651520037337995</v>
      </c>
      <c r="K87" s="78">
        <f t="shared" si="10"/>
        <v>0.15886728972993625</v>
      </c>
      <c r="L87" s="4" t="s">
        <v>32</v>
      </c>
      <c r="M87" s="4" t="s">
        <v>32</v>
      </c>
    </row>
    <row r="88" spans="1:13">
      <c r="A88" s="2" t="s">
        <v>4</v>
      </c>
      <c r="B88" s="72">
        <f t="shared" si="8"/>
        <v>102.341694194967</v>
      </c>
      <c r="C88" s="81">
        <v>4.0150944974036502</v>
      </c>
      <c r="D88" s="79">
        <v>0.1439588103059419</v>
      </c>
      <c r="E88" s="83">
        <f t="shared" si="9"/>
        <v>4.1590533077095921</v>
      </c>
      <c r="F88" s="83">
        <v>3.5401907494985858</v>
      </c>
      <c r="H88" s="103">
        <v>259</v>
      </c>
      <c r="J88" s="65">
        <v>18.242950242935695</v>
      </c>
      <c r="K88" s="81">
        <f t="shared" si="10"/>
        <v>4.7249241129203448</v>
      </c>
      <c r="L88" s="4" t="s">
        <v>32</v>
      </c>
      <c r="M88" s="4" t="s">
        <v>32</v>
      </c>
    </row>
    <row r="89" spans="1:13">
      <c r="A89" s="2" t="s">
        <v>5</v>
      </c>
      <c r="B89" s="93">
        <f t="shared" si="8"/>
        <v>0.65</v>
      </c>
      <c r="C89" s="90">
        <v>9.2520721981388908E-3</v>
      </c>
      <c r="D89" s="92">
        <v>5.1072307883219602E-4</v>
      </c>
      <c r="E89" s="91">
        <f t="shared" si="9"/>
        <v>9.7627952769710862E-3</v>
      </c>
      <c r="F89" s="98">
        <v>7.4988371248658472E-3</v>
      </c>
      <c r="H89" s="104" t="s">
        <v>19</v>
      </c>
      <c r="J89" s="68">
        <v>5.4624984876069024E-3</v>
      </c>
      <c r="K89" s="77" t="s">
        <v>32</v>
      </c>
      <c r="L89" s="13" t="s">
        <v>32</v>
      </c>
      <c r="M89" s="4" t="s">
        <v>32</v>
      </c>
    </row>
    <row r="90" spans="1:13">
      <c r="A90" s="2" t="s">
        <v>88</v>
      </c>
      <c r="B90" s="72">
        <f t="shared" si="8"/>
        <v>83.4</v>
      </c>
      <c r="C90" s="81">
        <v>8.8734511524263837</v>
      </c>
      <c r="D90" s="79">
        <v>0.22814722277273278</v>
      </c>
      <c r="E90" s="83">
        <f t="shared" si="9"/>
        <v>9.1015983751991172</v>
      </c>
      <c r="F90" s="83">
        <v>7.6588899357709295</v>
      </c>
      <c r="H90" s="104">
        <v>346</v>
      </c>
      <c r="J90" s="65">
        <v>26.491813021051662</v>
      </c>
      <c r="K90" s="81">
        <f t="shared" si="10"/>
        <v>9.1661673052838761</v>
      </c>
      <c r="L90" s="13" t="s">
        <v>32</v>
      </c>
      <c r="M90" s="4" t="s">
        <v>32</v>
      </c>
    </row>
    <row r="91" spans="1:13">
      <c r="A91" s="2" t="s">
        <v>95</v>
      </c>
      <c r="B91" s="72">
        <f t="shared" si="8"/>
        <v>113.22396900000001</v>
      </c>
      <c r="C91" s="81">
        <v>2.5130298409587333</v>
      </c>
      <c r="D91" s="79">
        <v>8.2427323281400053E-2</v>
      </c>
      <c r="E91" s="83">
        <f t="shared" si="9"/>
        <v>2.5954571642401332</v>
      </c>
      <c r="F91" s="83">
        <v>2.4741166756280815</v>
      </c>
      <c r="H91" s="104">
        <v>209</v>
      </c>
      <c r="J91" s="65">
        <v>10.85139209757603</v>
      </c>
      <c r="K91" s="81">
        <f t="shared" si="10"/>
        <v>2.2679409483933899</v>
      </c>
      <c r="L91" s="13" t="s">
        <v>32</v>
      </c>
      <c r="M91" s="4" t="s">
        <v>32</v>
      </c>
    </row>
    <row r="92" spans="1:13">
      <c r="A92" s="2" t="s">
        <v>125</v>
      </c>
      <c r="B92" s="72">
        <f t="shared" si="8"/>
        <v>1057.9649278320001</v>
      </c>
      <c r="C92" s="77">
        <v>30.372626997035407</v>
      </c>
      <c r="D92" s="79">
        <v>0.47400780573876172</v>
      </c>
      <c r="E92" s="83">
        <f t="shared" si="9"/>
        <v>30.846634802774169</v>
      </c>
      <c r="F92" s="82">
        <v>27.290179492858535</v>
      </c>
      <c r="H92" s="104">
        <v>238</v>
      </c>
      <c r="J92" s="65">
        <v>116.94685051273001</v>
      </c>
      <c r="K92" s="81">
        <f t="shared" si="10"/>
        <v>27.833350422029742</v>
      </c>
      <c r="L92" s="13" t="s">
        <v>32</v>
      </c>
      <c r="M92" s="4" t="s">
        <v>32</v>
      </c>
    </row>
    <row r="93" spans="1:13">
      <c r="A93" s="62" t="s">
        <v>128</v>
      </c>
      <c r="B93" s="93">
        <f t="shared" si="8"/>
        <v>8.4</v>
      </c>
      <c r="C93" s="90">
        <v>3.9532554756231214E-2</v>
      </c>
      <c r="D93" s="92">
        <v>2.9018608340339739E-3</v>
      </c>
      <c r="E93" s="91">
        <f t="shared" si="9"/>
        <v>4.2434415590265187E-2</v>
      </c>
      <c r="F93" s="91">
        <v>4.4668349243091321E-2</v>
      </c>
      <c r="H93" s="104">
        <v>316</v>
      </c>
      <c r="J93" s="79">
        <v>0.12254612075933179</v>
      </c>
      <c r="K93" s="90">
        <f t="shared" si="10"/>
        <v>3.8724574159948844E-2</v>
      </c>
      <c r="L93" s="13" t="s">
        <v>32</v>
      </c>
      <c r="M93" s="4" t="s">
        <v>32</v>
      </c>
    </row>
    <row r="94" spans="1:13">
      <c r="A94" s="62" t="s">
        <v>247</v>
      </c>
      <c r="B94" s="93"/>
      <c r="C94" s="90"/>
      <c r="D94" s="92"/>
      <c r="E94" s="91"/>
      <c r="F94" s="91"/>
      <c r="H94" s="303"/>
      <c r="J94" s="79"/>
      <c r="K94" s="90"/>
      <c r="L94" s="13"/>
      <c r="M94" s="4"/>
    </row>
    <row r="95" spans="1:13">
      <c r="A95" s="2" t="s">
        <v>253</v>
      </c>
      <c r="B95" s="146">
        <f>SUM(B85:B93)</f>
        <v>2015.4282364791181</v>
      </c>
      <c r="C95" s="136">
        <f>SUM(C85:C92)</f>
        <v>64.437617046415738</v>
      </c>
      <c r="D95" s="137">
        <f>SUM(D85:D92)</f>
        <v>1.3599710500697237</v>
      </c>
      <c r="E95" s="130">
        <f>SUM(E85:E90)</f>
        <v>32.355496129471163</v>
      </c>
      <c r="F95" s="130">
        <f>SUM(F85:F92)</f>
        <v>56.162468271332912</v>
      </c>
      <c r="H95" s="3"/>
      <c r="I95" s="10" t="s">
        <v>26</v>
      </c>
      <c r="J95" s="128">
        <f>SUM(J85:J92)</f>
        <v>233.28346316644766</v>
      </c>
      <c r="K95" s="130">
        <f>SUM(K85:K92)</f>
        <v>58.822005713239889</v>
      </c>
      <c r="L95" s="11" t="s">
        <v>32</v>
      </c>
      <c r="M95" s="4" t="s">
        <v>32</v>
      </c>
    </row>
    <row r="96" spans="1:13">
      <c r="A96" s="2" t="s">
        <v>253</v>
      </c>
      <c r="C96" s="31"/>
      <c r="D96" s="32"/>
      <c r="E96" s="31"/>
      <c r="F96" s="31"/>
      <c r="H96" s="103">
        <v>248</v>
      </c>
      <c r="I96" s="87" t="s">
        <v>263</v>
      </c>
      <c r="J96" s="128">
        <f>SUM(J85:J92)</f>
        <v>233.28346316644766</v>
      </c>
      <c r="K96" s="130">
        <f>J96*H96/1000</f>
        <v>57.85429886527902</v>
      </c>
      <c r="L96" s="11" t="s">
        <v>32</v>
      </c>
      <c r="M96" s="4" t="s">
        <v>32</v>
      </c>
    </row>
  </sheetData>
  <mergeCells count="2">
    <mergeCell ref="A1:M1"/>
    <mergeCell ref="A2:M2"/>
  </mergeCells>
  <conditionalFormatting sqref="A39:A40">
    <cfRule type="duplicateValues" dxfId="5" priority="1"/>
  </conditionalFormatting>
  <pageMargins left="0.7" right="0.7" top="0.75" bottom="0.75" header="0.3" footer="0.3"/>
  <pageSetup scale="45" orientation="portrait" r:id="rId1"/>
  <headerFooter>
    <oddHeader>&amp;LDraft&amp;RU.S. GEOLOGICAL SURVEY</oddHeader>
    <oddFooter>&amp;LPRELIMINARY - SUBJECT TO REVISION&amp;ROctober 21, 2019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45888-6C98-48D2-9122-1E19C958A6D3}">
  <sheetPr>
    <pageSetUpPr fitToPage="1"/>
  </sheetPr>
  <dimension ref="A1:M96"/>
  <sheetViews>
    <sheetView workbookViewId="0">
      <selection activeCell="F13" sqref="F13"/>
    </sheetView>
  </sheetViews>
  <sheetFormatPr baseColWidth="10" defaultColWidth="8.83203125" defaultRowHeight="15"/>
  <cols>
    <col min="1" max="1" width="18.83203125" customWidth="1"/>
    <col min="3" max="3" width="11.5" customWidth="1"/>
    <col min="4" max="4" width="9.83203125" customWidth="1"/>
    <col min="5" max="6" width="9.83203125" bestFit="1" customWidth="1"/>
    <col min="7" max="7" width="2.5" customWidth="1"/>
    <col min="8" max="8" width="2.6640625" customWidth="1"/>
    <col min="9" max="9" width="5.33203125" customWidth="1"/>
    <col min="10" max="13" width="9.83203125" bestFit="1" customWidth="1"/>
  </cols>
  <sheetData>
    <row r="1" spans="1:13" ht="31.5" customHeight="1">
      <c r="A1" s="618" t="s">
        <v>219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</row>
    <row r="2" spans="1:13" ht="65" customHeight="1">
      <c r="A2" s="619" t="s">
        <v>224</v>
      </c>
      <c r="B2" s="619"/>
      <c r="C2" s="619"/>
      <c r="D2" s="619"/>
      <c r="E2" s="619"/>
      <c r="F2" s="619"/>
      <c r="G2" s="619"/>
      <c r="H2" s="619"/>
      <c r="I2" s="619"/>
      <c r="J2" s="619"/>
      <c r="K2" s="619"/>
      <c r="L2" s="619"/>
      <c r="M2" s="619"/>
    </row>
    <row r="4" spans="1:13">
      <c r="B4" s="42" t="s">
        <v>27</v>
      </c>
      <c r="C4" s="40" t="s">
        <v>56</v>
      </c>
      <c r="D4" s="40" t="s">
        <v>57</v>
      </c>
      <c r="E4" s="255" t="s">
        <v>58</v>
      </c>
      <c r="F4" s="255" t="s">
        <v>59</v>
      </c>
      <c r="G4" s="43"/>
      <c r="H4" s="44"/>
      <c r="I4" s="44"/>
      <c r="J4" s="40" t="s">
        <v>16</v>
      </c>
      <c r="K4" s="40" t="s">
        <v>60</v>
      </c>
      <c r="L4" s="40" t="s">
        <v>17</v>
      </c>
      <c r="M4" s="40" t="s">
        <v>61</v>
      </c>
    </row>
    <row r="5" spans="1:13">
      <c r="B5" s="255" t="s">
        <v>30</v>
      </c>
      <c r="C5" s="255" t="s">
        <v>218</v>
      </c>
      <c r="D5" s="255" t="s">
        <v>218</v>
      </c>
      <c r="E5" s="255" t="s">
        <v>218</v>
      </c>
      <c r="F5" s="255" t="s">
        <v>218</v>
      </c>
      <c r="G5" s="43"/>
      <c r="H5" s="44"/>
      <c r="I5" s="44"/>
      <c r="J5" s="255" t="s">
        <v>218</v>
      </c>
      <c r="K5" s="255" t="s">
        <v>218</v>
      </c>
      <c r="L5" s="255" t="s">
        <v>218</v>
      </c>
      <c r="M5" s="255" t="s">
        <v>218</v>
      </c>
    </row>
    <row r="6" spans="1:13" ht="17">
      <c r="A6" s="17"/>
      <c r="B6" s="254" t="s">
        <v>28</v>
      </c>
      <c r="C6" s="18" t="s">
        <v>8</v>
      </c>
      <c r="D6" s="18" t="s">
        <v>8</v>
      </c>
      <c r="E6" s="266" t="s">
        <v>8</v>
      </c>
      <c r="F6" s="254" t="s">
        <v>8</v>
      </c>
      <c r="G6" s="268"/>
      <c r="H6" s="194"/>
      <c r="I6" s="192"/>
      <c r="J6" s="18" t="s">
        <v>13</v>
      </c>
      <c r="K6" s="267" t="s">
        <v>8</v>
      </c>
      <c r="L6" s="18" t="s">
        <v>13</v>
      </c>
      <c r="M6" s="18" t="s">
        <v>8</v>
      </c>
    </row>
    <row r="7" spans="1:13" ht="16">
      <c r="A7" s="1" t="s">
        <v>257</v>
      </c>
      <c r="B7" s="318"/>
      <c r="C7" s="192"/>
      <c r="D7" s="192"/>
      <c r="E7" s="318"/>
      <c r="F7" s="318"/>
      <c r="G7" s="268"/>
      <c r="H7" s="194"/>
      <c r="I7" s="192"/>
      <c r="J7" s="192"/>
      <c r="K7" s="192"/>
      <c r="L7" s="192"/>
      <c r="M7" s="192"/>
    </row>
    <row r="8" spans="1:13">
      <c r="A8" s="62" t="s">
        <v>88</v>
      </c>
      <c r="B8" s="302"/>
      <c r="C8" s="18"/>
      <c r="D8" s="18"/>
      <c r="E8" s="302"/>
      <c r="F8" s="302"/>
      <c r="G8" s="268"/>
      <c r="H8" s="194"/>
      <c r="I8" s="192"/>
      <c r="J8" s="18"/>
      <c r="K8" s="18"/>
      <c r="L8" s="18"/>
      <c r="M8" s="18"/>
    </row>
    <row r="9" spans="1:13">
      <c r="A9" s="62" t="s">
        <v>95</v>
      </c>
      <c r="B9" s="302"/>
      <c r="C9" s="18"/>
      <c r="D9" s="18"/>
      <c r="E9" s="302"/>
      <c r="F9" s="302"/>
      <c r="G9" s="268"/>
      <c r="H9" s="194"/>
      <c r="I9" s="192"/>
      <c r="J9" s="18"/>
      <c r="K9" s="18"/>
      <c r="L9" s="18"/>
      <c r="M9" s="18"/>
    </row>
    <row r="10" spans="1:13">
      <c r="A10" s="62" t="s">
        <v>125</v>
      </c>
      <c r="B10" s="302"/>
      <c r="C10" s="18"/>
      <c r="D10" s="18"/>
      <c r="E10" s="302"/>
      <c r="F10" s="302"/>
      <c r="G10" s="268"/>
      <c r="H10" s="194"/>
      <c r="I10" s="192"/>
      <c r="J10" s="18"/>
      <c r="K10" s="18"/>
      <c r="L10" s="18"/>
      <c r="M10" s="18"/>
    </row>
    <row r="11" spans="1:13">
      <c r="A11" s="62" t="s">
        <v>128</v>
      </c>
      <c r="B11" s="302"/>
      <c r="C11" s="18"/>
      <c r="D11" s="18"/>
      <c r="E11" s="302"/>
      <c r="F11" s="302"/>
      <c r="G11" s="268"/>
      <c r="H11" s="194"/>
      <c r="I11" s="192"/>
      <c r="J11" s="18"/>
      <c r="K11" s="18"/>
      <c r="L11" s="18"/>
      <c r="M11" s="18"/>
    </row>
    <row r="12" spans="1:13">
      <c r="A12" s="62" t="s">
        <v>247</v>
      </c>
      <c r="B12" s="302"/>
      <c r="C12" s="18"/>
      <c r="D12" s="18"/>
      <c r="E12" s="302"/>
      <c r="F12" s="302"/>
      <c r="G12" s="268"/>
      <c r="H12" s="194"/>
      <c r="I12" s="192"/>
      <c r="J12" s="18"/>
      <c r="K12" s="18"/>
      <c r="L12" s="18"/>
      <c r="M12" s="18"/>
    </row>
    <row r="13" spans="1:13">
      <c r="A13" s="2" t="s">
        <v>258</v>
      </c>
      <c r="B13" s="302"/>
      <c r="C13" s="18"/>
      <c r="D13" s="18"/>
      <c r="E13" s="302"/>
      <c r="F13" s="302" t="s">
        <v>331</v>
      </c>
      <c r="G13" s="268"/>
      <c r="H13" s="194"/>
      <c r="I13" s="10" t="s">
        <v>26</v>
      </c>
      <c r="J13" s="18"/>
      <c r="K13" s="18"/>
      <c r="L13" s="18"/>
      <c r="M13" s="18"/>
    </row>
    <row r="14" spans="1:13">
      <c r="A14" s="2" t="s">
        <v>258</v>
      </c>
      <c r="B14" s="302"/>
      <c r="C14" s="18"/>
      <c r="D14" s="18"/>
      <c r="E14" s="302"/>
      <c r="F14" s="302"/>
      <c r="G14" s="268"/>
      <c r="H14" s="194"/>
      <c r="I14" s="87" t="s">
        <v>265</v>
      </c>
      <c r="J14" s="18"/>
      <c r="K14" s="18"/>
      <c r="L14" s="18"/>
      <c r="M14" s="18"/>
    </row>
    <row r="15" spans="1:13" ht="16">
      <c r="A15" s="1" t="s">
        <v>255</v>
      </c>
      <c r="B15" s="318"/>
      <c r="C15" s="192"/>
      <c r="D15" s="192"/>
      <c r="E15" s="318"/>
      <c r="F15" s="318"/>
      <c r="G15" s="268"/>
      <c r="H15" s="194"/>
      <c r="J15" s="192"/>
      <c r="K15" s="192"/>
      <c r="L15" s="192"/>
      <c r="M15" s="192"/>
    </row>
    <row r="16" spans="1:13">
      <c r="A16" s="62" t="s">
        <v>125</v>
      </c>
      <c r="B16" s="72">
        <v>1055.6975440000001</v>
      </c>
      <c r="C16" s="383">
        <f>'T7a. THg SE 2010-19'!C16/'T4a. THg loads daily calib'!C16</f>
        <v>0.22898429209835924</v>
      </c>
      <c r="D16" s="390">
        <f>'T7a. THg SE 2010-19'!D16/'T4a. THg loads daily calib'!D16</f>
        <v>0.17392095125471368</v>
      </c>
      <c r="E16" s="391">
        <f>'T7a. THg SE 2010-19'!E16/'T4a. THg loads daily calib'!E16</f>
        <v>0.22838836757259684</v>
      </c>
      <c r="F16" s="183">
        <f>'T7a. THg SE 2010-19'!F16/'T4a. THg loads daily calib'!F16</f>
        <v>0.18330792563531045</v>
      </c>
      <c r="G16" s="268"/>
      <c r="H16" s="194"/>
      <c r="J16" s="18"/>
      <c r="K16" s="18"/>
      <c r="L16" s="18"/>
      <c r="M16" s="18"/>
    </row>
    <row r="17" spans="1:13">
      <c r="A17" s="62" t="s">
        <v>128</v>
      </c>
      <c r="B17" s="72">
        <v>17.287506015999998</v>
      </c>
      <c r="C17" s="383">
        <f>'T7a. THg SE 2010-19'!C17/'T4a. THg loads daily calib'!C17</f>
        <v>0.21275278900902422</v>
      </c>
      <c r="D17" s="390">
        <f>'T7a. THg SE 2010-19'!D17/'T4a. THg loads daily calib'!D17</f>
        <v>0.1499889771041234</v>
      </c>
      <c r="E17" s="391">
        <f>'T7a. THg SE 2010-19'!E17/'T4a. THg loads daily calib'!E17</f>
        <v>0.20997562053894941</v>
      </c>
      <c r="F17" s="183">
        <f>'T7a. THg SE 2010-19'!F17/'T4a. THg loads daily calib'!F17</f>
        <v>0.22662259182486907</v>
      </c>
      <c r="G17" s="268"/>
      <c r="H17" s="194"/>
      <c r="J17" s="18"/>
      <c r="K17" s="18"/>
      <c r="L17" s="18"/>
      <c r="M17" s="18"/>
    </row>
    <row r="18" spans="1:13">
      <c r="A18" s="62" t="s">
        <v>247</v>
      </c>
      <c r="B18" s="340">
        <v>828.16597600000011</v>
      </c>
      <c r="C18" s="383">
        <f>'T7a. THg SE 2010-19'!C18/'T4a. THg loads daily calib'!C18</f>
        <v>0.1952211637647604</v>
      </c>
      <c r="D18" s="390">
        <f>'T7a. THg SE 2010-19'!D18/'T4a. THg loads daily calib'!D18</f>
        <v>0.1250201302997363</v>
      </c>
      <c r="E18" s="391">
        <f>'T7a. THg SE 2010-19'!E18/'T4a. THg loads daily calib'!E18</f>
        <v>0.19416819600354093</v>
      </c>
      <c r="F18" s="183">
        <f>'T7a. THg SE 2010-19'!F18/'T4a. THg loads daily calib'!F18</f>
        <v>0.18804816094231344</v>
      </c>
      <c r="G18" s="268"/>
      <c r="H18" s="194"/>
      <c r="J18" s="18"/>
      <c r="K18" s="18"/>
      <c r="L18" s="18"/>
      <c r="M18" s="18"/>
    </row>
    <row r="19" spans="1:13">
      <c r="A19" s="2" t="s">
        <v>262</v>
      </c>
      <c r="B19" s="146">
        <f>SUM(B16:B18)</f>
        <v>1901.1510260160003</v>
      </c>
      <c r="C19" s="18"/>
      <c r="D19" s="18"/>
      <c r="E19" s="302"/>
      <c r="F19" s="302"/>
      <c r="G19" s="268"/>
      <c r="H19" s="194"/>
      <c r="I19" s="10" t="s">
        <v>26</v>
      </c>
      <c r="J19" s="18"/>
      <c r="K19" s="18"/>
      <c r="L19" s="18"/>
      <c r="M19" s="18"/>
    </row>
    <row r="20" spans="1:13">
      <c r="A20" s="2" t="s">
        <v>262</v>
      </c>
      <c r="B20" s="302"/>
      <c r="C20" s="18"/>
      <c r="D20" s="18"/>
      <c r="E20" s="302"/>
      <c r="F20" s="302"/>
      <c r="G20" s="268"/>
      <c r="H20" s="194"/>
      <c r="I20" s="87" t="s">
        <v>242</v>
      </c>
      <c r="J20" s="18"/>
      <c r="K20" s="18"/>
      <c r="L20" s="18"/>
      <c r="M20" s="18"/>
    </row>
    <row r="21" spans="1:13" ht="16">
      <c r="A21" s="1" t="s">
        <v>259</v>
      </c>
      <c r="B21" s="318"/>
      <c r="C21" s="192"/>
      <c r="D21" s="192"/>
      <c r="E21" s="318"/>
      <c r="F21" s="318"/>
      <c r="G21" s="268"/>
      <c r="H21" s="194"/>
      <c r="J21" s="192"/>
      <c r="K21" s="192"/>
      <c r="L21" s="192"/>
      <c r="M21" s="192"/>
    </row>
    <row r="22" spans="1:13">
      <c r="A22" s="2" t="s">
        <v>1</v>
      </c>
      <c r="B22" s="72">
        <v>204.980803196007</v>
      </c>
      <c r="C22" s="109">
        <f>'T7a. THg SE 2010-19'!C22/'T4a. THg loads daily calib'!C22</f>
        <v>0.21081479371687215</v>
      </c>
      <c r="D22" s="182">
        <f>'T7a. THg SE 2010-19'!D22/'T4a. THg loads daily calib'!D22</f>
        <v>0.12230419915528964</v>
      </c>
      <c r="E22" s="183">
        <f>'T7a. THg SE 2010-19'!E22/'T4a. THg loads daily calib'!E22</f>
        <v>0.20906741068410514</v>
      </c>
      <c r="F22" s="183">
        <f>'T7a. THg SE 2010-19'!F22/'T4a. THg loads daily calib'!F22</f>
        <v>0.20677822860075609</v>
      </c>
      <c r="H22" s="46"/>
      <c r="I22" s="10"/>
      <c r="J22" s="56">
        <f>'T7a. THg SE 2010-19'!J22/'T4a. THg loads daily calib'!K22</f>
        <v>0.13592119100210587</v>
      </c>
      <c r="K22" s="109">
        <f>'T7a. THg SE 2010-19'!K22/'T4a. THg loads daily calib'!L22</f>
        <v>0.13539725771803859</v>
      </c>
      <c r="L22" s="4" t="s">
        <v>32</v>
      </c>
      <c r="M22" s="4" t="s">
        <v>32</v>
      </c>
    </row>
    <row r="23" spans="1:13">
      <c r="A23" s="2" t="s">
        <v>2</v>
      </c>
      <c r="B23" s="72">
        <v>485</v>
      </c>
      <c r="C23" s="109">
        <f>'T7a. THg SE 2010-19'!C23/'T4a. THg loads daily calib'!C23</f>
        <v>0.24116694908243685</v>
      </c>
      <c r="D23" s="182">
        <f>'T7a. THg SE 2010-19'!D23/'T4a. THg loads daily calib'!D23</f>
        <v>9.9558699640163298E-2</v>
      </c>
      <c r="E23" s="183">
        <f>'T7a. THg SE 2010-19'!E23/'T4a. THg loads daily calib'!E23</f>
        <v>0.23876795174849963</v>
      </c>
      <c r="F23" s="183">
        <f>'T7a. THg SE 2010-19'!F23/'T4a. THg loads daily calib'!F23</f>
        <v>0.18972151643033303</v>
      </c>
      <c r="H23" s="46"/>
      <c r="I23" s="10"/>
      <c r="J23" s="56">
        <f>'T7a. THg SE 2010-19'!J23/'T4a. THg loads daily calib'!K23</f>
        <v>0.14457734475924397</v>
      </c>
      <c r="K23" s="109">
        <f>'T7a. THg SE 2010-19'!K23/'T4a. THg loads daily calib'!L23</f>
        <v>0.12231189098779598</v>
      </c>
      <c r="L23" s="4" t="s">
        <v>32</v>
      </c>
      <c r="M23" s="4" t="s">
        <v>32</v>
      </c>
    </row>
    <row r="24" spans="1:13">
      <c r="A24" s="2" t="s">
        <v>3</v>
      </c>
      <c r="B24" s="72">
        <v>36.921198227783513</v>
      </c>
      <c r="C24" s="109">
        <f>'T7a. THg SE 2010-19'!C24/'T4a. THg loads daily calib'!C24</f>
        <v>0.15506666295391877</v>
      </c>
      <c r="D24" s="182">
        <f>'T7a. THg SE 2010-19'!D24/'T4a. THg loads daily calib'!D24</f>
        <v>9.3636970389718424E-2</v>
      </c>
      <c r="E24" s="183">
        <f>'T7a. THg SE 2010-19'!E24/'T4a. THg loads daily calib'!E24</f>
        <v>0.14880347104654429</v>
      </c>
      <c r="F24" s="183">
        <f>'T7a. THg SE 2010-19'!F24/'T4a. THg loads daily calib'!F24</f>
        <v>0.10157068231841886</v>
      </c>
      <c r="H24" s="46"/>
      <c r="I24" s="10"/>
      <c r="J24" s="56">
        <f>'T7a. THg SE 2010-19'!J24/'T4a. THg loads daily calib'!K24</f>
        <v>0.10036368798263558</v>
      </c>
      <c r="K24" s="109">
        <f>'T7a. THg SE 2010-19'!K24/'T4a. THg loads daily calib'!L24</f>
        <v>9.3651310191832537E-2</v>
      </c>
      <c r="L24" s="4" t="s">
        <v>32</v>
      </c>
      <c r="M24" s="4" t="s">
        <v>32</v>
      </c>
    </row>
    <row r="25" spans="1:13">
      <c r="A25" s="2" t="s">
        <v>4</v>
      </c>
      <c r="B25" s="72">
        <v>117.21609517589853</v>
      </c>
      <c r="C25" s="109">
        <f>'T7a. THg SE 2010-19'!C25/'T4a. THg loads daily calib'!C25</f>
        <v>0.20755172505831634</v>
      </c>
      <c r="D25" s="182">
        <f>'T7a. THg SE 2010-19'!D25/'T4a. THg loads daily calib'!D25</f>
        <v>0.14792990105476186</v>
      </c>
      <c r="E25" s="183">
        <f>'T7a. THg SE 2010-19'!E25/'T4a. THg loads daily calib'!E25</f>
        <v>0.20518020189983688</v>
      </c>
      <c r="F25" s="183">
        <f>'T7a. THg SE 2010-19'!F25/'T4a. THg loads daily calib'!F25</f>
        <v>0.1495058750890956</v>
      </c>
      <c r="H25" s="46"/>
      <c r="I25" s="10"/>
      <c r="J25" s="56">
        <f>'T7a. THg SE 2010-19'!J25/'T4a. THg loads daily calib'!K25</f>
        <v>0.28088554732881638</v>
      </c>
      <c r="K25" s="109">
        <f>'T7a. THg SE 2010-19'!K25/'T4a. THg loads daily calib'!L25</f>
        <v>0.28549232998829155</v>
      </c>
      <c r="L25" s="4" t="s">
        <v>32</v>
      </c>
      <c r="M25" s="4" t="s">
        <v>32</v>
      </c>
    </row>
    <row r="26" spans="1:13">
      <c r="A26" s="2" t="s">
        <v>5</v>
      </c>
      <c r="B26" s="72">
        <v>3</v>
      </c>
      <c r="C26" s="109">
        <f>'T7a. THg SE 2010-19'!C26/'T4a. THg loads daily calib'!C26</f>
        <v>0.17927154726709818</v>
      </c>
      <c r="D26" s="182">
        <f>'T7a. THg SE 2010-19'!D26/'T4a. THg loads daily calib'!D26</f>
        <v>0.12402530451414283</v>
      </c>
      <c r="E26" s="183">
        <f>'T7a. THg SE 2010-19'!E26/'T4a. THg loads daily calib'!E26</f>
        <v>0.1628313321505365</v>
      </c>
      <c r="F26" s="183">
        <f>'T7a. THg SE 2010-19'!F26/'T4a. THg loads daily calib'!F26</f>
        <v>0.14097018701705666</v>
      </c>
      <c r="H26" s="6"/>
      <c r="I26" s="10"/>
      <c r="J26" s="56">
        <f>'T7a. THg SE 2010-19'!J26/'T4a. THg loads daily calib'!K26</f>
        <v>0.10818600364266608</v>
      </c>
      <c r="K26" s="109">
        <f>'T7a. THg SE 2010-19'!K26/'T4a. THg loads daily calib'!L26</f>
        <v>0.11009534148912958</v>
      </c>
      <c r="L26" s="13" t="s">
        <v>32</v>
      </c>
      <c r="M26" s="4" t="s">
        <v>32</v>
      </c>
    </row>
    <row r="27" spans="1:13">
      <c r="A27" s="2" t="s">
        <v>88</v>
      </c>
      <c r="B27" s="72">
        <v>86</v>
      </c>
      <c r="C27" s="109">
        <f>'T7a. THg SE 2010-19'!C27/'T4a. THg loads daily calib'!C27</f>
        <v>0.23840863525146941</v>
      </c>
      <c r="D27" s="182">
        <f>'T7a. THg SE 2010-19'!D27/'T4a. THg loads daily calib'!D27</f>
        <v>0.16816439507147124</v>
      </c>
      <c r="E27" s="183">
        <f>'T7a. THg SE 2010-19'!E27/'T4a. THg loads daily calib'!E27</f>
        <v>0.23512200176569112</v>
      </c>
      <c r="F27" s="183">
        <f>'T7a. THg SE 2010-19'!F27/'T4a. THg loads daily calib'!F27</f>
        <v>0.22543021913135192</v>
      </c>
      <c r="H27" s="6"/>
      <c r="I27" s="10"/>
      <c r="J27" s="56">
        <f>'T7a. THg SE 2010-19'!J27/'T4a. THg loads daily calib'!K27</f>
        <v>0.3271424677153057</v>
      </c>
      <c r="K27" s="109">
        <f>'T7a. THg SE 2010-19'!K27/'T4a. THg loads daily calib'!L27</f>
        <v>0.34634721589869372</v>
      </c>
      <c r="L27" s="13" t="s">
        <v>32</v>
      </c>
      <c r="M27" s="4" t="s">
        <v>32</v>
      </c>
    </row>
    <row r="28" spans="1:13">
      <c r="A28" s="62" t="s">
        <v>95</v>
      </c>
      <c r="B28" s="72">
        <v>140.84107579462102</v>
      </c>
      <c r="C28" s="109">
        <f>'T7a. THg SE 2010-19'!C28/'T4a. THg loads daily calib'!C28</f>
        <v>0.24072304601601349</v>
      </c>
      <c r="D28" s="182">
        <f>'T7a. THg SE 2010-19'!D28/'T4a. THg loads daily calib'!D28</f>
        <v>0.14643997479883403</v>
      </c>
      <c r="E28" s="183">
        <f>'T7a. THg SE 2010-19'!E28/'T4a. THg loads daily calib'!E28</f>
        <v>0.23844727991080278</v>
      </c>
      <c r="F28" s="183">
        <f>'T7a. THg SE 2010-19'!F28/'T4a. THg loads daily calib'!F28</f>
        <v>0.18106498346089034</v>
      </c>
      <c r="H28" s="6"/>
      <c r="I28" s="10"/>
      <c r="J28" s="56">
        <f>'T7a. THg SE 2010-19'!J28/'T4a. THg loads daily calib'!K28</f>
        <v>0.20536632036312558</v>
      </c>
      <c r="K28" s="109">
        <f>'T7a. THg SE 2010-19'!K28/'T4a. THg loads daily calib'!L28</f>
        <v>0.22313189905324346</v>
      </c>
      <c r="L28" s="13" t="s">
        <v>32</v>
      </c>
      <c r="M28" s="4" t="s">
        <v>32</v>
      </c>
    </row>
    <row r="29" spans="1:13">
      <c r="A29" s="62" t="s">
        <v>125</v>
      </c>
      <c r="B29" s="72">
        <v>1043</v>
      </c>
      <c r="C29" s="109">
        <f>'T7a. THg SE 2010-19'!C29/'T4a. THg loads daily calib'!C29</f>
        <v>0.22161311042644843</v>
      </c>
      <c r="D29" s="182">
        <f>'T7a. THg SE 2010-19'!D29/'T4a. THg loads daily calib'!D29</f>
        <v>0.20893947187569303</v>
      </c>
      <c r="E29" s="183">
        <f>'T7a. THg SE 2010-19'!E29/'T4a. THg loads daily calib'!E29</f>
        <v>0.22139661605856675</v>
      </c>
      <c r="F29" s="183">
        <f>'T7a. THg SE 2010-19'!F29/'T4a. THg loads daily calib'!F29</f>
        <v>0.18011484665684258</v>
      </c>
      <c r="H29" s="6"/>
      <c r="I29" s="10"/>
      <c r="J29" s="56">
        <f>'T7a. THg SE 2010-19'!J29/'T4a. THg loads daily calib'!K29</f>
        <v>0.19364462337341534</v>
      </c>
      <c r="K29" s="109">
        <f>'T7a. THg SE 2010-19'!K29/'T4a. THg loads daily calib'!L29</f>
        <v>0.19547809217549686</v>
      </c>
      <c r="L29" s="13" t="s">
        <v>32</v>
      </c>
      <c r="M29" s="4" t="s">
        <v>32</v>
      </c>
    </row>
    <row r="30" spans="1:13">
      <c r="A30" s="2" t="s">
        <v>261</v>
      </c>
      <c r="B30" s="146">
        <f>SUM(B22:B29)</f>
        <v>2116.9591723943099</v>
      </c>
      <c r="C30" s="256">
        <f>'T7a. THg SE 2010-19'!C30/'T4a. THg loads daily calib'!C30</f>
        <v>0.22756528827551109</v>
      </c>
      <c r="D30" s="257">
        <f>'T7a. THg SE 2010-19'!D30/'T4a. THg loads daily calib'!D30</f>
        <v>0.16352770206904951</v>
      </c>
      <c r="E30" s="258">
        <f>'T7a. THg SE 2010-19'!E30/'T4a. THg loads daily calib'!E30</f>
        <v>0.22630035649230237</v>
      </c>
      <c r="F30" s="258">
        <f>'T7a. THg SE 2010-19'!F30/'T4a. THg loads daily calib'!F30</f>
        <v>0.18449643929228521</v>
      </c>
      <c r="H30" s="46"/>
      <c r="I30" s="10" t="s">
        <v>26</v>
      </c>
      <c r="J30" s="56">
        <f>'T7a. THg SE 2010-19'!J30/'T4a. THg loads daily calib'!K30</f>
        <v>0.18430507292053727</v>
      </c>
      <c r="K30" s="259">
        <f>'T7a. THg SE 2010-19'!K30/'T4a. THg loads daily calib'!L30</f>
        <v>0.18426007950265708</v>
      </c>
      <c r="L30" s="11" t="s">
        <v>32</v>
      </c>
      <c r="M30" s="4" t="s">
        <v>32</v>
      </c>
    </row>
    <row r="31" spans="1:13">
      <c r="A31" s="2" t="s">
        <v>261</v>
      </c>
      <c r="C31" s="31"/>
      <c r="D31" s="31"/>
      <c r="E31" s="31"/>
      <c r="F31" s="31"/>
      <c r="H31" s="46"/>
      <c r="I31" s="87" t="s">
        <v>264</v>
      </c>
      <c r="J31" s="56">
        <f>'T7a. THg SE 2010-19'!J31/'T4a. THg loads daily calib'!K31</f>
        <v>0.18430507292053727</v>
      </c>
      <c r="K31" s="259">
        <f>'T7a. THg SE 2010-19'!K31/'T4a. THg loads daily calib'!L31</f>
        <v>0.16542135643277731</v>
      </c>
      <c r="L31" s="11" t="s">
        <v>32</v>
      </c>
      <c r="M31" s="4" t="s">
        <v>32</v>
      </c>
    </row>
    <row r="32" spans="1:13">
      <c r="A32" s="331" t="s">
        <v>260</v>
      </c>
      <c r="C32" s="31"/>
      <c r="D32" s="31"/>
      <c r="E32" s="31"/>
      <c r="F32" s="31"/>
      <c r="H32" s="46"/>
      <c r="I32" s="6"/>
      <c r="J32" s="66"/>
      <c r="K32" s="334"/>
      <c r="L32" s="333"/>
      <c r="M32" s="31"/>
    </row>
    <row r="33" spans="1:13">
      <c r="A33" s="54" t="s">
        <v>1</v>
      </c>
      <c r="B33" s="72">
        <v>204.980803196007</v>
      </c>
      <c r="C33" s="31"/>
      <c r="D33" s="31"/>
      <c r="E33" s="31"/>
      <c r="F33" s="31"/>
      <c r="H33" s="46"/>
      <c r="I33" s="27"/>
      <c r="J33" s="66"/>
      <c r="K33" s="334"/>
      <c r="L33" s="333"/>
      <c r="M33" s="31"/>
    </row>
    <row r="34" spans="1:13">
      <c r="A34" s="54" t="s">
        <v>2</v>
      </c>
      <c r="B34" s="72">
        <v>485</v>
      </c>
      <c r="C34" s="31"/>
      <c r="D34" s="31"/>
      <c r="E34" s="31"/>
      <c r="F34" s="31"/>
      <c r="H34" s="46"/>
      <c r="I34" s="27"/>
      <c r="J34" s="66"/>
      <c r="K34" s="334"/>
      <c r="L34" s="333"/>
      <c r="M34" s="31"/>
    </row>
    <row r="35" spans="1:13">
      <c r="A35" s="54" t="s">
        <v>3</v>
      </c>
      <c r="B35" s="72">
        <v>36.921198227783513</v>
      </c>
      <c r="C35" s="31"/>
      <c r="D35" s="31"/>
      <c r="E35" s="31"/>
      <c r="F35" s="31"/>
      <c r="H35" s="46"/>
      <c r="I35" s="27"/>
      <c r="J35" s="66"/>
      <c r="K35" s="334"/>
      <c r="L35" s="333"/>
      <c r="M35" s="31"/>
    </row>
    <row r="36" spans="1:13">
      <c r="A36" s="54" t="s">
        <v>4</v>
      </c>
      <c r="B36" s="72">
        <v>117.21609517589853</v>
      </c>
      <c r="C36" s="31"/>
      <c r="D36" s="31"/>
      <c r="E36" s="31"/>
      <c r="F36" s="31"/>
      <c r="H36" s="46"/>
      <c r="I36" s="27"/>
      <c r="J36" s="66"/>
      <c r="K36" s="334"/>
      <c r="L36" s="333"/>
      <c r="M36" s="31"/>
    </row>
    <row r="37" spans="1:13">
      <c r="A37" s="54" t="s">
        <v>5</v>
      </c>
      <c r="B37" s="72">
        <v>3</v>
      </c>
      <c r="C37" s="31"/>
      <c r="D37" s="31"/>
      <c r="E37" s="31"/>
      <c r="F37" s="31"/>
      <c r="H37" s="46"/>
      <c r="I37" s="27"/>
      <c r="J37" s="66"/>
      <c r="K37" s="334"/>
      <c r="L37" s="333"/>
      <c r="M37" s="31"/>
    </row>
    <row r="38" spans="1:13">
      <c r="A38" s="54" t="s">
        <v>88</v>
      </c>
      <c r="B38" s="72">
        <v>86</v>
      </c>
      <c r="C38" s="31"/>
      <c r="D38" s="31"/>
      <c r="E38" s="31"/>
      <c r="F38" s="31"/>
      <c r="H38" s="46"/>
      <c r="I38" s="27"/>
      <c r="J38" s="66"/>
      <c r="K38" s="334"/>
      <c r="L38" s="333"/>
      <c r="M38" s="31"/>
    </row>
    <row r="39" spans="1:13">
      <c r="A39" s="54" t="s">
        <v>95</v>
      </c>
      <c r="B39" s="72">
        <v>140.84107579462102</v>
      </c>
      <c r="C39" s="31"/>
      <c r="D39" s="31"/>
      <c r="E39" s="31"/>
      <c r="F39" s="31"/>
      <c r="H39" s="46"/>
      <c r="I39" s="27"/>
      <c r="J39" s="66"/>
      <c r="K39" s="334"/>
      <c r="L39" s="333"/>
      <c r="M39" s="31"/>
    </row>
    <row r="40" spans="1:13">
      <c r="A40" s="54" t="s">
        <v>125</v>
      </c>
      <c r="B40" s="72">
        <v>1043</v>
      </c>
      <c r="C40" s="31"/>
      <c r="D40" s="31"/>
      <c r="E40" s="31"/>
      <c r="F40" s="31"/>
      <c r="H40" s="46"/>
      <c r="I40" s="27"/>
      <c r="J40" s="66"/>
      <c r="K40" s="334"/>
      <c r="L40" s="333"/>
      <c r="M40" s="31"/>
    </row>
    <row r="41" spans="1:13">
      <c r="A41" s="328" t="s">
        <v>128</v>
      </c>
      <c r="B41" s="2"/>
      <c r="C41" s="31"/>
      <c r="D41" s="31"/>
      <c r="E41" s="31"/>
      <c r="F41" s="31"/>
      <c r="H41" s="46"/>
      <c r="I41" s="27"/>
      <c r="J41" s="66"/>
      <c r="K41" s="334"/>
      <c r="L41" s="333"/>
      <c r="M41" s="31"/>
    </row>
    <row r="42" spans="1:13">
      <c r="A42" s="328" t="s">
        <v>247</v>
      </c>
      <c r="B42" s="2"/>
      <c r="C42" s="31"/>
      <c r="D42" s="31"/>
      <c r="E42" s="31"/>
      <c r="F42" s="31"/>
      <c r="H42" s="46"/>
      <c r="I42" s="27"/>
      <c r="J42" s="66"/>
      <c r="K42" s="334"/>
      <c r="L42" s="333"/>
      <c r="M42" s="31"/>
    </row>
    <row r="43" spans="1:13">
      <c r="A43" s="54" t="s">
        <v>253</v>
      </c>
      <c r="B43" s="2"/>
      <c r="C43" s="31"/>
      <c r="D43" s="31"/>
      <c r="E43" s="31"/>
      <c r="F43" s="31"/>
      <c r="H43" s="46"/>
      <c r="I43" s="10" t="s">
        <v>26</v>
      </c>
      <c r="J43" s="66"/>
      <c r="K43" s="334"/>
      <c r="L43" s="333"/>
      <c r="M43" s="31"/>
    </row>
    <row r="44" spans="1:13">
      <c r="A44" s="54" t="s">
        <v>253</v>
      </c>
      <c r="B44" s="2"/>
      <c r="C44" s="31"/>
      <c r="D44" s="31"/>
      <c r="E44" s="31"/>
      <c r="F44" s="31"/>
      <c r="H44" s="46"/>
      <c r="I44" s="87" t="s">
        <v>263</v>
      </c>
      <c r="J44" s="66"/>
      <c r="K44" s="334"/>
      <c r="L44" s="333"/>
      <c r="M44" s="31"/>
    </row>
    <row r="45" spans="1:13" ht="16">
      <c r="A45" s="12" t="s">
        <v>11</v>
      </c>
      <c r="H45" s="6"/>
      <c r="M45" s="26"/>
    </row>
    <row r="46" spans="1:13">
      <c r="A46" s="2" t="s">
        <v>1</v>
      </c>
      <c r="B46" s="72">
        <v>86.403555712866023</v>
      </c>
      <c r="C46" s="109">
        <f>'T7a. THg SE 2010-19'!C46/'T4a. THg loads daily calib'!C46</f>
        <v>8.4312180559594524E-2</v>
      </c>
      <c r="D46" s="182">
        <f>'T7a. THg SE 2010-19'!D46/'T4a. THg loads daily calib'!D46</f>
        <v>9.8138512890667148E-2</v>
      </c>
      <c r="E46" s="183">
        <f>'T7a. THg SE 2010-19'!E46/'T4a. THg loads daily calib'!E46</f>
        <v>8.5117699309345179E-2</v>
      </c>
      <c r="F46" s="183">
        <f>'T7a. THg SE 2010-19'!F46/'T4a. THg loads daily calib'!F46</f>
        <v>0.34654767800220132</v>
      </c>
      <c r="H46" s="46"/>
      <c r="J46" s="56">
        <f>'T7a. THg SE 2010-19'!J46/'T4a. THg loads daily calib'!K46</f>
        <v>0.43168388396468688</v>
      </c>
      <c r="K46" s="109">
        <f>'T7a. THg SE 2010-19'!K46/'T4a. THg loads daily calib'!L46</f>
        <v>0.43168388396468688</v>
      </c>
      <c r="L46" s="4" t="s">
        <v>32</v>
      </c>
      <c r="M46" s="4" t="s">
        <v>32</v>
      </c>
    </row>
    <row r="47" spans="1:13">
      <c r="A47" s="2" t="s">
        <v>2</v>
      </c>
      <c r="B47" s="72">
        <v>360</v>
      </c>
      <c r="C47" s="109">
        <f>'T7a. THg SE 2010-19'!C47/'T4a. THg loads daily calib'!C47</f>
        <v>0.20697923613296773</v>
      </c>
      <c r="D47" s="182">
        <f>'T7a. THg SE 2010-19'!D47/'T4a. THg loads daily calib'!D47</f>
        <v>4.9271205566416482E-2</v>
      </c>
      <c r="E47" s="183">
        <f>'T7a. THg SE 2010-19'!E47/'T4a. THg loads daily calib'!E47</f>
        <v>0.20005190618910865</v>
      </c>
      <c r="F47" s="183">
        <f>'T7a. THg SE 2010-19'!F47/'T4a. THg loads daily calib'!F47</f>
        <v>0.30592569961154376</v>
      </c>
      <c r="H47" s="46"/>
      <c r="J47" s="56">
        <f>'T7a. THg SE 2010-19'!J47/'T4a. THg loads daily calib'!K47</f>
        <v>0.3406412602301026</v>
      </c>
      <c r="K47" s="109">
        <f>'T7a. THg SE 2010-19'!K47/'T4a. THg loads daily calib'!L47</f>
        <v>0.33442122886538561</v>
      </c>
      <c r="L47" s="4" t="s">
        <v>32</v>
      </c>
      <c r="M47" s="4" t="s">
        <v>32</v>
      </c>
    </row>
    <row r="48" spans="1:13">
      <c r="A48" s="2" t="s">
        <v>3</v>
      </c>
      <c r="B48" s="72">
        <v>0</v>
      </c>
      <c r="C48" s="109" t="s">
        <v>32</v>
      </c>
      <c r="D48" s="182" t="s">
        <v>32</v>
      </c>
      <c r="E48" s="183" t="s">
        <v>32</v>
      </c>
      <c r="F48" s="183" t="s">
        <v>32</v>
      </c>
      <c r="H48" s="46"/>
      <c r="J48" s="56" t="s">
        <v>32</v>
      </c>
      <c r="K48" s="109" t="s">
        <v>32</v>
      </c>
      <c r="L48" s="4" t="s">
        <v>32</v>
      </c>
      <c r="M48" s="4" t="s">
        <v>32</v>
      </c>
    </row>
    <row r="49" spans="1:13">
      <c r="A49" s="2" t="s">
        <v>4</v>
      </c>
      <c r="B49" s="72">
        <v>63.341694194967005</v>
      </c>
      <c r="C49" s="109">
        <f>'T7a. THg SE 2010-19'!C49/'T4a. THg loads daily calib'!C49</f>
        <v>0.24128372846859258</v>
      </c>
      <c r="D49" s="182">
        <f>'T7a. THg SE 2010-19'!D49/'T4a. THg loads daily calib'!D49</f>
        <v>0.11926856293003257</v>
      </c>
      <c r="E49" s="183">
        <f>'T7a. THg SE 2010-19'!E49/'T4a. THg loads daily calib'!E49</f>
        <v>0.23073438032825067</v>
      </c>
      <c r="F49" s="183">
        <f>'T7a. THg SE 2010-19'!F49/'T4a. THg loads daily calib'!F49</f>
        <v>0.74039462306838244</v>
      </c>
      <c r="H49" s="46"/>
      <c r="J49" s="56">
        <f>'T7a. THg SE 2010-19'!J49/'T4a. THg loads daily calib'!K49</f>
        <v>0.55961032530705224</v>
      </c>
      <c r="K49" s="109">
        <f>'T7a. THg SE 2010-19'!K49/'T4a. THg loads daily calib'!L49</f>
        <v>0.55286090103421337</v>
      </c>
      <c r="L49" s="4" t="s">
        <v>32</v>
      </c>
      <c r="M49" s="4" t="s">
        <v>32</v>
      </c>
    </row>
    <row r="50" spans="1:13">
      <c r="A50" s="2" t="s">
        <v>5</v>
      </c>
      <c r="B50" s="72">
        <v>0</v>
      </c>
      <c r="C50" s="109" t="s">
        <v>32</v>
      </c>
      <c r="D50" s="182" t="s">
        <v>32</v>
      </c>
      <c r="E50" s="183" t="s">
        <v>32</v>
      </c>
      <c r="F50" s="183" t="s">
        <v>32</v>
      </c>
      <c r="H50" s="6"/>
      <c r="J50" s="56" t="s">
        <v>32</v>
      </c>
      <c r="K50" s="109" t="s">
        <v>32</v>
      </c>
      <c r="L50" s="13" t="s">
        <v>32</v>
      </c>
      <c r="M50" s="4" t="s">
        <v>32</v>
      </c>
    </row>
    <row r="51" spans="1:13">
      <c r="A51" s="2" t="s">
        <v>88</v>
      </c>
      <c r="B51" s="72">
        <v>66.400000000000006</v>
      </c>
      <c r="C51" s="109">
        <f>'T7a. THg SE 2010-19'!C51/'T4a. THg loads daily calib'!C51</f>
        <v>2.5731778776841416</v>
      </c>
      <c r="D51" s="182">
        <f>'T7a. THg SE 2010-19'!D51/'T4a. THg loads daily calib'!D51</f>
        <v>0.18551714130081196</v>
      </c>
      <c r="E51" s="183">
        <f>'T7a. THg SE 2010-19'!E51/'T4a. THg loads daily calib'!E51</f>
        <v>2.3485972378882751</v>
      </c>
      <c r="F51" s="183">
        <f>'T7a. THg SE 2010-19'!F51/'T4a. THg loads daily calib'!F51</f>
        <v>1.3837715968978015</v>
      </c>
      <c r="H51" s="6"/>
      <c r="J51" s="56">
        <f>'T7a. THg SE 2010-19'!J51/'T4a. THg loads daily calib'!K51</f>
        <v>0.57928726841593114</v>
      </c>
      <c r="K51" s="109">
        <f>'T7a. THg SE 2010-19'!K51/'T4a. THg loads daily calib'!L51</f>
        <v>0.54394873717447612</v>
      </c>
      <c r="L51" s="13" t="s">
        <v>32</v>
      </c>
      <c r="M51" s="4" t="s">
        <v>32</v>
      </c>
    </row>
    <row r="52" spans="1:13">
      <c r="A52" s="2" t="s">
        <v>95</v>
      </c>
      <c r="B52" s="72">
        <v>61.2</v>
      </c>
      <c r="C52" s="109">
        <f>'T7a. THg SE 2010-19'!C52/'T4a. THg loads daily calib'!C52</f>
        <v>0.18067359486919729</v>
      </c>
      <c r="D52" s="182">
        <f>'T7a. THg SE 2010-19'!D52/'T4a. THg loads daily calib'!D52</f>
        <v>0.15603843650622767</v>
      </c>
      <c r="E52" s="183">
        <f>'T7a. THg SE 2010-19'!E52/'T4a. THg loads daily calib'!E52</f>
        <v>0.17863831244843872</v>
      </c>
      <c r="F52" s="183">
        <f>'T7a. THg SE 2010-19'!F52/'T4a. THg loads daily calib'!F52</f>
        <v>0.18781479711237589</v>
      </c>
      <c r="H52" s="6"/>
      <c r="J52" s="56">
        <f>'T7a. THg SE 2010-19'!J52/'T4a. THg loads daily calib'!K52</f>
        <v>0.32247750206934744</v>
      </c>
      <c r="K52" s="109">
        <f>'T7a. THg SE 2010-19'!K52/'T4a. THg loads daily calib'!L52</f>
        <v>0.31377474059374671</v>
      </c>
      <c r="L52" s="13" t="s">
        <v>32</v>
      </c>
      <c r="M52" s="4" t="s">
        <v>32</v>
      </c>
    </row>
    <row r="53" spans="1:13">
      <c r="A53" s="2" t="s">
        <v>125</v>
      </c>
      <c r="B53" s="72">
        <v>1026.16425</v>
      </c>
      <c r="C53" s="109">
        <f>'T7a. THg SE 2010-19'!C53/'T4a. THg loads daily calib'!C53</f>
        <v>0.18796605266590247</v>
      </c>
      <c r="D53" s="182">
        <f>'T7a. THg SE 2010-19'!D53/'T4a. THg loads daily calib'!D53</f>
        <v>6.2222631800880689E-2</v>
      </c>
      <c r="E53" s="183">
        <f>'T7a. THg SE 2010-19'!E53/'T4a. THg loads daily calib'!E53</f>
        <v>0.18224141607764155</v>
      </c>
      <c r="F53" s="183">
        <f>'T7a. THg SE 2010-19'!F53/'T4a. THg loads daily calib'!F53</f>
        <v>0.17275982127822787</v>
      </c>
      <c r="H53" s="6"/>
      <c r="J53" s="56">
        <f>'T7a. THg SE 2010-19'!J53/'T4a. THg loads daily calib'!K53</f>
        <v>0.12174071758421869</v>
      </c>
      <c r="K53" s="109">
        <f>'T7a. THg SE 2010-19'!K53/'T4a. THg loads daily calib'!L53</f>
        <v>0.10868369338035486</v>
      </c>
      <c r="L53" s="13" t="s">
        <v>32</v>
      </c>
      <c r="M53" s="4" t="s">
        <v>32</v>
      </c>
    </row>
    <row r="54" spans="1:13">
      <c r="A54" s="62" t="s">
        <v>128</v>
      </c>
      <c r="B54" s="72">
        <v>0</v>
      </c>
      <c r="C54" s="109" t="s">
        <v>32</v>
      </c>
      <c r="D54" s="182" t="s">
        <v>32</v>
      </c>
      <c r="E54" s="183" t="s">
        <v>32</v>
      </c>
      <c r="F54" s="183" t="s">
        <v>32</v>
      </c>
      <c r="H54" s="6"/>
      <c r="J54" s="56" t="s">
        <v>32</v>
      </c>
      <c r="K54" s="109" t="s">
        <v>32</v>
      </c>
      <c r="L54" s="13" t="s">
        <v>32</v>
      </c>
      <c r="M54" s="4" t="s">
        <v>32</v>
      </c>
    </row>
    <row r="55" spans="1:13">
      <c r="A55" s="62" t="s">
        <v>247</v>
      </c>
      <c r="B55" s="72"/>
      <c r="C55" s="109"/>
      <c r="D55" s="182"/>
      <c r="E55" s="183"/>
      <c r="F55" s="183"/>
      <c r="H55" s="6"/>
      <c r="J55" s="56"/>
      <c r="K55" s="109"/>
      <c r="L55" s="13"/>
      <c r="M55" s="4"/>
    </row>
    <row r="56" spans="1:13">
      <c r="A56" s="2" t="s">
        <v>253</v>
      </c>
      <c r="B56" s="146">
        <f>SUM(B46:B53)</f>
        <v>1663.5094999078331</v>
      </c>
      <c r="C56" s="256">
        <f>'T7a. THg SE 2010-19'!C56/'T4a. THg loads daily calib'!C56</f>
        <v>0.17203690968585914</v>
      </c>
      <c r="D56" s="257">
        <f>'T7a. THg SE 2010-19'!D56/'T4a. THg loads daily calib'!D56</f>
        <v>5.1519554793945078E-2</v>
      </c>
      <c r="E56" s="258">
        <f>'T7a. THg SE 2010-19'!E56/'T4a. THg loads daily calib'!E56</f>
        <v>0.16612994193750374</v>
      </c>
      <c r="F56" s="258">
        <f>'T7a. THg SE 2010-19'!F56/'T4a. THg loads daily calib'!F56</f>
        <v>0.17627933239974725</v>
      </c>
      <c r="H56" s="46"/>
      <c r="I56" s="10" t="s">
        <v>26</v>
      </c>
      <c r="J56" s="56">
        <f>'T7a. THg SE 2010-19'!J56/'T4a. THg loads daily calib'!K56</f>
        <v>0.13142726147248443</v>
      </c>
      <c r="K56" s="259">
        <f>'T7a. THg SE 2010-19'!K56/'T4a. THg loads daily calib'!L56</f>
        <v>0.12608445467026136</v>
      </c>
      <c r="L56" s="11" t="s">
        <v>32</v>
      </c>
      <c r="M56" s="4" t="s">
        <v>32</v>
      </c>
    </row>
    <row r="57" spans="1:13">
      <c r="A57" s="2" t="s">
        <v>253</v>
      </c>
      <c r="B57" s="37"/>
      <c r="C57" s="31"/>
      <c r="D57" s="31"/>
      <c r="E57" s="31"/>
      <c r="F57" s="31"/>
      <c r="H57" s="46"/>
      <c r="I57" s="87" t="s">
        <v>263</v>
      </c>
      <c r="J57" s="56">
        <f>'T7a. THg SE 2010-19'!J57/'T4a. THg loads daily calib'!K57</f>
        <v>0.13142726147248443</v>
      </c>
      <c r="K57" s="259">
        <f>'T7a. THg SE 2010-19'!K57/'T4a. THg loads daily calib'!L57</f>
        <v>0.14920225995032044</v>
      </c>
      <c r="L57" s="11" t="s">
        <v>32</v>
      </c>
      <c r="M57" s="4" t="s">
        <v>32</v>
      </c>
    </row>
    <row r="58" spans="1:13" ht="16">
      <c r="A58" s="12" t="s">
        <v>12</v>
      </c>
      <c r="B58" s="37"/>
      <c r="H58" s="6"/>
      <c r="J58" s="9"/>
      <c r="M58" s="26"/>
    </row>
    <row r="59" spans="1:13">
      <c r="A59" s="2" t="s">
        <v>1</v>
      </c>
      <c r="B59" s="72">
        <v>85</v>
      </c>
      <c r="C59" s="109">
        <f>'T7a. THg SE 2010-19'!C59/'T4a. THg loads daily calib'!C59</f>
        <v>0.12847730041961083</v>
      </c>
      <c r="D59" s="182">
        <f>'T7a. THg SE 2010-19'!D59/'T4a. THg loads daily calib'!D59</f>
        <v>0.17923441896736389</v>
      </c>
      <c r="E59" s="183">
        <f>'T7a. THg SE 2010-19'!E59/'T4a. THg loads daily calib'!E59</f>
        <v>0.13271034121554648</v>
      </c>
      <c r="F59" s="183">
        <f>'T7a. THg SE 2010-19'!F59/'T4a. THg loads daily calib'!F59</f>
        <v>0.10475405726197003</v>
      </c>
      <c r="H59" s="46"/>
      <c r="J59" s="56">
        <f>'T7a. THg SE 2010-19'!J59/'T4a. THg loads daily calib'!K59</f>
        <v>0.1202593919018025</v>
      </c>
      <c r="K59" s="109">
        <f>'T7a. THg SE 2010-19'!K59/'T4a. THg loads daily calib'!L59</f>
        <v>0.11205853464829113</v>
      </c>
      <c r="L59" s="4" t="s">
        <v>32</v>
      </c>
      <c r="M59" s="4" t="s">
        <v>32</v>
      </c>
    </row>
    <row r="60" spans="1:13">
      <c r="A60" s="2" t="s">
        <v>2</v>
      </c>
      <c r="B60" s="72">
        <v>95.92362156151502</v>
      </c>
      <c r="C60" s="109">
        <f>'T7a. THg SE 2010-19'!C60/'T4a. THg loads daily calib'!C60</f>
        <v>6.4200830965942993E-2</v>
      </c>
      <c r="D60" s="182">
        <f>'T7a. THg SE 2010-19'!D60/'T4a. THg loads daily calib'!D60</f>
        <v>9.3289397238502395E-2</v>
      </c>
      <c r="E60" s="183">
        <f>'T7a. THg SE 2010-19'!E60/'T4a. THg loads daily calib'!E60</f>
        <v>6.5641209587643412E-2</v>
      </c>
      <c r="F60" s="183">
        <f>'T7a. THg SE 2010-19'!F60/'T4a. THg loads daily calib'!F60</f>
        <v>6.0725156153833122E-2</v>
      </c>
      <c r="H60" s="46"/>
      <c r="J60" s="56">
        <f>'T7a. THg SE 2010-19'!J60/'T4a. THg loads daily calib'!K60</f>
        <v>5.8483951059062081E-2</v>
      </c>
      <c r="K60" s="109">
        <f>'T7a. THg SE 2010-19'!K60/'T4a. THg loads daily calib'!L60</f>
        <v>6.1762933699757543E-2</v>
      </c>
      <c r="L60" s="4" t="s">
        <v>32</v>
      </c>
      <c r="M60" s="4" t="s">
        <v>32</v>
      </c>
    </row>
    <row r="61" spans="1:13">
      <c r="A61" s="2" t="s">
        <v>3</v>
      </c>
      <c r="B61" s="72">
        <v>22.120468177770004</v>
      </c>
      <c r="C61" s="109">
        <f>'T7a. THg SE 2010-19'!C61/'T4a. THg loads daily calib'!C61</f>
        <v>0.16387963280259671</v>
      </c>
      <c r="D61" s="182">
        <f>'T7a. THg SE 2010-19'!D61/'T4a. THg loads daily calib'!D61</f>
        <v>0.13398843471445213</v>
      </c>
      <c r="E61" s="183">
        <f>'T7a. THg SE 2010-19'!E61/'T4a. THg loads daily calib'!E61</f>
        <v>0.16083839404114555</v>
      </c>
      <c r="F61" s="183">
        <f>'T7a. THg SE 2010-19'!F61/'T4a. THg loads daily calib'!F61</f>
        <v>0.12664295439997997</v>
      </c>
      <c r="H61" s="46"/>
      <c r="J61" s="56">
        <f>'T7a. THg SE 2010-19'!J61/'T4a. THg loads daily calib'!K61</f>
        <v>0.17181353766646221</v>
      </c>
      <c r="K61" s="109">
        <f>'T7a. THg SE 2010-19'!K61/'T4a. THg loads daily calib'!L61</f>
        <v>0.17558700177155753</v>
      </c>
      <c r="L61" s="4" t="s">
        <v>32</v>
      </c>
      <c r="M61" s="4" t="s">
        <v>32</v>
      </c>
    </row>
    <row r="62" spans="1:13">
      <c r="A62" s="2" t="s">
        <v>4</v>
      </c>
      <c r="B62" s="72">
        <v>39</v>
      </c>
      <c r="C62" s="109">
        <f>'T7a. THg SE 2010-19'!C62/'T4a. THg loads daily calib'!C62</f>
        <v>0.24812447006532595</v>
      </c>
      <c r="D62" s="182">
        <f>'T7a. THg SE 2010-19'!D62/'T4a. THg loads daily calib'!D62</f>
        <v>0.13287853610886607</v>
      </c>
      <c r="E62" s="183">
        <f>'T7a. THg SE 2010-19'!E62/'T4a. THg loads daily calib'!E62</f>
        <v>0.23006502958787867</v>
      </c>
      <c r="F62" s="183">
        <f>'T7a. THg SE 2010-19'!F62/'T4a. THg loads daily calib'!F62</f>
        <v>0.25768551233276371</v>
      </c>
      <c r="H62" s="46"/>
      <c r="J62" s="56">
        <f>'T7a. THg SE 2010-19'!J62/'T4a. THg loads daily calib'!K62</f>
        <v>0.37858381734057667</v>
      </c>
      <c r="K62" s="109">
        <f>'T7a. THg SE 2010-19'!K62/'T4a. THg loads daily calib'!L62</f>
        <v>0.35723137393518167</v>
      </c>
      <c r="L62" s="4" t="s">
        <v>32</v>
      </c>
      <c r="M62" s="4" t="s">
        <v>32</v>
      </c>
    </row>
    <row r="63" spans="1:13">
      <c r="A63" s="2" t="s">
        <v>5</v>
      </c>
      <c r="B63" s="85">
        <v>0.65</v>
      </c>
      <c r="C63" s="109">
        <f>'T7a. THg SE 2010-19'!C63/'T4a. THg loads daily calib'!C63</f>
        <v>0.41052721168393624</v>
      </c>
      <c r="D63" s="182">
        <f>'T7a. THg SE 2010-19'!D63/'T4a. THg loads daily calib'!D63</f>
        <v>0.20331674291482069</v>
      </c>
      <c r="E63" s="183">
        <f>'T7a. THg SE 2010-19'!E63/'T4a. THg loads daily calib'!E63</f>
        <v>0.37957407558665213</v>
      </c>
      <c r="F63" s="183">
        <f>'T7a. THg SE 2010-19'!F63/'T4a. THg loads daily calib'!F63</f>
        <v>0.39270317061406335</v>
      </c>
      <c r="H63" s="6"/>
      <c r="J63" s="56">
        <f>'T7a. THg SE 2010-19'!J63/'T4a. THg loads daily calib'!K63</f>
        <v>0.40054319962552143</v>
      </c>
      <c r="K63" s="109" t="s">
        <v>32</v>
      </c>
      <c r="L63" s="13" t="s">
        <v>32</v>
      </c>
      <c r="M63" s="4" t="s">
        <v>32</v>
      </c>
    </row>
    <row r="64" spans="1:13">
      <c r="A64" s="2" t="s">
        <v>88</v>
      </c>
      <c r="B64" s="72">
        <v>17</v>
      </c>
      <c r="C64" s="109">
        <f>'T7a. THg SE 2010-19'!C64/'T4a. THg loads daily calib'!C64</f>
        <v>0.1697349961691435</v>
      </c>
      <c r="D64" s="182">
        <f>'T7a. THg SE 2010-19'!D64/'T4a. THg loads daily calib'!D64</f>
        <v>0.30191481218076971</v>
      </c>
      <c r="E64" s="183">
        <f>'T7a. THg SE 2010-19'!E64/'T4a. THg loads daily calib'!E64</f>
        <v>0.18757559428121651</v>
      </c>
      <c r="F64" s="183">
        <f>'T7a. THg SE 2010-19'!F64/'T4a. THg loads daily calib'!F64</f>
        <v>0.16260327577568534</v>
      </c>
      <c r="H64" s="6"/>
      <c r="J64" s="56">
        <f>'T7a. THg SE 2010-19'!J64/'T4a. THg loads daily calib'!K64</f>
        <v>0.16480232363452541</v>
      </c>
      <c r="K64" s="109">
        <f>'T7a. THg SE 2010-19'!K64/'T4a. THg loads daily calib'!L64</f>
        <v>0.16563077491141712</v>
      </c>
      <c r="L64" s="13" t="s">
        <v>32</v>
      </c>
      <c r="M64" s="4" t="s">
        <v>32</v>
      </c>
    </row>
    <row r="65" spans="1:13">
      <c r="A65" s="2" t="s">
        <v>95</v>
      </c>
      <c r="B65" s="72">
        <v>52.023969000000001</v>
      </c>
      <c r="C65" s="109">
        <f>'T7a. THg SE 2010-19'!C65/'T4a. THg loads daily calib'!C65</f>
        <v>0.23929081537457592</v>
      </c>
      <c r="D65" s="182">
        <f>'T7a. THg SE 2010-19'!D65/'T4a. THg loads daily calib'!D65</f>
        <v>0.1975555565265294</v>
      </c>
      <c r="E65" s="183">
        <f>'T7a. THg SE 2010-19'!E65/'T4a. THg loads daily calib'!E65</f>
        <v>0.23640349968338817</v>
      </c>
      <c r="F65" s="183">
        <f>'T7a. THg SE 2010-19'!F65/'T4a. THg loads daily calib'!F65</f>
        <v>0.22700513530677133</v>
      </c>
      <c r="H65" s="6"/>
      <c r="J65" s="56">
        <f>'T7a. THg SE 2010-19'!J65/'T4a. THg loads daily calib'!K65</f>
        <v>0.31203126206946663</v>
      </c>
      <c r="K65" s="109">
        <f>'T7a. THg SE 2010-19'!K65/'T4a. THg loads daily calib'!L65</f>
        <v>0.32815218534458074</v>
      </c>
      <c r="L65" s="13" t="s">
        <v>32</v>
      </c>
      <c r="M65" s="4" t="s">
        <v>32</v>
      </c>
    </row>
    <row r="66" spans="1:13">
      <c r="A66" s="2" t="s">
        <v>125</v>
      </c>
      <c r="B66" s="72">
        <v>31.800677832000002</v>
      </c>
      <c r="C66" s="109">
        <f>'T7a. THg SE 2010-19'!C66/'T4a. THg loads daily calib'!C66</f>
        <v>0.31606989430517424</v>
      </c>
      <c r="D66" s="182">
        <f>'T7a. THg SE 2010-19'!D66/'T4a. THg loads daily calib'!D66</f>
        <v>0.15648956820797946</v>
      </c>
      <c r="E66" s="183">
        <f>'T7a. THg SE 2010-19'!E66/'T4a. THg loads daily calib'!E66</f>
        <v>0.30759134818062528</v>
      </c>
      <c r="F66" s="183">
        <f>'T7a. THg SE 2010-19'!F66/'T4a. THg loads daily calib'!F66</f>
        <v>0.30137480223856594</v>
      </c>
      <c r="H66" s="6"/>
      <c r="J66" s="56">
        <f>'T7a. THg SE 2010-19'!J66/'T4a. THg loads daily calib'!K66</f>
        <v>0.2105610393709578</v>
      </c>
      <c r="K66" s="109">
        <f>'T7a. THg SE 2010-19'!K66/'T4a. THg loads daily calib'!L66</f>
        <v>0.20166489893254336</v>
      </c>
      <c r="L66" s="13" t="s">
        <v>32</v>
      </c>
      <c r="M66" s="4" t="s">
        <v>32</v>
      </c>
    </row>
    <row r="67" spans="1:13">
      <c r="A67" s="62" t="s">
        <v>128</v>
      </c>
      <c r="B67" s="93">
        <v>8.4</v>
      </c>
      <c r="C67" s="109">
        <f>'T7a. THg SE 2010-19'!C67/'T4a. THg loads daily calib'!C67</f>
        <v>0.19905665549602861</v>
      </c>
      <c r="D67" s="182">
        <f>'T7a. THg SE 2010-19'!D67/'T4a. THg loads daily calib'!D67</f>
        <v>0.12343348707653559</v>
      </c>
      <c r="E67" s="183">
        <f>'T7a. THg SE 2010-19'!E67/'T4a. THg loads daily calib'!E67</f>
        <v>0.18943980903856017</v>
      </c>
      <c r="F67" s="183">
        <f>'T7a. THg SE 2010-19'!F67/'T4a. THg loads daily calib'!F67</f>
        <v>0.2000556130513918</v>
      </c>
      <c r="H67" s="6"/>
      <c r="J67" s="56">
        <f>'T7a. THg SE 2010-19'!J67/'T4a. THg loads daily calib'!K67</f>
        <v>0.18514391426416346</v>
      </c>
      <c r="K67" s="109">
        <f>'T7a. THg SE 2010-19'!K67/'T4a. THg loads daily calib'!L67</f>
        <v>0.18327409900806438</v>
      </c>
      <c r="L67" s="13" t="s">
        <v>32</v>
      </c>
      <c r="M67" s="4" t="s">
        <v>32</v>
      </c>
    </row>
    <row r="68" spans="1:13">
      <c r="A68" s="62" t="s">
        <v>247</v>
      </c>
      <c r="B68" s="93"/>
      <c r="C68" s="109"/>
      <c r="D68" s="182"/>
      <c r="E68" s="183"/>
      <c r="F68" s="183"/>
      <c r="H68" s="6"/>
      <c r="J68" s="56"/>
      <c r="K68" s="109"/>
      <c r="L68" s="13"/>
      <c r="M68" s="4"/>
    </row>
    <row r="69" spans="1:13">
      <c r="A69" s="2" t="s">
        <v>253</v>
      </c>
      <c r="B69" s="146">
        <f>SUM(B59:B67)</f>
        <v>351.91873657128502</v>
      </c>
      <c r="C69" s="256">
        <f>'T7a. THg SE 2010-19'!C69/'T4a. THg loads daily calib'!C69</f>
        <v>7.8020671058050287E-2</v>
      </c>
      <c r="D69" s="257">
        <f>'T7a. THg SE 2010-19'!D69/'T4a. THg loads daily calib'!D69</f>
        <v>0.10682005522891304</v>
      </c>
      <c r="E69" s="258">
        <f>'T7a. THg SE 2010-19'!E69/'T4a. THg loads daily calib'!E69</f>
        <v>7.9654171272040844E-2</v>
      </c>
      <c r="F69" s="258">
        <f>'T7a. THg SE 2010-19'!F69/'T4a. THg loads daily calib'!F69</f>
        <v>7.7021211754969107E-2</v>
      </c>
      <c r="H69" s="6"/>
      <c r="I69" s="10" t="s">
        <v>26</v>
      </c>
      <c r="J69" s="56">
        <f>'T7a. THg SE 2010-19'!J69/'T4a. THg loads daily calib'!K69</f>
        <v>8.1274179639546459E-2</v>
      </c>
      <c r="K69" s="259">
        <f>'T7a. THg SE 2010-19'!K69/'T4a. THg loads daily calib'!L69</f>
        <v>7.9483787291048297E-2</v>
      </c>
      <c r="L69" s="11" t="s">
        <v>32</v>
      </c>
      <c r="M69" s="4" t="s">
        <v>32</v>
      </c>
    </row>
    <row r="70" spans="1:13">
      <c r="A70" s="2" t="s">
        <v>253</v>
      </c>
      <c r="B70" s="37"/>
      <c r="C70" s="31"/>
      <c r="D70" s="32"/>
      <c r="E70" s="31"/>
      <c r="F70" s="31"/>
      <c r="H70" s="46"/>
      <c r="I70" s="87" t="s">
        <v>263</v>
      </c>
      <c r="J70" s="56">
        <f>'T7a. THg SE 2010-19'!J70/'T4a. THg loads daily calib'!K70</f>
        <v>8.1274179639546459E-2</v>
      </c>
      <c r="K70" s="259">
        <f>'T7a. THg SE 2010-19'!K70/'T4a. THg loads daily calib'!L70</f>
        <v>8.4720434606594355E-2</v>
      </c>
      <c r="L70" s="11" t="s">
        <v>32</v>
      </c>
      <c r="M70" s="4" t="s">
        <v>32</v>
      </c>
    </row>
    <row r="71" spans="1:13" ht="16">
      <c r="A71" s="14" t="s">
        <v>14</v>
      </c>
      <c r="B71" s="37"/>
      <c r="H71" s="6"/>
      <c r="M71" s="26"/>
    </row>
    <row r="72" spans="1:13">
      <c r="A72" s="2" t="s">
        <v>1</v>
      </c>
      <c r="B72" s="72">
        <f t="shared" ref="B72:B80" si="0">SUM(B46,B59)</f>
        <v>171.40355571286602</v>
      </c>
      <c r="C72" s="109">
        <f>'T7a. THg SE 2010-19'!C72/'T4a. THg loads daily calib'!C72</f>
        <v>9.6834930370602826E-2</v>
      </c>
      <c r="D72" s="182">
        <f>'T7a. THg SE 2010-19'!D72/'T4a. THg loads daily calib'!D72</f>
        <v>0.12797473240052745</v>
      </c>
      <c r="E72" s="183">
        <f>'T7a. THg SE 2010-19'!E72/'T4a. THg loads daily calib'!E72</f>
        <v>9.8875413167081191E-2</v>
      </c>
      <c r="F72" s="183">
        <f>'T7a. THg SE 2010-19'!F72/'T4a. THg loads daily calib'!F72</f>
        <v>0.26450620625959848</v>
      </c>
      <c r="H72" s="46"/>
      <c r="J72" s="56">
        <f>'T7a. THg SE 2010-19'!J72/'T4a. THg loads daily calib'!K72</f>
        <v>0.33289842371262396</v>
      </c>
      <c r="K72" s="109">
        <f>'T7a. THg SE 2010-19'!K72/'T4a. THg loads daily calib'!L72</f>
        <v>0.3253457671439311</v>
      </c>
      <c r="L72" s="4" t="s">
        <v>32</v>
      </c>
      <c r="M72" s="4" t="s">
        <v>32</v>
      </c>
    </row>
    <row r="73" spans="1:13">
      <c r="A73" s="2" t="s">
        <v>2</v>
      </c>
      <c r="B73" s="72">
        <f t="shared" si="0"/>
        <v>455.92362156151501</v>
      </c>
      <c r="C73" s="109">
        <f>'T7a. THg SE 2010-19'!C73/'T4a. THg loads daily calib'!C73</f>
        <v>0.18741656319394775</v>
      </c>
      <c r="D73" s="182">
        <f>'T7a. THg SE 2010-19'!D73/'T4a. THg loads daily calib'!D73</f>
        <v>5.5986885502319832E-2</v>
      </c>
      <c r="E73" s="183">
        <f>'T7a. THg SE 2010-19'!E73/'T4a. THg loads daily calib'!E73</f>
        <v>0.18154230105253619</v>
      </c>
      <c r="F73" s="183">
        <f>'T7a. THg SE 2010-19'!F73/'T4a. THg loads daily calib'!F73</f>
        <v>0.27143102174551126</v>
      </c>
      <c r="H73" s="46"/>
      <c r="J73" s="56">
        <f>'T7a. THg SE 2010-19'!J73/'T4a. THg loads daily calib'!K73</f>
        <v>0.27021786537576753</v>
      </c>
      <c r="K73" s="109">
        <f>'T7a. THg SE 2010-19'!K73/'T4a. THg loads daily calib'!L73</f>
        <v>0.25948285830748957</v>
      </c>
      <c r="L73" s="4" t="s">
        <v>32</v>
      </c>
      <c r="M73" s="4" t="s">
        <v>32</v>
      </c>
    </row>
    <row r="74" spans="1:13">
      <c r="A74" s="2" t="s">
        <v>3</v>
      </c>
      <c r="B74" s="72">
        <f t="shared" si="0"/>
        <v>22.120468177770004</v>
      </c>
      <c r="C74" s="109">
        <f>'T7a. THg SE 2010-19'!C74/'T4a. THg loads daily calib'!C74</f>
        <v>0.16387963280259671</v>
      </c>
      <c r="D74" s="182">
        <f>'T7a. THg SE 2010-19'!D74/'T4a. THg loads daily calib'!D74</f>
        <v>0.13398843471445213</v>
      </c>
      <c r="E74" s="183">
        <f>'T7a. THg SE 2010-19'!E74/'T4a. THg loads daily calib'!E74</f>
        <v>0.16083839404114555</v>
      </c>
      <c r="F74" s="183">
        <f>'T7a. THg SE 2010-19'!F74/'T4a. THg loads daily calib'!F74</f>
        <v>0.12664295439997997</v>
      </c>
      <c r="H74" s="46"/>
      <c r="J74" s="56">
        <f>'T7a. THg SE 2010-19'!J74/'T4a. THg loads daily calib'!K74</f>
        <v>0.17181353766646221</v>
      </c>
      <c r="K74" s="109">
        <f>'T7a. THg SE 2010-19'!K74/'T4a. THg loads daily calib'!L74</f>
        <v>0.17558700177155753</v>
      </c>
      <c r="L74" s="4" t="s">
        <v>32</v>
      </c>
      <c r="M74" s="4" t="s">
        <v>32</v>
      </c>
    </row>
    <row r="75" spans="1:13">
      <c r="A75" s="2" t="s">
        <v>4</v>
      </c>
      <c r="B75" s="72">
        <f t="shared" si="0"/>
        <v>102.341694194967</v>
      </c>
      <c r="C75" s="109">
        <f>'T7a. THg SE 2010-19'!C75/'T4a. THg loads daily calib'!C75</f>
        <v>0.24293747376766126</v>
      </c>
      <c r="D75" s="182">
        <f>'T7a. THg SE 2010-19'!D75/'T4a. THg loads daily calib'!D75</f>
        <v>0.12450826554913996</v>
      </c>
      <c r="E75" s="183">
        <f>'T7a. THg SE 2010-19'!E75/'T4a. THg loads daily calib'!E75</f>
        <v>0.23056254665946188</v>
      </c>
      <c r="F75" s="183">
        <f>'T7a. THg SE 2010-19'!F75/'T4a. THg loads daily calib'!F75</f>
        <v>0.61211777927514499</v>
      </c>
      <c r="H75" s="46"/>
      <c r="J75" s="56">
        <f>'T7a. THg SE 2010-19'!J75/'T4a. THg loads daily calib'!K75</f>
        <v>0.51495161995721805</v>
      </c>
      <c r="K75" s="109">
        <f>'T7a. THg SE 2010-19'!K75/'T4a. THg loads daily calib'!L75</f>
        <v>0.49661338183045411</v>
      </c>
      <c r="L75" s="4" t="s">
        <v>32</v>
      </c>
      <c r="M75" s="4" t="s">
        <v>32</v>
      </c>
    </row>
    <row r="76" spans="1:13">
      <c r="A76" s="2" t="s">
        <v>5</v>
      </c>
      <c r="B76" s="93">
        <f t="shared" si="0"/>
        <v>0.65</v>
      </c>
      <c r="C76" s="109">
        <f>'T7a. THg SE 2010-19'!C76/'T4a. THg loads daily calib'!C76</f>
        <v>0.41052721168393624</v>
      </c>
      <c r="D76" s="182">
        <f>'T7a. THg SE 2010-19'!D76/'T4a. THg loads daily calib'!D76</f>
        <v>0.20331674291482069</v>
      </c>
      <c r="E76" s="183">
        <f>'T7a. THg SE 2010-19'!E76/'T4a. THg loads daily calib'!E76</f>
        <v>0.37957407558665213</v>
      </c>
      <c r="F76" s="183">
        <f>'T7a. THg SE 2010-19'!F76/'T4a. THg loads daily calib'!F76</f>
        <v>0.39270317061406335</v>
      </c>
      <c r="H76" s="6"/>
      <c r="J76" s="56">
        <f>'T7a. THg SE 2010-19'!J76/'T4a. THg loads daily calib'!K76</f>
        <v>0.40054319962552143</v>
      </c>
      <c r="K76" s="109" t="s">
        <v>32</v>
      </c>
      <c r="L76" s="13" t="s">
        <v>32</v>
      </c>
      <c r="M76" s="4" t="s">
        <v>32</v>
      </c>
    </row>
    <row r="77" spans="1:13">
      <c r="A77" s="2" t="s">
        <v>88</v>
      </c>
      <c r="B77" s="72">
        <f t="shared" si="0"/>
        <v>83.4</v>
      </c>
      <c r="C77" s="109">
        <f>'T7a. THg SE 2010-19'!C77/'T4a. THg loads daily calib'!C77</f>
        <v>2.2570879206341705</v>
      </c>
      <c r="D77" s="182">
        <f>'T7a. THg SE 2010-19'!D77/'T4a. THg loads daily calib'!D77</f>
        <v>0.20709581103643285</v>
      </c>
      <c r="E77" s="183">
        <f>'T7a. THg SE 2010-19'!E77/'T4a. THg loads daily calib'!E77</f>
        <v>2.0527872447081346</v>
      </c>
      <c r="F77" s="183">
        <f>'T7a. THg SE 2010-19'!F77/'T4a. THg loads daily calib'!F77</f>
        <v>1.2018672513947786</v>
      </c>
      <c r="H77" s="6"/>
      <c r="J77" s="56">
        <f>'T7a. THg SE 2010-19'!J77/'T4a. THg loads daily calib'!K77</f>
        <v>0.52152366633496616</v>
      </c>
      <c r="K77" s="109">
        <f>'T7a. THg SE 2010-19'!K77/'T4a. THg loads daily calib'!L77</f>
        <v>0.50066504692678149</v>
      </c>
      <c r="L77" s="13" t="s">
        <v>32</v>
      </c>
      <c r="M77" s="4" t="s">
        <v>32</v>
      </c>
    </row>
    <row r="78" spans="1:13">
      <c r="A78" s="2" t="s">
        <v>95</v>
      </c>
      <c r="B78" s="72">
        <f t="shared" si="0"/>
        <v>113.22396900000001</v>
      </c>
      <c r="C78" s="109">
        <f>'T7a. THg SE 2010-19'!C78/'T4a. THg loads daily calib'!C78</f>
        <v>0.20287080277063213</v>
      </c>
      <c r="D78" s="182">
        <f>'T7a. THg SE 2010-19'!D78/'T4a. THg loads daily calib'!D78</f>
        <v>0.16993267722628108</v>
      </c>
      <c r="E78" s="183">
        <f>'T7a. THg SE 2010-19'!E78/'T4a. THg loads daily calib'!E78</f>
        <v>0.20031562197668457</v>
      </c>
      <c r="F78" s="183">
        <f>'T7a. THg SE 2010-19'!F78/'T4a. THg loads daily calib'!F78</f>
        <v>0.20358288560402976</v>
      </c>
      <c r="H78" s="6"/>
      <c r="J78" s="56">
        <f>'T7a. THg SE 2010-19'!J78/'T4a. THg loads daily calib'!K78</f>
        <v>0.31823143373863172</v>
      </c>
      <c r="K78" s="109">
        <f>'T7a. THg SE 2010-19'!K78/'T4a. THg loads daily calib'!L78</f>
        <v>0.31958046422475261</v>
      </c>
      <c r="L78" s="13" t="s">
        <v>32</v>
      </c>
      <c r="M78" s="4" t="s">
        <v>32</v>
      </c>
    </row>
    <row r="79" spans="1:13">
      <c r="A79" s="2" t="s">
        <v>125</v>
      </c>
      <c r="B79" s="72">
        <f t="shared" si="0"/>
        <v>1057.9649278320001</v>
      </c>
      <c r="C79" s="109">
        <f>'T7a. THg SE 2010-19'!C79/'T4a. THg loads daily calib'!C79</f>
        <v>0.18963738339533168</v>
      </c>
      <c r="D79" s="182">
        <f>'T7a. THg SE 2010-19'!D79/'T4a. THg loads daily calib'!D79</f>
        <v>6.3666123937965002E-2</v>
      </c>
      <c r="E79" s="183">
        <f>'T7a. THg SE 2010-19'!E79/'T4a. THg loads daily calib'!E79</f>
        <v>0.18388977797717168</v>
      </c>
      <c r="F79" s="183">
        <f>'T7a. THg SE 2010-19'!F79/'T4a. THg loads daily calib'!F79</f>
        <v>0.17447862056279664</v>
      </c>
      <c r="H79" s="6"/>
      <c r="J79" s="56">
        <f>'T7a. THg SE 2010-19'!J79/'T4a. THg loads daily calib'!K79</f>
        <v>0.12298726139228766</v>
      </c>
      <c r="K79" s="109">
        <f>'T7a. THg SE 2010-19'!K79/'T4a. THg loads daily calib'!L79</f>
        <v>0.1100480203852896</v>
      </c>
      <c r="L79" s="13" t="s">
        <v>32</v>
      </c>
      <c r="M79" s="4" t="s">
        <v>32</v>
      </c>
    </row>
    <row r="80" spans="1:13">
      <c r="A80" s="62" t="s">
        <v>128</v>
      </c>
      <c r="B80" s="93">
        <f t="shared" si="0"/>
        <v>8.4</v>
      </c>
      <c r="C80" s="109">
        <f>'T7a. THg SE 2010-19'!C80/'T4a. THg loads daily calib'!C80</f>
        <v>0.19905665549602861</v>
      </c>
      <c r="D80" s="182">
        <f>'T7a. THg SE 2010-19'!D80/'T4a. THg loads daily calib'!D80</f>
        <v>0.12343348707653559</v>
      </c>
      <c r="E80" s="183">
        <f>'T7a. THg SE 2010-19'!E80/'T4a. THg loads daily calib'!E80</f>
        <v>0.18943980903856017</v>
      </c>
      <c r="F80" s="183">
        <f>'T7a. THg SE 2010-19'!F80/'T4a. THg loads daily calib'!F80</f>
        <v>0.2000556130513918</v>
      </c>
      <c r="H80" s="6"/>
      <c r="J80" s="56">
        <f>'T7a. THg SE 2010-19'!J80/'T4a. THg loads daily calib'!K80</f>
        <v>0.18514391426416346</v>
      </c>
      <c r="K80" s="109">
        <f>'T7a. THg SE 2010-19'!K80/'T4a. THg loads daily calib'!L80</f>
        <v>0.18327409900806438</v>
      </c>
      <c r="L80" s="13" t="s">
        <v>32</v>
      </c>
      <c r="M80" s="4" t="s">
        <v>32</v>
      </c>
    </row>
    <row r="81" spans="1:13">
      <c r="A81" s="62" t="s">
        <v>247</v>
      </c>
      <c r="B81" s="93"/>
      <c r="C81" s="109"/>
      <c r="D81" s="182"/>
      <c r="E81" s="183"/>
      <c r="F81" s="183"/>
      <c r="H81" s="6"/>
      <c r="J81" s="56"/>
      <c r="K81" s="109"/>
      <c r="L81" s="13"/>
      <c r="M81" s="4"/>
    </row>
    <row r="82" spans="1:13">
      <c r="A82" s="2" t="s">
        <v>253</v>
      </c>
      <c r="B82" s="146">
        <f>SUM(B72:B80)</f>
        <v>2015.4282364791181</v>
      </c>
      <c r="C82" s="256">
        <f>'T7a. THg SE 2010-19'!C82/'T4a. THg loads daily calib'!C82</f>
        <v>0.1617532554429725</v>
      </c>
      <c r="D82" s="257">
        <f>'T7a. THg SE 2010-19'!D82/'T4a. THg loads daily calib'!D82</f>
        <v>5.8450323190735447E-2</v>
      </c>
      <c r="E82" s="258">
        <f>'T7a. THg SE 2010-19'!E82/'T4a. THg loads daily calib'!E82</f>
        <v>0.15660231260472474</v>
      </c>
      <c r="F82" s="258">
        <f>'T7a. THg SE 2010-19'!F82/'T4a. THg loads daily calib'!F82</f>
        <v>0.16539299785717049</v>
      </c>
      <c r="H82" s="6"/>
      <c r="I82" s="10" t="s">
        <v>26</v>
      </c>
      <c r="J82" s="56">
        <f>'T7a. THg SE 2010-19'!J82/'T4a. THg loads daily calib'!K82</f>
        <v>0.12529163544731178</v>
      </c>
      <c r="K82" s="259">
        <f>'T7a. THg SE 2010-19'!K82/'T4a. THg loads daily calib'!L82</f>
        <v>0.12010665590635368</v>
      </c>
      <c r="L82" s="11" t="s">
        <v>32</v>
      </c>
      <c r="M82" s="4" t="s">
        <v>32</v>
      </c>
    </row>
    <row r="83" spans="1:13">
      <c r="A83" s="2" t="s">
        <v>253</v>
      </c>
      <c r="B83" s="37"/>
      <c r="C83" s="31"/>
      <c r="D83" s="32"/>
      <c r="E83" s="31"/>
      <c r="F83" s="31"/>
      <c r="H83" s="46"/>
      <c r="I83" s="87" t="s">
        <v>263</v>
      </c>
      <c r="J83" s="56">
        <f>'T7a. THg SE 2010-19'!J83/'T4a. THg loads daily calib'!K83</f>
        <v>0.12529163544731178</v>
      </c>
      <c r="K83" s="259">
        <f>'T7a. THg SE 2010-19'!K83/'T4a. THg loads daily calib'!L83</f>
        <v>0.12510404388783297</v>
      </c>
      <c r="L83" s="11" t="s">
        <v>32</v>
      </c>
      <c r="M83" s="4" t="s">
        <v>32</v>
      </c>
    </row>
    <row r="84" spans="1:13" ht="16">
      <c r="A84" s="14" t="s">
        <v>131</v>
      </c>
      <c r="B84" s="37"/>
      <c r="H84" s="48"/>
      <c r="M84" s="26"/>
    </row>
    <row r="85" spans="1:13">
      <c r="A85" s="2" t="s">
        <v>1</v>
      </c>
      <c r="B85" s="72">
        <f t="shared" ref="B85:B92" si="1">B72</f>
        <v>171.40355571286602</v>
      </c>
      <c r="C85" s="109">
        <f>'T7a. THg SE 2010-19'!C85/'T4a. THg loads daily calib'!C85</f>
        <v>0.28737233859442585</v>
      </c>
      <c r="D85" s="182">
        <f>'T7a. THg SE 2010-19'!D85/'T4a. THg loads daily calib'!D85</f>
        <v>0.10093583247961663</v>
      </c>
      <c r="E85" s="183">
        <f>'T7a. THg SE 2010-19'!E85/'T4a. THg loads daily calib'!E85</f>
        <v>0.27417122304372188</v>
      </c>
      <c r="F85" s="183">
        <f>'T7a. THg SE 2010-19'!F85/'T4a. THg loads daily calib'!F85</f>
        <v>0.19520306735787429</v>
      </c>
      <c r="H85" s="46"/>
      <c r="J85" s="56">
        <f>'T7a. THg SE 2010-19'!J85/'T4a. THg loads daily calib'!K85</f>
        <v>0.19533014780320235</v>
      </c>
      <c r="K85" s="109">
        <f>'T7a. THg SE 2010-19'!K85/'T4a. THg loads daily calib'!L85</f>
        <v>0.18200998516052622</v>
      </c>
      <c r="L85" s="4" t="s">
        <v>32</v>
      </c>
      <c r="M85" s="4" t="s">
        <v>32</v>
      </c>
    </row>
    <row r="86" spans="1:13">
      <c r="A86" s="2" t="s">
        <v>2</v>
      </c>
      <c r="B86" s="72">
        <f t="shared" si="1"/>
        <v>455.92362156151501</v>
      </c>
      <c r="C86" s="109">
        <f>'T7a. THg SE 2010-19'!C86/'T4a. THg loads daily calib'!C86</f>
        <v>0.2296109674834832</v>
      </c>
      <c r="D86" s="182">
        <f>'T7a. THg SE 2010-19'!D86/'T4a. THg loads daily calib'!D86</f>
        <v>0.10053612145568298</v>
      </c>
      <c r="E86" s="183">
        <f>'T7a. THg SE 2010-19'!E86/'T4a. THg loads daily calib'!E86</f>
        <v>0.22350519874339483</v>
      </c>
      <c r="F86" s="183">
        <f>'T7a. THg SE 2010-19'!F86/'T4a. THg loads daily calib'!F86</f>
        <v>0.19016733364597818</v>
      </c>
      <c r="H86" s="46"/>
      <c r="J86" s="56">
        <f>'T7a. THg SE 2010-19'!J86/'T4a. THg loads daily calib'!K86</f>
        <v>0.19400057052363393</v>
      </c>
      <c r="K86" s="109">
        <f>'T7a. THg SE 2010-19'!K86/'T4a. THg loads daily calib'!L86</f>
        <v>0.19440553917898876</v>
      </c>
      <c r="L86" s="4" t="s">
        <v>32</v>
      </c>
      <c r="M86" s="4" t="s">
        <v>32</v>
      </c>
    </row>
    <row r="87" spans="1:13">
      <c r="A87" s="2" t="s">
        <v>3</v>
      </c>
      <c r="B87" s="72">
        <f t="shared" si="1"/>
        <v>22.120468177770004</v>
      </c>
      <c r="C87" s="109">
        <f>'T7a. THg SE 2010-19'!C87/'T4a. THg loads daily calib'!C87</f>
        <v>0.26481100379538519</v>
      </c>
      <c r="D87" s="182">
        <f>'T7a. THg SE 2010-19'!D87/'T4a. THg loads daily calib'!D87</f>
        <v>7.8532384628113142E-2</v>
      </c>
      <c r="E87" s="183">
        <f>'T7a. THg SE 2010-19'!E87/'T4a. THg loads daily calib'!E87</f>
        <v>0.23671408237149458</v>
      </c>
      <c r="F87" s="183">
        <f>'T7a. THg SE 2010-19'!F87/'T4a. THg loads daily calib'!F87</f>
        <v>0.14966705713835055</v>
      </c>
      <c r="H87" s="46"/>
      <c r="J87" s="56">
        <f>'T7a. THg SE 2010-19'!J87/'T4a. THg loads daily calib'!K87</f>
        <v>0.22306198580989728</v>
      </c>
      <c r="K87" s="109">
        <f>'T7a. THg SE 2010-19'!K87/'T4a. THg loads daily calib'!L87</f>
        <v>0.22796099672659784</v>
      </c>
      <c r="L87" s="4" t="s">
        <v>32</v>
      </c>
      <c r="M87" s="4" t="s">
        <v>32</v>
      </c>
    </row>
    <row r="88" spans="1:13">
      <c r="A88" s="2" t="s">
        <v>4</v>
      </c>
      <c r="B88" s="72">
        <f t="shared" si="1"/>
        <v>102.341694194967</v>
      </c>
      <c r="C88" s="109">
        <f>'T7a. THg SE 2010-19'!C88/'T4a. THg loads daily calib'!C88</f>
        <v>0.53291095362556884</v>
      </c>
      <c r="D88" s="182">
        <f>'T7a. THg SE 2010-19'!D88/'T4a. THg loads daily calib'!D88</f>
        <v>0.23246265393493945</v>
      </c>
      <c r="E88" s="183">
        <f>'T7a. THg SE 2010-19'!E88/'T4a. THg loads daily calib'!E88</f>
        <v>0.51009134077510709</v>
      </c>
      <c r="F88" s="183">
        <f>'T7a. THg SE 2010-19'!F88/'T4a. THg loads daily calib'!F88</f>
        <v>0.43933948493924169</v>
      </c>
      <c r="H88" s="46"/>
      <c r="J88" s="56">
        <f>'T7a. THg SE 2010-19'!J88/'T4a. THg loads daily calib'!K88</f>
        <v>0.64715815768802254</v>
      </c>
      <c r="K88" s="109">
        <f>'T7a. THg SE 2010-19'!K88/'T4a. THg loads daily calib'!L88</f>
        <v>0.62604006570619786</v>
      </c>
      <c r="L88" s="4" t="s">
        <v>32</v>
      </c>
      <c r="M88" s="4" t="s">
        <v>32</v>
      </c>
    </row>
    <row r="89" spans="1:13">
      <c r="A89" s="2" t="s">
        <v>5</v>
      </c>
      <c r="B89" s="93">
        <f t="shared" si="1"/>
        <v>0.65</v>
      </c>
      <c r="C89" s="109">
        <f>'T7a. THg SE 2010-19'!C89/'T4a. THg loads daily calib'!C89</f>
        <v>2.3713467457473763</v>
      </c>
      <c r="D89" s="182">
        <f>'T7a. THg SE 2010-19'!D89/'T4a. THg loads daily calib'!D89</f>
        <v>0.2019281358353944</v>
      </c>
      <c r="E89" s="183">
        <f>'T7a. THg SE 2010-19'!E89/'T4a. THg loads daily calib'!E89</f>
        <v>1.5181206696497143</v>
      </c>
      <c r="F89" s="183">
        <f>'T7a. THg SE 2010-19'!F89/'T4a. THg loads daily calib'!F89</f>
        <v>1.4100726345509811</v>
      </c>
      <c r="H89" s="6"/>
      <c r="J89" s="56">
        <f>'T7a. THg SE 2010-19'!J89/'T4a. THg loads daily calib'!K89</f>
        <v>0.56985123476535537</v>
      </c>
      <c r="K89" s="109" t="s">
        <v>32</v>
      </c>
      <c r="L89" s="13" t="s">
        <v>32</v>
      </c>
      <c r="M89" s="4" t="s">
        <v>32</v>
      </c>
    </row>
    <row r="90" spans="1:13">
      <c r="A90" s="2" t="s">
        <v>88</v>
      </c>
      <c r="B90" s="72">
        <f t="shared" si="1"/>
        <v>83.4</v>
      </c>
      <c r="C90" s="109">
        <f>'T7a. THg SE 2010-19'!C90/'T4a. THg loads daily calib'!C90</f>
        <v>1.4227513822582585</v>
      </c>
      <c r="D90" s="182">
        <f>'T7a. THg SE 2010-19'!D90/'T4a. THg loads daily calib'!D90</f>
        <v>0.44533665733797623</v>
      </c>
      <c r="E90" s="183">
        <f>'T7a. THg SE 2010-19'!E90/'T4a. THg loads daily calib'!E90</f>
        <v>1.3485592288014709</v>
      </c>
      <c r="F90" s="183">
        <f>'T7a. THg SE 2010-19'!F90/'T4a. THg loads daily calib'!F90</f>
        <v>1.1424697047494579</v>
      </c>
      <c r="H90" s="6"/>
      <c r="J90" s="56">
        <f>'T7a. THg SE 2010-19'!J90/'T4a. THg loads daily calib'!K90</f>
        <v>1.1495461990348803</v>
      </c>
      <c r="K90" s="109">
        <f>'T7a. THg SE 2010-19'!K90/'T4a. THg loads daily calib'!L90</f>
        <v>1.0941905934196248</v>
      </c>
      <c r="L90" s="13" t="s">
        <v>32</v>
      </c>
      <c r="M90" s="4" t="s">
        <v>32</v>
      </c>
    </row>
    <row r="91" spans="1:13">
      <c r="A91" s="2" t="s">
        <v>95</v>
      </c>
      <c r="B91" s="72">
        <f t="shared" si="1"/>
        <v>113.22396900000001</v>
      </c>
      <c r="C91" s="109">
        <f>'T7a. THg SE 2010-19'!C91/'T4a. THg loads daily calib'!C91</f>
        <v>0.25994216241937107</v>
      </c>
      <c r="D91" s="182">
        <f>'T7a. THg SE 2010-19'!D91/'T4a. THg loads daily calib'!D91</f>
        <v>0.11606714325447891</v>
      </c>
      <c r="E91" s="183">
        <f>'T7a. THg SE 2010-19'!E91/'T4a. THg loads daily calib'!E91</f>
        <v>0.25009658498878651</v>
      </c>
      <c r="F91" s="183">
        <f>'T7a. THg SE 2010-19'!F91/'T4a. THg loads daily calib'!F91</f>
        <v>0.2413883161705912</v>
      </c>
      <c r="H91" s="6"/>
      <c r="J91" s="56">
        <f>'T7a. THg SE 2010-19'!J91/'T4a. THg loads daily calib'!K91</f>
        <v>0.29609585075663752</v>
      </c>
      <c r="K91" s="109">
        <f>'T7a. THg SE 2010-19'!K91/'T4a. THg loads daily calib'!L91</f>
        <v>0.29812683876732382</v>
      </c>
      <c r="L91" s="13" t="s">
        <v>32</v>
      </c>
      <c r="M91" s="4" t="s">
        <v>32</v>
      </c>
    </row>
    <row r="92" spans="1:13">
      <c r="A92" s="2" t="s">
        <v>125</v>
      </c>
      <c r="B92" s="72">
        <f t="shared" si="1"/>
        <v>1057.9649278320001</v>
      </c>
      <c r="C92" s="109">
        <f>'T7a. THg SE 2010-19'!C92/'T4a. THg loads daily calib'!C92</f>
        <v>0.17645767528408696</v>
      </c>
      <c r="D92" s="182">
        <f>'T7a. THg SE 2010-19'!D92/'T4a. THg loads daily calib'!D92</f>
        <v>6.3249946960980033E-2</v>
      </c>
      <c r="E92" s="183">
        <f>'T7a. THg SE 2010-19'!E92/'T4a. THg loads daily calib'!E92</f>
        <v>0.17173431901870467</v>
      </c>
      <c r="F92" s="183">
        <f>'T7a. THg SE 2010-19'!F92/'T4a. THg loads daily calib'!F92</f>
        <v>0.15787618601638917</v>
      </c>
      <c r="H92" s="6"/>
      <c r="J92" s="56">
        <f>'T7a. THg SE 2010-19'!J92/'T4a. THg loads daily calib'!K92</f>
        <v>0.16292067040914612</v>
      </c>
      <c r="K92" s="109">
        <f>'T7a. THg SE 2010-19'!K92/'T4a. THg loads daily calib'!L92</f>
        <v>0.14586309806302269</v>
      </c>
      <c r="L92" s="13" t="s">
        <v>32</v>
      </c>
      <c r="M92" s="4" t="s">
        <v>32</v>
      </c>
    </row>
    <row r="93" spans="1:13">
      <c r="A93" s="62" t="s">
        <v>128</v>
      </c>
      <c r="B93" s="93">
        <f>B80</f>
        <v>8.4</v>
      </c>
      <c r="C93" s="109">
        <f>'T7a. THg SE 2010-19'!C93/'T4a. THg loads daily calib'!C93</f>
        <v>0.19949849573417763</v>
      </c>
      <c r="D93" s="182">
        <f>'T7a. THg SE 2010-19'!D93/'T4a. THg loads daily calib'!D93</f>
        <v>7.0155549034374126E-2</v>
      </c>
      <c r="E93" s="183">
        <f>'T7a. THg SE 2010-19'!E93/'T4a. THg loads daily calib'!E93</f>
        <v>0.17716224602666836</v>
      </c>
      <c r="F93" s="183">
        <f>'T7a. THg SE 2010-19'!F93/'T4a. THg loads daily calib'!F93</f>
        <v>0.18937501629692244</v>
      </c>
      <c r="H93" s="6"/>
      <c r="J93" s="56">
        <f>'T7a. THg SE 2010-19'!J93/'T4a. THg loads daily calib'!K93</f>
        <v>0.19969579441511279</v>
      </c>
      <c r="K93" s="109">
        <f>'T7a. THg SE 2010-19'!K93/'T4a. THg loads daily calib'!L93</f>
        <v>0.19767901603781515</v>
      </c>
      <c r="L93" s="13" t="s">
        <v>32</v>
      </c>
      <c r="M93" s="4" t="s">
        <v>32</v>
      </c>
    </row>
    <row r="94" spans="1:13">
      <c r="A94" s="62" t="s">
        <v>247</v>
      </c>
      <c r="B94" s="93"/>
      <c r="C94" s="109"/>
      <c r="D94" s="182"/>
      <c r="E94" s="183"/>
      <c r="F94" s="183"/>
      <c r="H94" s="6"/>
      <c r="J94" s="56"/>
      <c r="K94" s="109"/>
      <c r="L94" s="13"/>
      <c r="M94" s="4"/>
    </row>
    <row r="95" spans="1:13">
      <c r="A95" s="2" t="s">
        <v>253</v>
      </c>
      <c r="B95" s="146">
        <f>SUM(B85:B93)</f>
        <v>2015.4282364791181</v>
      </c>
      <c r="C95" s="256">
        <f>'T7a. THg SE 2010-19'!C95/'T4a. THg loads daily calib'!C95</f>
        <v>0.16278514871368355</v>
      </c>
      <c r="D95" s="257">
        <f>'T7a. THg SE 2010-19'!D95/'T4a. THg loads daily calib'!D95</f>
        <v>7.0463389955984265E-2</v>
      </c>
      <c r="E95" s="258">
        <f>'T7a. THg SE 2010-19'!E95/'T4a. THg loads daily calib'!E95</f>
        <v>7.7937826927252374E-2</v>
      </c>
      <c r="F95" s="258">
        <f>'T7a. THg SE 2010-19'!F95/'T4a. THg loads daily calib'!F95</f>
        <v>0.13995782532449513</v>
      </c>
      <c r="H95" s="6"/>
      <c r="I95" s="10" t="s">
        <v>26</v>
      </c>
      <c r="J95" s="56">
        <f>'T7a. THg SE 2010-19'!J95/'T4a. THg loads daily calib'!K95</f>
        <v>0.14350681620455033</v>
      </c>
      <c r="K95" s="259">
        <f>'T7a. THg SE 2010-19'!K95/'T4a. THg loads daily calib'!L95</f>
        <v>0.14070543356100218</v>
      </c>
      <c r="L95" s="11" t="s">
        <v>32</v>
      </c>
      <c r="M95" s="4" t="s">
        <v>32</v>
      </c>
    </row>
    <row r="96" spans="1:13">
      <c r="A96" s="2" t="s">
        <v>253</v>
      </c>
      <c r="C96" s="31"/>
      <c r="D96" s="32"/>
      <c r="E96" s="31"/>
      <c r="F96" s="31"/>
      <c r="H96" s="46"/>
      <c r="I96" s="87" t="s">
        <v>263</v>
      </c>
      <c r="J96" s="56">
        <f>'T7a. THg SE 2010-19'!J96/'T4a. THg loads daily calib'!K96</f>
        <v>0.14350681620455033</v>
      </c>
      <c r="K96" s="259">
        <f>'T7a. THg SE 2010-19'!K96/'T4a. THg loads daily calib'!L96</f>
        <v>0.13635896712156506</v>
      </c>
      <c r="L96" s="11" t="s">
        <v>32</v>
      </c>
      <c r="M96" s="4" t="s">
        <v>32</v>
      </c>
    </row>
  </sheetData>
  <mergeCells count="2">
    <mergeCell ref="A1:M1"/>
    <mergeCell ref="A2:M2"/>
  </mergeCells>
  <conditionalFormatting sqref="A39:A40">
    <cfRule type="duplicateValues" dxfId="4" priority="1"/>
  </conditionalFormatting>
  <pageMargins left="0.7" right="0.7" top="0.75" bottom="0.75" header="0.3" footer="0.3"/>
  <pageSetup scale="47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15</vt:i4>
      </vt:variant>
    </vt:vector>
  </HeadingPairs>
  <TitlesOfParts>
    <vt:vector size="39" baseType="lpstr">
      <vt:lpstr>T1. WY2017 peaks</vt:lpstr>
      <vt:lpstr>T2. Sed Phases 1-3</vt:lpstr>
      <vt:lpstr>T3. Load calc plan</vt:lpstr>
      <vt:lpstr>T4a. THg loads daily calib</vt:lpstr>
      <vt:lpstr>T4b, THg loads inst calib</vt:lpstr>
      <vt:lpstr>T5. THg loads Yolo-Road102</vt:lpstr>
      <vt:lpstr>T6. THg trap eff 2010-19</vt:lpstr>
      <vt:lpstr>T7a. THg SE 2010-19</vt:lpstr>
      <vt:lpstr>T7b, THg %SE</vt:lpstr>
      <vt:lpstr>T8. THg TE SE 2010-19</vt:lpstr>
      <vt:lpstr>T9a. MeHg loads daily calib</vt:lpstr>
      <vt:lpstr>T9b. MeHg Loads inst calib</vt:lpstr>
      <vt:lpstr>T10. MeHg Loads Yolo-Road102</vt:lpstr>
      <vt:lpstr>T11. MeHg trap eff 2010-19</vt:lpstr>
      <vt:lpstr>T12a. MeHg SE 2010-18</vt:lpstr>
      <vt:lpstr>T12b. MeHg %SE</vt:lpstr>
      <vt:lpstr>T13. MeHg TE SE 2010-18</vt:lpstr>
      <vt:lpstr>T16. THg Weir N v S_daily</vt:lpstr>
      <vt:lpstr>T17a. SSC THg SE Weir N v S</vt:lpstr>
      <vt:lpstr>T17b. SSE THg%SE N_v_S</vt:lpstr>
      <vt:lpstr>T17c. MeHg Weir N v S_daily</vt:lpstr>
      <vt:lpstr>T18. Rumsey THg loads</vt:lpstr>
      <vt:lpstr>T19a. Rumsey THg SE</vt:lpstr>
      <vt:lpstr>T19b Rumsey THg %SE</vt:lpstr>
      <vt:lpstr>'T1. WY2017 peaks'!Print_Area</vt:lpstr>
      <vt:lpstr>'T10. MeHg Loads Yolo-Road102'!Print_Area</vt:lpstr>
      <vt:lpstr>'T11. MeHg trap eff 2010-19'!Print_Area</vt:lpstr>
      <vt:lpstr>'T12b. MeHg %SE'!Print_Area</vt:lpstr>
      <vt:lpstr>'T13. MeHg TE SE 2010-18'!Print_Area</vt:lpstr>
      <vt:lpstr>'T16. THg Weir N v S_daily'!Print_Area</vt:lpstr>
      <vt:lpstr>'T17a. SSC THg SE Weir N v S'!Print_Area</vt:lpstr>
      <vt:lpstr>'T2. Sed Phases 1-3'!Print_Area</vt:lpstr>
      <vt:lpstr>'T3. Load calc plan'!Print_Area</vt:lpstr>
      <vt:lpstr>'T4a. THg loads daily calib'!Print_Area</vt:lpstr>
      <vt:lpstr>'T6. THg trap eff 2010-19'!Print_Area</vt:lpstr>
      <vt:lpstr>'T7a. THg SE 2010-19'!Print_Area</vt:lpstr>
      <vt:lpstr>'T7b, THg %SE'!Print_Area</vt:lpstr>
      <vt:lpstr>'T8. THg TE SE 2010-19'!Print_Area</vt:lpstr>
      <vt:lpstr>'T9a. MeHg loads daily calib'!Print_Area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Alpers, Charles N.</dc:creator>
  <cp:lastModifiedBy>Microsoft Office User</cp:lastModifiedBy>
  <cp:lastPrinted>2019-10-31T19:05:05Z</cp:lastPrinted>
  <dcterms:created xsi:type="dcterms:W3CDTF">2015-06-25T22:12:21Z</dcterms:created>
  <dcterms:modified xsi:type="dcterms:W3CDTF">2020-09-21T15:12:19Z</dcterms:modified>
</cp:coreProperties>
</file>