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/>
  <mc:AlternateContent xmlns:mc="http://schemas.openxmlformats.org/markup-compatibility/2006">
    <mc:Choice Requires="x15">
      <x15ac:absPath xmlns:x15ac="http://schemas.microsoft.com/office/spreadsheetml/2010/11/ac" url="/Users/joed/CCSB_Loads/Interpretations_Manuscripts/LoadSummaries2010-2017/"/>
    </mc:Choice>
  </mc:AlternateContent>
  <xr:revisionPtr revIDLastSave="0" documentId="8_{3D255B8B-C997-B144-AC6F-2524BB392491}" xr6:coauthVersionLast="40" xr6:coauthVersionMax="40" xr10:uidLastSave="{00000000-0000-0000-0000-000000000000}"/>
  <bookViews>
    <workbookView xWindow="0" yWindow="460" windowWidth="25600" windowHeight="11480" tabRatio="799" firstSheet="4" activeTab="9" xr2:uid="{00000000-000D-0000-FFFF-FFFF00000000}"/>
  </bookViews>
  <sheets>
    <sheet name="T1. Sed Phases 1-3" sheetId="23" r:id="rId1"/>
    <sheet name="T2x. THg loads 2010-17" sheetId="1" r:id="rId2"/>
    <sheet name="T3x. THg trap eff 2010-17" sheetId="12" r:id="rId3"/>
    <sheet name="T4x. THg SE 2010-17" sheetId="13" r:id="rId4"/>
    <sheet name="T5x. THg TE SE 2010-17" sheetId="16" r:id="rId5"/>
    <sheet name="T6x. MeHg loads 2010-17" sheetId="2" r:id="rId6"/>
    <sheet name="T7x. MeHg trap eff 2010-17" sheetId="4" r:id="rId7"/>
    <sheet name="T8x. MeHg SE 2010-17" sheetId="15" r:id="rId8"/>
    <sheet name="T9x. MeHg TE SE 2010-17" sheetId="17" r:id="rId9"/>
    <sheet name="T10x. pTHg loads 2010-17" sheetId="22" r:id="rId10"/>
    <sheet name="T11. THg-SS loads 2017" sheetId="24" r:id="rId11"/>
  </sheets>
  <definedNames>
    <definedName name="_xlnm.Print_Area" localSheetId="0">'T1. Sed Phases 1-3'!$A$1:$J$7</definedName>
    <definedName name="_xlnm.Print_Area" localSheetId="9">'T10x. pTHg loads 2010-17'!$A$1:$M$44</definedName>
    <definedName name="_xlnm.Print_Area" localSheetId="10">'T11. THg-SS loads 2017'!$A$1:$P$20</definedName>
    <definedName name="_xlnm.Print_Area" localSheetId="1">'T2x. THg loads 2010-17'!$A$1:$X$65</definedName>
    <definedName name="_xlnm.Print_Area" localSheetId="2">'T3x. THg trap eff 2010-17'!$A$1:$O$34</definedName>
    <definedName name="_xlnm.Print_Area" localSheetId="3">'T4x. THg SE 2010-17'!$A$1:$M$61</definedName>
    <definedName name="_xlnm.Print_Area" localSheetId="4">'T5x. THg TE SE 2010-17'!$A$1:$N$30</definedName>
    <definedName name="_xlnm.Print_Area" localSheetId="5">'T6x. MeHg loads 2010-17'!$A$1:$S$65</definedName>
    <definedName name="_xlnm.Print_Area" localSheetId="6">'T7x. MeHg trap eff 2010-17'!$A$1:$O$34</definedName>
    <definedName name="_xlnm.Print_Area" localSheetId="7">'T8x. MeHg SE 2010-17'!$A$1:$M$61</definedName>
    <definedName name="_xlnm.Print_Area" localSheetId="8">'T9x. MeHg TE SE 2010-17'!$A$1:$O$29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5" i="22" l="1"/>
  <c r="W15" i="22"/>
  <c r="V37" i="22"/>
  <c r="U37" i="22"/>
  <c r="V26" i="22"/>
  <c r="X37" i="22" s="1"/>
  <c r="U26" i="22"/>
  <c r="W37" i="22" s="1"/>
  <c r="Y37" i="22" s="1"/>
  <c r="V15" i="22"/>
  <c r="X15" i="22" s="1"/>
  <c r="R37" i="22"/>
  <c r="R36" i="22"/>
  <c r="R35" i="22"/>
  <c r="R34" i="22"/>
  <c r="R33" i="22"/>
  <c r="R32" i="22"/>
  <c r="R31" i="22"/>
  <c r="R30" i="22"/>
  <c r="R29" i="22"/>
  <c r="R26" i="22"/>
  <c r="R25" i="22"/>
  <c r="R24" i="22"/>
  <c r="R23" i="22"/>
  <c r="R22" i="22"/>
  <c r="R21" i="22"/>
  <c r="R20" i="22"/>
  <c r="R19" i="22"/>
  <c r="R18" i="22"/>
  <c r="R15" i="22"/>
  <c r="R14" i="22"/>
  <c r="R13" i="22"/>
  <c r="R12" i="22"/>
  <c r="R11" i="22"/>
  <c r="R10" i="22"/>
  <c r="R9" i="22"/>
  <c r="R8" i="22"/>
  <c r="R7" i="22"/>
  <c r="S43" i="22"/>
  <c r="U43" i="22" s="1"/>
  <c r="S40" i="22"/>
  <c r="R40" i="22" s="1"/>
  <c r="T43" i="22"/>
  <c r="V43" i="22" s="1"/>
  <c r="T40" i="22"/>
  <c r="V40" i="22" s="1"/>
  <c r="X43" i="22" s="1"/>
  <c r="Y59" i="1"/>
  <c r="Y58" i="1"/>
  <c r="Y57" i="1"/>
  <c r="Y56" i="1"/>
  <c r="Y55" i="1"/>
  <c r="Y54" i="1"/>
  <c r="Y53" i="1"/>
  <c r="Y52" i="1"/>
  <c r="Y37" i="1"/>
  <c r="Y36" i="1"/>
  <c r="Y35" i="1"/>
  <c r="Y34" i="1"/>
  <c r="Y33" i="1"/>
  <c r="Y32" i="1"/>
  <c r="Y31" i="1"/>
  <c r="Y30" i="1"/>
  <c r="Y26" i="1"/>
  <c r="Y25" i="1"/>
  <c r="Y24" i="1"/>
  <c r="Y22" i="1"/>
  <c r="Y20" i="1"/>
  <c r="Y19" i="1"/>
  <c r="Y15" i="1"/>
  <c r="Y14" i="1"/>
  <c r="Y13" i="1"/>
  <c r="Y12" i="1"/>
  <c r="Y11" i="1"/>
  <c r="Y10" i="1"/>
  <c r="Y9" i="1"/>
  <c r="Y8" i="1"/>
  <c r="Y15" i="22" l="1"/>
  <c r="R43" i="22"/>
  <c r="U40" i="22"/>
  <c r="W43" i="22" s="1"/>
  <c r="Y43" i="22" s="1"/>
  <c r="J38" i="22"/>
  <c r="J37" i="22"/>
  <c r="G26" i="22"/>
  <c r="K26" i="22" s="1"/>
  <c r="G38" i="22"/>
  <c r="K38" i="22" s="1"/>
  <c r="G36" i="22"/>
  <c r="G35" i="22"/>
  <c r="G34" i="22"/>
  <c r="G32" i="22"/>
  <c r="G31" i="22"/>
  <c r="G30" i="22"/>
  <c r="G29" i="22"/>
  <c r="K27" i="22"/>
  <c r="J27" i="22"/>
  <c r="J26" i="22"/>
  <c r="F16" i="22"/>
  <c r="F41" i="22" s="1"/>
  <c r="F15" i="22"/>
  <c r="F43" i="22" s="1"/>
  <c r="G14" i="22"/>
  <c r="G37" i="22" l="1"/>
  <c r="K37" i="22" s="1"/>
  <c r="J15" i="22"/>
  <c r="G16" i="22"/>
  <c r="F40" i="22"/>
  <c r="J16" i="22"/>
  <c r="BW24" i="17"/>
  <c r="BV24" i="17"/>
  <c r="BM24" i="17"/>
  <c r="BL24" i="17"/>
  <c r="BE24" i="17"/>
  <c r="BD24" i="17"/>
  <c r="AW24" i="17"/>
  <c r="AV24" i="17"/>
  <c r="AU24" i="17"/>
  <c r="AG24" i="17"/>
  <c r="AF24" i="17"/>
  <c r="AE24" i="17"/>
  <c r="AD24" i="17"/>
  <c r="T24" i="17"/>
  <c r="U24" i="17" s="1"/>
  <c r="S24" i="17"/>
  <c r="R24" i="17"/>
  <c r="V24" i="17" s="1"/>
  <c r="Q24" i="17"/>
  <c r="BU13" i="17"/>
  <c r="BM13" i="17"/>
  <c r="BL13" i="17"/>
  <c r="BK13" i="17"/>
  <c r="BC13" i="17"/>
  <c r="BC24" i="17" s="1"/>
  <c r="BB13" i="17"/>
  <c r="BB24" i="17" s="1"/>
  <c r="AU13" i="17"/>
  <c r="AT13" i="17"/>
  <c r="AT24" i="17" s="1"/>
  <c r="AE13" i="17"/>
  <c r="AD13" i="17"/>
  <c r="R13" i="17"/>
  <c r="Q13" i="17"/>
  <c r="L22" i="4"/>
  <c r="J22" i="4"/>
  <c r="F22" i="4"/>
  <c r="D22" i="4"/>
  <c r="C22" i="4"/>
  <c r="L22" i="12"/>
  <c r="J22" i="12"/>
  <c r="F22" i="12"/>
  <c r="D22" i="12"/>
  <c r="C22" i="12"/>
  <c r="M8" i="24"/>
  <c r="M10" i="24"/>
  <c r="BG24" i="17" l="1"/>
  <c r="AY24" i="17"/>
  <c r="AX24" i="17"/>
  <c r="BF24" i="17"/>
  <c r="BH24" i="17" s="1"/>
  <c r="J24" i="17" s="1"/>
  <c r="AI24" i="17"/>
  <c r="W24" i="17"/>
  <c r="C24" i="17" s="1"/>
  <c r="AH24" i="17"/>
  <c r="AJ24" i="17" s="1"/>
  <c r="D24" i="17" s="1"/>
  <c r="BK24" i="17"/>
  <c r="BU24" i="17"/>
  <c r="K16" i="22"/>
  <c r="G41" i="22"/>
  <c r="AZ24" i="17"/>
  <c r="F24" i="17" s="1"/>
  <c r="K16" i="24" l="1"/>
  <c r="K8" i="24"/>
  <c r="K20" i="24" l="1"/>
  <c r="K18" i="24"/>
  <c r="K12" i="24"/>
  <c r="M12" i="24" l="1"/>
  <c r="P10" i="24"/>
  <c r="K10" i="24"/>
  <c r="O10" i="24" s="1"/>
  <c r="E10" i="24"/>
  <c r="F27" i="2" l="1"/>
  <c r="BE27" i="17"/>
  <c r="BD27" i="17"/>
  <c r="AW27" i="17"/>
  <c r="AV27" i="17"/>
  <c r="AG27" i="17"/>
  <c r="AF27" i="17"/>
  <c r="T27" i="17"/>
  <c r="S27" i="17"/>
  <c r="BE26" i="17"/>
  <c r="BD26" i="17"/>
  <c r="AW26" i="17"/>
  <c r="AV26" i="17"/>
  <c r="AG26" i="17"/>
  <c r="AF26" i="17"/>
  <c r="T26" i="17"/>
  <c r="S26" i="17"/>
  <c r="BC16" i="17"/>
  <c r="BB16" i="17"/>
  <c r="BB27" i="17" s="1"/>
  <c r="AU16" i="17"/>
  <c r="AT16" i="17"/>
  <c r="AT27" i="17" s="1"/>
  <c r="AX27" i="17" s="1"/>
  <c r="AE16" i="17"/>
  <c r="AE27" i="17" s="1"/>
  <c r="AD16" i="17"/>
  <c r="AD27" i="17" s="1"/>
  <c r="R16" i="17"/>
  <c r="Q16" i="17"/>
  <c r="Q27" i="17" s="1"/>
  <c r="BC15" i="17"/>
  <c r="BC26" i="17" s="1"/>
  <c r="BB15" i="17"/>
  <c r="BB26" i="17" s="1"/>
  <c r="AU15" i="17"/>
  <c r="AU26" i="17" s="1"/>
  <c r="AY26" i="17" s="1"/>
  <c r="AT15" i="17"/>
  <c r="AT26" i="17" s="1"/>
  <c r="AX26" i="17" s="1"/>
  <c r="AE15" i="17"/>
  <c r="AE26" i="17" s="1"/>
  <c r="AD15" i="17"/>
  <c r="AD26" i="17" s="1"/>
  <c r="R15" i="17"/>
  <c r="R26" i="17" s="1"/>
  <c r="Q15" i="17"/>
  <c r="Q26" i="17" s="1"/>
  <c r="K59" i="15"/>
  <c r="BM27" i="17" s="1"/>
  <c r="K58" i="15"/>
  <c r="BM26" i="17" s="1"/>
  <c r="F60" i="15"/>
  <c r="D60" i="15"/>
  <c r="E59" i="15"/>
  <c r="AO27" i="17" s="1"/>
  <c r="E58" i="15"/>
  <c r="AO26" i="17" s="1"/>
  <c r="C60" i="15"/>
  <c r="F60" i="2"/>
  <c r="D60" i="2"/>
  <c r="C60" i="2"/>
  <c r="J27" i="15"/>
  <c r="B27" i="15"/>
  <c r="C27" i="15"/>
  <c r="D27" i="15"/>
  <c r="F27" i="15"/>
  <c r="F48" i="15"/>
  <c r="AW16" i="17" s="1"/>
  <c r="AX16" i="17" s="1"/>
  <c r="D48" i="15"/>
  <c r="AG16" i="17" s="1"/>
  <c r="AH16" i="17" s="1"/>
  <c r="C48" i="15"/>
  <c r="T16" i="17" s="1"/>
  <c r="U16" i="17" s="1"/>
  <c r="F47" i="15"/>
  <c r="AW15" i="17" s="1"/>
  <c r="D47" i="15"/>
  <c r="AG15" i="17" s="1"/>
  <c r="AH15" i="17" s="1"/>
  <c r="C47" i="15"/>
  <c r="T15" i="17" s="1"/>
  <c r="U15" i="17" s="1"/>
  <c r="K37" i="15"/>
  <c r="K36" i="15"/>
  <c r="F38" i="15"/>
  <c r="D38" i="15"/>
  <c r="E37" i="15"/>
  <c r="E36" i="15"/>
  <c r="C38" i="15"/>
  <c r="J61" i="15"/>
  <c r="K61" i="15" s="1"/>
  <c r="J60" i="15"/>
  <c r="J48" i="15"/>
  <c r="J47" i="15"/>
  <c r="J46" i="15"/>
  <c r="J45" i="15"/>
  <c r="J44" i="15"/>
  <c r="J43" i="15"/>
  <c r="J42" i="15"/>
  <c r="J41" i="15"/>
  <c r="J50" i="15" s="1"/>
  <c r="J39" i="15"/>
  <c r="J38" i="15"/>
  <c r="J28" i="15"/>
  <c r="K28" i="15" s="1"/>
  <c r="J17" i="15"/>
  <c r="J16" i="15"/>
  <c r="K26" i="15"/>
  <c r="K48" i="15" s="1"/>
  <c r="K25" i="15"/>
  <c r="K47" i="15" s="1"/>
  <c r="E26" i="15"/>
  <c r="E48" i="15" s="1"/>
  <c r="AO16" i="17" s="1"/>
  <c r="E25" i="15"/>
  <c r="E47" i="15" s="1"/>
  <c r="AO15" i="17" s="1"/>
  <c r="K15" i="15"/>
  <c r="BK16" i="17" s="1"/>
  <c r="K14" i="15"/>
  <c r="BU15" i="17" s="1"/>
  <c r="D16" i="15"/>
  <c r="E15" i="15"/>
  <c r="AM16" i="17" s="1"/>
  <c r="E14" i="15"/>
  <c r="AM15" i="17" s="1"/>
  <c r="AM27" i="17" l="1"/>
  <c r="AI26" i="17"/>
  <c r="BG26" i="17"/>
  <c r="AM26" i="17"/>
  <c r="AZ26" i="17"/>
  <c r="F26" i="17" s="1"/>
  <c r="U26" i="17"/>
  <c r="W26" i="17" s="1"/>
  <c r="C26" i="17" s="1"/>
  <c r="AH26" i="17"/>
  <c r="BF26" i="17"/>
  <c r="AI27" i="17"/>
  <c r="AJ27" i="17" s="1"/>
  <c r="D27" i="17" s="1"/>
  <c r="AU27" i="17"/>
  <c r="AY27" i="17" s="1"/>
  <c r="AZ27" i="17" s="1"/>
  <c r="F27" i="17" s="1"/>
  <c r="BF27" i="17"/>
  <c r="AX15" i="17"/>
  <c r="U27" i="17"/>
  <c r="W27" i="17" s="1"/>
  <c r="C27" i="17" s="1"/>
  <c r="AH27" i="17"/>
  <c r="J49" i="15"/>
  <c r="BC27" i="17"/>
  <c r="BG27" i="17" s="1"/>
  <c r="BK15" i="17"/>
  <c r="BU16" i="17"/>
  <c r="V26" i="17"/>
  <c r="R27" i="17"/>
  <c r="V27" i="17" s="1"/>
  <c r="BU26" i="17"/>
  <c r="BW15" i="17"/>
  <c r="BM15" i="17"/>
  <c r="BK27" i="17"/>
  <c r="BW16" i="17"/>
  <c r="BM16" i="17"/>
  <c r="BK26" i="17"/>
  <c r="BU27" i="17"/>
  <c r="BH26" i="17"/>
  <c r="J26" i="17" s="1"/>
  <c r="F16" i="15"/>
  <c r="C16" i="15"/>
  <c r="B53" i="15"/>
  <c r="B48" i="15"/>
  <c r="B59" i="15" s="1"/>
  <c r="B47" i="15"/>
  <c r="B58" i="15" s="1"/>
  <c r="B46" i="15"/>
  <c r="B57" i="15" s="1"/>
  <c r="B45" i="15"/>
  <c r="B56" i="15" s="1"/>
  <c r="B44" i="15"/>
  <c r="B55" i="15" s="1"/>
  <c r="B43" i="15"/>
  <c r="B54" i="15" s="1"/>
  <c r="B42" i="15"/>
  <c r="B41" i="15"/>
  <c r="B52" i="15" s="1"/>
  <c r="B38" i="15"/>
  <c r="B16" i="15"/>
  <c r="L25" i="4"/>
  <c r="J25" i="4"/>
  <c r="L24" i="4"/>
  <c r="J24" i="4"/>
  <c r="F25" i="4"/>
  <c r="D25" i="4"/>
  <c r="C25" i="4"/>
  <c r="F24" i="4"/>
  <c r="D24" i="4"/>
  <c r="C24" i="4"/>
  <c r="O58" i="2"/>
  <c r="BV26" i="17" s="1"/>
  <c r="E59" i="2"/>
  <c r="AN27" i="17" s="1"/>
  <c r="E58" i="2"/>
  <c r="AN26" i="17" s="1"/>
  <c r="E57" i="2"/>
  <c r="E56" i="2"/>
  <c r="AN24" i="17" s="1"/>
  <c r="E55" i="2"/>
  <c r="E54" i="2"/>
  <c r="E53" i="2"/>
  <c r="E52" i="2"/>
  <c r="E60" i="2" s="1"/>
  <c r="M47" i="2"/>
  <c r="F48" i="2"/>
  <c r="AV16" i="17" s="1"/>
  <c r="AY16" i="17" s="1"/>
  <c r="AZ16" i="17" s="1"/>
  <c r="F16" i="17" s="1"/>
  <c r="D48" i="2"/>
  <c r="AF16" i="17" s="1"/>
  <c r="AI16" i="17" s="1"/>
  <c r="AJ16" i="17" s="1"/>
  <c r="D16" i="17" s="1"/>
  <c r="C48" i="2"/>
  <c r="S16" i="17" s="1"/>
  <c r="V16" i="17" s="1"/>
  <c r="W16" i="17" s="1"/>
  <c r="C16" i="17" s="1"/>
  <c r="F47" i="2"/>
  <c r="D47" i="2"/>
  <c r="AF15" i="17" s="1"/>
  <c r="AI15" i="17" s="1"/>
  <c r="AJ15" i="17" s="1"/>
  <c r="D15" i="17" s="1"/>
  <c r="C47" i="2"/>
  <c r="S15" i="17" s="1"/>
  <c r="V15" i="17" s="1"/>
  <c r="W15" i="17" s="1"/>
  <c r="C15" i="17" s="1"/>
  <c r="J38" i="2"/>
  <c r="L38" i="2"/>
  <c r="M37" i="2"/>
  <c r="M36" i="2"/>
  <c r="D38" i="2"/>
  <c r="D49" i="2" s="1"/>
  <c r="E37" i="2"/>
  <c r="E36" i="2"/>
  <c r="K59" i="2"/>
  <c r="O59" i="2" s="1"/>
  <c r="BV27" i="17" s="1"/>
  <c r="K58" i="2"/>
  <c r="M59" i="2"/>
  <c r="P59" i="2" s="1"/>
  <c r="M58" i="2"/>
  <c r="P58" i="2" s="1"/>
  <c r="K37" i="2"/>
  <c r="K36" i="2"/>
  <c r="J27" i="2"/>
  <c r="M26" i="2"/>
  <c r="M48" i="2" s="1"/>
  <c r="M25" i="2"/>
  <c r="K26" i="2"/>
  <c r="K48" i="2" s="1"/>
  <c r="BL16" i="17" s="1"/>
  <c r="K25" i="2"/>
  <c r="K47" i="2" s="1"/>
  <c r="BL15" i="17" s="1"/>
  <c r="E26" i="2"/>
  <c r="E48" i="2" s="1"/>
  <c r="AN16" i="17" s="1"/>
  <c r="AQ16" i="17" s="1"/>
  <c r="E25" i="2"/>
  <c r="E47" i="2" s="1"/>
  <c r="AN15" i="17" s="1"/>
  <c r="AQ15" i="17" s="1"/>
  <c r="D27" i="2"/>
  <c r="C27" i="2"/>
  <c r="U15" i="2"/>
  <c r="V14" i="2"/>
  <c r="U14" i="2"/>
  <c r="W15" i="2"/>
  <c r="W14" i="2"/>
  <c r="E15" i="2"/>
  <c r="AL16" i="17" s="1"/>
  <c r="AL27" i="17" s="1"/>
  <c r="AP27" i="17" s="1"/>
  <c r="E14" i="2"/>
  <c r="AL15" i="17" s="1"/>
  <c r="AL26" i="17" s="1"/>
  <c r="AP26" i="17" s="1"/>
  <c r="P48" i="2" l="1"/>
  <c r="E12" i="4"/>
  <c r="E13" i="4"/>
  <c r="AP15" i="17"/>
  <c r="AR15" i="17" s="1"/>
  <c r="E15" i="17" s="1"/>
  <c r="BL27" i="17"/>
  <c r="BW27" i="17"/>
  <c r="O47" i="2"/>
  <c r="BV15" i="17" s="1"/>
  <c r="F13" i="4"/>
  <c r="E24" i="4"/>
  <c r="AQ26" i="17"/>
  <c r="AR26" i="17" s="1"/>
  <c r="E26" i="17" s="1"/>
  <c r="V15" i="2"/>
  <c r="BL26" i="17"/>
  <c r="BW26" i="17"/>
  <c r="F12" i="4"/>
  <c r="AV15" i="17"/>
  <c r="AY15" i="17" s="1"/>
  <c r="AZ15" i="17" s="1"/>
  <c r="F15" i="17" s="1"/>
  <c r="P47" i="2"/>
  <c r="C12" i="4"/>
  <c r="C13" i="4"/>
  <c r="E25" i="4"/>
  <c r="BH27" i="17"/>
  <c r="J27" i="17" s="1"/>
  <c r="AJ26" i="17"/>
  <c r="D26" i="17" s="1"/>
  <c r="O48" i="2"/>
  <c r="BV16" i="17" s="1"/>
  <c r="D12" i="4"/>
  <c r="D13" i="4"/>
  <c r="AP16" i="17"/>
  <c r="AR16" i="17" s="1"/>
  <c r="E16" i="17" s="1"/>
  <c r="AQ27" i="17"/>
  <c r="AR27" i="17" s="1"/>
  <c r="E27" i="17" s="1"/>
  <c r="B60" i="15"/>
  <c r="B49" i="15"/>
  <c r="T14" i="2" l="1"/>
  <c r="K15" i="2"/>
  <c r="K14" i="2"/>
  <c r="M15" i="2"/>
  <c r="M14" i="2"/>
  <c r="M24" i="4" l="1"/>
  <c r="M12" i="4"/>
  <c r="P14" i="2"/>
  <c r="M25" i="4"/>
  <c r="M13" i="4"/>
  <c r="P15" i="2"/>
  <c r="BJ15" i="17"/>
  <c r="K24" i="4"/>
  <c r="K12" i="4"/>
  <c r="O14" i="2"/>
  <c r="BJ16" i="17"/>
  <c r="K25" i="4"/>
  <c r="K13" i="4"/>
  <c r="O15" i="2"/>
  <c r="W13" i="2"/>
  <c r="W12" i="2"/>
  <c r="W11" i="2"/>
  <c r="W10" i="2"/>
  <c r="W9" i="2"/>
  <c r="W8" i="2"/>
  <c r="U13" i="2"/>
  <c r="U12" i="2"/>
  <c r="U11" i="2"/>
  <c r="U10" i="2"/>
  <c r="U9" i="2"/>
  <c r="U8" i="2"/>
  <c r="T15" i="2"/>
  <c r="T13" i="2"/>
  <c r="T12" i="2"/>
  <c r="T11" i="2"/>
  <c r="T10" i="2"/>
  <c r="T9" i="2"/>
  <c r="T8" i="2"/>
  <c r="F16" i="2"/>
  <c r="D16" i="2"/>
  <c r="C16" i="2"/>
  <c r="L60" i="2"/>
  <c r="L61" i="2" s="1"/>
  <c r="L48" i="2"/>
  <c r="L13" i="4" s="1"/>
  <c r="L47" i="2"/>
  <c r="L12" i="4" s="1"/>
  <c r="L46" i="2"/>
  <c r="L45" i="2"/>
  <c r="L10" i="4" s="1"/>
  <c r="L44" i="2"/>
  <c r="L43" i="2"/>
  <c r="L42" i="2"/>
  <c r="L41" i="2"/>
  <c r="L39" i="2"/>
  <c r="L28" i="2"/>
  <c r="L50" i="2" s="1"/>
  <c r="L27" i="2"/>
  <c r="L17" i="2"/>
  <c r="L16" i="2"/>
  <c r="J61" i="2"/>
  <c r="J60" i="2"/>
  <c r="J48" i="2"/>
  <c r="J13" i="4" s="1"/>
  <c r="J47" i="2"/>
  <c r="J12" i="4" s="1"/>
  <c r="J46" i="2"/>
  <c r="J45" i="2"/>
  <c r="J10" i="4" s="1"/>
  <c r="J44" i="2"/>
  <c r="J43" i="2"/>
  <c r="J42" i="2"/>
  <c r="J41" i="2"/>
  <c r="J49" i="2" s="1"/>
  <c r="J39" i="2"/>
  <c r="J28" i="2"/>
  <c r="J17" i="2"/>
  <c r="J16" i="2"/>
  <c r="B48" i="2"/>
  <c r="B47" i="2"/>
  <c r="B46" i="2"/>
  <c r="B57" i="2" s="1"/>
  <c r="B45" i="2"/>
  <c r="B44" i="2"/>
  <c r="B55" i="2" s="1"/>
  <c r="B43" i="2"/>
  <c r="B54" i="2" s="1"/>
  <c r="B42" i="2"/>
  <c r="B53" i="2" s="1"/>
  <c r="B41" i="2"/>
  <c r="B52" i="2" s="1"/>
  <c r="B38" i="2"/>
  <c r="B27" i="2"/>
  <c r="B16" i="2"/>
  <c r="B58" i="2" l="1"/>
  <c r="B24" i="4" s="1"/>
  <c r="B12" i="4"/>
  <c r="BJ27" i="17"/>
  <c r="BO16" i="17"/>
  <c r="BN16" i="17"/>
  <c r="BJ26" i="17"/>
  <c r="BN15" i="17"/>
  <c r="BP15" i="17" s="1"/>
  <c r="K15" i="17" s="1"/>
  <c r="BO15" i="17"/>
  <c r="O24" i="4"/>
  <c r="O12" i="4"/>
  <c r="B59" i="2"/>
  <c r="B25" i="4" s="1"/>
  <c r="B13" i="4"/>
  <c r="J50" i="2"/>
  <c r="BT16" i="17"/>
  <c r="N25" i="4"/>
  <c r="N13" i="4"/>
  <c r="BT15" i="17"/>
  <c r="N24" i="4"/>
  <c r="N12" i="4"/>
  <c r="O25" i="4"/>
  <c r="O13" i="4"/>
  <c r="B56" i="2"/>
  <c r="B22" i="4" s="1"/>
  <c r="B10" i="4"/>
  <c r="L49" i="2"/>
  <c r="B49" i="2"/>
  <c r="M27" i="16"/>
  <c r="M26" i="16"/>
  <c r="M16" i="16"/>
  <c r="M15" i="16"/>
  <c r="BN27" i="17" l="1"/>
  <c r="BO27" i="17"/>
  <c r="BP27" i="17" s="1"/>
  <c r="K27" i="17" s="1"/>
  <c r="BT27" i="17"/>
  <c r="BY16" i="17"/>
  <c r="BX16" i="17"/>
  <c r="BN26" i="17"/>
  <c r="BO26" i="17"/>
  <c r="B60" i="2"/>
  <c r="BT26" i="17"/>
  <c r="BX15" i="17"/>
  <c r="BY15" i="17"/>
  <c r="BP16" i="17"/>
  <c r="K16" i="17" s="1"/>
  <c r="J60" i="13"/>
  <c r="F60" i="13"/>
  <c r="E59" i="13"/>
  <c r="E58" i="13"/>
  <c r="D60" i="13"/>
  <c r="BY27" i="17" l="1"/>
  <c r="BZ27" i="17" s="1"/>
  <c r="N27" i="17" s="1"/>
  <c r="BX27" i="17"/>
  <c r="BZ15" i="17"/>
  <c r="N15" i="17" s="1"/>
  <c r="BP26" i="17"/>
  <c r="K26" i="17" s="1"/>
  <c r="BY26" i="17"/>
  <c r="BX26" i="17"/>
  <c r="BZ16" i="17"/>
  <c r="N16" i="17" s="1"/>
  <c r="C60" i="13"/>
  <c r="BZ26" i="17" l="1"/>
  <c r="N26" i="17" s="1"/>
  <c r="K59" i="13"/>
  <c r="K58" i="13"/>
  <c r="J61" i="13"/>
  <c r="K61" i="13" s="1"/>
  <c r="J48" i="13" l="1"/>
  <c r="BE16" i="17" s="1"/>
  <c r="BF16" i="17" s="1"/>
  <c r="J47" i="13"/>
  <c r="BE15" i="17" s="1"/>
  <c r="BF15" i="17" s="1"/>
  <c r="F48" i="13"/>
  <c r="D48" i="13"/>
  <c r="C48" i="13"/>
  <c r="F47" i="13"/>
  <c r="D47" i="13"/>
  <c r="C47" i="13"/>
  <c r="F38" i="13"/>
  <c r="C38" i="13" l="1"/>
  <c r="D38" i="13"/>
  <c r="E37" i="13"/>
  <c r="E36" i="13"/>
  <c r="J38" i="13" l="1"/>
  <c r="J39" i="13"/>
  <c r="K37" i="13"/>
  <c r="K36" i="13"/>
  <c r="K26" i="13" l="1"/>
  <c r="K48" i="13" s="1"/>
  <c r="K25" i="13"/>
  <c r="K47" i="13" s="1"/>
  <c r="E26" i="13" l="1"/>
  <c r="E48" i="13" s="1"/>
  <c r="E25" i="13"/>
  <c r="E47" i="13" s="1"/>
  <c r="J27" i="13"/>
  <c r="F27" i="13"/>
  <c r="C27" i="13"/>
  <c r="D27" i="13"/>
  <c r="J28" i="13" l="1"/>
  <c r="K15" i="13" l="1"/>
  <c r="K14" i="13"/>
  <c r="K13" i="13"/>
  <c r="J16" i="13" l="1"/>
  <c r="F16" i="13"/>
  <c r="E16" i="13"/>
  <c r="D16" i="13"/>
  <c r="C16" i="13"/>
  <c r="E15" i="13"/>
  <c r="E14" i="13"/>
  <c r="J17" i="13" l="1"/>
  <c r="C16" i="1" l="1"/>
  <c r="R17" i="16" l="1"/>
  <c r="B53" i="13"/>
  <c r="B48" i="13"/>
  <c r="B59" i="13" s="1"/>
  <c r="B47" i="13"/>
  <c r="B58" i="13" s="1"/>
  <c r="B46" i="13"/>
  <c r="B57" i="13" s="1"/>
  <c r="B45" i="13"/>
  <c r="B56" i="13" s="1"/>
  <c r="B44" i="13"/>
  <c r="B55" i="13" s="1"/>
  <c r="B43" i="13"/>
  <c r="B54" i="13" s="1"/>
  <c r="B42" i="13"/>
  <c r="B41" i="13"/>
  <c r="B52" i="13" s="1"/>
  <c r="B38" i="13"/>
  <c r="B27" i="13"/>
  <c r="B16" i="13"/>
  <c r="B60" i="13" l="1"/>
  <c r="B49" i="13"/>
  <c r="BN27" i="16"/>
  <c r="BM27" i="16"/>
  <c r="BF27" i="16"/>
  <c r="BE27" i="16"/>
  <c r="AX27" i="16"/>
  <c r="AW27" i="16"/>
  <c r="AP27" i="16"/>
  <c r="AH27" i="16"/>
  <c r="AG27" i="16"/>
  <c r="U27" i="16"/>
  <c r="T27" i="16"/>
  <c r="BN26" i="16"/>
  <c r="BF26" i="16"/>
  <c r="BE26" i="16"/>
  <c r="AX26" i="16"/>
  <c r="AW26" i="16"/>
  <c r="AP26" i="16"/>
  <c r="AH26" i="16"/>
  <c r="AG26" i="16"/>
  <c r="U26" i="16"/>
  <c r="T26" i="16"/>
  <c r="BN16" i="16"/>
  <c r="BL16" i="16"/>
  <c r="BF16" i="16"/>
  <c r="BG16" i="16" s="1"/>
  <c r="BD16" i="16"/>
  <c r="BC16" i="16"/>
  <c r="BC27" i="16" s="1"/>
  <c r="AX16" i="16"/>
  <c r="AV16" i="16"/>
  <c r="AU16" i="16"/>
  <c r="AU27" i="16" s="1"/>
  <c r="AP16" i="16"/>
  <c r="AN16" i="16"/>
  <c r="AH16" i="16"/>
  <c r="AF16" i="16"/>
  <c r="AF27" i="16" s="1"/>
  <c r="AE16" i="16"/>
  <c r="AE27" i="16" s="1"/>
  <c r="U16" i="16"/>
  <c r="V16" i="16" s="1"/>
  <c r="S16" i="16"/>
  <c r="S27" i="16" s="1"/>
  <c r="R16" i="16"/>
  <c r="R27" i="16" s="1"/>
  <c r="BN15" i="16"/>
  <c r="BL15" i="16"/>
  <c r="BF15" i="16"/>
  <c r="BG15" i="16" s="1"/>
  <c r="BD15" i="16"/>
  <c r="BC15" i="16"/>
  <c r="BC26" i="16" s="1"/>
  <c r="AX15" i="16"/>
  <c r="AV15" i="16"/>
  <c r="AU15" i="16"/>
  <c r="AU26" i="16" s="1"/>
  <c r="AP15" i="16"/>
  <c r="AN15" i="16"/>
  <c r="AH15" i="16"/>
  <c r="AF15" i="16"/>
  <c r="AF26" i="16" s="1"/>
  <c r="AE15" i="16"/>
  <c r="AE26" i="16" s="1"/>
  <c r="U15" i="16"/>
  <c r="S15" i="16"/>
  <c r="S26" i="16" s="1"/>
  <c r="R15" i="16"/>
  <c r="R26" i="16" s="1"/>
  <c r="V26" i="16" s="1"/>
  <c r="K8" i="1"/>
  <c r="L25" i="12"/>
  <c r="J25" i="12"/>
  <c r="F25" i="12"/>
  <c r="D25" i="12"/>
  <c r="C25" i="12"/>
  <c r="L24" i="12"/>
  <c r="J24" i="12"/>
  <c r="F24" i="12"/>
  <c r="D24" i="12"/>
  <c r="C24" i="12"/>
  <c r="F13" i="12"/>
  <c r="O59" i="1"/>
  <c r="M59" i="1"/>
  <c r="P59" i="1" s="1"/>
  <c r="K59" i="1"/>
  <c r="J60" i="1"/>
  <c r="U62" i="1" s="1"/>
  <c r="F48" i="1"/>
  <c r="AW16" i="16" s="1"/>
  <c r="F47" i="1"/>
  <c r="AW15" i="16" s="1"/>
  <c r="F46" i="1"/>
  <c r="F27" i="1"/>
  <c r="F38" i="1"/>
  <c r="F60" i="1"/>
  <c r="F16" i="1"/>
  <c r="D60" i="1"/>
  <c r="D48" i="1"/>
  <c r="AG16" i="16" s="1"/>
  <c r="D47" i="1"/>
  <c r="AG15" i="16" s="1"/>
  <c r="L27" i="1"/>
  <c r="D27" i="1"/>
  <c r="E26" i="1"/>
  <c r="E25" i="1"/>
  <c r="W15" i="1"/>
  <c r="W8" i="1"/>
  <c r="D16" i="1"/>
  <c r="E15" i="1"/>
  <c r="E14" i="1"/>
  <c r="F12" i="12" l="1"/>
  <c r="AM15" i="16"/>
  <c r="AQ15" i="16" s="1"/>
  <c r="AM16" i="16"/>
  <c r="AM27" i="16" s="1"/>
  <c r="AQ27" i="16" s="1"/>
  <c r="D13" i="12"/>
  <c r="AZ16" i="16"/>
  <c r="BA16" i="16" s="1"/>
  <c r="E16" i="16" s="1"/>
  <c r="D12" i="12"/>
  <c r="AI27" i="16"/>
  <c r="AJ27" i="16"/>
  <c r="AY26" i="16"/>
  <c r="AJ26" i="16"/>
  <c r="AK26" i="16" s="1"/>
  <c r="C26" i="16" s="1"/>
  <c r="BG27" i="16"/>
  <c r="BI27" i="16" s="1"/>
  <c r="I27" i="16" s="1"/>
  <c r="W26" i="16"/>
  <c r="AI15" i="16"/>
  <c r="AY15" i="16"/>
  <c r="BA15" i="16" s="1"/>
  <c r="E15" i="16" s="1"/>
  <c r="AI16" i="16"/>
  <c r="AZ15" i="16"/>
  <c r="AJ16" i="16"/>
  <c r="AK16" i="16" s="1"/>
  <c r="C16" i="16" s="1"/>
  <c r="AY16" i="16"/>
  <c r="AI26" i="16"/>
  <c r="V27" i="16"/>
  <c r="AV27" i="16"/>
  <c r="AZ27" i="16" s="1"/>
  <c r="AM26" i="16"/>
  <c r="AQ26" i="16" s="1"/>
  <c r="BG26" i="16"/>
  <c r="V15" i="16"/>
  <c r="AY27" i="16"/>
  <c r="BL26" i="16"/>
  <c r="BL27" i="16"/>
  <c r="AV26" i="16"/>
  <c r="AZ26" i="16" s="1"/>
  <c r="AK27" i="16"/>
  <c r="C27" i="16" s="1"/>
  <c r="AN27" i="16"/>
  <c r="AJ15" i="16"/>
  <c r="AK15" i="16" s="1"/>
  <c r="C15" i="16" s="1"/>
  <c r="AN26" i="16"/>
  <c r="BD27" i="16"/>
  <c r="BH27" i="16" s="1"/>
  <c r="BD26" i="16"/>
  <c r="BH26" i="16" s="1"/>
  <c r="BI26" i="16"/>
  <c r="I26" i="16" s="1"/>
  <c r="W27" i="16"/>
  <c r="X27" i="16" s="1"/>
  <c r="B27" i="16" s="1"/>
  <c r="X26" i="16"/>
  <c r="B26" i="16" s="1"/>
  <c r="BA26" i="16"/>
  <c r="E26" i="16" s="1"/>
  <c r="BA27" i="16" l="1"/>
  <c r="E27" i="16" s="1"/>
  <c r="AQ16" i="16"/>
  <c r="E59" i="1"/>
  <c r="E58" i="1"/>
  <c r="P58" i="1"/>
  <c r="M58" i="1"/>
  <c r="J48" i="1"/>
  <c r="J47" i="1"/>
  <c r="C48" i="1"/>
  <c r="C47" i="1"/>
  <c r="C46" i="1"/>
  <c r="C38" i="1"/>
  <c r="E37" i="1"/>
  <c r="E48" i="1" s="1"/>
  <c r="E36" i="1"/>
  <c r="E47" i="1" s="1"/>
  <c r="AO15" i="16" l="1"/>
  <c r="AR15" i="16" s="1"/>
  <c r="AS15" i="16" s="1"/>
  <c r="D15" i="16" s="1"/>
  <c r="E12" i="12"/>
  <c r="Y47" i="1"/>
  <c r="T15" i="16"/>
  <c r="W15" i="16" s="1"/>
  <c r="X15" i="16" s="1"/>
  <c r="B15" i="16" s="1"/>
  <c r="C12" i="12"/>
  <c r="BD15" i="17"/>
  <c r="BG15" i="17" s="1"/>
  <c r="BH15" i="17" s="1"/>
  <c r="J15" i="17" s="1"/>
  <c r="BE15" i="16"/>
  <c r="BH15" i="16" s="1"/>
  <c r="BI15" i="16" s="1"/>
  <c r="I15" i="16" s="1"/>
  <c r="J12" i="12"/>
  <c r="AO16" i="16"/>
  <c r="AR16" i="16" s="1"/>
  <c r="E13" i="12"/>
  <c r="Y48" i="1"/>
  <c r="T16" i="16"/>
  <c r="W16" i="16" s="1"/>
  <c r="X16" i="16" s="1"/>
  <c r="B16" i="16" s="1"/>
  <c r="C13" i="12"/>
  <c r="BD16" i="17"/>
  <c r="BG16" i="17" s="1"/>
  <c r="BH16" i="17" s="1"/>
  <c r="J16" i="17" s="1"/>
  <c r="BE16" i="16"/>
  <c r="BH16" i="16" s="1"/>
  <c r="BI16" i="16" s="1"/>
  <c r="I16" i="16" s="1"/>
  <c r="J13" i="12"/>
  <c r="AO26" i="16"/>
  <c r="AR26" i="16" s="1"/>
  <c r="AS26" i="16" s="1"/>
  <c r="D26" i="16" s="1"/>
  <c r="E24" i="12"/>
  <c r="AS16" i="16"/>
  <c r="D16" i="16" s="1"/>
  <c r="AO27" i="16"/>
  <c r="AR27" i="16" s="1"/>
  <c r="AS27" i="16" s="1"/>
  <c r="D27" i="16" s="1"/>
  <c r="E25" i="12"/>
  <c r="D38" i="1"/>
  <c r="J38" i="1"/>
  <c r="Y38" i="1" s="1"/>
  <c r="J39" i="1"/>
  <c r="K39" i="1" s="1"/>
  <c r="K37" i="1"/>
  <c r="K36" i="1"/>
  <c r="C27" i="1"/>
  <c r="B59" i="1"/>
  <c r="B25" i="12" s="1"/>
  <c r="B48" i="1"/>
  <c r="B13" i="12" s="1"/>
  <c r="B47" i="1"/>
  <c r="B12" i="12" s="1"/>
  <c r="B46" i="1"/>
  <c r="B57" i="1" s="1"/>
  <c r="B45" i="1"/>
  <c r="B10" i="12" s="1"/>
  <c r="B38" i="1"/>
  <c r="B27" i="1"/>
  <c r="K58" i="1"/>
  <c r="C60" i="1"/>
  <c r="Y60" i="1" s="1"/>
  <c r="BM26" i="16" l="1"/>
  <c r="O58" i="1"/>
  <c r="B58" i="1"/>
  <c r="B24" i="12" s="1"/>
  <c r="K28" i="1"/>
  <c r="J27" i="1"/>
  <c r="Y27" i="1" s="1"/>
  <c r="M26" i="1"/>
  <c r="M25" i="1"/>
  <c r="M24" i="1"/>
  <c r="K26" i="1"/>
  <c r="K48" i="1" s="1"/>
  <c r="K25" i="1"/>
  <c r="K47" i="1" s="1"/>
  <c r="J28" i="1"/>
  <c r="J61" i="1"/>
  <c r="K61" i="1" s="1"/>
  <c r="O61" i="1" s="1"/>
  <c r="W59" i="1"/>
  <c r="W58" i="1"/>
  <c r="BM15" i="16" l="1"/>
  <c r="O47" i="1"/>
  <c r="BM16" i="16"/>
  <c r="O48" i="1"/>
  <c r="K14" i="1"/>
  <c r="K12" i="12" l="1"/>
  <c r="O14" i="1"/>
  <c r="BK15" i="16"/>
  <c r="K24" i="12"/>
  <c r="L38" i="1"/>
  <c r="L28" i="1"/>
  <c r="M15" i="1"/>
  <c r="M14" i="1"/>
  <c r="K15" i="1"/>
  <c r="B16" i="1"/>
  <c r="M37" i="1"/>
  <c r="M36" i="1"/>
  <c r="M47" i="1" s="1"/>
  <c r="P47" i="1" s="1"/>
  <c r="M48" i="1" l="1"/>
  <c r="P48" i="1" s="1"/>
  <c r="BK26" i="16"/>
  <c r="BO15" i="16"/>
  <c r="K25" i="12"/>
  <c r="K13" i="12"/>
  <c r="O15" i="1"/>
  <c r="BK16" i="16"/>
  <c r="M24" i="12"/>
  <c r="M12" i="12"/>
  <c r="P14" i="1"/>
  <c r="P15" i="1"/>
  <c r="M25" i="12"/>
  <c r="M13" i="12"/>
  <c r="BP15" i="16"/>
  <c r="N24" i="12"/>
  <c r="N12" i="12"/>
  <c r="L60" i="1"/>
  <c r="V62" i="1" s="1"/>
  <c r="L39" i="1"/>
  <c r="L17" i="1"/>
  <c r="L16" i="1"/>
  <c r="V18" i="1" s="1"/>
  <c r="L48" i="1"/>
  <c r="L47" i="1"/>
  <c r="J16" i="1"/>
  <c r="J17" i="1"/>
  <c r="W14" i="1"/>
  <c r="Y16" i="1" l="1"/>
  <c r="U18" i="1"/>
  <c r="W18" i="1" s="1"/>
  <c r="O13" i="12"/>
  <c r="O25" i="12"/>
  <c r="BK27" i="16"/>
  <c r="BO16" i="16"/>
  <c r="BP16" i="16"/>
  <c r="BQ15" i="16"/>
  <c r="J15" i="16" s="1"/>
  <c r="BO26" i="16"/>
  <c r="BP26" i="16"/>
  <c r="BQ26" i="16" s="1"/>
  <c r="J26" i="16" s="1"/>
  <c r="L12" i="12"/>
  <c r="W47" i="1"/>
  <c r="O12" i="12"/>
  <c r="O24" i="12"/>
  <c r="N25" i="12"/>
  <c r="N13" i="12"/>
  <c r="L13" i="12"/>
  <c r="W48" i="1"/>
  <c r="G7" i="23"/>
  <c r="F7" i="23"/>
  <c r="E7" i="23"/>
  <c r="C7" i="23"/>
  <c r="BQ16" i="16" l="1"/>
  <c r="J16" i="16" s="1"/>
  <c r="BO27" i="16"/>
  <c r="BP27" i="16"/>
  <c r="BQ27" i="16" s="1"/>
  <c r="J27" i="16" s="1"/>
  <c r="G13" i="22"/>
  <c r="G12" i="22"/>
  <c r="G11" i="22"/>
  <c r="G10" i="22"/>
  <c r="G9" i="22"/>
  <c r="G8" i="22"/>
  <c r="G7" i="22"/>
  <c r="G15" i="22" l="1"/>
  <c r="K15" i="22" s="1"/>
  <c r="G40" i="22"/>
  <c r="D40" i="22" s="1"/>
  <c r="J44" i="22"/>
  <c r="J41" i="22"/>
  <c r="F44" i="22"/>
  <c r="K57" i="15"/>
  <c r="G44" i="22" l="1"/>
  <c r="D44" i="22" s="1"/>
  <c r="D41" i="22"/>
  <c r="J40" i="22"/>
  <c r="J43" i="22"/>
  <c r="K40" i="22"/>
  <c r="K44" i="22" l="1"/>
  <c r="K41" i="22"/>
  <c r="M45" i="2" l="1"/>
  <c r="M12" i="2"/>
  <c r="M10" i="4" s="1"/>
  <c r="K12" i="2"/>
  <c r="L41" i="1"/>
  <c r="BJ13" i="17" l="1"/>
  <c r="K10" i="4"/>
  <c r="C43" i="13"/>
  <c r="C42" i="13"/>
  <c r="C41" i="13"/>
  <c r="K45" i="13"/>
  <c r="BJ24" i="17" l="1"/>
  <c r="BN13" i="17"/>
  <c r="BO13" i="17"/>
  <c r="D18" i="12"/>
  <c r="B56" i="1"/>
  <c r="B22" i="12" s="1"/>
  <c r="L46" i="1"/>
  <c r="J46" i="1"/>
  <c r="M45" i="1"/>
  <c r="L45" i="1"/>
  <c r="L10" i="12" s="1"/>
  <c r="K45" i="1"/>
  <c r="J45" i="1"/>
  <c r="L44" i="1"/>
  <c r="J44" i="1"/>
  <c r="L43" i="1"/>
  <c r="J43" i="1"/>
  <c r="L42" i="1"/>
  <c r="J42" i="1"/>
  <c r="J41" i="1"/>
  <c r="J6" i="12" s="1"/>
  <c r="M12" i="1"/>
  <c r="K12" i="1"/>
  <c r="W46" i="1" l="1"/>
  <c r="Y46" i="1"/>
  <c r="BP13" i="17"/>
  <c r="BN24" i="17"/>
  <c r="BO24" i="17"/>
  <c r="M22" i="12"/>
  <c r="M10" i="12"/>
  <c r="K10" i="12"/>
  <c r="K22" i="12"/>
  <c r="L49" i="1"/>
  <c r="V51" i="1" s="1"/>
  <c r="BD13" i="17"/>
  <c r="BG13" i="17" s="1"/>
  <c r="J10" i="12"/>
  <c r="J49" i="1"/>
  <c r="U51" i="1" s="1"/>
  <c r="BM25" i="17"/>
  <c r="BE25" i="17"/>
  <c r="BD25" i="17"/>
  <c r="AW25" i="17"/>
  <c r="AV25" i="17"/>
  <c r="AG25" i="17"/>
  <c r="AF25" i="17"/>
  <c r="T25" i="17"/>
  <c r="S25" i="17"/>
  <c r="BD14" i="17"/>
  <c r="BC14" i="17"/>
  <c r="BC25" i="17" s="1"/>
  <c r="BB14" i="17"/>
  <c r="BB25" i="17" s="1"/>
  <c r="AU14" i="17"/>
  <c r="AU25" i="17" s="1"/>
  <c r="AT14" i="17"/>
  <c r="AT25" i="17" s="1"/>
  <c r="AE14" i="17"/>
  <c r="AE25" i="17" s="1"/>
  <c r="AD14" i="17"/>
  <c r="AD25" i="17" s="1"/>
  <c r="R14" i="17"/>
  <c r="R25" i="17" s="1"/>
  <c r="Q14" i="17"/>
  <c r="Q25" i="17" s="1"/>
  <c r="BP24" i="17" l="1"/>
  <c r="V25" i="17"/>
  <c r="U65" i="1"/>
  <c r="W51" i="1"/>
  <c r="AY25" i="17"/>
  <c r="BF25" i="17"/>
  <c r="U25" i="17"/>
  <c r="W25" i="17" s="1"/>
  <c r="C25" i="17" s="1"/>
  <c r="AH25" i="17"/>
  <c r="BG25" i="17"/>
  <c r="BH25" i="17" s="1"/>
  <c r="J25" i="17" s="1"/>
  <c r="AI25" i="17"/>
  <c r="AX25" i="17"/>
  <c r="AZ25" i="17" s="1"/>
  <c r="F25" i="17" s="1"/>
  <c r="BG14" i="17"/>
  <c r="BF25" i="16"/>
  <c r="BE25" i="16"/>
  <c r="AX25" i="16"/>
  <c r="AW25" i="16"/>
  <c r="AH25" i="16"/>
  <c r="AG25" i="16"/>
  <c r="BE14" i="16"/>
  <c r="BD14" i="16"/>
  <c r="BD25" i="16" s="1"/>
  <c r="BC14" i="16"/>
  <c r="BC25" i="16" s="1"/>
  <c r="AV14" i="16"/>
  <c r="AU14" i="16"/>
  <c r="AU25" i="16" s="1"/>
  <c r="AF14" i="16"/>
  <c r="AE14" i="16"/>
  <c r="AE25" i="16" s="1"/>
  <c r="U25" i="16"/>
  <c r="T25" i="16"/>
  <c r="S14" i="16"/>
  <c r="R14" i="16"/>
  <c r="R25" i="16" s="1"/>
  <c r="K57" i="13"/>
  <c r="BN25" i="16" s="1"/>
  <c r="AJ25" i="17" l="1"/>
  <c r="D25" i="17" s="1"/>
  <c r="AY25" i="16"/>
  <c r="V25" i="16"/>
  <c r="BH25" i="16"/>
  <c r="BH14" i="16"/>
  <c r="AI25" i="16"/>
  <c r="AV25" i="16"/>
  <c r="AZ25" i="16" s="1"/>
  <c r="BA25" i="16" s="1"/>
  <c r="E25" i="16" s="1"/>
  <c r="BG25" i="16"/>
  <c r="AF25" i="16"/>
  <c r="AJ25" i="16" s="1"/>
  <c r="S25" i="16"/>
  <c r="W25" i="16" s="1"/>
  <c r="X25" i="16" l="1"/>
  <c r="B25" i="16" s="1"/>
  <c r="AK25" i="16"/>
  <c r="C25" i="16" s="1"/>
  <c r="BI25" i="16"/>
  <c r="I25" i="16" s="1"/>
  <c r="E57" i="13"/>
  <c r="AP25" i="16" s="1"/>
  <c r="E56" i="13"/>
  <c r="E57" i="15" l="1"/>
  <c r="AO25" i="17" s="1"/>
  <c r="E56" i="15"/>
  <c r="AO24" i="17" s="1"/>
  <c r="E52" i="15"/>
  <c r="J46" i="13" l="1"/>
  <c r="J45" i="13"/>
  <c r="BE13" i="17" s="1"/>
  <c r="BF13" i="17" s="1"/>
  <c r="BH13" i="17" s="1"/>
  <c r="J13" i="17" s="1"/>
  <c r="J44" i="13"/>
  <c r="J43" i="13"/>
  <c r="F46" i="13"/>
  <c r="AX14" i="16" s="1"/>
  <c r="AY14" i="16" s="1"/>
  <c r="D46" i="13"/>
  <c r="AH14" i="16" s="1"/>
  <c r="AI14" i="16" s="1"/>
  <c r="F45" i="13"/>
  <c r="D45" i="13"/>
  <c r="C46" i="13"/>
  <c r="C45" i="13"/>
  <c r="D46" i="15"/>
  <c r="AG14" i="17" s="1"/>
  <c r="AH14" i="17" s="1"/>
  <c r="D45" i="15"/>
  <c r="AG13" i="17" s="1"/>
  <c r="AH13" i="17" s="1"/>
  <c r="F46" i="15"/>
  <c r="AW14" i="17" s="1"/>
  <c r="AX14" i="17" s="1"/>
  <c r="F45" i="15"/>
  <c r="AW13" i="17" s="1"/>
  <c r="AX13" i="17" s="1"/>
  <c r="F44" i="15"/>
  <c r="F41" i="15"/>
  <c r="C46" i="15"/>
  <c r="C45" i="15"/>
  <c r="C44" i="15"/>
  <c r="C41" i="15"/>
  <c r="E34" i="15"/>
  <c r="E45" i="15" s="1"/>
  <c r="AO13" i="17" s="1"/>
  <c r="E35" i="15"/>
  <c r="E30" i="15"/>
  <c r="E34" i="13"/>
  <c r="E45" i="13" s="1"/>
  <c r="E35" i="13"/>
  <c r="E24" i="13"/>
  <c r="E46" i="13" s="1"/>
  <c r="AP14" i="16" s="1"/>
  <c r="E19" i="13"/>
  <c r="BW13" i="17" l="1"/>
  <c r="T13" i="17"/>
  <c r="U13" i="17" s="1"/>
  <c r="T12" i="17"/>
  <c r="BE14" i="17"/>
  <c r="BF14" i="17" s="1"/>
  <c r="BH14" i="17" s="1"/>
  <c r="J14" i="17" s="1"/>
  <c r="BF14" i="16"/>
  <c r="BG14" i="16" s="1"/>
  <c r="BI14" i="16" s="1"/>
  <c r="I14" i="16" s="1"/>
  <c r="U14" i="16"/>
  <c r="V14" i="16" s="1"/>
  <c r="T14" i="17"/>
  <c r="U14" i="17" s="1"/>
  <c r="K35" i="15" l="1"/>
  <c r="K35" i="13"/>
  <c r="K30" i="13"/>
  <c r="E19" i="15" l="1"/>
  <c r="E41" i="15" s="1"/>
  <c r="K24" i="15" l="1"/>
  <c r="K46" i="15" s="1"/>
  <c r="K24" i="13"/>
  <c r="K46" i="13" s="1"/>
  <c r="BN14" i="16" l="1"/>
  <c r="BW14" i="16"/>
  <c r="BM14" i="17"/>
  <c r="BW14" i="17"/>
  <c r="E24" i="15"/>
  <c r="E22" i="15"/>
  <c r="E46" i="15" l="1"/>
  <c r="AO14" i="17" s="1"/>
  <c r="K13" i="15"/>
  <c r="E13" i="15"/>
  <c r="AM14" i="17" s="1"/>
  <c r="E12" i="15"/>
  <c r="AM13" i="17" s="1"/>
  <c r="E11" i="15"/>
  <c r="E10" i="15"/>
  <c r="E9" i="15"/>
  <c r="AM24" i="17" l="1"/>
  <c r="AM25" i="17"/>
  <c r="BU14" i="17"/>
  <c r="BK14" i="17"/>
  <c r="BK25" i="17" s="1"/>
  <c r="K17" i="13"/>
  <c r="BU18" i="16" s="1"/>
  <c r="BU25" i="17" l="1"/>
  <c r="BU29" i="16"/>
  <c r="BL14" i="16"/>
  <c r="BL25" i="16" s="1"/>
  <c r="BU14" i="16"/>
  <c r="E13" i="13"/>
  <c r="AN14" i="16" s="1"/>
  <c r="BU25" i="16" l="1"/>
  <c r="AN25" i="16"/>
  <c r="L23" i="4" l="1"/>
  <c r="J23" i="4"/>
  <c r="L11" i="4"/>
  <c r="F23" i="4"/>
  <c r="D23" i="4"/>
  <c r="C23" i="4"/>
  <c r="B23" i="4"/>
  <c r="D11" i="4"/>
  <c r="B11" i="4"/>
  <c r="S28" i="17"/>
  <c r="C46" i="2"/>
  <c r="S14" i="17" s="1"/>
  <c r="V14" i="17" s="1"/>
  <c r="W14" i="17" s="1"/>
  <c r="C14" i="17" s="1"/>
  <c r="C45" i="2"/>
  <c r="C44" i="2"/>
  <c r="C43" i="2"/>
  <c r="C42" i="2"/>
  <c r="C41" i="2"/>
  <c r="F46" i="2"/>
  <c r="AV14" i="17" s="1"/>
  <c r="AY14" i="17" s="1"/>
  <c r="AZ14" i="17" s="1"/>
  <c r="F14" i="17" s="1"/>
  <c r="F45" i="2"/>
  <c r="F44" i="2"/>
  <c r="F43" i="2"/>
  <c r="F42" i="2"/>
  <c r="F41" i="2"/>
  <c r="F38" i="2"/>
  <c r="E35" i="2"/>
  <c r="E34" i="2"/>
  <c r="E33" i="2"/>
  <c r="E32" i="2"/>
  <c r="E31" i="2"/>
  <c r="E30" i="2"/>
  <c r="C38" i="2"/>
  <c r="C49" i="2" s="1"/>
  <c r="D46" i="2"/>
  <c r="AF14" i="17" s="1"/>
  <c r="AI14" i="17" s="1"/>
  <c r="AJ14" i="17" s="1"/>
  <c r="D14" i="17" s="1"/>
  <c r="D45" i="2"/>
  <c r="D44" i="2"/>
  <c r="D43" i="2"/>
  <c r="D42" i="2"/>
  <c r="D41" i="2"/>
  <c r="E24" i="2"/>
  <c r="E23" i="2"/>
  <c r="E22" i="2"/>
  <c r="E21" i="2"/>
  <c r="E20" i="2"/>
  <c r="E19" i="2"/>
  <c r="E27" i="2" s="1"/>
  <c r="F49" i="2"/>
  <c r="E41" i="2" l="1"/>
  <c r="E42" i="2"/>
  <c r="E38" i="2"/>
  <c r="E49" i="2" s="1"/>
  <c r="E45" i="2"/>
  <c r="AN13" i="17" s="1"/>
  <c r="F10" i="4"/>
  <c r="AV13" i="17"/>
  <c r="AY13" i="17" s="1"/>
  <c r="AZ13" i="17" s="1"/>
  <c r="F13" i="17" s="1"/>
  <c r="AF13" i="17"/>
  <c r="AI13" i="17" s="1"/>
  <c r="AJ13" i="17" s="1"/>
  <c r="D13" i="17" s="1"/>
  <c r="D10" i="4"/>
  <c r="S13" i="17"/>
  <c r="V13" i="17" s="1"/>
  <c r="W13" i="17" s="1"/>
  <c r="C13" i="17" s="1"/>
  <c r="C10" i="4"/>
  <c r="C11" i="4"/>
  <c r="E43" i="2"/>
  <c r="E44" i="2"/>
  <c r="E46" i="2"/>
  <c r="AN14" i="17" s="1"/>
  <c r="AN25" i="17"/>
  <c r="U60" i="2"/>
  <c r="F11" i="4"/>
  <c r="M57" i="2"/>
  <c r="P57" i="2" s="1"/>
  <c r="M35" i="2"/>
  <c r="M24" i="2"/>
  <c r="M46" i="2" s="1"/>
  <c r="P46" i="2" s="1"/>
  <c r="M13" i="2"/>
  <c r="K57" i="2"/>
  <c r="K35" i="2"/>
  <c r="K24" i="2"/>
  <c r="K13" i="2"/>
  <c r="U38" i="2" l="1"/>
  <c r="K46" i="2"/>
  <c r="BL14" i="17" s="1"/>
  <c r="U27" i="2"/>
  <c r="U49" i="2"/>
  <c r="BL25" i="17"/>
  <c r="BW25" i="16"/>
  <c r="BW25" i="17"/>
  <c r="O57" i="2"/>
  <c r="BV25" i="17" s="1"/>
  <c r="BJ14" i="17"/>
  <c r="K23" i="4"/>
  <c r="O13" i="2"/>
  <c r="M23" i="4"/>
  <c r="M11" i="4"/>
  <c r="P13" i="2"/>
  <c r="J11" i="4"/>
  <c r="E13" i="2"/>
  <c r="V13" i="2" s="1"/>
  <c r="E12" i="2"/>
  <c r="E11" i="2"/>
  <c r="V11" i="2" s="1"/>
  <c r="E10" i="2"/>
  <c r="V10" i="2" s="1"/>
  <c r="E9" i="2"/>
  <c r="V9" i="2" s="1"/>
  <c r="E8" i="2"/>
  <c r="AL13" i="17" l="1"/>
  <c r="E22" i="4"/>
  <c r="E10" i="4"/>
  <c r="V12" i="2"/>
  <c r="V8" i="2"/>
  <c r="E16" i="2"/>
  <c r="O46" i="2"/>
  <c r="BV14" i="17" s="1"/>
  <c r="K11" i="4"/>
  <c r="O11" i="4"/>
  <c r="O23" i="4"/>
  <c r="BT14" i="17"/>
  <c r="N11" i="4"/>
  <c r="N23" i="4"/>
  <c r="AL14" i="17"/>
  <c r="E11" i="4"/>
  <c r="E23" i="4"/>
  <c r="BN14" i="17"/>
  <c r="BJ25" i="17"/>
  <c r="BO14" i="17"/>
  <c r="U16" i="2" l="1"/>
  <c r="AL24" i="17"/>
  <c r="AP13" i="17"/>
  <c r="AR13" i="17" s="1"/>
  <c r="E13" i="17" s="1"/>
  <c r="AQ13" i="17"/>
  <c r="AL25" i="17"/>
  <c r="AP14" i="17"/>
  <c r="AQ14" i="17"/>
  <c r="BT25" i="17"/>
  <c r="BX14" i="17"/>
  <c r="BY14" i="17"/>
  <c r="BO25" i="17"/>
  <c r="BN25" i="17"/>
  <c r="BP14" i="17"/>
  <c r="K14" i="17" s="1"/>
  <c r="L19" i="12"/>
  <c r="AQ24" i="17" l="1"/>
  <c r="AP24" i="17"/>
  <c r="BZ14" i="17"/>
  <c r="N14" i="17" s="1"/>
  <c r="BY25" i="17"/>
  <c r="BX25" i="17"/>
  <c r="AR14" i="17"/>
  <c r="E14" i="17" s="1"/>
  <c r="AP25" i="17"/>
  <c r="AQ25" i="17"/>
  <c r="BP25" i="17"/>
  <c r="K25" i="17" s="1"/>
  <c r="AR24" i="17" l="1"/>
  <c r="E24" i="17" s="1"/>
  <c r="AR25" i="17"/>
  <c r="E25" i="17" s="1"/>
  <c r="BZ25" i="17"/>
  <c r="N25" i="17" s="1"/>
  <c r="W41" i="1"/>
  <c r="K30" i="1"/>
  <c r="L50" i="1" l="1"/>
  <c r="K24" i="1"/>
  <c r="AW14" i="16"/>
  <c r="AZ14" i="16" s="1"/>
  <c r="BA14" i="16" s="1"/>
  <c r="E14" i="16" s="1"/>
  <c r="D46" i="1"/>
  <c r="AG14" i="16" s="1"/>
  <c r="AJ14" i="16" s="1"/>
  <c r="AK14" i="16" s="1"/>
  <c r="C14" i="16" s="1"/>
  <c r="F45" i="1"/>
  <c r="F10" i="12" s="1"/>
  <c r="D45" i="1"/>
  <c r="D10" i="12" s="1"/>
  <c r="F44" i="1"/>
  <c r="D44" i="1"/>
  <c r="F43" i="1"/>
  <c r="D43" i="1"/>
  <c r="F42" i="1"/>
  <c r="D42" i="1"/>
  <c r="F41" i="1"/>
  <c r="D41" i="1"/>
  <c r="D49" i="1" s="1"/>
  <c r="T14" i="16"/>
  <c r="W14" i="16" s="1"/>
  <c r="X14" i="16" s="1"/>
  <c r="B14" i="16" s="1"/>
  <c r="C45" i="1"/>
  <c r="C44" i="1"/>
  <c r="Y44" i="1" s="1"/>
  <c r="C43" i="1"/>
  <c r="Y43" i="1" s="1"/>
  <c r="C42" i="1"/>
  <c r="Y42" i="1" s="1"/>
  <c r="C41" i="1"/>
  <c r="E24" i="1"/>
  <c r="E23" i="1"/>
  <c r="E22" i="1"/>
  <c r="E21" i="1"/>
  <c r="E20" i="1"/>
  <c r="E19" i="1"/>
  <c r="E27" i="1" l="1"/>
  <c r="Z27" i="1" s="1"/>
  <c r="F49" i="1"/>
  <c r="Y41" i="1"/>
  <c r="C49" i="1"/>
  <c r="Y49" i="1" s="1"/>
  <c r="Y45" i="1"/>
  <c r="C10" i="12"/>
  <c r="M28" i="1"/>
  <c r="M35" i="1" l="1"/>
  <c r="M46" i="1" s="1"/>
  <c r="P46" i="1" s="1"/>
  <c r="K35" i="1"/>
  <c r="K46" i="1" s="1"/>
  <c r="E35" i="1"/>
  <c r="E46" i="1" s="1"/>
  <c r="AO14" i="16" s="1"/>
  <c r="E34" i="1"/>
  <c r="E45" i="1" s="1"/>
  <c r="E33" i="1"/>
  <c r="E44" i="1" s="1"/>
  <c r="E32" i="1"/>
  <c r="E43" i="1" s="1"/>
  <c r="E31" i="1"/>
  <c r="E42" i="1" s="1"/>
  <c r="E30" i="1"/>
  <c r="E38" i="1" s="1"/>
  <c r="L23" i="12"/>
  <c r="J23" i="12"/>
  <c r="F23" i="12"/>
  <c r="D23" i="12"/>
  <c r="C23" i="12"/>
  <c r="B23" i="12"/>
  <c r="C11" i="12"/>
  <c r="L11" i="12"/>
  <c r="J11" i="12"/>
  <c r="F11" i="12"/>
  <c r="D11" i="12"/>
  <c r="B11" i="12"/>
  <c r="W57" i="1"/>
  <c r="W52" i="1"/>
  <c r="M57" i="1"/>
  <c r="P57" i="1" s="1"/>
  <c r="K50" i="1" l="1"/>
  <c r="J50" i="1"/>
  <c r="BM14" i="16"/>
  <c r="O46" i="1"/>
  <c r="BV14" i="16" s="1"/>
  <c r="Z38" i="1"/>
  <c r="E41" i="1"/>
  <c r="M52" i="1"/>
  <c r="K57" i="1"/>
  <c r="E57" i="1"/>
  <c r="AO25" i="16" s="1"/>
  <c r="E56" i="1"/>
  <c r="E55" i="1"/>
  <c r="E54" i="1"/>
  <c r="E53" i="1"/>
  <c r="E52" i="1"/>
  <c r="M17" i="1"/>
  <c r="M13" i="1"/>
  <c r="P13" i="1" s="1"/>
  <c r="W13" i="1"/>
  <c r="K13" i="1"/>
  <c r="E60" i="1" l="1"/>
  <c r="Z60" i="1" s="1"/>
  <c r="E49" i="1"/>
  <c r="Z49" i="1" s="1"/>
  <c r="P17" i="1"/>
  <c r="BK14" i="16"/>
  <c r="O13" i="1"/>
  <c r="O23" i="12"/>
  <c r="O11" i="12"/>
  <c r="O57" i="1"/>
  <c r="BV25" i="16" s="1"/>
  <c r="BM25" i="16"/>
  <c r="BP14" i="16"/>
  <c r="BK25" i="16"/>
  <c r="BO14" i="16"/>
  <c r="L61" i="1"/>
  <c r="K11" i="12"/>
  <c r="K23" i="12"/>
  <c r="M23" i="12"/>
  <c r="M11" i="12"/>
  <c r="K17" i="1"/>
  <c r="O17" i="1" s="1"/>
  <c r="E13" i="1"/>
  <c r="AM14" i="16" s="1"/>
  <c r="E12" i="1"/>
  <c r="E11" i="1"/>
  <c r="E10" i="1"/>
  <c r="E9" i="1"/>
  <c r="E8" i="1"/>
  <c r="E16" i="1" s="1"/>
  <c r="E22" i="12" l="1"/>
  <c r="E10" i="12"/>
  <c r="BQ14" i="16"/>
  <c r="J14" i="16" s="1"/>
  <c r="BT14" i="16"/>
  <c r="N23" i="12"/>
  <c r="N11" i="12"/>
  <c r="AM25" i="16"/>
  <c r="AQ14" i="16"/>
  <c r="AR14" i="16"/>
  <c r="BP25" i="16"/>
  <c r="BO25" i="16"/>
  <c r="O8" i="1"/>
  <c r="E23" i="12"/>
  <c r="E11" i="12"/>
  <c r="AS14" i="16" l="1"/>
  <c r="D14" i="16" s="1"/>
  <c r="AQ25" i="16"/>
  <c r="AR25" i="16"/>
  <c r="BT9" i="16"/>
  <c r="BT20" i="16" s="1"/>
  <c r="BT25" i="16"/>
  <c r="BX14" i="16"/>
  <c r="BY14" i="16"/>
  <c r="BQ25" i="16"/>
  <c r="J25" i="16" s="1"/>
  <c r="W56" i="1"/>
  <c r="W55" i="1"/>
  <c r="W54" i="1"/>
  <c r="W53" i="1"/>
  <c r="W60" i="1" s="1"/>
  <c r="W45" i="1"/>
  <c r="W44" i="1"/>
  <c r="W43" i="1"/>
  <c r="W42" i="1"/>
  <c r="W12" i="1"/>
  <c r="W11" i="1"/>
  <c r="W10" i="1"/>
  <c r="W9" i="1"/>
  <c r="W16" i="1" s="1"/>
  <c r="P45" i="2"/>
  <c r="O45" i="2"/>
  <c r="BV13" i="17" s="1"/>
  <c r="P12" i="2"/>
  <c r="O12" i="2"/>
  <c r="BT13" i="17" s="1"/>
  <c r="P56" i="1"/>
  <c r="O56" i="1"/>
  <c r="P45" i="1"/>
  <c r="O45" i="1"/>
  <c r="P12" i="1"/>
  <c r="O12" i="1"/>
  <c r="N10" i="12" s="1"/>
  <c r="BT24" i="17" l="1"/>
  <c r="BX13" i="17"/>
  <c r="AS25" i="16"/>
  <c r="D25" i="16" s="1"/>
  <c r="BY13" i="17"/>
  <c r="W49" i="1"/>
  <c r="N22" i="12"/>
  <c r="BZ14" i="16"/>
  <c r="M14" i="16" s="1"/>
  <c r="BX25" i="16"/>
  <c r="BY25" i="16"/>
  <c r="N10" i="4"/>
  <c r="O10" i="4"/>
  <c r="O22" i="12"/>
  <c r="O10" i="12"/>
  <c r="BZ13" i="17" l="1"/>
  <c r="BX24" i="17"/>
  <c r="BY24" i="17"/>
  <c r="BZ25" i="16"/>
  <c r="M25" i="16" s="1"/>
  <c r="T22" i="12"/>
  <c r="T20" i="12"/>
  <c r="T28" i="12" s="1"/>
  <c r="V14" i="12"/>
  <c r="V10" i="12"/>
  <c r="V9" i="12"/>
  <c r="V8" i="12"/>
  <c r="V7" i="12"/>
  <c r="V6" i="12"/>
  <c r="V26" i="12" l="1"/>
  <c r="V28" i="12" s="1"/>
  <c r="X28" i="12" s="1"/>
  <c r="BZ24" i="17"/>
  <c r="W28" i="12" l="1"/>
  <c r="C14" i="4"/>
  <c r="T21" i="12"/>
  <c r="T19" i="12"/>
  <c r="AV28" i="17" l="1"/>
  <c r="AW23" i="17"/>
  <c r="AV23" i="17"/>
  <c r="AW22" i="17"/>
  <c r="AV22" i="17"/>
  <c r="AW21" i="17"/>
  <c r="AV21" i="17"/>
  <c r="AW20" i="17"/>
  <c r="AV20" i="17"/>
  <c r="AV17" i="17"/>
  <c r="AT17" i="17"/>
  <c r="AT28" i="17" s="1"/>
  <c r="AV12" i="17"/>
  <c r="AU12" i="17"/>
  <c r="AT12" i="17"/>
  <c r="AT23" i="17" s="1"/>
  <c r="AV11" i="17"/>
  <c r="AU11" i="17"/>
  <c r="AU22" i="17" s="1"/>
  <c r="AT11" i="17"/>
  <c r="AT22" i="17" s="1"/>
  <c r="AV10" i="17"/>
  <c r="AU10" i="17"/>
  <c r="AT10" i="17"/>
  <c r="AT21" i="17" s="1"/>
  <c r="AW9" i="17"/>
  <c r="AV9" i="17"/>
  <c r="AU9" i="17"/>
  <c r="AU20" i="17" s="1"/>
  <c r="AT9" i="17"/>
  <c r="AT20" i="17" s="1"/>
  <c r="AN28" i="17"/>
  <c r="AN23" i="17"/>
  <c r="AN22" i="17"/>
  <c r="AN21" i="17"/>
  <c r="AN20" i="17"/>
  <c r="AN17" i="17"/>
  <c r="AL17" i="17"/>
  <c r="AL28" i="17" s="1"/>
  <c r="AN12" i="17"/>
  <c r="AL12" i="17"/>
  <c r="AN11" i="17"/>
  <c r="AL11" i="17"/>
  <c r="AL22" i="17" s="1"/>
  <c r="AN10" i="17"/>
  <c r="AL10" i="17"/>
  <c r="AL21" i="17" s="1"/>
  <c r="AN9" i="17"/>
  <c r="AL9" i="17"/>
  <c r="AL20" i="17" s="1"/>
  <c r="AF28" i="17"/>
  <c r="AG23" i="17"/>
  <c r="AF23" i="17"/>
  <c r="AG22" i="17"/>
  <c r="AF22" i="17"/>
  <c r="AG21" i="17"/>
  <c r="AF21" i="17"/>
  <c r="AG20" i="17"/>
  <c r="AF20" i="17"/>
  <c r="AF17" i="17"/>
  <c r="AD17" i="17"/>
  <c r="AF12" i="17"/>
  <c r="AE12" i="17"/>
  <c r="AE23" i="17" s="1"/>
  <c r="AD12" i="17"/>
  <c r="AD23" i="17" s="1"/>
  <c r="AH23" i="17" s="1"/>
  <c r="AF11" i="17"/>
  <c r="AE11" i="17"/>
  <c r="AD11" i="17"/>
  <c r="AD22" i="17" s="1"/>
  <c r="AF10" i="17"/>
  <c r="AE10" i="17"/>
  <c r="AE21" i="17" s="1"/>
  <c r="AD10" i="17"/>
  <c r="AD21" i="17" s="1"/>
  <c r="AF9" i="17"/>
  <c r="AE9" i="17"/>
  <c r="AE20" i="17" s="1"/>
  <c r="AD9" i="17"/>
  <c r="AD20" i="17" s="1"/>
  <c r="T23" i="17"/>
  <c r="S23" i="17"/>
  <c r="T22" i="17"/>
  <c r="S22" i="17"/>
  <c r="T21" i="17"/>
  <c r="S21" i="17"/>
  <c r="T20" i="17"/>
  <c r="S20" i="17"/>
  <c r="S17" i="17"/>
  <c r="Q17" i="17"/>
  <c r="Q28" i="17" s="1"/>
  <c r="S12" i="17"/>
  <c r="R12" i="17"/>
  <c r="Q12" i="17"/>
  <c r="Q23" i="17" s="1"/>
  <c r="S11" i="17"/>
  <c r="R11" i="17"/>
  <c r="R22" i="17" s="1"/>
  <c r="Q11" i="17"/>
  <c r="S10" i="17"/>
  <c r="R10" i="17"/>
  <c r="R21" i="17" s="1"/>
  <c r="Q10" i="17"/>
  <c r="Q21" i="17" s="1"/>
  <c r="S9" i="17"/>
  <c r="R9" i="17"/>
  <c r="R20" i="17" s="1"/>
  <c r="Q9" i="17"/>
  <c r="BD29" i="17"/>
  <c r="BE23" i="17"/>
  <c r="BD23" i="17"/>
  <c r="BE22" i="17"/>
  <c r="BD22" i="17"/>
  <c r="BE21" i="17"/>
  <c r="BD21" i="17"/>
  <c r="BE20" i="17"/>
  <c r="BD20" i="17"/>
  <c r="BD18" i="17"/>
  <c r="BB18" i="17"/>
  <c r="BB29" i="17" s="1"/>
  <c r="BB17" i="17"/>
  <c r="BD12" i="17"/>
  <c r="BC12" i="17"/>
  <c r="BC23" i="17" s="1"/>
  <c r="BB12" i="17"/>
  <c r="BB23" i="17" s="1"/>
  <c r="BD11" i="17"/>
  <c r="BC11" i="17"/>
  <c r="BB11" i="17"/>
  <c r="BB22" i="17" s="1"/>
  <c r="BD10" i="17"/>
  <c r="BC10" i="17"/>
  <c r="BC21" i="17" s="1"/>
  <c r="BB10" i="17"/>
  <c r="BB21" i="17" s="1"/>
  <c r="BD9" i="17"/>
  <c r="BC9" i="17"/>
  <c r="BC20" i="17" s="1"/>
  <c r="BB9" i="17"/>
  <c r="BO7" i="17"/>
  <c r="BN7" i="17"/>
  <c r="BG7" i="17"/>
  <c r="BF7" i="17"/>
  <c r="AY7" i="17"/>
  <c r="AX7" i="17"/>
  <c r="AZ7" i="17" s="1"/>
  <c r="AQ7" i="17"/>
  <c r="AP7" i="17"/>
  <c r="AI7" i="17"/>
  <c r="AH7" i="17"/>
  <c r="AJ7" i="17" s="1"/>
  <c r="Z7" i="17"/>
  <c r="Y7" i="17"/>
  <c r="V7" i="17"/>
  <c r="U7" i="17"/>
  <c r="BE29" i="16"/>
  <c r="BF23" i="16"/>
  <c r="BE23" i="16"/>
  <c r="BF22" i="16"/>
  <c r="BE22" i="16"/>
  <c r="BF21" i="16"/>
  <c r="BE21" i="16"/>
  <c r="BF20" i="16"/>
  <c r="BE20" i="16"/>
  <c r="AW28" i="16"/>
  <c r="AX23" i="16"/>
  <c r="AW23" i="16"/>
  <c r="AX22" i="16"/>
  <c r="AW22" i="16"/>
  <c r="AX21" i="16"/>
  <c r="AW21" i="16"/>
  <c r="AX20" i="16"/>
  <c r="AW20" i="16"/>
  <c r="AO28" i="16"/>
  <c r="AO23" i="16"/>
  <c r="AO22" i="16"/>
  <c r="AO21" i="16"/>
  <c r="AO20" i="16"/>
  <c r="AG28" i="16"/>
  <c r="AH23" i="16"/>
  <c r="AG23" i="16"/>
  <c r="AH22" i="16"/>
  <c r="AG22" i="16"/>
  <c r="AH21" i="16"/>
  <c r="AG21" i="16"/>
  <c r="AH20" i="16"/>
  <c r="AG20" i="16"/>
  <c r="U23" i="16"/>
  <c r="T23" i="16"/>
  <c r="U22" i="16"/>
  <c r="T22" i="16"/>
  <c r="U21" i="16"/>
  <c r="T21" i="16"/>
  <c r="U20" i="16"/>
  <c r="T20" i="16"/>
  <c r="BP7" i="16"/>
  <c r="BO7" i="16"/>
  <c r="BE18" i="16"/>
  <c r="BC18" i="16"/>
  <c r="BC29" i="16" s="1"/>
  <c r="BC17" i="16"/>
  <c r="BC28" i="16" s="1"/>
  <c r="BE12" i="16"/>
  <c r="BD12" i="16"/>
  <c r="BD23" i="16" s="1"/>
  <c r="BC12" i="16"/>
  <c r="BC23" i="16" s="1"/>
  <c r="BE11" i="16"/>
  <c r="BD11" i="16"/>
  <c r="BC11" i="16"/>
  <c r="BC22" i="16" s="1"/>
  <c r="BE10" i="16"/>
  <c r="BD10" i="16"/>
  <c r="BD21" i="16" s="1"/>
  <c r="BC10" i="16"/>
  <c r="BC21" i="16" s="1"/>
  <c r="BE9" i="16"/>
  <c r="BD9" i="16"/>
  <c r="BD20" i="16" s="1"/>
  <c r="BC9" i="16"/>
  <c r="BC20" i="16" s="1"/>
  <c r="AA7" i="16"/>
  <c r="Z7" i="16"/>
  <c r="AB7" i="16" s="1"/>
  <c r="AC7" i="16" s="1"/>
  <c r="BH7" i="16"/>
  <c r="BG7" i="16"/>
  <c r="AW17" i="16"/>
  <c r="AU17" i="16"/>
  <c r="AU28" i="16" s="1"/>
  <c r="AW12" i="16"/>
  <c r="AV12" i="16"/>
  <c r="AU12" i="16"/>
  <c r="AU23" i="16" s="1"/>
  <c r="AW11" i="16"/>
  <c r="AV11" i="16"/>
  <c r="AV22" i="16" s="1"/>
  <c r="AU11" i="16"/>
  <c r="AU22" i="16" s="1"/>
  <c r="AW10" i="16"/>
  <c r="AV10" i="16"/>
  <c r="AU10" i="16"/>
  <c r="AU21" i="16" s="1"/>
  <c r="AW9" i="16"/>
  <c r="AV9" i="16"/>
  <c r="AU9" i="16"/>
  <c r="AU20" i="16" s="1"/>
  <c r="AZ7" i="16"/>
  <c r="AY7" i="16"/>
  <c r="AO17" i="16"/>
  <c r="AM17" i="16"/>
  <c r="AM28" i="16" s="1"/>
  <c r="AO12" i="16"/>
  <c r="AM12" i="16"/>
  <c r="AM23" i="16" s="1"/>
  <c r="AO11" i="16"/>
  <c r="AM11" i="16"/>
  <c r="AM22" i="16" s="1"/>
  <c r="AO10" i="16"/>
  <c r="AM10" i="16"/>
  <c r="AM21" i="16" s="1"/>
  <c r="AO9" i="16"/>
  <c r="AM9" i="16"/>
  <c r="AR7" i="16"/>
  <c r="AQ7" i="16"/>
  <c r="AG17" i="16"/>
  <c r="AG12" i="16"/>
  <c r="AF12" i="16"/>
  <c r="AE12" i="16"/>
  <c r="AE23" i="16" s="1"/>
  <c r="AG11" i="16"/>
  <c r="AF11" i="16"/>
  <c r="AF22" i="16" s="1"/>
  <c r="AE11" i="16"/>
  <c r="AE22" i="16" s="1"/>
  <c r="AG10" i="16"/>
  <c r="AF10" i="16"/>
  <c r="AF21" i="16" s="1"/>
  <c r="AE10" i="16"/>
  <c r="AE21" i="16" s="1"/>
  <c r="AG9" i="16"/>
  <c r="AF9" i="16"/>
  <c r="AF20" i="16" s="1"/>
  <c r="AE9" i="16"/>
  <c r="AE20" i="16" s="1"/>
  <c r="AJ7" i="16"/>
  <c r="AI7" i="16"/>
  <c r="T17" i="16"/>
  <c r="T12" i="16"/>
  <c r="S12" i="16"/>
  <c r="S23" i="16" s="1"/>
  <c r="R12" i="16"/>
  <c r="R23" i="16" s="1"/>
  <c r="T11" i="16"/>
  <c r="S11" i="16"/>
  <c r="S22" i="16" s="1"/>
  <c r="R11" i="16"/>
  <c r="R22" i="16" s="1"/>
  <c r="T10" i="16"/>
  <c r="S10" i="16"/>
  <c r="S21" i="16" s="1"/>
  <c r="R10" i="16"/>
  <c r="R21" i="16" s="1"/>
  <c r="S9" i="16"/>
  <c r="S20" i="16" s="1"/>
  <c r="T9" i="16"/>
  <c r="R9" i="16"/>
  <c r="R20" i="16" s="1"/>
  <c r="W7" i="16"/>
  <c r="V7" i="16"/>
  <c r="L27" i="4"/>
  <c r="J27" i="4"/>
  <c r="F26" i="4"/>
  <c r="E26" i="4"/>
  <c r="D26" i="4"/>
  <c r="C26" i="4"/>
  <c r="B26" i="4"/>
  <c r="L21" i="4"/>
  <c r="J21" i="4"/>
  <c r="F21" i="4"/>
  <c r="E21" i="4"/>
  <c r="D21" i="4"/>
  <c r="C21" i="4"/>
  <c r="B21" i="4"/>
  <c r="L20" i="4"/>
  <c r="J20" i="4"/>
  <c r="F20" i="4"/>
  <c r="E20" i="4"/>
  <c r="D20" i="4"/>
  <c r="C20" i="4"/>
  <c r="B20" i="4"/>
  <c r="L19" i="4"/>
  <c r="J19" i="4"/>
  <c r="F19" i="4"/>
  <c r="E19" i="4"/>
  <c r="D19" i="4"/>
  <c r="C19" i="4"/>
  <c r="B19" i="4"/>
  <c r="L18" i="4"/>
  <c r="J18" i="4"/>
  <c r="F18" i="4"/>
  <c r="E18" i="4"/>
  <c r="D18" i="4"/>
  <c r="B18" i="4"/>
  <c r="C18" i="4"/>
  <c r="L15" i="4"/>
  <c r="J15" i="4"/>
  <c r="F14" i="4"/>
  <c r="E14" i="4"/>
  <c r="D14" i="4"/>
  <c r="L9" i="4"/>
  <c r="J9" i="4"/>
  <c r="F9" i="4"/>
  <c r="E9" i="4"/>
  <c r="D9" i="4"/>
  <c r="C9" i="4"/>
  <c r="L8" i="4"/>
  <c r="J8" i="4"/>
  <c r="F8" i="4"/>
  <c r="E8" i="4"/>
  <c r="D8" i="4"/>
  <c r="C8" i="4"/>
  <c r="L7" i="4"/>
  <c r="J7" i="4"/>
  <c r="F7" i="4"/>
  <c r="E7" i="4"/>
  <c r="D7" i="4"/>
  <c r="C7" i="4"/>
  <c r="L6" i="4"/>
  <c r="J6" i="4"/>
  <c r="F6" i="4"/>
  <c r="E6" i="4"/>
  <c r="D6" i="4"/>
  <c r="C6" i="4"/>
  <c r="L27" i="12"/>
  <c r="J27" i="12"/>
  <c r="F26" i="12"/>
  <c r="E26" i="12"/>
  <c r="L21" i="12"/>
  <c r="J21" i="12"/>
  <c r="F21" i="12"/>
  <c r="E21" i="12"/>
  <c r="D21" i="12"/>
  <c r="C21" i="12"/>
  <c r="L20" i="12"/>
  <c r="J20" i="12"/>
  <c r="F20" i="12"/>
  <c r="E20" i="12"/>
  <c r="D20" i="12"/>
  <c r="C20" i="12"/>
  <c r="J19" i="12"/>
  <c r="F19" i="12"/>
  <c r="E19" i="12"/>
  <c r="D19" i="12"/>
  <c r="C19" i="12"/>
  <c r="L18" i="12"/>
  <c r="J18" i="12"/>
  <c r="F18" i="12"/>
  <c r="E18" i="12"/>
  <c r="C18" i="12"/>
  <c r="J15" i="12"/>
  <c r="L9" i="12"/>
  <c r="J9" i="12"/>
  <c r="L8" i="12"/>
  <c r="J8" i="12"/>
  <c r="L7" i="12"/>
  <c r="J7" i="12"/>
  <c r="L6" i="12"/>
  <c r="F14" i="12"/>
  <c r="E14" i="12"/>
  <c r="F9" i="12"/>
  <c r="E9" i="12"/>
  <c r="D9" i="12"/>
  <c r="F8" i="12"/>
  <c r="E8" i="12"/>
  <c r="D8" i="12"/>
  <c r="F7" i="12"/>
  <c r="E7" i="12"/>
  <c r="D7" i="12"/>
  <c r="F6" i="12"/>
  <c r="E6" i="12"/>
  <c r="D6" i="12"/>
  <c r="C9" i="12"/>
  <c r="C8" i="12"/>
  <c r="C7" i="12"/>
  <c r="C6" i="12"/>
  <c r="J34" i="4" l="1"/>
  <c r="K34" i="4"/>
  <c r="R23" i="17"/>
  <c r="V12" i="17"/>
  <c r="AA7" i="17"/>
  <c r="AB7" i="17" s="1"/>
  <c r="U12" i="17"/>
  <c r="BA7" i="16"/>
  <c r="AR7" i="17"/>
  <c r="AX20" i="17"/>
  <c r="AI23" i="16"/>
  <c r="V23" i="16"/>
  <c r="BH7" i="17"/>
  <c r="BP7" i="17"/>
  <c r="W7" i="17"/>
  <c r="V9" i="17"/>
  <c r="AY10" i="17"/>
  <c r="Q20" i="17"/>
  <c r="U20" i="17" s="1"/>
  <c r="AY9" i="17"/>
  <c r="AI9" i="17"/>
  <c r="AU21" i="17"/>
  <c r="AY21" i="17" s="1"/>
  <c r="AI12" i="17"/>
  <c r="AX21" i="17"/>
  <c r="W22" i="16"/>
  <c r="AJ20" i="16"/>
  <c r="V20" i="16"/>
  <c r="BH23" i="16"/>
  <c r="AY20" i="16"/>
  <c r="BG9" i="17"/>
  <c r="BG11" i="17"/>
  <c r="BF21" i="17"/>
  <c r="V22" i="16"/>
  <c r="AJ21" i="16"/>
  <c r="BG21" i="17"/>
  <c r="AZ9" i="16"/>
  <c r="AZ22" i="16"/>
  <c r="BH12" i="16"/>
  <c r="AI21" i="16"/>
  <c r="AY23" i="16"/>
  <c r="BG10" i="17"/>
  <c r="BC22" i="17"/>
  <c r="BG22" i="17" s="1"/>
  <c r="BH21" i="16"/>
  <c r="BG20" i="16"/>
  <c r="V21" i="16"/>
  <c r="BH20" i="16"/>
  <c r="W21" i="16"/>
  <c r="W23" i="16"/>
  <c r="W20" i="16"/>
  <c r="BQ7" i="16"/>
  <c r="AJ12" i="16"/>
  <c r="AI20" i="16"/>
  <c r="BG22" i="16"/>
  <c r="BH11" i="16"/>
  <c r="AZ10" i="16"/>
  <c r="AZ12" i="16"/>
  <c r="AJ22" i="16"/>
  <c r="AY21" i="16"/>
  <c r="BG21" i="16"/>
  <c r="AM20" i="16"/>
  <c r="AI22" i="16"/>
  <c r="BG23" i="16"/>
  <c r="BH9" i="16"/>
  <c r="AY22" i="16"/>
  <c r="F17" i="17"/>
  <c r="F9" i="17"/>
  <c r="AY20" i="17"/>
  <c r="E17" i="17"/>
  <c r="AD28" i="17"/>
  <c r="AI23" i="17"/>
  <c r="AJ23" i="17" s="1"/>
  <c r="D23" i="17" s="1"/>
  <c r="AH20" i="17"/>
  <c r="V23" i="17"/>
  <c r="V11" i="17"/>
  <c r="U23" i="17"/>
  <c r="V21" i="17"/>
  <c r="BG23" i="17"/>
  <c r="U21" i="17"/>
  <c r="AE22" i="17"/>
  <c r="AI22" i="17" s="1"/>
  <c r="AI11" i="17"/>
  <c r="AY22" i="17"/>
  <c r="AX23" i="17"/>
  <c r="AY11" i="17"/>
  <c r="AI20" i="17"/>
  <c r="AX22" i="17"/>
  <c r="AH21" i="17"/>
  <c r="AY12" i="17"/>
  <c r="AU23" i="17"/>
  <c r="AY23" i="17" s="1"/>
  <c r="BB20" i="17"/>
  <c r="BF20" i="17" s="1"/>
  <c r="AI10" i="17"/>
  <c r="AL23" i="17"/>
  <c r="BF22" i="17"/>
  <c r="BF23" i="17"/>
  <c r="V10" i="17"/>
  <c r="Q22" i="17"/>
  <c r="U22" i="17" s="1"/>
  <c r="BG12" i="17"/>
  <c r="BB28" i="17"/>
  <c r="AI21" i="17"/>
  <c r="AH22" i="17"/>
  <c r="AV20" i="16"/>
  <c r="AZ20" i="16" s="1"/>
  <c r="BH10" i="16"/>
  <c r="BD22" i="16"/>
  <c r="BH22" i="16" s="1"/>
  <c r="AF23" i="16"/>
  <c r="AJ23" i="16" s="1"/>
  <c r="X7" i="16"/>
  <c r="AZ11" i="16"/>
  <c r="AK7" i="16"/>
  <c r="AJ10" i="16"/>
  <c r="AS7" i="16"/>
  <c r="BI7" i="16"/>
  <c r="AV21" i="16"/>
  <c r="AZ21" i="16" s="1"/>
  <c r="AV23" i="16"/>
  <c r="AZ23" i="16" s="1"/>
  <c r="W9" i="16"/>
  <c r="AJ11" i="16"/>
  <c r="AJ9" i="16"/>
  <c r="W10" i="16"/>
  <c r="W12" i="16"/>
  <c r="W11" i="16"/>
  <c r="AW28" i="17"/>
  <c r="AX28" i="17" s="1"/>
  <c r="E55" i="15"/>
  <c r="AO23" i="17" s="1"/>
  <c r="E54" i="15"/>
  <c r="AO22" i="17" s="1"/>
  <c r="AP22" i="17" s="1"/>
  <c r="E53" i="15"/>
  <c r="AO20" i="17"/>
  <c r="AP20" i="17" s="1"/>
  <c r="E60" i="15" l="1"/>
  <c r="W12" i="17"/>
  <c r="C12" i="17" s="1"/>
  <c r="AO21" i="17"/>
  <c r="AP21" i="17" s="1"/>
  <c r="AO28" i="17"/>
  <c r="AP28" i="17" s="1"/>
  <c r="AK23" i="16"/>
  <c r="C23" i="16" s="1"/>
  <c r="X23" i="16"/>
  <c r="B23" i="16" s="1"/>
  <c r="AZ20" i="17"/>
  <c r="F20" i="17" s="1"/>
  <c r="V20" i="17"/>
  <c r="W20" i="17" s="1"/>
  <c r="C20" i="17" s="1"/>
  <c r="T28" i="17"/>
  <c r="U28" i="17" s="1"/>
  <c r="AG28" i="17"/>
  <c r="AH28" i="17" s="1"/>
  <c r="AZ21" i="17"/>
  <c r="F21" i="17" s="1"/>
  <c r="AZ22" i="17"/>
  <c r="F22" i="17" s="1"/>
  <c r="W23" i="17"/>
  <c r="C23" i="17" s="1"/>
  <c r="AJ21" i="17"/>
  <c r="D21" i="17" s="1"/>
  <c r="BH22" i="17"/>
  <c r="J22" i="17" s="1"/>
  <c r="X22" i="16"/>
  <c r="B22" i="16" s="1"/>
  <c r="BA22" i="16"/>
  <c r="E22" i="16" s="1"/>
  <c r="BI23" i="16"/>
  <c r="I23" i="16" s="1"/>
  <c r="AK21" i="16"/>
  <c r="C21" i="16" s="1"/>
  <c r="AK20" i="16"/>
  <c r="C20" i="16" s="1"/>
  <c r="X20" i="16"/>
  <c r="B20" i="16" s="1"/>
  <c r="BA23" i="16"/>
  <c r="E23" i="16" s="1"/>
  <c r="BH23" i="17"/>
  <c r="J23" i="17" s="1"/>
  <c r="BH21" i="17"/>
  <c r="J21" i="17" s="1"/>
  <c r="BA20" i="16"/>
  <c r="E20" i="16" s="1"/>
  <c r="BA21" i="16"/>
  <c r="E21" i="16" s="1"/>
  <c r="AK22" i="16"/>
  <c r="C22" i="16" s="1"/>
  <c r="X21" i="16"/>
  <c r="B21" i="16" s="1"/>
  <c r="BI22" i="16"/>
  <c r="I22" i="16" s="1"/>
  <c r="BI20" i="16"/>
  <c r="I20" i="16" s="1"/>
  <c r="BI21" i="16"/>
  <c r="I21" i="16" s="1"/>
  <c r="AP23" i="17"/>
  <c r="AJ22" i="17"/>
  <c r="D22" i="17" s="1"/>
  <c r="AJ20" i="17"/>
  <c r="D20" i="17" s="1"/>
  <c r="W21" i="17"/>
  <c r="C21" i="17" s="1"/>
  <c r="V22" i="17"/>
  <c r="W22" i="17" s="1"/>
  <c r="C22" i="17" s="1"/>
  <c r="BG20" i="17"/>
  <c r="BH20" i="17" s="1"/>
  <c r="J20" i="17" s="1"/>
  <c r="AZ23" i="17"/>
  <c r="F23" i="17" s="1"/>
  <c r="AW12" i="17"/>
  <c r="AX12" i="17" s="1"/>
  <c r="AZ12" i="17" s="1"/>
  <c r="F12" i="17" s="1"/>
  <c r="D44" i="15"/>
  <c r="AG12" i="17" s="1"/>
  <c r="AH12" i="17" s="1"/>
  <c r="AJ12" i="17" s="1"/>
  <c r="D12" i="17" s="1"/>
  <c r="F43" i="15"/>
  <c r="AW11" i="17" s="1"/>
  <c r="AX11" i="17" s="1"/>
  <c r="AZ11" i="17" s="1"/>
  <c r="F11" i="17" s="1"/>
  <c r="D43" i="15"/>
  <c r="AG11" i="17" s="1"/>
  <c r="AH11" i="17" s="1"/>
  <c r="AJ11" i="17" s="1"/>
  <c r="D11" i="17" s="1"/>
  <c r="C43" i="15"/>
  <c r="F42" i="15"/>
  <c r="F49" i="15" s="1"/>
  <c r="D42" i="15"/>
  <c r="AG10" i="17" s="1"/>
  <c r="AH10" i="17" s="1"/>
  <c r="AJ10" i="17" s="1"/>
  <c r="D10" i="17" s="1"/>
  <c r="C42" i="15"/>
  <c r="C49" i="15" s="1"/>
  <c r="D41" i="15"/>
  <c r="T9" i="17"/>
  <c r="U9" i="17" s="1"/>
  <c r="W9" i="17" s="1"/>
  <c r="C9" i="17" s="1"/>
  <c r="E33" i="15"/>
  <c r="E32" i="15"/>
  <c r="E31" i="15"/>
  <c r="E38" i="15" l="1"/>
  <c r="AG9" i="17"/>
  <c r="AH9" i="17" s="1"/>
  <c r="AJ9" i="17" s="1"/>
  <c r="D9" i="17" s="1"/>
  <c r="D49" i="15"/>
  <c r="AO12" i="17"/>
  <c r="AP12" i="17" s="1"/>
  <c r="E44" i="15"/>
  <c r="T10" i="17"/>
  <c r="U10" i="17" s="1"/>
  <c r="W10" i="17" s="1"/>
  <c r="C10" i="17" s="1"/>
  <c r="T11" i="17"/>
  <c r="U11" i="17" s="1"/>
  <c r="W11" i="17" s="1"/>
  <c r="C11" i="17" s="1"/>
  <c r="AW10" i="17"/>
  <c r="AX10" i="17" s="1"/>
  <c r="AZ10" i="17" s="1"/>
  <c r="F10" i="17" s="1"/>
  <c r="AW17" i="17"/>
  <c r="E21" i="15"/>
  <c r="E20" i="15"/>
  <c r="AG17" i="17"/>
  <c r="AH17" i="17" s="1"/>
  <c r="E42" i="15" l="1"/>
  <c r="E27" i="15"/>
  <c r="E43" i="15"/>
  <c r="E49" i="15" s="1"/>
  <c r="AO17" i="17" s="1"/>
  <c r="AO10" i="17"/>
  <c r="AP10" i="17" s="1"/>
  <c r="T17" i="17"/>
  <c r="U17" i="17" s="1"/>
  <c r="AO9" i="17"/>
  <c r="AP9" i="17" s="1"/>
  <c r="AM12" i="17"/>
  <c r="AQ12" i="17" s="1"/>
  <c r="AR12" i="17" s="1"/>
  <c r="E12" i="17" s="1"/>
  <c r="AM11" i="17"/>
  <c r="AM10" i="17"/>
  <c r="E8" i="15"/>
  <c r="E16" i="15" s="1"/>
  <c r="AU17" i="17"/>
  <c r="AE17" i="17"/>
  <c r="AO11" i="17" l="1"/>
  <c r="AP11" i="17" s="1"/>
  <c r="AM9" i="17"/>
  <c r="AM23" i="17"/>
  <c r="AQ23" i="17" s="1"/>
  <c r="AR23" i="17" s="1"/>
  <c r="E23" i="17" s="1"/>
  <c r="AU28" i="17"/>
  <c r="AY28" i="17" s="1"/>
  <c r="AZ28" i="17" s="1"/>
  <c r="F28" i="17" s="1"/>
  <c r="AY17" i="17"/>
  <c r="AM22" i="17"/>
  <c r="AQ22" i="17" s="1"/>
  <c r="AR22" i="17" s="1"/>
  <c r="E22" i="17" s="1"/>
  <c r="AQ11" i="17"/>
  <c r="AR11" i="17" s="1"/>
  <c r="E11" i="17" s="1"/>
  <c r="R17" i="17"/>
  <c r="V17" i="17" s="1"/>
  <c r="W17" i="17" s="1"/>
  <c r="C17" i="17" s="1"/>
  <c r="AE28" i="17"/>
  <c r="AI28" i="17" s="1"/>
  <c r="AJ28" i="17" s="1"/>
  <c r="D28" i="17" s="1"/>
  <c r="AI17" i="17"/>
  <c r="AJ17" i="17" s="1"/>
  <c r="D17" i="17" s="1"/>
  <c r="AM20" i="17"/>
  <c r="AQ20" i="17" s="1"/>
  <c r="AR20" i="17" s="1"/>
  <c r="E20" i="17" s="1"/>
  <c r="AQ9" i="17"/>
  <c r="AR9" i="17" s="1"/>
  <c r="E9" i="17" s="1"/>
  <c r="AM21" i="17"/>
  <c r="AQ21" i="17" s="1"/>
  <c r="AR21" i="17" s="1"/>
  <c r="E21" i="17" s="1"/>
  <c r="AQ10" i="17"/>
  <c r="AR10" i="17" s="1"/>
  <c r="E10" i="17" s="1"/>
  <c r="AM17" i="17"/>
  <c r="AM28" i="17" l="1"/>
  <c r="AQ28" i="17" s="1"/>
  <c r="AR28" i="17" s="1"/>
  <c r="E28" i="17" s="1"/>
  <c r="AQ17" i="17"/>
  <c r="R28" i="17"/>
  <c r="V28" i="17" s="1"/>
  <c r="W28" i="17" s="1"/>
  <c r="C28" i="17" s="1"/>
  <c r="BM29" i="17"/>
  <c r="K55" i="15"/>
  <c r="BM23" i="17" s="1"/>
  <c r="K54" i="15"/>
  <c r="BM22" i="17" s="1"/>
  <c r="K53" i="15"/>
  <c r="BM21" i="17" s="1"/>
  <c r="K52" i="15"/>
  <c r="K39" i="15"/>
  <c r="K33" i="15"/>
  <c r="K32" i="15"/>
  <c r="K31" i="15"/>
  <c r="K30" i="15"/>
  <c r="K22" i="15"/>
  <c r="K20" i="15"/>
  <c r="K19" i="15"/>
  <c r="K27" i="15" s="1"/>
  <c r="K17" i="15"/>
  <c r="K11" i="15"/>
  <c r="K10" i="15"/>
  <c r="K9" i="15"/>
  <c r="K8" i="15"/>
  <c r="K16" i="15" s="1"/>
  <c r="K60" i="15" l="1"/>
  <c r="K41" i="15"/>
  <c r="K42" i="15"/>
  <c r="BW10" i="17" s="1"/>
  <c r="BK18" i="17"/>
  <c r="BK29" i="17" s="1"/>
  <c r="BU18" i="17"/>
  <c r="BW9" i="17"/>
  <c r="K44" i="15"/>
  <c r="BW12" i="17" s="1"/>
  <c r="BM10" i="17"/>
  <c r="K43" i="15"/>
  <c r="BM9" i="17"/>
  <c r="BK9" i="17"/>
  <c r="BK20" i="17" s="1"/>
  <c r="BU9" i="17"/>
  <c r="BU17" i="17"/>
  <c r="BK10" i="17"/>
  <c r="BK21" i="17" s="1"/>
  <c r="BU10" i="17"/>
  <c r="K38" i="15"/>
  <c r="BK11" i="17"/>
  <c r="BK22" i="17" s="1"/>
  <c r="BU11" i="17"/>
  <c r="BK12" i="17"/>
  <c r="BK23" i="17" s="1"/>
  <c r="BU12" i="17"/>
  <c r="BM28" i="17"/>
  <c r="BM20" i="17"/>
  <c r="AH28" i="16"/>
  <c r="E55" i="13"/>
  <c r="AP23" i="16" s="1"/>
  <c r="AQ23" i="16" s="1"/>
  <c r="E54" i="13"/>
  <c r="E53" i="13"/>
  <c r="AP21" i="16" s="1"/>
  <c r="AQ21" i="16" s="1"/>
  <c r="E52" i="13"/>
  <c r="AX28" i="16"/>
  <c r="AY28" i="16" s="1"/>
  <c r="K50" i="15" l="1"/>
  <c r="K49" i="15"/>
  <c r="BM12" i="17"/>
  <c r="AP20" i="16"/>
  <c r="AQ20" i="16" s="1"/>
  <c r="E60" i="13"/>
  <c r="BU21" i="17"/>
  <c r="BU28" i="17"/>
  <c r="BU20" i="17"/>
  <c r="BU22" i="17"/>
  <c r="BU29" i="17"/>
  <c r="BU23" i="17"/>
  <c r="BK17" i="17"/>
  <c r="BK28" i="17" s="1"/>
  <c r="BW11" i="17"/>
  <c r="BM11" i="17"/>
  <c r="BF28" i="16"/>
  <c r="BG28" i="16" s="1"/>
  <c r="BE28" i="17"/>
  <c r="BF28" i="17" s="1"/>
  <c r="AP28" i="16"/>
  <c r="AQ28" i="16" s="1"/>
  <c r="AP22" i="16"/>
  <c r="AQ22" i="16" s="1"/>
  <c r="BE29" i="17"/>
  <c r="BF29" i="17" s="1"/>
  <c r="BF29" i="16"/>
  <c r="BG29" i="16" s="1"/>
  <c r="U28" i="16"/>
  <c r="J42" i="13"/>
  <c r="J41" i="13"/>
  <c r="F44" i="13"/>
  <c r="AX12" i="16" s="1"/>
  <c r="AY12" i="16" s="1"/>
  <c r="BA12" i="16" s="1"/>
  <c r="E12" i="16" s="1"/>
  <c r="D44" i="13"/>
  <c r="AH12" i="16" s="1"/>
  <c r="AI12" i="16" s="1"/>
  <c r="AK12" i="16" s="1"/>
  <c r="C12" i="16" s="1"/>
  <c r="C44" i="13"/>
  <c r="C49" i="13" s="1"/>
  <c r="F43" i="13"/>
  <c r="AX11" i="16" s="1"/>
  <c r="AY11" i="16" s="1"/>
  <c r="BA11" i="16" s="1"/>
  <c r="E11" i="16" s="1"/>
  <c r="D43" i="13"/>
  <c r="AH11" i="16" s="1"/>
  <c r="AI11" i="16" s="1"/>
  <c r="AK11" i="16" s="1"/>
  <c r="C11" i="16" s="1"/>
  <c r="U11" i="16"/>
  <c r="V11" i="16" s="1"/>
  <c r="X11" i="16" s="1"/>
  <c r="B11" i="16" s="1"/>
  <c r="F42" i="13"/>
  <c r="AX10" i="16" s="1"/>
  <c r="AY10" i="16" s="1"/>
  <c r="BA10" i="16" s="1"/>
  <c r="E10" i="16" s="1"/>
  <c r="D42" i="13"/>
  <c r="AH10" i="16" s="1"/>
  <c r="AI10" i="16" s="1"/>
  <c r="AK10" i="16" s="1"/>
  <c r="C10" i="16" s="1"/>
  <c r="U10" i="16"/>
  <c r="V10" i="16" s="1"/>
  <c r="X10" i="16" s="1"/>
  <c r="B10" i="16" s="1"/>
  <c r="F41" i="13"/>
  <c r="D41" i="13"/>
  <c r="U9" i="16"/>
  <c r="V9" i="16" s="1"/>
  <c r="X9" i="16" s="1"/>
  <c r="B9" i="16" s="1"/>
  <c r="E33" i="13"/>
  <c r="E32" i="13"/>
  <c r="E31" i="13"/>
  <c r="E30" i="13"/>
  <c r="E38" i="13" l="1"/>
  <c r="J50" i="13"/>
  <c r="J49" i="13"/>
  <c r="BF17" i="16" s="1"/>
  <c r="BG17" i="16" s="1"/>
  <c r="D49" i="13"/>
  <c r="AH17" i="16" s="1"/>
  <c r="F49" i="13"/>
  <c r="BW17" i="17"/>
  <c r="BM17" i="17"/>
  <c r="AH9" i="16"/>
  <c r="AI9" i="16" s="1"/>
  <c r="AK9" i="16" s="1"/>
  <c r="C9" i="16" s="1"/>
  <c r="U12" i="16"/>
  <c r="V12" i="16" s="1"/>
  <c r="X12" i="16" s="1"/>
  <c r="B12" i="16" s="1"/>
  <c r="AX9" i="16"/>
  <c r="AY9" i="16" s="1"/>
  <c r="BA9" i="16" s="1"/>
  <c r="E9" i="16" s="1"/>
  <c r="BW18" i="17"/>
  <c r="BM18" i="17"/>
  <c r="AX17" i="16"/>
  <c r="AY17" i="16" s="1"/>
  <c r="BE10" i="17"/>
  <c r="BF10" i="17" s="1"/>
  <c r="BH10" i="17" s="1"/>
  <c r="J10" i="17" s="1"/>
  <c r="BF10" i="16"/>
  <c r="BG10" i="16" s="1"/>
  <c r="BI10" i="16" s="1"/>
  <c r="I10" i="16" s="1"/>
  <c r="BE11" i="17"/>
  <c r="BF11" i="17" s="1"/>
  <c r="BH11" i="17" s="1"/>
  <c r="J11" i="17" s="1"/>
  <c r="BF11" i="16"/>
  <c r="BG11" i="16" s="1"/>
  <c r="BI11" i="16" s="1"/>
  <c r="I11" i="16" s="1"/>
  <c r="BF9" i="16"/>
  <c r="BG9" i="16" s="1"/>
  <c r="BI9" i="16" s="1"/>
  <c r="I9" i="16" s="1"/>
  <c r="BE9" i="17"/>
  <c r="BF9" i="17" s="1"/>
  <c r="BH9" i="17" s="1"/>
  <c r="J9" i="17" s="1"/>
  <c r="BE12" i="17"/>
  <c r="BF12" i="17" s="1"/>
  <c r="BH12" i="17" s="1"/>
  <c r="J12" i="17" s="1"/>
  <c r="BF12" i="16"/>
  <c r="BG12" i="16" s="1"/>
  <c r="BI12" i="16" s="1"/>
  <c r="I12" i="16" s="1"/>
  <c r="E22" i="13"/>
  <c r="E44" i="13" s="1"/>
  <c r="AP12" i="16" s="1"/>
  <c r="AQ12" i="16" s="1"/>
  <c r="E21" i="13"/>
  <c r="E43" i="13" s="1"/>
  <c r="AP11" i="16" s="1"/>
  <c r="AQ11" i="16" s="1"/>
  <c r="E20" i="13"/>
  <c r="E27" i="13" s="1"/>
  <c r="E41" i="13"/>
  <c r="E49" i="13" l="1"/>
  <c r="BE17" i="17"/>
  <c r="BF17" i="17" s="1"/>
  <c r="E42" i="13"/>
  <c r="AP10" i="16" s="1"/>
  <c r="AQ10" i="16" s="1"/>
  <c r="U17" i="16"/>
  <c r="BF18" i="16"/>
  <c r="BG18" i="16" s="1"/>
  <c r="BE18" i="17"/>
  <c r="BF18" i="17" s="1"/>
  <c r="AP9" i="16"/>
  <c r="AQ9" i="16" s="1"/>
  <c r="E10" i="13"/>
  <c r="AN11" i="16" s="1"/>
  <c r="E11" i="13"/>
  <c r="AN12" i="16" s="1"/>
  <c r="E9" i="13"/>
  <c r="AN10" i="16" s="1"/>
  <c r="E8" i="13"/>
  <c r="AN9" i="16" s="1"/>
  <c r="AV17" i="16"/>
  <c r="AP17" i="16" l="1"/>
  <c r="AQ17" i="16" s="1"/>
  <c r="AN17" i="16"/>
  <c r="AR17" i="16" s="1"/>
  <c r="BD17" i="16"/>
  <c r="BD28" i="16" s="1"/>
  <c r="BC17" i="17"/>
  <c r="BC28" i="17" s="1"/>
  <c r="AN23" i="16"/>
  <c r="AR23" i="16" s="1"/>
  <c r="AS23" i="16" s="1"/>
  <c r="D23" i="16" s="1"/>
  <c r="AR12" i="16"/>
  <c r="AS12" i="16" s="1"/>
  <c r="D12" i="16" s="1"/>
  <c r="S17" i="16"/>
  <c r="S28" i="16" s="1"/>
  <c r="BD18" i="16"/>
  <c r="BC18" i="17"/>
  <c r="AV28" i="16"/>
  <c r="AZ28" i="16" s="1"/>
  <c r="BA28" i="16" s="1"/>
  <c r="E28" i="16" s="1"/>
  <c r="AZ17" i="16"/>
  <c r="BA17" i="16" s="1"/>
  <c r="E17" i="16" s="1"/>
  <c r="AF17" i="16"/>
  <c r="AF28" i="16" s="1"/>
  <c r="AN20" i="16"/>
  <c r="AR20" i="16" s="1"/>
  <c r="AS20" i="16" s="1"/>
  <c r="D20" i="16" s="1"/>
  <c r="AR9" i="16"/>
  <c r="AS9" i="16" s="1"/>
  <c r="D9" i="16" s="1"/>
  <c r="AR11" i="16"/>
  <c r="AS11" i="16" s="1"/>
  <c r="D11" i="16" s="1"/>
  <c r="AN22" i="16"/>
  <c r="AR22" i="16" s="1"/>
  <c r="AS22" i="16" s="1"/>
  <c r="D22" i="16" s="1"/>
  <c r="AR10" i="16"/>
  <c r="AS10" i="16" s="1"/>
  <c r="D10" i="16" s="1"/>
  <c r="AN21" i="16"/>
  <c r="AR21" i="16" s="1"/>
  <c r="AS21" i="16" s="1"/>
  <c r="D21" i="16" s="1"/>
  <c r="BN29" i="16"/>
  <c r="K55" i="13"/>
  <c r="BN23" i="16" s="1"/>
  <c r="K54" i="13"/>
  <c r="BN22" i="16" s="1"/>
  <c r="K53" i="13"/>
  <c r="BN21" i="16" s="1"/>
  <c r="K52" i="13"/>
  <c r="K39" i="13"/>
  <c r="K33" i="13"/>
  <c r="K32" i="13"/>
  <c r="K43" i="13" s="1"/>
  <c r="BW11" i="16" s="1"/>
  <c r="K31" i="13"/>
  <c r="K28" i="13"/>
  <c r="K22" i="13"/>
  <c r="K44" i="13" s="1"/>
  <c r="BW12" i="16" s="1"/>
  <c r="K20" i="13"/>
  <c r="K19" i="13"/>
  <c r="BL18" i="16"/>
  <c r="BL29" i="16" s="1"/>
  <c r="K11" i="13"/>
  <c r="K10" i="13"/>
  <c r="K9" i="13"/>
  <c r="K8" i="13"/>
  <c r="K38" i="13" l="1"/>
  <c r="K60" i="13"/>
  <c r="BN28" i="16" s="1"/>
  <c r="K41" i="13"/>
  <c r="K27" i="13"/>
  <c r="BU9" i="16"/>
  <c r="K16" i="13"/>
  <c r="BU17" i="16" s="1"/>
  <c r="AS17" i="16"/>
  <c r="D17" i="16" s="1"/>
  <c r="BU20" i="16"/>
  <c r="BL10" i="16"/>
  <c r="BL21" i="16" s="1"/>
  <c r="BU10" i="16"/>
  <c r="BL12" i="16"/>
  <c r="BL23" i="16" s="1"/>
  <c r="BU12" i="16"/>
  <c r="BN12" i="16"/>
  <c r="BL11" i="16"/>
  <c r="BL22" i="16" s="1"/>
  <c r="BU11" i="16"/>
  <c r="BW9" i="16"/>
  <c r="BX9" i="16" s="1"/>
  <c r="K42" i="13"/>
  <c r="BN11" i="16"/>
  <c r="BL9" i="16"/>
  <c r="BL20" i="16" s="1"/>
  <c r="BN20" i="16"/>
  <c r="AN28" i="16"/>
  <c r="AR28" i="16" s="1"/>
  <c r="AS28" i="16" s="1"/>
  <c r="D28" i="16" s="1"/>
  <c r="BC29" i="17"/>
  <c r="BG29" i="17" s="1"/>
  <c r="BH29" i="17" s="1"/>
  <c r="J29" i="17" s="1"/>
  <c r="BG18" i="17"/>
  <c r="BH18" i="17" s="1"/>
  <c r="J18" i="17" s="1"/>
  <c r="BD29" i="16"/>
  <c r="BH29" i="16" s="1"/>
  <c r="BI29" i="16" s="1"/>
  <c r="I29" i="16" s="1"/>
  <c r="BH18" i="16"/>
  <c r="BI18" i="16" s="1"/>
  <c r="I18" i="16" s="1"/>
  <c r="K50" i="13" l="1"/>
  <c r="K49" i="13"/>
  <c r="BW17" i="16" s="1"/>
  <c r="BL17" i="16"/>
  <c r="BL28" i="16" s="1"/>
  <c r="BU21" i="16"/>
  <c r="BU22" i="16"/>
  <c r="BW10" i="16"/>
  <c r="BN10" i="16"/>
  <c r="BU28" i="16"/>
  <c r="BU23" i="16"/>
  <c r="BN9" i="16"/>
  <c r="BN17" i="16" l="1"/>
  <c r="BW18" i="16"/>
  <c r="BN18" i="16"/>
  <c r="B9" i="4"/>
  <c r="B8" i="4"/>
  <c r="B7" i="4"/>
  <c r="B6" i="4"/>
  <c r="B44" i="1"/>
  <c r="B43" i="1"/>
  <c r="B42" i="1"/>
  <c r="B41" i="1"/>
  <c r="B52" i="1" l="1"/>
  <c r="B49" i="1"/>
  <c r="B7" i="12"/>
  <c r="B53" i="1"/>
  <c r="B19" i="12" s="1"/>
  <c r="B8" i="12"/>
  <c r="B54" i="1"/>
  <c r="B20" i="12" s="1"/>
  <c r="B18" i="12"/>
  <c r="B9" i="12"/>
  <c r="B55" i="1"/>
  <c r="B21" i="12" s="1"/>
  <c r="B6" i="12"/>
  <c r="B14" i="4"/>
  <c r="B60" i="1" l="1"/>
  <c r="B26" i="12" s="1"/>
  <c r="B14" i="12"/>
  <c r="W62" i="1"/>
  <c r="W65" i="1" s="1"/>
  <c r="V65" i="1"/>
  <c r="L26" i="4"/>
  <c r="L14" i="4"/>
  <c r="L26" i="12"/>
  <c r="L14" i="12"/>
  <c r="BD28" i="17"/>
  <c r="BG28" i="17" s="1"/>
  <c r="BH28" i="17" s="1"/>
  <c r="J28" i="17" s="1"/>
  <c r="J26" i="12"/>
  <c r="BE28" i="16"/>
  <c r="BH28" i="16" s="1"/>
  <c r="BI28" i="16" s="1"/>
  <c r="I28" i="16" s="1"/>
  <c r="K30" i="2"/>
  <c r="L15" i="12" l="1"/>
  <c r="BK18" i="16"/>
  <c r="M61" i="2"/>
  <c r="P61" i="2" s="1"/>
  <c r="K61" i="2"/>
  <c r="M55" i="2"/>
  <c r="P55" i="2" s="1"/>
  <c r="K55" i="2"/>
  <c r="M54" i="2"/>
  <c r="P54" i="2" s="1"/>
  <c r="K54" i="2"/>
  <c r="M53" i="2"/>
  <c r="P53" i="2" s="1"/>
  <c r="K53" i="2"/>
  <c r="M52" i="2"/>
  <c r="M60" i="2" s="1"/>
  <c r="K52" i="2"/>
  <c r="K60" i="2" s="1"/>
  <c r="P43" i="2"/>
  <c r="M39" i="2"/>
  <c r="K39" i="2"/>
  <c r="M33" i="2"/>
  <c r="K33" i="2"/>
  <c r="M32" i="2"/>
  <c r="M43" i="2" s="1"/>
  <c r="K32" i="2"/>
  <c r="K43" i="2" s="1"/>
  <c r="M31" i="2"/>
  <c r="K31" i="2"/>
  <c r="K38" i="2" s="1"/>
  <c r="M30" i="2"/>
  <c r="M38" i="2" s="1"/>
  <c r="M28" i="2"/>
  <c r="K28" i="2"/>
  <c r="M22" i="2"/>
  <c r="K22" i="2"/>
  <c r="M20" i="2"/>
  <c r="K20" i="2"/>
  <c r="M19" i="2"/>
  <c r="M27" i="2" s="1"/>
  <c r="K19" i="2"/>
  <c r="M17" i="2"/>
  <c r="K17" i="2"/>
  <c r="O17" i="2" s="1"/>
  <c r="M11" i="2"/>
  <c r="K11" i="2"/>
  <c r="M10" i="2"/>
  <c r="K10" i="2"/>
  <c r="M9" i="2"/>
  <c r="K9" i="2"/>
  <c r="M8" i="2"/>
  <c r="M16" i="2" s="1"/>
  <c r="K8" i="2"/>
  <c r="K44" i="2" l="1"/>
  <c r="K16" i="2"/>
  <c r="O16" i="2" s="1"/>
  <c r="K41" i="2"/>
  <c r="K27" i="2"/>
  <c r="K49" i="2" s="1"/>
  <c r="M41" i="2"/>
  <c r="P41" i="2" s="1"/>
  <c r="M44" i="2"/>
  <c r="P44" i="2" s="1"/>
  <c r="K50" i="2"/>
  <c r="O50" i="2" s="1"/>
  <c r="M42" i="2"/>
  <c r="P42" i="2" s="1"/>
  <c r="BW23" i="17"/>
  <c r="BW23" i="16"/>
  <c r="BW20" i="17"/>
  <c r="BW20" i="16"/>
  <c r="BX20" i="16" s="1"/>
  <c r="O52" i="2"/>
  <c r="BV20" i="17" s="1"/>
  <c r="BW29" i="17"/>
  <c r="BW29" i="16"/>
  <c r="K42" i="2"/>
  <c r="BW21" i="17"/>
  <c r="BW21" i="16"/>
  <c r="BW22" i="16"/>
  <c r="BW22" i="17"/>
  <c r="M50" i="2"/>
  <c r="P50" i="2" s="1"/>
  <c r="P60" i="2"/>
  <c r="W60" i="2" s="1"/>
  <c r="M49" i="2"/>
  <c r="P49" i="2" s="1"/>
  <c r="O44" i="2"/>
  <c r="BV12" i="17" s="1"/>
  <c r="BL12" i="17"/>
  <c r="O41" i="2"/>
  <c r="BV9" i="17" s="1"/>
  <c r="BL9" i="17"/>
  <c r="O55" i="2"/>
  <c r="BV23" i="17" s="1"/>
  <c r="BL23" i="17"/>
  <c r="O11" i="2"/>
  <c r="K9" i="4"/>
  <c r="K21" i="4"/>
  <c r="BJ12" i="17"/>
  <c r="P9" i="2"/>
  <c r="M7" i="4"/>
  <c r="M19" i="4"/>
  <c r="O54" i="2"/>
  <c r="BV22" i="17" s="1"/>
  <c r="BL22" i="17"/>
  <c r="O10" i="2"/>
  <c r="BJ11" i="17"/>
  <c r="K8" i="4"/>
  <c r="K20" i="4"/>
  <c r="P10" i="2"/>
  <c r="M8" i="4"/>
  <c r="M20" i="4"/>
  <c r="P11" i="2"/>
  <c r="M21" i="4"/>
  <c r="M9" i="4"/>
  <c r="O42" i="2"/>
  <c r="BV10" i="17" s="1"/>
  <c r="BL10" i="17"/>
  <c r="BL20" i="17"/>
  <c r="O61" i="2"/>
  <c r="BV29" i="17" s="1"/>
  <c r="BL29" i="17"/>
  <c r="O8" i="2"/>
  <c r="K18" i="4"/>
  <c r="BJ9" i="17"/>
  <c r="K6" i="4"/>
  <c r="K15" i="4"/>
  <c r="BJ18" i="17"/>
  <c r="K27" i="4"/>
  <c r="P52" i="2"/>
  <c r="P8" i="2"/>
  <c r="M6" i="4"/>
  <c r="M18" i="4"/>
  <c r="P17" i="2"/>
  <c r="O27" i="4" s="1"/>
  <c r="M27" i="4"/>
  <c r="O43" i="2"/>
  <c r="BV11" i="17" s="1"/>
  <c r="BL11" i="17"/>
  <c r="O53" i="2"/>
  <c r="BV21" i="17" s="1"/>
  <c r="BL21" i="17"/>
  <c r="O9" i="2"/>
  <c r="BJ10" i="17"/>
  <c r="K7" i="4"/>
  <c r="K19" i="4"/>
  <c r="BK29" i="16"/>
  <c r="BO29" i="16" s="1"/>
  <c r="BO18" i="16"/>
  <c r="M61" i="1"/>
  <c r="P61" i="1" s="1"/>
  <c r="M55" i="1"/>
  <c r="P55" i="1" s="1"/>
  <c r="M54" i="1"/>
  <c r="P54" i="1" s="1"/>
  <c r="M53" i="1"/>
  <c r="M39" i="1"/>
  <c r="M50" i="1" s="1"/>
  <c r="M15" i="12" s="1"/>
  <c r="M33" i="1"/>
  <c r="M32" i="1"/>
  <c r="M43" i="1" s="1"/>
  <c r="P43" i="1" s="1"/>
  <c r="M31" i="1"/>
  <c r="M30" i="1"/>
  <c r="M38" i="1" s="1"/>
  <c r="M22" i="1"/>
  <c r="M20" i="1"/>
  <c r="M19" i="1"/>
  <c r="M11" i="1"/>
  <c r="M10" i="1"/>
  <c r="M9" i="1"/>
  <c r="M8" i="1"/>
  <c r="K55" i="1"/>
  <c r="O55" i="1" s="1"/>
  <c r="BV23" i="16" s="1"/>
  <c r="K54" i="1"/>
  <c r="K53" i="1"/>
  <c r="K52" i="1"/>
  <c r="K33" i="1"/>
  <c r="K32" i="1"/>
  <c r="K43" i="1" s="1"/>
  <c r="K31" i="1"/>
  <c r="K38" i="1" s="1"/>
  <c r="K22" i="1"/>
  <c r="K20" i="1"/>
  <c r="K19" i="1"/>
  <c r="K11" i="1"/>
  <c r="K10" i="1"/>
  <c r="K9" i="1"/>
  <c r="K16" i="1" s="1"/>
  <c r="O16" i="1" s="1"/>
  <c r="K41" i="1" l="1"/>
  <c r="K27" i="1"/>
  <c r="R18" i="2"/>
  <c r="S18" i="2" s="1"/>
  <c r="K44" i="1"/>
  <c r="K60" i="1"/>
  <c r="O60" i="1" s="1"/>
  <c r="R62" i="1" s="1"/>
  <c r="M16" i="1"/>
  <c r="P16" i="1" s="1"/>
  <c r="R18" i="1" s="1"/>
  <c r="S18" i="1" s="1"/>
  <c r="M41" i="1"/>
  <c r="M27" i="1"/>
  <c r="P53" i="1"/>
  <c r="M60" i="1"/>
  <c r="P60" i="1" s="1"/>
  <c r="AB60" i="1" s="1"/>
  <c r="BV18" i="17"/>
  <c r="BL18" i="17"/>
  <c r="M42" i="1"/>
  <c r="K42" i="1"/>
  <c r="O42" i="1" s="1"/>
  <c r="BV10" i="16" s="1"/>
  <c r="W49" i="2"/>
  <c r="O15" i="4"/>
  <c r="BT18" i="17"/>
  <c r="BY18" i="17" s="1"/>
  <c r="N27" i="4"/>
  <c r="N15" i="4"/>
  <c r="BT17" i="17"/>
  <c r="V16" i="2"/>
  <c r="O6" i="4"/>
  <c r="O18" i="4"/>
  <c r="O20" i="4"/>
  <c r="O8" i="4"/>
  <c r="BT11" i="17"/>
  <c r="N8" i="4"/>
  <c r="N20" i="4"/>
  <c r="BV28" i="16"/>
  <c r="AA60" i="1"/>
  <c r="BW28" i="16"/>
  <c r="BW28" i="17"/>
  <c r="BT10" i="17"/>
  <c r="N19" i="4"/>
  <c r="N7" i="4"/>
  <c r="O7" i="4"/>
  <c r="O19" i="4"/>
  <c r="BT9" i="17"/>
  <c r="BY9" i="17" s="1"/>
  <c r="N6" i="4"/>
  <c r="N18" i="4"/>
  <c r="O9" i="4"/>
  <c r="O21" i="4"/>
  <c r="O41" i="1"/>
  <c r="M15" i="4"/>
  <c r="BT12" i="17"/>
  <c r="N21" i="4"/>
  <c r="N9" i="4"/>
  <c r="M44" i="1"/>
  <c r="P44" i="1" s="1"/>
  <c r="P42" i="1"/>
  <c r="BO11" i="17"/>
  <c r="BO18" i="17"/>
  <c r="O49" i="2"/>
  <c r="BL17" i="17"/>
  <c r="BJ29" i="17"/>
  <c r="BN29" i="17" s="1"/>
  <c r="BN18" i="17"/>
  <c r="BO9" i="17"/>
  <c r="O60" i="2"/>
  <c r="BL28" i="17"/>
  <c r="P16" i="2"/>
  <c r="M26" i="4"/>
  <c r="M14" i="4"/>
  <c r="K26" i="4"/>
  <c r="K14" i="4"/>
  <c r="BJ17" i="17"/>
  <c r="BJ23" i="17"/>
  <c r="BN23" i="17" s="1"/>
  <c r="BN12" i="17"/>
  <c r="BJ21" i="17"/>
  <c r="BN21" i="17" s="1"/>
  <c r="BN10" i="17"/>
  <c r="BO12" i="17"/>
  <c r="BJ22" i="17"/>
  <c r="BN22" i="17" s="1"/>
  <c r="BN11" i="17"/>
  <c r="BJ20" i="17"/>
  <c r="BN20" i="17" s="1"/>
  <c r="BN9" i="17"/>
  <c r="BO10" i="17"/>
  <c r="BM9" i="16"/>
  <c r="K18" i="12"/>
  <c r="BK9" i="16"/>
  <c r="O27" i="12"/>
  <c r="M27" i="12"/>
  <c r="P8" i="1"/>
  <c r="M18" i="12"/>
  <c r="M6" i="12"/>
  <c r="BV29" i="16"/>
  <c r="BM29" i="16"/>
  <c r="BP29" i="16" s="1"/>
  <c r="BQ29" i="16" s="1"/>
  <c r="J29" i="16" s="1"/>
  <c r="K27" i="12"/>
  <c r="O9" i="1"/>
  <c r="BK10" i="16"/>
  <c r="K19" i="12"/>
  <c r="O44" i="1"/>
  <c r="BV12" i="16" s="1"/>
  <c r="BM12" i="16"/>
  <c r="P9" i="1"/>
  <c r="M7" i="12"/>
  <c r="M19" i="12"/>
  <c r="O50" i="1"/>
  <c r="BM18" i="16"/>
  <c r="BP18" i="16" s="1"/>
  <c r="BQ18" i="16" s="1"/>
  <c r="J18" i="16" s="1"/>
  <c r="K15" i="12"/>
  <c r="O11" i="1"/>
  <c r="BK12" i="16"/>
  <c r="K21" i="12"/>
  <c r="K9" i="12"/>
  <c r="O52" i="1"/>
  <c r="BM20" i="16"/>
  <c r="O53" i="1"/>
  <c r="BV21" i="16" s="1"/>
  <c r="BM21" i="16"/>
  <c r="BM23" i="16"/>
  <c r="O43" i="1"/>
  <c r="BV11" i="16" s="1"/>
  <c r="BM11" i="16"/>
  <c r="O10" i="1"/>
  <c r="K8" i="12"/>
  <c r="BK11" i="16"/>
  <c r="K20" i="12"/>
  <c r="P10" i="1"/>
  <c r="M8" i="12"/>
  <c r="M20" i="12"/>
  <c r="P50" i="1"/>
  <c r="O15" i="12" s="1"/>
  <c r="P11" i="1"/>
  <c r="M21" i="12"/>
  <c r="P52" i="1"/>
  <c r="O54" i="1"/>
  <c r="BV22" i="16" s="1"/>
  <c r="BM22" i="16"/>
  <c r="BM10" i="16" l="1"/>
  <c r="K7" i="12"/>
  <c r="N14" i="4"/>
  <c r="R51" i="2"/>
  <c r="P41" i="1"/>
  <c r="M49" i="1"/>
  <c r="P49" i="1" s="1"/>
  <c r="AB49" i="1" s="1"/>
  <c r="K49" i="1"/>
  <c r="O49" i="1" s="1"/>
  <c r="K6" i="12"/>
  <c r="BV18" i="16"/>
  <c r="R51" i="1"/>
  <c r="S51" i="1" s="1"/>
  <c r="N26" i="4"/>
  <c r="R62" i="2"/>
  <c r="S62" i="2" s="1"/>
  <c r="S62" i="1"/>
  <c r="M9" i="12"/>
  <c r="O7" i="12"/>
  <c r="BT12" i="16"/>
  <c r="N9" i="12"/>
  <c r="N21" i="12"/>
  <c r="BT23" i="17"/>
  <c r="BX12" i="17"/>
  <c r="O26" i="4"/>
  <c r="O14" i="4"/>
  <c r="K33" i="4" s="1"/>
  <c r="W16" i="2"/>
  <c r="BT21" i="17"/>
  <c r="BX10" i="17"/>
  <c r="BX17" i="17"/>
  <c r="BT28" i="17"/>
  <c r="BX28" i="17" s="1"/>
  <c r="BV17" i="17"/>
  <c r="BY17" i="17" s="1"/>
  <c r="V49" i="2"/>
  <c r="BV20" i="16"/>
  <c r="BY20" i="16" s="1"/>
  <c r="BZ20" i="16" s="1"/>
  <c r="M20" i="16" s="1"/>
  <c r="N18" i="12"/>
  <c r="BY12" i="16"/>
  <c r="BT11" i="16"/>
  <c r="BY11" i="16" s="1"/>
  <c r="N20" i="12"/>
  <c r="N8" i="12"/>
  <c r="BV28" i="17"/>
  <c r="V60" i="2"/>
  <c r="BT17" i="16"/>
  <c r="N26" i="12"/>
  <c r="BT20" i="17"/>
  <c r="BX9" i="17"/>
  <c r="BZ9" i="17" s="1"/>
  <c r="N9" i="17" s="1"/>
  <c r="BT22" i="17"/>
  <c r="BX11" i="17"/>
  <c r="BT10" i="16"/>
  <c r="BY10" i="16" s="1"/>
  <c r="N19" i="12"/>
  <c r="N7" i="12"/>
  <c r="BV9" i="16"/>
  <c r="BY9" i="16" s="1"/>
  <c r="BZ9" i="16" s="1"/>
  <c r="M9" i="16" s="1"/>
  <c r="N6" i="12"/>
  <c r="BY11" i="17"/>
  <c r="BT29" i="17"/>
  <c r="BX18" i="17"/>
  <c r="BZ18" i="17" s="1"/>
  <c r="N18" i="17" s="1"/>
  <c r="BY12" i="17"/>
  <c r="BY10" i="17"/>
  <c r="J32" i="4"/>
  <c r="K32" i="4"/>
  <c r="O8" i="12"/>
  <c r="O20" i="12"/>
  <c r="O9" i="12"/>
  <c r="O21" i="12"/>
  <c r="O18" i="12"/>
  <c r="O6" i="12"/>
  <c r="O19" i="12"/>
  <c r="BP11" i="17"/>
  <c r="K11" i="17" s="1"/>
  <c r="BO20" i="17"/>
  <c r="BP20" i="17" s="1"/>
  <c r="K20" i="17" s="1"/>
  <c r="BP12" i="17"/>
  <c r="K12" i="17" s="1"/>
  <c r="BO23" i="17"/>
  <c r="BP23" i="17" s="1"/>
  <c r="K23" i="17" s="1"/>
  <c r="BP18" i="17"/>
  <c r="K18" i="17" s="1"/>
  <c r="BO21" i="17"/>
  <c r="BP21" i="17" s="1"/>
  <c r="K21" i="17" s="1"/>
  <c r="BP9" i="17"/>
  <c r="K9" i="17" s="1"/>
  <c r="BO22" i="17"/>
  <c r="BP22" i="17" s="1"/>
  <c r="K22" i="17" s="1"/>
  <c r="BO29" i="17"/>
  <c r="BP29" i="17" s="1"/>
  <c r="K29" i="17" s="1"/>
  <c r="BJ28" i="17"/>
  <c r="BN28" i="17" s="1"/>
  <c r="BN17" i="17"/>
  <c r="BP10" i="17"/>
  <c r="K10" i="17" s="1"/>
  <c r="BO17" i="17"/>
  <c r="BP12" i="16"/>
  <c r="BP10" i="16"/>
  <c r="BP11" i="16"/>
  <c r="BM28" i="16"/>
  <c r="D14" i="12"/>
  <c r="D26" i="12"/>
  <c r="AE17" i="16"/>
  <c r="BK20" i="16"/>
  <c r="BO20" i="16" s="1"/>
  <c r="BO9" i="16"/>
  <c r="K14" i="12"/>
  <c r="K26" i="12"/>
  <c r="BK17" i="16"/>
  <c r="BP9" i="16"/>
  <c r="C14" i="12"/>
  <c r="M26" i="12"/>
  <c r="M14" i="12"/>
  <c r="BK23" i="16"/>
  <c r="BO23" i="16" s="1"/>
  <c r="BO12" i="16"/>
  <c r="BK21" i="16"/>
  <c r="BO21" i="16" s="1"/>
  <c r="BO10" i="16"/>
  <c r="BM17" i="16"/>
  <c r="BK22" i="16"/>
  <c r="BO22" i="16" s="1"/>
  <c r="BO11" i="16"/>
  <c r="K34" i="12" l="1"/>
  <c r="J34" i="12"/>
  <c r="R65" i="2"/>
  <c r="S51" i="2"/>
  <c r="S65" i="2" s="1"/>
  <c r="BZ12" i="17"/>
  <c r="N12" i="17" s="1"/>
  <c r="BZ17" i="17"/>
  <c r="N17" i="17" s="1"/>
  <c r="BZ11" i="17"/>
  <c r="N11" i="17" s="1"/>
  <c r="BY28" i="17"/>
  <c r="BZ28" i="17" s="1"/>
  <c r="N28" i="17" s="1"/>
  <c r="BY21" i="17"/>
  <c r="BX21" i="17"/>
  <c r="BY29" i="17"/>
  <c r="BX29" i="17"/>
  <c r="BX23" i="17"/>
  <c r="BY23" i="17"/>
  <c r="BX22" i="17"/>
  <c r="BY22" i="17"/>
  <c r="BV17" i="16"/>
  <c r="BY17" i="16" s="1"/>
  <c r="AA49" i="1"/>
  <c r="BY20" i="17"/>
  <c r="BX20" i="17"/>
  <c r="BT23" i="16"/>
  <c r="BX12" i="16"/>
  <c r="BZ12" i="16" s="1"/>
  <c r="M12" i="16" s="1"/>
  <c r="BT28" i="16"/>
  <c r="BX17" i="16"/>
  <c r="BZ10" i="17"/>
  <c r="N10" i="17" s="1"/>
  <c r="S65" i="1"/>
  <c r="J33" i="4"/>
  <c r="BT18" i="16"/>
  <c r="N27" i="12"/>
  <c r="N15" i="12"/>
  <c r="BT21" i="16"/>
  <c r="BX10" i="16"/>
  <c r="BZ10" i="16" s="1"/>
  <c r="M10" i="16" s="1"/>
  <c r="N14" i="12"/>
  <c r="BT22" i="16"/>
  <c r="BX11" i="16"/>
  <c r="BZ11" i="16" s="1"/>
  <c r="M11" i="16" s="1"/>
  <c r="O14" i="12"/>
  <c r="O26" i="12"/>
  <c r="BP17" i="17"/>
  <c r="K17" i="17" s="1"/>
  <c r="BO28" i="17"/>
  <c r="BP28" i="17" s="1"/>
  <c r="K28" i="17" s="1"/>
  <c r="BQ12" i="16"/>
  <c r="J12" i="16" s="1"/>
  <c r="BQ10" i="16"/>
  <c r="J10" i="16" s="1"/>
  <c r="BQ11" i="16"/>
  <c r="J11" i="16" s="1"/>
  <c r="BQ9" i="16"/>
  <c r="J9" i="16" s="1"/>
  <c r="BP17" i="16"/>
  <c r="BP20" i="16"/>
  <c r="BQ20" i="16" s="1"/>
  <c r="J20" i="16" s="1"/>
  <c r="BP21" i="16"/>
  <c r="BQ21" i="16" s="1"/>
  <c r="J21" i="16" s="1"/>
  <c r="R28" i="16"/>
  <c r="V17" i="16"/>
  <c r="W17" i="16"/>
  <c r="BP23" i="16"/>
  <c r="BQ23" i="16" s="1"/>
  <c r="J23" i="16" s="1"/>
  <c r="BK28" i="16"/>
  <c r="BO28" i="16" s="1"/>
  <c r="BO17" i="16"/>
  <c r="BP22" i="16"/>
  <c r="BQ22" i="16" s="1"/>
  <c r="J22" i="16" s="1"/>
  <c r="AE28" i="16"/>
  <c r="AJ17" i="16"/>
  <c r="AI17" i="16"/>
  <c r="BZ29" i="17" l="1"/>
  <c r="N29" i="17" s="1"/>
  <c r="BZ21" i="17"/>
  <c r="N21" i="17" s="1"/>
  <c r="BZ23" i="17"/>
  <c r="N23" i="17" s="1"/>
  <c r="J33" i="12"/>
  <c r="BX22" i="16"/>
  <c r="BY22" i="16"/>
  <c r="BZ17" i="16"/>
  <c r="M17" i="16" s="1"/>
  <c r="BY28" i="16"/>
  <c r="BX28" i="16"/>
  <c r="BX21" i="16"/>
  <c r="BY21" i="16"/>
  <c r="R65" i="1"/>
  <c r="BY23" i="16"/>
  <c r="BX23" i="16"/>
  <c r="BZ23" i="16" s="1"/>
  <c r="M23" i="16" s="1"/>
  <c r="BT29" i="16"/>
  <c r="BX18" i="16"/>
  <c r="BY18" i="16"/>
  <c r="BZ20" i="17"/>
  <c r="N20" i="17" s="1"/>
  <c r="BZ22" i="17"/>
  <c r="N22" i="17" s="1"/>
  <c r="K33" i="12"/>
  <c r="AK17" i="16"/>
  <c r="C17" i="16" s="1"/>
  <c r="BP28" i="16"/>
  <c r="BQ28" i="16" s="1"/>
  <c r="J28" i="16" s="1"/>
  <c r="BQ17" i="16"/>
  <c r="J17" i="16" s="1"/>
  <c r="X17" i="16"/>
  <c r="B17" i="16" s="1"/>
  <c r="V28" i="16"/>
  <c r="AI28" i="16"/>
  <c r="AJ28" i="16"/>
  <c r="BZ28" i="16" l="1"/>
  <c r="M28" i="16" s="1"/>
  <c r="BZ21" i="16"/>
  <c r="M21" i="16" s="1"/>
  <c r="BZ18" i="16"/>
  <c r="M18" i="16" s="1"/>
  <c r="BX29" i="16"/>
  <c r="BY29" i="16"/>
  <c r="BZ22" i="16"/>
  <c r="M22" i="16" s="1"/>
  <c r="AK28" i="16"/>
  <c r="C28" i="16" s="1"/>
  <c r="C26" i="12"/>
  <c r="J32" i="12" s="1"/>
  <c r="T28" i="16"/>
  <c r="W28" i="16" s="1"/>
  <c r="X28" i="16" s="1"/>
  <c r="B28" i="16" s="1"/>
  <c r="K32" i="12" l="1"/>
  <c r="BZ29" i="16"/>
  <c r="M29" i="16" s="1"/>
  <c r="J14" i="12"/>
  <c r="J31" i="12" s="1"/>
  <c r="BD17" i="17"/>
  <c r="BG17" i="17" s="1"/>
  <c r="BH17" i="17" s="1"/>
  <c r="J17" i="17" s="1"/>
  <c r="BE17" i="16"/>
  <c r="BH17" i="16" s="1"/>
  <c r="BI17" i="16" s="1"/>
  <c r="I17" i="16" s="1"/>
  <c r="J14" i="4"/>
  <c r="J26" i="4"/>
  <c r="K31" i="4" l="1"/>
  <c r="J31" i="4"/>
  <c r="K31" i="12"/>
  <c r="G43" i="22" l="1"/>
  <c r="D43" i="22" s="1"/>
  <c r="K43" i="22"/>
</calcChain>
</file>

<file path=xl/sharedStrings.xml><?xml version="1.0" encoding="utf-8"?>
<sst xmlns="http://schemas.openxmlformats.org/spreadsheetml/2006/main" count="1431" uniqueCount="186">
  <si>
    <t>Inflow 11452600</t>
  </si>
  <si>
    <t>WY 2010</t>
  </si>
  <si>
    <t>WY 2011</t>
  </si>
  <si>
    <t>WY 2012</t>
  </si>
  <si>
    <t>WY 2013</t>
  </si>
  <si>
    <t>WY 2014</t>
  </si>
  <si>
    <t>P-THg</t>
  </si>
  <si>
    <t>F-THg</t>
  </si>
  <si>
    <t>kg</t>
  </si>
  <si>
    <t>WW-THg</t>
  </si>
  <si>
    <t>P+F-THg</t>
  </si>
  <si>
    <t>Outflow Weir (Spilllway) 11452800</t>
  </si>
  <si>
    <t>Outflow Gate 11452900</t>
  </si>
  <si>
    <r>
      <t>10</t>
    </r>
    <r>
      <rPr>
        <vertAlign val="superscript"/>
        <sz val="11"/>
        <color theme="1"/>
        <rFont val="Calibri"/>
        <family val="2"/>
        <scheme val="minor"/>
      </rPr>
      <t xml:space="preserve">6 </t>
    </r>
    <r>
      <rPr>
        <sz val="11"/>
        <color theme="1"/>
        <rFont val="Calibri"/>
        <family val="2"/>
        <scheme val="minor"/>
      </rPr>
      <t>kg</t>
    </r>
  </si>
  <si>
    <t>Total Outflow (11452901) - sum of 11452800 and 11452900</t>
  </si>
  <si>
    <t>Combined Outflow (11452901) - weighted average of 11452800 and 11452900</t>
  </si>
  <si>
    <t>SS-L</t>
  </si>
  <si>
    <t>SS-G</t>
  </si>
  <si>
    <t>P-THg-L</t>
  </si>
  <si>
    <t>na</t>
  </si>
  <si>
    <t>P-MeHg</t>
  </si>
  <si>
    <t>F-MeHg</t>
  </si>
  <si>
    <t>P+F-MeHg</t>
  </si>
  <si>
    <t>WW-MeHg</t>
  </si>
  <si>
    <t>P-MeHg-L</t>
  </si>
  <si>
    <t>Total Outflow 11452901 - sum of 11452800 and 11452900</t>
  </si>
  <si>
    <t>sum</t>
  </si>
  <si>
    <t>Total flow</t>
  </si>
  <si>
    <r>
      <t>10</t>
    </r>
    <r>
      <rPr>
        <vertAlign val="super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 L</t>
    </r>
  </si>
  <si>
    <t>conc.</t>
  </si>
  <si>
    <t>volume</t>
  </si>
  <si>
    <t>load</t>
  </si>
  <si>
    <t>nd</t>
  </si>
  <si>
    <t>Mean</t>
  </si>
  <si>
    <t>n</t>
  </si>
  <si>
    <t>load (SE)</t>
  </si>
  <si>
    <t>Inflow (11452600) vs. Total Outflow (11452901) - sum of 11452800 and 11452900</t>
  </si>
  <si>
    <t>TE</t>
  </si>
  <si>
    <t>Inflow (11452600) vs. Combined Outflow (11452901) - weighted average of 11452800 and 11452900</t>
  </si>
  <si>
    <t>TE (SE)</t>
  </si>
  <si>
    <t>I</t>
  </si>
  <si>
    <t>O</t>
  </si>
  <si>
    <t>SE-I</t>
  </si>
  <si>
    <t>SE-O</t>
  </si>
  <si>
    <t>term1</t>
  </si>
  <si>
    <t>term2</t>
  </si>
  <si>
    <t>[(SEo)^2]*[(1/I)^2]</t>
  </si>
  <si>
    <t>sqrt (term 1 + term 2)</t>
  </si>
  <si>
    <t>SE-TE</t>
  </si>
  <si>
    <t>[(SEi^2)]*[(-O/I^2))^2]</t>
  </si>
  <si>
    <t>https://en.wikipedia.org/wiki/Propagation_of_uncertainty</t>
  </si>
  <si>
    <t>see "Resistance Measurement"</t>
  </si>
  <si>
    <t>[(Seo)/O)^2)</t>
  </si>
  <si>
    <t>((Sei/I)2</t>
  </si>
  <si>
    <t>sqrt(t1+t2)</t>
  </si>
  <si>
    <t>(I/O)(t3)</t>
  </si>
  <si>
    <t>pTHg</t>
  </si>
  <si>
    <t>fTHg</t>
  </si>
  <si>
    <t>p+fTHg</t>
  </si>
  <si>
    <t>wwTHg</t>
  </si>
  <si>
    <t>pTHg-L</t>
  </si>
  <si>
    <t>pTHg-G</t>
  </si>
  <si>
    <t>median</t>
  </si>
  <si>
    <t>pMeHg</t>
  </si>
  <si>
    <t>fMeHg</t>
  </si>
  <si>
    <t>p+fMeHg</t>
  </si>
  <si>
    <t>wwMeHg</t>
  </si>
  <si>
    <t>pMeHg-L</t>
  </si>
  <si>
    <t>pMeHg-G</t>
  </si>
  <si>
    <t>SE</t>
  </si>
  <si>
    <t>SE/TE</t>
  </si>
  <si>
    <t>mean</t>
  </si>
  <si>
    <t>SQRT of sum of squares</t>
  </si>
  <si>
    <t>6 with SE</t>
  </si>
  <si>
    <t>LCL</t>
  </si>
  <si>
    <t>UCL</t>
  </si>
  <si>
    <t>pTHg-L + fTHg</t>
  </si>
  <si>
    <t>pTHg-G + fTHg</t>
  </si>
  <si>
    <t>Average</t>
  </si>
  <si>
    <t>wwTHg load</t>
  </si>
  <si>
    <t>kg/yr</t>
  </si>
  <si>
    <t>pMeHg-L + fMeHg</t>
  </si>
  <si>
    <t>pMeHg-G + fMeHg</t>
  </si>
  <si>
    <t>wwMeHg load</t>
  </si>
  <si>
    <t>SS-L load</t>
  </si>
  <si>
    <t>SS-G Load</t>
  </si>
  <si>
    <r>
      <t>10</t>
    </r>
    <r>
      <rPr>
        <vertAlign val="superscript"/>
        <sz val="11"/>
        <color theme="1"/>
        <rFont val="Calibri"/>
        <family val="2"/>
        <scheme val="minor"/>
      </rPr>
      <t xml:space="preserve">6 </t>
    </r>
    <r>
      <rPr>
        <sz val="11"/>
        <color theme="1"/>
        <rFont val="Calibri"/>
        <family val="2"/>
        <scheme val="minor"/>
      </rPr>
      <t>kg/yr</t>
    </r>
  </si>
  <si>
    <t xml:space="preserve">Average </t>
  </si>
  <si>
    <t>SS-L and SS-G loads</t>
  </si>
  <si>
    <t>(n=6)</t>
  </si>
  <si>
    <t>(n=12)</t>
  </si>
  <si>
    <t>(n=2)</t>
  </si>
  <si>
    <t>(n=4)</t>
  </si>
  <si>
    <t>min</t>
  </si>
  <si>
    <t>max</t>
  </si>
  <si>
    <t>Total Mercury</t>
  </si>
  <si>
    <t>Suspended Sediment</t>
  </si>
  <si>
    <t>WY 2015</t>
  </si>
  <si>
    <t xml:space="preserve">avg TE SS </t>
  </si>
  <si>
    <t>s.d.</t>
  </si>
  <si>
    <t>avg.</t>
  </si>
  <si>
    <t>kg/6 yrs</t>
  </si>
  <si>
    <t>avg TE p.THg</t>
  </si>
  <si>
    <t>avg TE p.MeHg</t>
  </si>
  <si>
    <t>P-THg-L + F-THg</t>
  </si>
  <si>
    <t>WY 2016</t>
  </si>
  <si>
    <t>Trapped material (by difference)</t>
  </si>
  <si>
    <t>SS trap eff</t>
  </si>
  <si>
    <t>pTHg trap eff</t>
  </si>
  <si>
    <t>Total Outflow</t>
  </si>
  <si>
    <t>by year</t>
  </si>
  <si>
    <t>(sum)</t>
  </si>
  <si>
    <t xml:space="preserve">Combined Outflow </t>
  </si>
  <si>
    <t>(weighted average)</t>
  </si>
  <si>
    <r>
      <t>[THg, total mercury; MeHg, methylmercury; RHg(II), reactive divalent mercury, LOI, loss on ignition; TRS, total reduced sulfur; GSD, grain-size distribution by laser-scattering; DOC, dissolved organic carbon;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S, hydrogen sulfide; 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, sulfate; Cl, chloride; * Hg(II)-methylation potential and pore-water constituents determined only for samples with overlying water]</t>
    </r>
  </si>
  <si>
    <t>Phase</t>
  </si>
  <si>
    <t>dates</t>
  </si>
  <si>
    <t>number of sampling events</t>
  </si>
  <si>
    <t>number of locations per sampling event</t>
  </si>
  <si>
    <t>number of unique environmental samples</t>
  </si>
  <si>
    <t>number of replicate samples</t>
  </si>
  <si>
    <t>total number of samples per Phase</t>
  </si>
  <si>
    <t>constituents analyzed in solids</t>
  </si>
  <si>
    <t>constituents analyzed in pore waters</t>
  </si>
  <si>
    <t>objectives</t>
  </si>
  <si>
    <t>Apr. 2010 - Mar. 2012</t>
  </si>
  <si>
    <t>6 to 8</t>
  </si>
  <si>
    <t>THg, MeHg, RHg(II), moisture, LOI, TRS, Fe species, GSD</t>
  </si>
  <si>
    <t>none</t>
  </si>
  <si>
    <t>Reconnaissance of spatial variation: east vs. west and 2 habitats: agricultural vs. non-agricultural</t>
  </si>
  <si>
    <t>Feb. 2013 - Mar. 2015</t>
  </si>
  <si>
    <t>90 to 92</t>
  </si>
  <si>
    <r>
      <t>THg, MeHg, DOC,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S, 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, Cl in selected samples*</t>
    </r>
  </si>
  <si>
    <t>Detailed investigation of spatial variation among 4 level-one habitats (open water, riparian, floodplain, and agricultural) and 8 level-two subhabitats; temporal variation by season</t>
  </si>
  <si>
    <t>Mar. 2015 - Jul. 2017</t>
  </si>
  <si>
    <t>12 to 13</t>
  </si>
  <si>
    <t>THg, MeHg, RHg(II), moisture, LOI, TRS, Fe species, GSD.  Hg(II)-methylation potential*</t>
  </si>
  <si>
    <t>Detailed investigation of temporal variation by month; 4 level-one habitats and 5 level-two habitats, each represented in east and west</t>
  </si>
  <si>
    <t>Totals</t>
  </si>
  <si>
    <t xml:space="preserve"> </t>
  </si>
  <si>
    <r>
      <rPr>
        <b/>
        <sz val="12"/>
        <color theme="1"/>
        <rFont val="Times New Roman"/>
        <family val="1"/>
      </rPr>
      <t>Table 1</t>
    </r>
    <r>
      <rPr>
        <sz val="12"/>
        <color theme="1"/>
        <rFont val="Times New Roman"/>
        <family val="1"/>
      </rPr>
      <t>. Summary of shallow sediment sampling phases within the Cache Creek Settling Basin for mercury studies</t>
    </r>
  </si>
  <si>
    <t>[MeHg, methylmercury; pMeHg, particulate methylmercury; fMeHg, filtered methylmercury; p+fMeHg, particulate plus filtered methylmercury; wwMeHg, whole-water methylmercury; SS-L, suspended sediment load from LOADEST model; SS-G, suspended sediment load from GLCAS model; pMeHg-L, particulate methylmercury load from multiplying geometric mean gravimetric pMeHg  concentration times SS-L; pMeHg-G, particulate methylmercury load from multiplying geometric mean gravimetric pMeHg concentration times SS-G;TE, Trap Efficiency; SE, standard error;  TE data in Table 7]</t>
  </si>
  <si>
    <t>[MeHg, methylmercury; pMeHg, particulate methylmercury; fMeHg, filtered methylmercury; p+fMeHg, particulate plus filtered methylmercury; wwMeHg, whole-water methylmercury; SS-L, suspended sediment load from LOADEST model; SS-G, suspended sediment load from GLCAS model; pMeHg-L, particulate methylmercury load from multiplying geometric mean gravimetric pMeHg  concentration times SS-L; pMeHg-G, particulate methylmercury load from multiplying geometric mean gravimetric pMeHg concentration times SS-G; SE, standard error of the mean; kg, kilogram; ng/g, nanogram per gram; conc., concentration; light gray and orange shading indicates particulate methylmercury load; dark gray and orange shading indicates whole-water methylmercury load]</t>
  </si>
  <si>
    <t>(geometric mean)           ng/g</t>
  </si>
  <si>
    <t>[MeHg, methylmercury; pMeHg, particulate methylmercury; fMeHg, filtered methylmercury; p+fMeHg, particulate plus filtered methylmercury; wwMeHg, whole-water methylmercury; SS-L, suspended sediment load from LOADEST model; SS-G, suspended sediment load from GLCAS model; pMeHg-L, particulate methylmercury load from multiplying geometric mean gravimetric pMeHg  concentration times SS-L; pMeHg-G, particulate methylmercury load from multiplying geometric mean gravimetric pMeHg concentration times SS-G; TE, Trap Efficiency; TE computed as (LoadIn-LoadOut)/(LoadIn) using load data in table 6, as indicated; nd, not determined]</t>
  </si>
  <si>
    <t>[MeHg, methylmercury; pMeHg, particulate methylmercury; fMeHg, filtered methylmercury; p+fMeHg, particulate plus filtered methylmercury; wwMeHg, whole-water methylmercury; SS-L, suspended sediment load from LOADEST model; SS-G, suspended sediment load from GLCAS model; pMeHg-L, particulate methylmercury load from multiplying geometric mean gravimetric pMeHg  concentration times SS-L; pMeHg-G, particulate methylmercury load from multiplying geometric mean gravimetric pMeHg concentration times SS-G; kg, kilogram; ng/g, nanogram per gram; conc., concentration; light gray and orange shading indicates particulate methylmercury load; dark gray and orange shading indicates whole-water methylmercury load]</t>
  </si>
  <si>
    <t>[THg, total mercury; pTHg, particulate total mercury; fTHg, filtered total mercury; p+fTHg, particulate plus filtered total mercury; wwTHg, whole-water total mercury; SS-L, suspended sediment load from LOADEST model; SS-G, suspended sediment load from GLCAS model; pTHg-L, particulate total mercury load from multiplying geomteric mean gravimetric pTHg  concentration times SS-L; pTHg-G, particulate total mercury load from multiplying geometric mean gravimetric pTHg concentration times SS-G; TE, Trap Efficiency; SE, standard error;  TE data in Table 3]</t>
  </si>
  <si>
    <t>[THg, total mercury; pTHg, particulate total mercury; fTHg, filtered total mercury; p+fTHg, particulate plus filtered total mercury; wwTHg, whole-water total mercury; SS-L, suspended sediment load from LOADEST model; SS-G, suspended sediment load from GLCAS model; pTHg-L, particulate total mercury load from multiplying geometric mean gravimetric pTHg  concentration times SS-L; pTHg-G, particulate total mercury load from multiplying geometric mean gravimetric pTHg concentration times SS-G; conc., concentration; SE, standard error of the mean; light gray shading indicates particulate total mercury load; dark gray shading indicates whole-water total mercury load]</t>
  </si>
  <si>
    <t>[THg, total mercury; pTHg, particulate total mercury; fTHg, filtered total mercury; p+fTHg, particulate plus filtered total mercury; wwTHg, whole-water total mercury; SS-L, suspended sediment load from LOADEST model; SS-G, suspended sediment load from GLCAS model; pTHg-L, particulate total mercury load from multiplying geometric mean gravimetric pTHg  concentration times SS-L; pTHg-G, particulate total mercury load from multiplying geometric mean gravimetric pTHg concentration times SS-G; TE, Trap Efficiency; TE computed as (LoadIn-LoadOut)/(LoadIn) using load data in table 2, as indicated]</t>
  </si>
  <si>
    <t>[THg, total mercury; pTHg, particulate total mercury; fTHg, filtered total mercury; p+fTHg, particulate plus filtered total mercury; wwTHg, whole-water total mercury; SS-L, suspended sediment load from LOADEST model; SS-G, suspended sediment load from GLCAS model; pTHg-L, particulate total mercury load from multiplying geometric mean gravimetric pTHg  concentration times SS-L; pTHg-G, particulate total mercury load from multiplying geometric mean gravimetric pTHg concentration times SS-G; conc., concentration; light gray and orange shading indicates particulate total mercury load; dark gray and orange shading indicates whole-water total mercury load]</t>
  </si>
  <si>
    <t>[THg, total mercury; pTHg, particulate total mercury; SS-G, suspended sediment load from GLCAS model; pTHg-G, particulate total mercury load from multiplying geometric mean  gravimetric pTHg concentration times SS-G; conc., concentration; L, liter; ng/g, nanogram per gram; kg, kilogram; kg/yr, kilogram per year; avg., average; eff, efficiency]</t>
  </si>
  <si>
    <t>WY 2017</t>
  </si>
  <si>
    <t>WY 2010-2017 sum</t>
  </si>
  <si>
    <t>8-yr</t>
  </si>
  <si>
    <t>8-yr average</t>
  </si>
  <si>
    <t>Overall 8-yr average</t>
  </si>
  <si>
    <t>kg/8 yrs</t>
  </si>
  <si>
    <r>
      <rPr>
        <b/>
        <sz val="12"/>
        <color theme="1"/>
        <rFont val="Calibri"/>
        <family val="2"/>
        <scheme val="minor"/>
      </rPr>
      <t>Table 2x</t>
    </r>
    <r>
      <rPr>
        <sz val="12"/>
        <color theme="1"/>
        <rFont val="Calibri"/>
        <family val="2"/>
        <scheme val="minor"/>
      </rPr>
      <t>. Summary of load calculations for total mercury, Cache Creek Settling Basin, California, water years 2010-17</t>
    </r>
  </si>
  <si>
    <r>
      <rPr>
        <b/>
        <sz val="12"/>
        <color theme="1"/>
        <rFont val="Calibri"/>
        <family val="2"/>
        <scheme val="minor"/>
      </rPr>
      <t>Table 3x.</t>
    </r>
    <r>
      <rPr>
        <sz val="12"/>
        <color theme="1"/>
        <rFont val="Calibri"/>
        <family val="2"/>
        <scheme val="minor"/>
      </rPr>
      <t xml:space="preserve"> Trap efficiency calculations for total mercury, Cache Creek Settling Basin, California, water years 2010-17</t>
    </r>
  </si>
  <si>
    <r>
      <rPr>
        <b/>
        <sz val="12"/>
        <color theme="1"/>
        <rFont val="Calibri"/>
        <family val="2"/>
        <scheme val="minor"/>
      </rPr>
      <t>Table 4x</t>
    </r>
    <r>
      <rPr>
        <sz val="12"/>
        <color theme="1"/>
        <rFont val="Calibri"/>
        <family val="2"/>
        <scheme val="minor"/>
      </rPr>
      <t>. Summary of load calculations for total mercury,  standard error of the mean, Cache Creek Settling Basin, California, water years 2010-17</t>
    </r>
  </si>
  <si>
    <r>
      <rPr>
        <b/>
        <sz val="12"/>
        <color theme="1"/>
        <rFont val="Calibri"/>
        <family val="2"/>
        <scheme val="minor"/>
      </rPr>
      <t>Table 5x</t>
    </r>
    <r>
      <rPr>
        <sz val="12"/>
        <color theme="1"/>
        <rFont val="Calibri"/>
        <family val="2"/>
        <scheme val="minor"/>
      </rPr>
      <t>. Trap efficiency standard error calculations for total mercury, Cache Creek Settling Basin, California, water years 2010-17</t>
    </r>
  </si>
  <si>
    <t>load/flow (apparent concentration, ng/L)</t>
  </si>
  <si>
    <t>avg TE ww.MeHg</t>
  </si>
  <si>
    <t>avg TE f.MeHg</t>
  </si>
  <si>
    <t>avg TE ww.THg</t>
  </si>
  <si>
    <t>avg TE f.THg</t>
  </si>
  <si>
    <t>SE for pMeHg and wwMeHg changed to equal loads - cna 12/6/2018</t>
  </si>
  <si>
    <t>SE for pMeHg changed to equal loads - cna 12/6/2018</t>
  </si>
  <si>
    <r>
      <rPr>
        <b/>
        <sz val="12"/>
        <color theme="1"/>
        <rFont val="Calibri"/>
        <family val="2"/>
        <scheme val="minor"/>
      </rPr>
      <t xml:space="preserve">Table 6x. </t>
    </r>
    <r>
      <rPr>
        <sz val="12"/>
        <color theme="1"/>
        <rFont val="Calibri"/>
        <family val="2"/>
        <scheme val="minor"/>
      </rPr>
      <t>Summary of load calculations for methylmercury, Cache Creek Settling Basin, California, water years 2010-17</t>
    </r>
  </si>
  <si>
    <r>
      <rPr>
        <b/>
        <sz val="12"/>
        <color theme="1"/>
        <rFont val="Calibri"/>
        <family val="2"/>
        <scheme val="minor"/>
      </rPr>
      <t>Table 7x</t>
    </r>
    <r>
      <rPr>
        <sz val="12"/>
        <color theme="1"/>
        <rFont val="Calibri"/>
        <family val="2"/>
        <scheme val="minor"/>
      </rPr>
      <t>. Trap efficiency calculations for methylmercury, Cache Creek Settling Basin, California, water years 2010-17</t>
    </r>
  </si>
  <si>
    <r>
      <rPr>
        <b/>
        <sz val="12"/>
        <color theme="1"/>
        <rFont val="Calibri"/>
        <family val="2"/>
        <scheme val="minor"/>
      </rPr>
      <t xml:space="preserve">Table 8x. </t>
    </r>
    <r>
      <rPr>
        <sz val="12"/>
        <color theme="1"/>
        <rFont val="Calibri"/>
        <family val="2"/>
        <scheme val="minor"/>
      </rPr>
      <t>Summary of load calculations for methylmercury, standard error of the mean, Cache Creek Settling Basin, California, water years 2010-17</t>
    </r>
  </si>
  <si>
    <r>
      <rPr>
        <b/>
        <sz val="12"/>
        <color theme="1"/>
        <rFont val="Calibri"/>
        <family val="2"/>
        <scheme val="minor"/>
      </rPr>
      <t>Table 9x.</t>
    </r>
    <r>
      <rPr>
        <sz val="12"/>
        <color theme="1"/>
        <rFont val="Calibri"/>
        <family val="2"/>
        <scheme val="minor"/>
      </rPr>
      <t xml:space="preserve"> Trap efficiency standard error calculations for methylmercury, Cache Creek Settling Basin, California, water years 2010-17</t>
    </r>
  </si>
  <si>
    <r>
      <rPr>
        <b/>
        <sz val="12"/>
        <color theme="1"/>
        <rFont val="Calibri"/>
        <family val="2"/>
        <scheme val="minor"/>
      </rPr>
      <t>Table 11x</t>
    </r>
    <r>
      <rPr>
        <sz val="12"/>
        <color theme="1"/>
        <rFont val="Calibri"/>
        <family val="2"/>
        <scheme val="minor"/>
      </rPr>
      <t>. Summary of load calculations for total mercury, Cache Creek at Yolo and Road 102, water year 2017</t>
    </r>
  </si>
  <si>
    <t>Yolo 11452500</t>
  </si>
  <si>
    <t>Standard Error</t>
  </si>
  <si>
    <t>WY 2017 (from 2016-17)</t>
  </si>
  <si>
    <r>
      <rPr>
        <b/>
        <sz val="12"/>
        <color theme="1"/>
        <rFont val="Calibri"/>
        <family val="2"/>
        <scheme val="minor"/>
      </rPr>
      <t>Table 10x</t>
    </r>
    <r>
      <rPr>
        <sz val="12"/>
        <color theme="1"/>
        <rFont val="Calibri"/>
        <family val="2"/>
        <scheme val="minor"/>
      </rPr>
      <t>. Summary of load and trap efficiency calculations for particulate total mercury, Cache Creek Settling Basin, California, water years 2010-17</t>
    </r>
  </si>
  <si>
    <t>8-yr. avg.</t>
  </si>
  <si>
    <t>8-yr avg.</t>
  </si>
  <si>
    <t>(n=8)</t>
  </si>
  <si>
    <t>ww THg</t>
  </si>
  <si>
    <t>pTHG load / SS load (ppg)</t>
  </si>
  <si>
    <t>106 kg</t>
  </si>
  <si>
    <r>
      <t>10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kg/yr</t>
    </r>
  </si>
  <si>
    <t>average of all models</t>
  </si>
  <si>
    <t>(ng/g)    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</si>
</sst>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"/>
    <numFmt numFmtId="165" formatCode="0.000"/>
    <numFmt numFmtId="166" formatCode="0.0000"/>
    <numFmt numFmtId="167" formatCode="0.00000"/>
    <numFmt numFmtId="168" formatCode="0.0000000"/>
    <numFmt numFmtId="169" formatCode="0.000000"/>
    <numFmt numFmtId="170" formatCode="0.0%"/>
  </numFmts>
  <fonts count="2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6FF66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5">
    <xf numFmtId="0" fontId="0" fillId="0" borderId="0"/>
    <xf numFmtId="9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43" fontId="8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16" borderId="0" applyNumberFormat="0" applyBorder="0" applyAlignment="0" applyProtection="0"/>
    <xf numFmtId="0" fontId="19" fillId="17" borderId="0" applyNumberFormat="0" applyBorder="0" applyAlignment="0" applyProtection="0"/>
    <xf numFmtId="0" fontId="20" fillId="18" borderId="0" applyNumberFormat="0" applyBorder="0" applyAlignment="0" applyProtection="0"/>
    <xf numFmtId="0" fontId="21" fillId="19" borderId="10" applyNumberFormat="0" applyAlignment="0" applyProtection="0"/>
    <xf numFmtId="0" fontId="22" fillId="20" borderId="11" applyNumberFormat="0" applyAlignment="0" applyProtection="0"/>
    <xf numFmtId="0" fontId="23" fillId="20" borderId="10" applyNumberFormat="0" applyAlignment="0" applyProtection="0"/>
    <xf numFmtId="0" fontId="24" fillId="0" borderId="12" applyNumberFormat="0" applyFill="0" applyAlignment="0" applyProtection="0"/>
    <xf numFmtId="0" fontId="25" fillId="21" borderId="13" applyNumberFormat="0" applyAlignment="0" applyProtection="0"/>
    <xf numFmtId="0" fontId="6" fillId="0" borderId="0" applyNumberFormat="0" applyFill="0" applyBorder="0" applyAlignment="0" applyProtection="0"/>
    <xf numFmtId="0" fontId="8" fillId="22" borderId="14" applyNumberFormat="0" applyFont="0" applyAlignment="0" applyProtection="0"/>
    <xf numFmtId="0" fontId="26" fillId="0" borderId="0" applyNumberFormat="0" applyFill="0" applyBorder="0" applyAlignment="0" applyProtection="0"/>
    <xf numFmtId="0" fontId="7" fillId="0" borderId="15" applyNumberFormat="0" applyFill="0" applyAlignment="0" applyProtection="0"/>
    <xf numFmtId="0" fontId="27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27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27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27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27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2" borderId="0" applyNumberFormat="0" applyBorder="0" applyAlignment="0" applyProtection="0"/>
    <xf numFmtId="0" fontId="27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6" borderId="0" applyNumberFormat="0" applyBorder="0" applyAlignment="0" applyProtection="0"/>
  </cellStyleXfs>
  <cellXfs count="220">
    <xf numFmtId="0" fontId="0" fillId="0" borderId="0" xfId="0"/>
    <xf numFmtId="0" fontId="2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0" xfId="0" applyFont="1" applyFill="1"/>
    <xf numFmtId="1" fontId="0" fillId="0" borderId="1" xfId="0" applyNumberFormat="1" applyBorder="1" applyAlignment="1">
      <alignment horizontal="center"/>
    </xf>
    <xf numFmtId="0" fontId="2" fillId="0" borderId="2" xfId="0" applyFont="1" applyFill="1" applyBorder="1"/>
    <xf numFmtId="164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0" borderId="3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65" fontId="0" fillId="0" borderId="0" xfId="0" applyNumberFormat="1" applyFill="1"/>
    <xf numFmtId="165" fontId="0" fillId="3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0" xfId="0" applyNumberFormat="1"/>
    <xf numFmtId="164" fontId="0" fillId="3" borderId="1" xfId="0" applyNumberFormat="1" applyFill="1" applyBorder="1" applyAlignment="1">
      <alignment horizontal="center"/>
    </xf>
    <xf numFmtId="1" fontId="0" fillId="0" borderId="0" xfId="0" applyNumberFormat="1"/>
    <xf numFmtId="165" fontId="6" fillId="0" borderId="0" xfId="0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0" xfId="0" applyFont="1"/>
    <xf numFmtId="0" fontId="7" fillId="0" borderId="0" xfId="0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ill="1" applyBorder="1"/>
    <xf numFmtId="1" fontId="0" fillId="0" borderId="0" xfId="0" applyNumberFormat="1" applyFill="1" applyBorder="1"/>
    <xf numFmtId="2" fontId="0" fillId="0" borderId="0" xfId="0" applyNumberFormat="1" applyFill="1" applyBorder="1"/>
    <xf numFmtId="165" fontId="0" fillId="0" borderId="0" xfId="0" applyNumberFormat="1"/>
    <xf numFmtId="164" fontId="0" fillId="0" borderId="0" xfId="0" applyNumberFormat="1"/>
    <xf numFmtId="9" fontId="0" fillId="0" borderId="1" xfId="1" applyFont="1" applyFill="1" applyBorder="1" applyAlignment="1">
      <alignment horizontal="center"/>
    </xf>
    <xf numFmtId="0" fontId="0" fillId="0" borderId="4" xfId="0" applyBorder="1"/>
    <xf numFmtId="0" fontId="7" fillId="3" borderId="1" xfId="0" applyFont="1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9" fillId="0" borderId="0" xfId="2"/>
    <xf numFmtId="0" fontId="10" fillId="0" borderId="0" xfId="0" applyFont="1"/>
    <xf numFmtId="9" fontId="0" fillId="0" borderId="0" xfId="1" applyFont="1" applyAlignment="1">
      <alignment horizontal="center"/>
    </xf>
    <xf numFmtId="0" fontId="0" fillId="0" borderId="1" xfId="0" applyFill="1" applyBorder="1"/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1" fontId="0" fillId="4" borderId="1" xfId="0" applyNumberForma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6" borderId="6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6" fillId="0" borderId="0" xfId="0" applyFont="1"/>
    <xf numFmtId="0" fontId="0" fillId="4" borderId="0" xfId="0" applyFill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8" borderId="1" xfId="0" applyNumberFormat="1" applyFont="1" applyFill="1" applyBorder="1" applyAlignment="1">
      <alignment horizontal="center"/>
    </xf>
    <xf numFmtId="1" fontId="0" fillId="8" borderId="1" xfId="0" applyNumberFormat="1" applyFont="1" applyFill="1" applyBorder="1" applyAlignment="1">
      <alignment horizontal="center"/>
    </xf>
    <xf numFmtId="0" fontId="0" fillId="0" borderId="0" xfId="0" applyFont="1"/>
    <xf numFmtId="0" fontId="0" fillId="4" borderId="1" xfId="0" applyFont="1" applyFill="1" applyBorder="1" applyAlignment="1">
      <alignment horizontal="center" wrapText="1"/>
    </xf>
    <xf numFmtId="9" fontId="8" fillId="3" borderId="1" xfId="1" applyFont="1" applyFill="1" applyBorder="1" applyAlignment="1">
      <alignment horizontal="center"/>
    </xf>
    <xf numFmtId="9" fontId="8" fillId="0" borderId="1" xfId="1" applyFont="1" applyBorder="1" applyAlignment="1">
      <alignment horizontal="center"/>
    </xf>
    <xf numFmtId="9" fontId="8" fillId="2" borderId="1" xfId="1" applyFont="1" applyFill="1" applyBorder="1" applyAlignment="1">
      <alignment horizontal="center"/>
    </xf>
    <xf numFmtId="0" fontId="8" fillId="0" borderId="0" xfId="0" applyFont="1"/>
    <xf numFmtId="165" fontId="0" fillId="7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167" fontId="0" fillId="4" borderId="1" xfId="0" applyNumberFormat="1" applyFill="1" applyBorder="1" applyAlignment="1">
      <alignment horizontal="center"/>
    </xf>
    <xf numFmtId="167" fontId="0" fillId="8" borderId="1" xfId="0" applyNumberFormat="1" applyFill="1" applyBorder="1" applyAlignment="1">
      <alignment horizontal="center"/>
    </xf>
    <xf numFmtId="167" fontId="0" fillId="7" borderId="1" xfId="0" applyNumberFormat="1" applyFill="1" applyBorder="1" applyAlignment="1">
      <alignment horizontal="center"/>
    </xf>
    <xf numFmtId="166" fontId="0" fillId="8" borderId="1" xfId="0" applyNumberFormat="1" applyFill="1" applyBorder="1" applyAlignment="1">
      <alignment horizontal="center"/>
    </xf>
    <xf numFmtId="168" fontId="0" fillId="7" borderId="1" xfId="0" applyNumberFormat="1" applyFill="1" applyBorder="1" applyAlignment="1">
      <alignment horizontal="center"/>
    </xf>
    <xf numFmtId="169" fontId="0" fillId="4" borderId="1" xfId="0" applyNumberFormat="1" applyFill="1" applyBorder="1" applyAlignment="1">
      <alignment horizontal="center"/>
    </xf>
    <xf numFmtId="168" fontId="0" fillId="4" borderId="1" xfId="0" applyNumberFormat="1" applyFill="1" applyBorder="1" applyAlignment="1">
      <alignment horizontal="center"/>
    </xf>
    <xf numFmtId="0" fontId="0" fillId="0" borderId="6" xfId="0" applyBorder="1"/>
    <xf numFmtId="0" fontId="7" fillId="0" borderId="1" xfId="0" applyFont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9" fontId="0" fillId="10" borderId="1" xfId="1" applyFont="1" applyFill="1" applyBorder="1" applyAlignment="1">
      <alignment horizontal="center"/>
    </xf>
    <xf numFmtId="9" fontId="0" fillId="9" borderId="1" xfId="1" applyFont="1" applyFill="1" applyBorder="1" applyAlignment="1">
      <alignment horizontal="center"/>
    </xf>
    <xf numFmtId="9" fontId="0" fillId="7" borderId="1" xfId="1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9" fontId="0" fillId="10" borderId="1" xfId="0" applyNumberFormat="1" applyFill="1" applyBorder="1" applyAlignment="1">
      <alignment horizontal="center"/>
    </xf>
    <xf numFmtId="0" fontId="0" fillId="9" borderId="1" xfId="0" applyFill="1" applyBorder="1"/>
    <xf numFmtId="9" fontId="0" fillId="9" borderId="1" xfId="0" applyNumberForma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0" fillId="9" borderId="1" xfId="0" applyNumberFormat="1" applyFont="1" applyFill="1" applyBorder="1" applyAlignment="1">
      <alignment horizontal="center"/>
    </xf>
    <xf numFmtId="166" fontId="0" fillId="6" borderId="1" xfId="0" applyNumberForma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9" fontId="0" fillId="7" borderId="5" xfId="1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170" fontId="0" fillId="0" borderId="0" xfId="1" applyNumberFormat="1" applyFont="1"/>
    <xf numFmtId="170" fontId="0" fillId="0" borderId="0" xfId="1" applyNumberFormat="1" applyFont="1" applyAlignment="1">
      <alignment horizontal="center"/>
    </xf>
    <xf numFmtId="1" fontId="0" fillId="11" borderId="1" xfId="0" applyNumberFormat="1" applyFill="1" applyBorder="1" applyAlignment="1">
      <alignment horizontal="center"/>
    </xf>
    <xf numFmtId="1" fontId="0" fillId="12" borderId="1" xfId="0" applyNumberFormat="1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1" fontId="0" fillId="13" borderId="1" xfId="0" applyNumberFormat="1" applyFill="1" applyBorder="1" applyAlignment="1">
      <alignment horizontal="center"/>
    </xf>
    <xf numFmtId="1" fontId="0" fillId="14" borderId="1" xfId="0" applyNumberFormat="1" applyFill="1" applyBorder="1" applyAlignment="1">
      <alignment horizontal="center"/>
    </xf>
    <xf numFmtId="1" fontId="0" fillId="12" borderId="5" xfId="0" applyNumberFormat="1" applyFill="1" applyBorder="1" applyAlignment="1">
      <alignment horizontal="center"/>
    </xf>
    <xf numFmtId="1" fontId="0" fillId="14" borderId="5" xfId="0" applyNumberFormat="1" applyFill="1" applyBorder="1" applyAlignment="1">
      <alignment horizontal="center"/>
    </xf>
    <xf numFmtId="1" fontId="0" fillId="15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2" fillId="0" borderId="0" xfId="0" applyFont="1"/>
    <xf numFmtId="9" fontId="0" fillId="0" borderId="1" xfId="1" applyNumberFormat="1" applyFont="1" applyBorder="1" applyAlignment="1">
      <alignment horizontal="center"/>
    </xf>
    <xf numFmtId="0" fontId="11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1" fontId="8" fillId="12" borderId="1" xfId="3" applyNumberFormat="1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0" fontId="0" fillId="2" borderId="1" xfId="0" applyFill="1" applyBorder="1"/>
    <xf numFmtId="1" fontId="6" fillId="2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1" fontId="6" fillId="5" borderId="1" xfId="0" applyNumberFormat="1" applyFont="1" applyFill="1" applyBorder="1" applyAlignment="1">
      <alignment horizontal="center"/>
    </xf>
    <xf numFmtId="1" fontId="6" fillId="8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3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1" fontId="0" fillId="10" borderId="1" xfId="0" applyNumberForma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47" borderId="1" xfId="0" applyFill="1" applyBorder="1" applyAlignment="1">
      <alignment horizontal="center"/>
    </xf>
    <xf numFmtId="9" fontId="0" fillId="47" borderId="1" xfId="1" applyFont="1" applyFill="1" applyBorder="1" applyAlignment="1">
      <alignment horizontal="center"/>
    </xf>
    <xf numFmtId="0" fontId="0" fillId="47" borderId="1" xfId="0" applyFill="1" applyBorder="1"/>
    <xf numFmtId="164" fontId="0" fillId="5" borderId="5" xfId="0" applyNumberFormat="1" applyFill="1" applyBorder="1" applyAlignment="1">
      <alignment horizontal="center"/>
    </xf>
    <xf numFmtId="9" fontId="0" fillId="47" borderId="1" xfId="0" applyNumberFormat="1" applyFill="1" applyBorder="1" applyAlignment="1">
      <alignment horizontal="center"/>
    </xf>
    <xf numFmtId="0" fontId="0" fillId="0" borderId="0" xfId="0"/>
    <xf numFmtId="165" fontId="0" fillId="4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7" fillId="0" borderId="0" xfId="0" applyFont="1" applyFill="1" applyBorder="1"/>
    <xf numFmtId="1" fontId="0" fillId="0" borderId="1" xfId="0" applyNumberFormat="1" applyFont="1" applyFill="1" applyBorder="1" applyAlignment="1">
      <alignment horizontal="center"/>
    </xf>
    <xf numFmtId="0" fontId="28" fillId="0" borderId="0" xfId="0" applyFont="1"/>
    <xf numFmtId="1" fontId="0" fillId="0" borderId="0" xfId="0" applyNumberFormat="1" applyFont="1" applyFill="1" applyBorder="1" applyAlignment="1">
      <alignment horizontal="center"/>
    </xf>
    <xf numFmtId="0" fontId="0" fillId="0" borderId="0" xfId="0" applyFont="1" applyFill="1"/>
    <xf numFmtId="164" fontId="0" fillId="0" borderId="0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0" fontId="0" fillId="0" borderId="0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15" borderId="1" xfId="0" applyFill="1" applyBorder="1" applyAlignment="1">
      <alignment horizontal="center"/>
    </xf>
    <xf numFmtId="0" fontId="0" fillId="48" borderId="1" xfId="0" applyFill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0" fontId="4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0" borderId="16" xfId="0" applyFill="1" applyBorder="1" applyAlignment="1">
      <alignment horizontal="center" vertical="center" wrapText="1"/>
    </xf>
    <xf numFmtId="1" fontId="0" fillId="15" borderId="0" xfId="0" applyNumberFormat="1" applyFill="1"/>
    <xf numFmtId="1" fontId="0" fillId="0" borderId="5" xfId="0" applyNumberForma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15" borderId="0" xfId="0" applyNumberFormat="1" applyFill="1" applyAlignment="1">
      <alignment horizontal="center"/>
    </xf>
    <xf numFmtId="0" fontId="0" fillId="0" borderId="3" xfId="0" applyBorder="1" applyAlignment="1">
      <alignment horizontal="left" wrapText="1"/>
    </xf>
    <xf numFmtId="0" fontId="7" fillId="0" borderId="1" xfId="0" applyFont="1" applyBorder="1" applyAlignment="1">
      <alignment horizontal="center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7" borderId="4" xfId="0" applyFill="1" applyBorder="1" applyAlignment="1">
      <alignment horizontal="left"/>
    </xf>
    <xf numFmtId="0" fontId="0" fillId="7" borderId="6" xfId="0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10" borderId="6" xfId="0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9" borderId="6" xfId="0" applyFill="1" applyBorder="1" applyAlignment="1">
      <alignment horizontal="left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/>
    </xf>
    <xf numFmtId="0" fontId="5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center"/>
    </xf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3" builtinId="3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2" builtinId="8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1" builtinId="5"/>
    <cellStyle name="Title" xfId="4" builtinId="15" customBuiltin="1"/>
    <cellStyle name="Total" xfId="20" builtinId="25" customBuiltin="1"/>
    <cellStyle name="Warning Text" xfId="17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66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en.wikipedia.org/wiki/Propagation_of_uncertainty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7"/>
  <sheetViews>
    <sheetView view="pageLayout" zoomScaleNormal="100" workbookViewId="0">
      <selection activeCell="B10" sqref="B10"/>
    </sheetView>
  </sheetViews>
  <sheetFormatPr baseColWidth="10" defaultColWidth="8.83203125" defaultRowHeight="15" x14ac:dyDescent="0.2"/>
  <cols>
    <col min="1" max="1" width="6" customWidth="1"/>
    <col min="2" max="2" width="11.1640625" customWidth="1"/>
    <col min="3" max="3" width="12.1640625" customWidth="1"/>
    <col min="4" max="4" width="13.5" customWidth="1"/>
    <col min="5" max="5" width="14.6640625" customWidth="1"/>
    <col min="6" max="7" width="10.33203125" bestFit="1" customWidth="1"/>
    <col min="8" max="8" width="17" customWidth="1"/>
    <col min="9" max="9" width="13.83203125" customWidth="1"/>
    <col min="10" max="10" width="25.5" customWidth="1"/>
  </cols>
  <sheetData>
    <row r="1" spans="1:10" ht="16" x14ac:dyDescent="0.2">
      <c r="A1" s="148" t="s">
        <v>140</v>
      </c>
    </row>
    <row r="2" spans="1:10" ht="51" customHeight="1" x14ac:dyDescent="0.2">
      <c r="A2" s="206" t="s">
        <v>114</v>
      </c>
      <c r="B2" s="206"/>
      <c r="C2" s="206"/>
      <c r="D2" s="206"/>
      <c r="E2" s="206"/>
      <c r="F2" s="206"/>
      <c r="G2" s="206"/>
      <c r="H2" s="206"/>
      <c r="I2" s="206"/>
      <c r="J2" s="206"/>
    </row>
    <row r="3" spans="1:10" ht="64" x14ac:dyDescent="0.2">
      <c r="A3" s="149" t="s">
        <v>115</v>
      </c>
      <c r="B3" s="149" t="s">
        <v>116</v>
      </c>
      <c r="C3" s="150" t="s">
        <v>117</v>
      </c>
      <c r="D3" s="150" t="s">
        <v>118</v>
      </c>
      <c r="E3" s="150" t="s">
        <v>119</v>
      </c>
      <c r="F3" s="150" t="s">
        <v>120</v>
      </c>
      <c r="G3" s="150" t="s">
        <v>121</v>
      </c>
      <c r="H3" s="150" t="s">
        <v>122</v>
      </c>
      <c r="I3" s="150" t="s">
        <v>123</v>
      </c>
      <c r="J3" s="149" t="s">
        <v>124</v>
      </c>
    </row>
    <row r="4" spans="1:10" ht="64" x14ac:dyDescent="0.2">
      <c r="A4" s="19">
        <v>1</v>
      </c>
      <c r="B4" s="151" t="s">
        <v>125</v>
      </c>
      <c r="C4" s="151">
        <v>6</v>
      </c>
      <c r="D4" s="151" t="s">
        <v>126</v>
      </c>
      <c r="E4" s="151">
        <v>44</v>
      </c>
      <c r="F4" s="151">
        <v>2</v>
      </c>
      <c r="G4" s="151">
        <v>46</v>
      </c>
      <c r="H4" s="152" t="s">
        <v>127</v>
      </c>
      <c r="I4" s="152" t="s">
        <v>128</v>
      </c>
      <c r="J4" s="153" t="s">
        <v>129</v>
      </c>
    </row>
    <row r="5" spans="1:10" ht="96" x14ac:dyDescent="0.2">
      <c r="A5" s="19">
        <v>2</v>
      </c>
      <c r="B5" s="151" t="s">
        <v>130</v>
      </c>
      <c r="C5" s="151">
        <v>4</v>
      </c>
      <c r="D5" s="151" t="s">
        <v>131</v>
      </c>
      <c r="E5" s="151">
        <v>365</v>
      </c>
      <c r="F5" s="151">
        <v>44</v>
      </c>
      <c r="G5" s="151">
        <v>409</v>
      </c>
      <c r="H5" s="152" t="s">
        <v>127</v>
      </c>
      <c r="I5" s="152" t="s">
        <v>132</v>
      </c>
      <c r="J5" s="153" t="s">
        <v>133</v>
      </c>
    </row>
    <row r="6" spans="1:10" ht="80" x14ac:dyDescent="0.2">
      <c r="A6" s="19">
        <v>3</v>
      </c>
      <c r="B6" s="151" t="s">
        <v>134</v>
      </c>
      <c r="C6" s="151">
        <v>17</v>
      </c>
      <c r="D6" s="151" t="s">
        <v>135</v>
      </c>
      <c r="E6" s="151">
        <v>208</v>
      </c>
      <c r="F6" s="151">
        <v>15</v>
      </c>
      <c r="G6" s="151">
        <v>223</v>
      </c>
      <c r="H6" s="152" t="s">
        <v>136</v>
      </c>
      <c r="I6" s="152" t="s">
        <v>132</v>
      </c>
      <c r="J6" s="153" t="s">
        <v>137</v>
      </c>
    </row>
    <row r="7" spans="1:10" x14ac:dyDescent="0.2">
      <c r="A7" s="2" t="s">
        <v>138</v>
      </c>
      <c r="B7" s="2"/>
      <c r="C7" s="3">
        <f>SUM(C4:C6)</f>
        <v>27</v>
      </c>
      <c r="D7" s="2"/>
      <c r="E7" s="3">
        <f t="shared" ref="E7:G7" si="0">SUM(E4:E6)</f>
        <v>617</v>
      </c>
      <c r="F7" s="3">
        <f t="shared" si="0"/>
        <v>61</v>
      </c>
      <c r="G7" s="3">
        <f t="shared" si="0"/>
        <v>678</v>
      </c>
      <c r="H7" s="2"/>
      <c r="I7" s="2"/>
      <c r="J7" s="2"/>
    </row>
  </sheetData>
  <mergeCells count="1">
    <mergeCell ref="A2:J2"/>
  </mergeCells>
  <pageMargins left="0.7" right="0.7" top="0.75" bottom="0.75" header="0.3" footer="0.3"/>
  <pageSetup scale="91" orientation="landscape" r:id="rId1"/>
  <headerFooter>
    <oddHeader>&amp;LDraft Open-File Report&amp;RU.S. GEOLOGICAL SURVEY</oddHeader>
    <oddFooter>&amp;LPRELIMINARY - SUBJECT TO REVISION&amp;RNovember 17. 2017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Y44"/>
  <sheetViews>
    <sheetView tabSelected="1" topLeftCell="B1" zoomScaleNormal="100" workbookViewId="0">
      <selection activeCell="U17" sqref="U17"/>
    </sheetView>
  </sheetViews>
  <sheetFormatPr baseColWidth="10" defaultColWidth="8.83203125" defaultRowHeight="15" x14ac:dyDescent="0.2"/>
  <cols>
    <col min="1" max="1" width="17.1640625" customWidth="1"/>
    <col min="2" max="2" width="9.83203125" bestFit="1" customWidth="1"/>
    <col min="3" max="3" width="2.1640625" customWidth="1"/>
    <col min="4" max="4" width="10.5" customWidth="1"/>
    <col min="5" max="5" width="2.1640625" customWidth="1"/>
    <col min="6" max="6" width="6" bestFit="1" customWidth="1"/>
    <col min="7" max="7" width="7.6640625" customWidth="1"/>
    <col min="8" max="8" width="5.83203125" customWidth="1"/>
    <col min="9" max="9" width="1" customWidth="1"/>
    <col min="10" max="10" width="8.33203125" customWidth="1"/>
    <col min="11" max="11" width="9" customWidth="1"/>
    <col min="12" max="12" width="10" bestFit="1" customWidth="1"/>
    <col min="13" max="13" width="11.6640625" customWidth="1"/>
    <col min="17" max="17" width="12" bestFit="1" customWidth="1"/>
    <col min="18" max="18" width="12" style="175" customWidth="1"/>
    <col min="25" max="25" width="11.83203125" customWidth="1"/>
  </cols>
  <sheetData>
    <row r="1" spans="1:25" ht="19" x14ac:dyDescent="0.25">
      <c r="A1" s="208" t="s">
        <v>176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W1" s="184" t="s">
        <v>184</v>
      </c>
    </row>
    <row r="2" spans="1:25" ht="44.25" customHeight="1" x14ac:dyDescent="0.2">
      <c r="A2" s="209" t="s">
        <v>150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U2" t="s">
        <v>78</v>
      </c>
      <c r="V2" t="s">
        <v>78</v>
      </c>
    </row>
    <row r="3" spans="1:25" x14ac:dyDescent="0.2">
      <c r="B3" s="42" t="s">
        <v>27</v>
      </c>
      <c r="C3" s="43"/>
      <c r="D3" s="40" t="s">
        <v>56</v>
      </c>
      <c r="E3" s="44"/>
      <c r="F3" s="40" t="s">
        <v>17</v>
      </c>
      <c r="G3" s="40" t="s">
        <v>61</v>
      </c>
      <c r="J3" s="127" t="s">
        <v>17</v>
      </c>
      <c r="K3" s="40" t="s">
        <v>56</v>
      </c>
      <c r="R3" s="40" t="s">
        <v>56</v>
      </c>
      <c r="S3" s="40" t="s">
        <v>56</v>
      </c>
      <c r="T3" s="40" t="s">
        <v>16</v>
      </c>
      <c r="U3" s="40" t="s">
        <v>56</v>
      </c>
      <c r="V3" s="40" t="s">
        <v>16</v>
      </c>
      <c r="W3" s="40" t="s">
        <v>56</v>
      </c>
      <c r="X3" s="40" t="s">
        <v>16</v>
      </c>
      <c r="Y3" s="40" t="s">
        <v>56</v>
      </c>
    </row>
    <row r="4" spans="1:25" x14ac:dyDescent="0.2">
      <c r="B4" s="127" t="s">
        <v>30</v>
      </c>
      <c r="C4" s="43"/>
      <c r="D4" s="40" t="s">
        <v>29</v>
      </c>
      <c r="E4" s="44"/>
      <c r="F4" s="127" t="s">
        <v>31</v>
      </c>
      <c r="G4" s="127" t="s">
        <v>31</v>
      </c>
      <c r="J4" s="127" t="s">
        <v>31</v>
      </c>
      <c r="K4" s="127" t="s">
        <v>31</v>
      </c>
      <c r="R4" s="40" t="s">
        <v>29</v>
      </c>
      <c r="S4" s="198" t="s">
        <v>31</v>
      </c>
      <c r="T4" s="198" t="s">
        <v>31</v>
      </c>
      <c r="U4" s="198" t="s">
        <v>31</v>
      </c>
      <c r="V4" s="198" t="s">
        <v>31</v>
      </c>
      <c r="W4" s="198" t="s">
        <v>31</v>
      </c>
      <c r="X4" s="198" t="s">
        <v>31</v>
      </c>
      <c r="Y4" s="40" t="s">
        <v>29</v>
      </c>
    </row>
    <row r="5" spans="1:25" ht="48" x14ac:dyDescent="0.2">
      <c r="A5" s="17"/>
      <c r="B5" s="19" t="s">
        <v>28</v>
      </c>
      <c r="C5" s="20"/>
      <c r="D5" s="21" t="s">
        <v>143</v>
      </c>
      <c r="E5" s="22"/>
      <c r="F5" s="18" t="s">
        <v>13</v>
      </c>
      <c r="G5" s="18" t="s">
        <v>8</v>
      </c>
      <c r="J5" s="18" t="s">
        <v>86</v>
      </c>
      <c r="K5" s="19" t="s">
        <v>80</v>
      </c>
      <c r="N5" t="s">
        <v>180</v>
      </c>
      <c r="R5" s="21" t="s">
        <v>185</v>
      </c>
      <c r="S5" s="18" t="s">
        <v>8</v>
      </c>
      <c r="T5" s="18" t="s">
        <v>182</v>
      </c>
      <c r="U5" s="19" t="s">
        <v>80</v>
      </c>
      <c r="V5" s="19" t="s">
        <v>183</v>
      </c>
      <c r="W5" s="19" t="s">
        <v>80</v>
      </c>
      <c r="X5" s="19" t="s">
        <v>183</v>
      </c>
      <c r="Y5" s="21" t="s">
        <v>185</v>
      </c>
    </row>
    <row r="6" spans="1:25" ht="16" x14ac:dyDescent="0.2">
      <c r="A6" s="1" t="s">
        <v>0</v>
      </c>
      <c r="D6" s="10"/>
      <c r="S6" s="6"/>
      <c r="T6" s="175"/>
    </row>
    <row r="7" spans="1:25" x14ac:dyDescent="0.2">
      <c r="A7" s="2" t="s">
        <v>1</v>
      </c>
      <c r="B7" s="72">
        <v>204.980803196007</v>
      </c>
      <c r="D7" s="135">
        <v>251</v>
      </c>
      <c r="E7" s="10"/>
      <c r="F7" s="111">
        <v>180.9888007335</v>
      </c>
      <c r="G7" s="136">
        <f t="shared" ref="G7:G14" si="0">F7*D7/1000</f>
        <v>45.428188984108502</v>
      </c>
      <c r="R7" s="204">
        <f>1000*S7/T7</f>
        <v>124.13312858400282</v>
      </c>
      <c r="S7" s="77">
        <v>16.01172380101201</v>
      </c>
      <c r="T7" s="65">
        <v>128.98832071389089</v>
      </c>
    </row>
    <row r="8" spans="1:25" x14ac:dyDescent="0.2">
      <c r="A8" s="2" t="s">
        <v>2</v>
      </c>
      <c r="B8" s="72">
        <v>485</v>
      </c>
      <c r="D8" s="135">
        <v>177</v>
      </c>
      <c r="E8" s="10"/>
      <c r="F8" s="111">
        <v>377</v>
      </c>
      <c r="G8" s="136">
        <f t="shared" si="0"/>
        <v>66.728999999999999</v>
      </c>
      <c r="R8" s="204">
        <f t="shared" ref="R8:R15" si="1">1000*S8/T8</f>
        <v>211.48620720069289</v>
      </c>
      <c r="S8" s="77">
        <v>100.41489455703709</v>
      </c>
      <c r="T8" s="65">
        <v>474.80587923990203</v>
      </c>
    </row>
    <row r="9" spans="1:25" x14ac:dyDescent="0.2">
      <c r="A9" s="2" t="s">
        <v>3</v>
      </c>
      <c r="B9" s="72">
        <v>36.921198227783513</v>
      </c>
      <c r="D9" s="135">
        <v>259</v>
      </c>
      <c r="E9" s="10"/>
      <c r="F9" s="114">
        <v>4.6901451574999999</v>
      </c>
      <c r="G9" s="137">
        <f t="shared" si="0"/>
        <v>1.2147475957925</v>
      </c>
      <c r="R9" s="204">
        <f t="shared" si="1"/>
        <v>295.95141223146493</v>
      </c>
      <c r="S9" s="81">
        <v>0.95755870451857517</v>
      </c>
      <c r="T9" s="80">
        <v>3.235526728183558</v>
      </c>
    </row>
    <row r="10" spans="1:25" x14ac:dyDescent="0.2">
      <c r="A10" s="2" t="s">
        <v>4</v>
      </c>
      <c r="B10" s="72">
        <v>117.21609517589853</v>
      </c>
      <c r="D10" s="135">
        <v>255</v>
      </c>
      <c r="E10" s="10"/>
      <c r="F10" s="111">
        <v>81.510549787499997</v>
      </c>
      <c r="G10" s="136">
        <f t="shared" si="0"/>
        <v>20.785190195812497</v>
      </c>
      <c r="R10" s="204">
        <f t="shared" si="1"/>
        <v>176.32725997168291</v>
      </c>
      <c r="S10" s="77">
        <v>20.89621856548095</v>
      </c>
      <c r="T10" s="65">
        <v>118.50815675827299</v>
      </c>
    </row>
    <row r="11" spans="1:25" x14ac:dyDescent="0.2">
      <c r="A11" s="2" t="s">
        <v>5</v>
      </c>
      <c r="B11" s="72">
        <v>3</v>
      </c>
      <c r="D11" s="138">
        <v>242</v>
      </c>
      <c r="E11" s="10"/>
      <c r="F11" s="113">
        <v>0.12</v>
      </c>
      <c r="G11" s="139">
        <f t="shared" si="0"/>
        <v>2.904E-2</v>
      </c>
      <c r="R11" s="204">
        <f t="shared" si="1"/>
        <v>553.70473193363591</v>
      </c>
      <c r="S11" s="78">
        <v>5.3956688978243281E-2</v>
      </c>
      <c r="T11" s="80">
        <v>9.7446682078762212E-2</v>
      </c>
    </row>
    <row r="12" spans="1:25" x14ac:dyDescent="0.2">
      <c r="A12" s="2" t="s">
        <v>97</v>
      </c>
      <c r="B12" s="72">
        <v>86</v>
      </c>
      <c r="D12" s="138">
        <v>318</v>
      </c>
      <c r="E12" s="10"/>
      <c r="F12" s="111">
        <v>101</v>
      </c>
      <c r="G12" s="136">
        <f t="shared" si="0"/>
        <v>32.118000000000002</v>
      </c>
      <c r="R12" s="204">
        <f t="shared" si="1"/>
        <v>310.5045174156183</v>
      </c>
      <c r="S12" s="77">
        <v>40.786946415908169</v>
      </c>
      <c r="T12" s="65">
        <v>131.35701456257331</v>
      </c>
    </row>
    <row r="13" spans="1:25" x14ac:dyDescent="0.2">
      <c r="A13" s="2" t="s">
        <v>105</v>
      </c>
      <c r="B13" s="72">
        <v>141</v>
      </c>
      <c r="D13" s="138">
        <v>175</v>
      </c>
      <c r="E13" s="10"/>
      <c r="F13" s="111">
        <v>151</v>
      </c>
      <c r="G13" s="136">
        <f t="shared" si="0"/>
        <v>26.425000000000001</v>
      </c>
      <c r="J13" s="120" t="s">
        <v>178</v>
      </c>
      <c r="K13" s="120" t="s">
        <v>178</v>
      </c>
      <c r="N13" s="24" t="s">
        <v>89</v>
      </c>
      <c r="O13" s="69" t="s">
        <v>154</v>
      </c>
      <c r="Q13" s="69" t="s">
        <v>154</v>
      </c>
      <c r="R13" s="204">
        <f t="shared" si="1"/>
        <v>186.11111111111111</v>
      </c>
      <c r="S13" s="77">
        <v>33.5</v>
      </c>
      <c r="T13" s="77">
        <v>180</v>
      </c>
    </row>
    <row r="14" spans="1:25" s="175" customFormat="1" x14ac:dyDescent="0.2">
      <c r="A14" s="2" t="s">
        <v>151</v>
      </c>
      <c r="B14" s="72">
        <v>1044.0097799511002</v>
      </c>
      <c r="D14" s="138">
        <v>265</v>
      </c>
      <c r="E14" s="10"/>
      <c r="F14" s="111">
        <v>971</v>
      </c>
      <c r="G14" s="136">
        <f t="shared" si="0"/>
        <v>257.315</v>
      </c>
      <c r="J14" s="199"/>
      <c r="K14" s="199"/>
      <c r="N14" s="160">
        <v>516.15166906970444</v>
      </c>
      <c r="O14" s="161">
        <v>64.518958633713055</v>
      </c>
      <c r="Q14" s="155">
        <v>257.89386502271259</v>
      </c>
      <c r="R14" s="204">
        <f t="shared" si="1"/>
        <v>249.42716857610475</v>
      </c>
      <c r="S14" s="77">
        <v>304.8</v>
      </c>
      <c r="T14" s="77">
        <v>1222</v>
      </c>
    </row>
    <row r="15" spans="1:25" x14ac:dyDescent="0.2">
      <c r="A15" s="2" t="s">
        <v>152</v>
      </c>
      <c r="B15" s="140">
        <v>2117.9689523454099</v>
      </c>
      <c r="D15" s="13"/>
      <c r="F15" s="136">
        <f>SUM(F7:F14)</f>
        <v>1867.3094956784998</v>
      </c>
      <c r="G15" s="141">
        <f>SUM(G7:G14)</f>
        <v>450.04416677571351</v>
      </c>
      <c r="H15" s="10" t="s">
        <v>26</v>
      </c>
      <c r="J15" s="142">
        <f>F15/8</f>
        <v>233.41368695981248</v>
      </c>
      <c r="K15" s="143">
        <f>G15/8</f>
        <v>56.255520846964188</v>
      </c>
      <c r="O15" s="37"/>
      <c r="R15" s="205">
        <f t="shared" si="1"/>
        <v>229.04960255857273</v>
      </c>
      <c r="S15" s="158">
        <v>517.42129873293504</v>
      </c>
      <c r="T15" s="155">
        <v>2258.9923446849016</v>
      </c>
      <c r="U15" s="13">
        <f>S15/8</f>
        <v>64.67766234161688</v>
      </c>
      <c r="V15" s="13">
        <f>T15/8</f>
        <v>282.3740430856127</v>
      </c>
      <c r="W15" s="82">
        <f>U15</f>
        <v>64.67766234161688</v>
      </c>
      <c r="X15" s="65">
        <f>V15</f>
        <v>282.3740430856127</v>
      </c>
      <c r="Y15" s="144">
        <f>1000*W15/X15</f>
        <v>229.04960255857273</v>
      </c>
    </row>
    <row r="16" spans="1:25" x14ac:dyDescent="0.2">
      <c r="A16" s="2" t="s">
        <v>152</v>
      </c>
      <c r="D16" s="144">
        <v>239</v>
      </c>
      <c r="F16" s="136">
        <f>SUM(F7:F14)</f>
        <v>1867.3094956784998</v>
      </c>
      <c r="G16" s="141">
        <f>F16*D16/1000</f>
        <v>446.28696946716144</v>
      </c>
      <c r="H16" s="87" t="s">
        <v>153</v>
      </c>
      <c r="J16" s="136">
        <f>F16/8</f>
        <v>233.41368695981248</v>
      </c>
      <c r="K16" s="141">
        <f>G16/8</f>
        <v>55.78587118339518</v>
      </c>
      <c r="S16" s="31"/>
      <c r="T16" s="155"/>
      <c r="W16" s="10"/>
      <c r="X16" s="10"/>
    </row>
    <row r="17" spans="1:24" ht="16" x14ac:dyDescent="0.2">
      <c r="A17" s="14" t="s">
        <v>25</v>
      </c>
      <c r="B17" s="37"/>
      <c r="D17" s="10"/>
      <c r="E17" s="10"/>
      <c r="S17" s="175"/>
      <c r="T17" s="175"/>
      <c r="W17" s="10"/>
      <c r="X17" s="10"/>
    </row>
    <row r="18" spans="1:24" x14ac:dyDescent="0.2">
      <c r="A18" s="2" t="s">
        <v>1</v>
      </c>
      <c r="B18" s="72">
        <v>171.40355571286602</v>
      </c>
      <c r="D18" s="13"/>
      <c r="E18" s="10"/>
      <c r="F18" s="111">
        <v>42.23852196</v>
      </c>
      <c r="G18" s="136">
        <v>13.431849983280001</v>
      </c>
      <c r="R18" s="204">
        <f t="shared" ref="R18:R26" si="2">1000*S18/T18</f>
        <v>94.696999934674565</v>
      </c>
      <c r="S18" s="81">
        <v>3.9002399402180439</v>
      </c>
      <c r="T18" s="65">
        <v>41.186520617427917</v>
      </c>
      <c r="W18" s="10"/>
      <c r="X18" s="10"/>
    </row>
    <row r="19" spans="1:24" x14ac:dyDescent="0.2">
      <c r="A19" s="2" t="s">
        <v>2</v>
      </c>
      <c r="B19" s="72">
        <v>455.92362156151501</v>
      </c>
      <c r="D19" s="13"/>
      <c r="E19" s="10"/>
      <c r="F19" s="111">
        <v>87.282836640499994</v>
      </c>
      <c r="G19" s="136">
        <v>19.934234546372998</v>
      </c>
      <c r="R19" s="204">
        <f t="shared" si="2"/>
        <v>273.95248516462499</v>
      </c>
      <c r="S19" s="81">
        <v>32.156162478117075</v>
      </c>
      <c r="T19" s="65">
        <v>117.37861205673541</v>
      </c>
      <c r="W19" s="10"/>
      <c r="X19" s="10"/>
    </row>
    <row r="20" spans="1:24" x14ac:dyDescent="0.2">
      <c r="A20" s="2" t="s">
        <v>3</v>
      </c>
      <c r="B20" s="72">
        <v>22.120468177770004</v>
      </c>
      <c r="D20" s="13"/>
      <c r="E20" s="10"/>
      <c r="F20" s="111">
        <v>1.3417262452499998</v>
      </c>
      <c r="G20" s="136">
        <v>0.46692073334699996</v>
      </c>
      <c r="R20" s="204">
        <f t="shared" si="2"/>
        <v>261.56298133966231</v>
      </c>
      <c r="S20" s="78">
        <v>0.39218615283164415</v>
      </c>
      <c r="T20" s="80">
        <v>1.4993947187134875</v>
      </c>
      <c r="W20" s="10"/>
      <c r="X20" s="10"/>
    </row>
    <row r="21" spans="1:24" x14ac:dyDescent="0.2">
      <c r="A21" s="2" t="s">
        <v>4</v>
      </c>
      <c r="B21" s="72">
        <v>102.341694194967</v>
      </c>
      <c r="D21" s="13"/>
      <c r="E21" s="10"/>
      <c r="F21" s="111">
        <v>42.864509210249999</v>
      </c>
      <c r="G21" s="136">
        <v>10.807375738090748</v>
      </c>
      <c r="R21" s="204">
        <f t="shared" si="2"/>
        <v>197.97914612884065</v>
      </c>
      <c r="S21" s="81">
        <v>6.6953170221833034</v>
      </c>
      <c r="T21" s="65">
        <v>33.818294265326976</v>
      </c>
      <c r="W21" s="10"/>
      <c r="X21" s="10"/>
    </row>
    <row r="22" spans="1:24" x14ac:dyDescent="0.2">
      <c r="A22" s="2" t="s">
        <v>5</v>
      </c>
      <c r="B22" s="100">
        <v>0.648455</v>
      </c>
      <c r="D22" s="5"/>
      <c r="E22" s="10"/>
      <c r="F22" s="111">
        <v>1.0999999999999999E-2</v>
      </c>
      <c r="G22" s="145">
        <v>0</v>
      </c>
      <c r="R22" s="204">
        <f t="shared" si="2"/>
        <v>863.38009523618302</v>
      </c>
      <c r="S22" s="78">
        <v>6.9051968526170583E-3</v>
      </c>
      <c r="T22" s="176">
        <v>7.9978643134320793E-3</v>
      </c>
      <c r="W22" s="10"/>
      <c r="X22" s="10"/>
    </row>
    <row r="23" spans="1:24" x14ac:dyDescent="0.2">
      <c r="A23" s="2" t="s">
        <v>97</v>
      </c>
      <c r="B23" s="72">
        <v>83.677611999999996</v>
      </c>
      <c r="D23" s="5"/>
      <c r="E23" s="10"/>
      <c r="F23" s="111">
        <v>27</v>
      </c>
      <c r="G23" s="137">
        <v>9.4143999999999988</v>
      </c>
      <c r="R23" s="204">
        <f t="shared" si="2"/>
        <v>360.66612984286638</v>
      </c>
      <c r="S23" s="81">
        <v>11.940149364227102</v>
      </c>
      <c r="T23" s="65">
        <v>33.105823852739206</v>
      </c>
      <c r="W23" s="10"/>
      <c r="X23" s="10"/>
    </row>
    <row r="24" spans="1:24" x14ac:dyDescent="0.2">
      <c r="A24" s="2" t="s">
        <v>105</v>
      </c>
      <c r="B24" s="72">
        <v>83.677611999999996</v>
      </c>
      <c r="D24" s="5"/>
      <c r="E24" s="10"/>
      <c r="F24" s="111">
        <v>22.30949352</v>
      </c>
      <c r="G24" s="137">
        <v>4.6517307939899997</v>
      </c>
      <c r="J24" s="120" t="s">
        <v>178</v>
      </c>
      <c r="K24" s="120" t="s">
        <v>178</v>
      </c>
      <c r="R24" s="204">
        <f t="shared" si="2"/>
        <v>231.32911392405063</v>
      </c>
      <c r="S24" s="81">
        <v>7.31</v>
      </c>
      <c r="T24" s="65">
        <v>31.6</v>
      </c>
      <c r="W24" s="10"/>
      <c r="X24" s="10"/>
    </row>
    <row r="25" spans="1:24" s="175" customFormat="1" x14ac:dyDescent="0.2">
      <c r="A25" s="2" t="s">
        <v>151</v>
      </c>
      <c r="B25" s="72">
        <v>1057.9649278320001</v>
      </c>
      <c r="D25" s="5"/>
      <c r="E25" s="10"/>
      <c r="F25" s="111">
        <v>278.83782471000001</v>
      </c>
      <c r="G25" s="137">
        <v>66.253668276194986</v>
      </c>
      <c r="J25" s="199"/>
      <c r="K25" s="199"/>
      <c r="R25" s="204">
        <f t="shared" si="2"/>
        <v>387.46103221337029</v>
      </c>
      <c r="S25" s="77">
        <v>111.86</v>
      </c>
      <c r="T25" s="65">
        <v>288.7</v>
      </c>
      <c r="W25" s="10"/>
      <c r="X25" s="10"/>
    </row>
    <row r="26" spans="1:24" x14ac:dyDescent="0.2">
      <c r="A26" s="2" t="s">
        <v>152</v>
      </c>
      <c r="B26" s="140">
        <v>2007.028236479118</v>
      </c>
      <c r="D26" s="5"/>
      <c r="F26" s="136">
        <v>501.88591228599995</v>
      </c>
      <c r="G26" s="141">
        <f>SUM(G18:G25)</f>
        <v>124.96018007127574</v>
      </c>
      <c r="H26" s="10" t="s">
        <v>26</v>
      </c>
      <c r="J26" s="142">
        <f>F26/8</f>
        <v>62.735739035749994</v>
      </c>
      <c r="K26" s="143">
        <f>G26/8</f>
        <v>15.620022508909468</v>
      </c>
      <c r="O26" s="37"/>
      <c r="R26" s="205">
        <f t="shared" si="2"/>
        <v>318.40312244514706</v>
      </c>
      <c r="S26" s="158">
        <v>174.26096015442977</v>
      </c>
      <c r="T26" s="155">
        <v>547.29664337525651</v>
      </c>
      <c r="U26" s="13">
        <f>S26/8</f>
        <v>21.782620019303721</v>
      </c>
      <c r="V26" s="13">
        <f>T26/8</f>
        <v>68.412080421907064</v>
      </c>
      <c r="W26" s="10"/>
      <c r="X26" s="10"/>
    </row>
    <row r="27" spans="1:24" x14ac:dyDescent="0.2">
      <c r="A27" s="2" t="s">
        <v>152</v>
      </c>
      <c r="B27" s="37"/>
      <c r="D27" s="8"/>
      <c r="F27" s="136">
        <v>501.88591228599995</v>
      </c>
      <c r="G27" s="141">
        <v>124</v>
      </c>
      <c r="H27" s="87" t="s">
        <v>153</v>
      </c>
      <c r="J27" s="136">
        <f>F27/8</f>
        <v>62.735739035749994</v>
      </c>
      <c r="K27" s="141">
        <f>G27/8</f>
        <v>15.5</v>
      </c>
      <c r="S27" s="31"/>
      <c r="T27" s="155"/>
      <c r="W27" s="10"/>
      <c r="X27" s="10"/>
    </row>
    <row r="28" spans="1:24" ht="16" x14ac:dyDescent="0.2">
      <c r="A28" s="14" t="s">
        <v>15</v>
      </c>
      <c r="B28" s="37"/>
      <c r="E28" s="10"/>
      <c r="J28" s="46"/>
      <c r="K28" s="48"/>
      <c r="S28" s="175"/>
      <c r="T28" s="175"/>
      <c r="W28" s="10"/>
      <c r="X28" s="10"/>
    </row>
    <row r="29" spans="1:24" x14ac:dyDescent="0.2">
      <c r="A29" s="2" t="s">
        <v>1</v>
      </c>
      <c r="B29" s="72">
        <v>171.40355571286602</v>
      </c>
      <c r="D29" s="135">
        <v>318</v>
      </c>
      <c r="E29" s="10"/>
      <c r="F29" s="111">
        <v>42.23852196</v>
      </c>
      <c r="G29" s="136">
        <f t="shared" ref="G29:G38" si="3">F29*D29/1000</f>
        <v>13.431849983280001</v>
      </c>
      <c r="R29" s="204">
        <f t="shared" ref="R29:R40" si="4">1000*S29/T29</f>
        <v>202.37530342795665</v>
      </c>
      <c r="S29" s="81">
        <v>7.6474677251075009</v>
      </c>
      <c r="T29" s="65">
        <v>37.788542354575959</v>
      </c>
      <c r="W29" s="10"/>
      <c r="X29" s="10"/>
    </row>
    <row r="30" spans="1:24" x14ac:dyDescent="0.2">
      <c r="A30" s="2" t="s">
        <v>2</v>
      </c>
      <c r="B30" s="72">
        <v>455.92362156151501</v>
      </c>
      <c r="D30" s="135">
        <v>228</v>
      </c>
      <c r="E30" s="10"/>
      <c r="F30" s="111">
        <v>87</v>
      </c>
      <c r="G30" s="136">
        <f t="shared" si="3"/>
        <v>19.835999999999999</v>
      </c>
      <c r="R30" s="204">
        <f t="shared" si="4"/>
        <v>227.42729258705023</v>
      </c>
      <c r="S30" s="77">
        <v>38.787915945224952</v>
      </c>
      <c r="T30" s="65">
        <v>170.55084068407692</v>
      </c>
      <c r="W30" s="10"/>
      <c r="X30" s="10"/>
    </row>
    <row r="31" spans="1:24" x14ac:dyDescent="0.2">
      <c r="A31" s="2" t="s">
        <v>3</v>
      </c>
      <c r="B31" s="72">
        <v>22.120468177770004</v>
      </c>
      <c r="D31" s="135">
        <v>348</v>
      </c>
      <c r="E31" s="10"/>
      <c r="F31" s="111">
        <v>1.3417262452499998</v>
      </c>
      <c r="G31" s="136">
        <f t="shared" si="3"/>
        <v>0.46692073334699996</v>
      </c>
      <c r="R31" s="204">
        <f t="shared" si="4"/>
        <v>253.90997450398862</v>
      </c>
      <c r="S31" s="78">
        <v>0.44001538640840737</v>
      </c>
      <c r="T31" s="80">
        <v>1.7329582552555267</v>
      </c>
      <c r="W31" s="10"/>
      <c r="X31" s="10"/>
    </row>
    <row r="32" spans="1:24" x14ac:dyDescent="0.2">
      <c r="A32" s="2" t="s">
        <v>4</v>
      </c>
      <c r="B32" s="72">
        <v>102.341694194967</v>
      </c>
      <c r="D32" s="135">
        <v>259</v>
      </c>
      <c r="E32" s="10"/>
      <c r="F32" s="111">
        <v>42.919817707249997</v>
      </c>
      <c r="G32" s="136">
        <f t="shared" si="3"/>
        <v>11.116232786177749</v>
      </c>
      <c r="R32" s="204">
        <f t="shared" si="4"/>
        <v>172.16312261634036</v>
      </c>
      <c r="S32" s="77">
        <v>10.995939291916669</v>
      </c>
      <c r="T32" s="65">
        <v>63.869306764496514</v>
      </c>
      <c r="W32" s="10"/>
      <c r="X32" s="10"/>
    </row>
    <row r="33" spans="1:25" x14ac:dyDescent="0.2">
      <c r="A33" s="2" t="s">
        <v>5</v>
      </c>
      <c r="B33" s="72">
        <v>0.648455</v>
      </c>
      <c r="D33" s="138" t="s">
        <v>19</v>
      </c>
      <c r="E33" s="10"/>
      <c r="F33" s="111">
        <v>1.2E-2</v>
      </c>
      <c r="G33" s="136">
        <v>0</v>
      </c>
      <c r="R33" s="204">
        <f t="shared" si="4"/>
        <v>1108.1170246839672</v>
      </c>
      <c r="S33" s="78">
        <v>1.1984525390338207E-2</v>
      </c>
      <c r="T33" s="176">
        <v>1.0815216374602827E-2</v>
      </c>
      <c r="W33" s="10"/>
      <c r="X33" s="10"/>
    </row>
    <row r="34" spans="1:25" x14ac:dyDescent="0.2">
      <c r="A34" s="2" t="s">
        <v>97</v>
      </c>
      <c r="B34" s="72">
        <v>83.677611999999996</v>
      </c>
      <c r="D34" s="138">
        <v>346</v>
      </c>
      <c r="E34" s="10"/>
      <c r="F34" s="111">
        <v>27</v>
      </c>
      <c r="G34" s="136">
        <f t="shared" si="3"/>
        <v>9.3420000000000005</v>
      </c>
      <c r="R34" s="204">
        <f t="shared" si="4"/>
        <v>318.15806340544395</v>
      </c>
      <c r="S34" s="77">
        <v>23.654420384282929</v>
      </c>
      <c r="T34" s="65">
        <v>74.348014729203882</v>
      </c>
      <c r="W34" s="10"/>
      <c r="X34" s="10"/>
    </row>
    <row r="35" spans="1:25" ht="32" x14ac:dyDescent="0.2">
      <c r="A35" s="2" t="s">
        <v>105</v>
      </c>
      <c r="B35" s="72">
        <v>83.677611999999996</v>
      </c>
      <c r="D35" s="138">
        <v>209</v>
      </c>
      <c r="E35" s="10"/>
      <c r="F35" s="111">
        <v>22.30949352</v>
      </c>
      <c r="G35" s="136">
        <f t="shared" si="3"/>
        <v>4.6626841456800001</v>
      </c>
      <c r="J35" s="120" t="s">
        <v>178</v>
      </c>
      <c r="K35" s="120" t="s">
        <v>178</v>
      </c>
      <c r="N35" s="24" t="s">
        <v>90</v>
      </c>
      <c r="O35" s="92" t="s">
        <v>155</v>
      </c>
      <c r="R35" s="204">
        <f t="shared" si="4"/>
        <v>173.33333333333334</v>
      </c>
      <c r="S35" s="81">
        <v>7.8</v>
      </c>
      <c r="T35" s="65">
        <v>45</v>
      </c>
      <c r="W35" s="10"/>
      <c r="X35" s="10"/>
    </row>
    <row r="36" spans="1:25" s="175" customFormat="1" x14ac:dyDescent="0.2">
      <c r="A36" s="2" t="s">
        <v>151</v>
      </c>
      <c r="B36" s="72">
        <v>1057.9649278320001</v>
      </c>
      <c r="D36" s="138">
        <v>238</v>
      </c>
      <c r="E36" s="10"/>
      <c r="F36" s="111">
        <v>278.83782471000001</v>
      </c>
      <c r="G36" s="136">
        <f t="shared" si="3"/>
        <v>66.363402280980011</v>
      </c>
      <c r="J36" s="199"/>
      <c r="K36" s="199"/>
      <c r="N36" s="160">
        <v>171.21339766008904</v>
      </c>
      <c r="O36" s="158">
        <v>21.40167470751113</v>
      </c>
      <c r="R36" s="204">
        <f t="shared" si="4"/>
        <v>329.23832923832924</v>
      </c>
      <c r="S36" s="77">
        <v>134</v>
      </c>
      <c r="T36" s="65">
        <v>407</v>
      </c>
      <c r="W36" s="10"/>
      <c r="X36" s="10"/>
    </row>
    <row r="37" spans="1:25" x14ac:dyDescent="0.2">
      <c r="A37" s="2" t="s">
        <v>152</v>
      </c>
      <c r="B37" s="140">
        <v>2007.028236479118</v>
      </c>
      <c r="D37" s="5"/>
      <c r="F37" s="136">
        <v>501.65938414250002</v>
      </c>
      <c r="G37" s="141">
        <f>SUM(G29:G36)</f>
        <v>125.21908992946476</v>
      </c>
      <c r="H37" s="10" t="s">
        <v>26</v>
      </c>
      <c r="J37" s="142">
        <f>F37/8</f>
        <v>62.707423017812502</v>
      </c>
      <c r="K37" s="143">
        <f>G37/8</f>
        <v>15.652386241183095</v>
      </c>
      <c r="O37" s="37"/>
      <c r="R37" s="205">
        <f t="shared" si="4"/>
        <v>279.06736206799962</v>
      </c>
      <c r="S37" s="155">
        <v>223.33774325833082</v>
      </c>
      <c r="T37" s="155">
        <v>800.30047800398347</v>
      </c>
      <c r="U37" s="13">
        <f>S37/8</f>
        <v>27.917217907291352</v>
      </c>
      <c r="V37" s="13">
        <f>T37/8</f>
        <v>100.03755975049793</v>
      </c>
      <c r="W37" s="82">
        <f>AVERAGE(U26,U37)</f>
        <v>24.849918963297537</v>
      </c>
      <c r="X37" s="65">
        <f>AVERAGE(V26,V37)</f>
        <v>84.224820086202499</v>
      </c>
      <c r="Y37" s="144">
        <f>1000*W37/X37</f>
        <v>295.04270757555929</v>
      </c>
    </row>
    <row r="38" spans="1:25" x14ac:dyDescent="0.2">
      <c r="A38" s="2" t="s">
        <v>152</v>
      </c>
      <c r="D38" s="144">
        <v>247</v>
      </c>
      <c r="F38" s="136">
        <v>501.65938414250002</v>
      </c>
      <c r="G38" s="141">
        <f t="shared" si="3"/>
        <v>123.90986788319749</v>
      </c>
      <c r="H38" s="87" t="s">
        <v>153</v>
      </c>
      <c r="J38" s="136">
        <f>F38/8</f>
        <v>62.707423017812502</v>
      </c>
      <c r="K38" s="141">
        <f>G38/8</f>
        <v>15.488733485399687</v>
      </c>
      <c r="R38" s="204"/>
      <c r="T38" s="203"/>
      <c r="W38" s="10"/>
      <c r="X38" s="10"/>
    </row>
    <row r="39" spans="1:25" ht="16" x14ac:dyDescent="0.2">
      <c r="A39" s="146" t="s">
        <v>106</v>
      </c>
      <c r="J39" s="120" t="s">
        <v>178</v>
      </c>
      <c r="K39" s="120" t="s">
        <v>178</v>
      </c>
      <c r="L39" s="3" t="s">
        <v>107</v>
      </c>
      <c r="M39" s="3" t="s">
        <v>108</v>
      </c>
      <c r="R39" s="204"/>
      <c r="S39" s="120" t="s">
        <v>178</v>
      </c>
      <c r="T39" s="120" t="s">
        <v>178</v>
      </c>
      <c r="W39" s="10"/>
      <c r="X39" s="10"/>
    </row>
    <row r="40" spans="1:25" x14ac:dyDescent="0.2">
      <c r="A40" s="62" t="s">
        <v>109</v>
      </c>
      <c r="B40" s="2" t="s">
        <v>110</v>
      </c>
      <c r="D40" s="144">
        <f>1000*G40/F40</f>
        <v>238.08288552973545</v>
      </c>
      <c r="E40" s="2"/>
      <c r="F40" s="136">
        <f>F15-F26</f>
        <v>1365.4235833924999</v>
      </c>
      <c r="G40" s="141">
        <f>G15-G26</f>
        <v>325.08398670443773</v>
      </c>
      <c r="J40" s="142">
        <f>J15-J26</f>
        <v>170.67794792406249</v>
      </c>
      <c r="K40" s="143">
        <f>K15-K26</f>
        <v>40.635498338054717</v>
      </c>
      <c r="L40" s="147">
        <v>0.73</v>
      </c>
      <c r="M40" s="147">
        <v>0.72</v>
      </c>
      <c r="R40" s="205">
        <f t="shared" si="4"/>
        <v>200.47975718811932</v>
      </c>
      <c r="S40" s="142">
        <f>S15-S26</f>
        <v>343.16033857850528</v>
      </c>
      <c r="T40" s="143">
        <f>T15-T26</f>
        <v>1711.6957013096451</v>
      </c>
      <c r="U40" s="13">
        <f>S40/8</f>
        <v>42.895042322313159</v>
      </c>
      <c r="V40" s="13">
        <f>T40/8</f>
        <v>213.96196266370563</v>
      </c>
      <c r="W40" s="10"/>
      <c r="X40" s="10"/>
    </row>
    <row r="41" spans="1:25" x14ac:dyDescent="0.2">
      <c r="A41" s="62" t="s">
        <v>111</v>
      </c>
      <c r="B41" s="62" t="s">
        <v>177</v>
      </c>
      <c r="C41" s="48"/>
      <c r="D41" s="144">
        <f>1000*G41/F41</f>
        <v>236.03442432597706</v>
      </c>
      <c r="E41" s="62"/>
      <c r="F41" s="136">
        <f>F16-F27</f>
        <v>1365.4235833924999</v>
      </c>
      <c r="G41" s="141">
        <f>G16-G27</f>
        <v>322.28696946716144</v>
      </c>
      <c r="H41" s="48"/>
      <c r="J41" s="142">
        <f t="shared" ref="J41" si="5">J16-J27</f>
        <v>170.67794792406249</v>
      </c>
      <c r="K41" s="143">
        <f>K16-K27</f>
        <v>40.28587118339518</v>
      </c>
      <c r="L41" s="147">
        <v>0.73</v>
      </c>
      <c r="M41" s="147">
        <v>0.72</v>
      </c>
      <c r="S41" s="202"/>
      <c r="T41" s="202"/>
      <c r="W41" s="10"/>
      <c r="X41" s="10"/>
    </row>
    <row r="42" spans="1:25" x14ac:dyDescent="0.2">
      <c r="A42" s="48"/>
      <c r="B42" s="48"/>
      <c r="C42" s="48"/>
      <c r="D42" s="48"/>
      <c r="E42" s="48"/>
      <c r="F42" s="48"/>
      <c r="G42" s="48"/>
      <c r="H42" s="48"/>
      <c r="J42" s="120" t="s">
        <v>178</v>
      </c>
      <c r="K42" s="120" t="s">
        <v>178</v>
      </c>
      <c r="L42" s="3" t="s">
        <v>107</v>
      </c>
      <c r="M42" s="3" t="s">
        <v>108</v>
      </c>
      <c r="S42" s="120" t="s">
        <v>178</v>
      </c>
      <c r="T42" s="120" t="s">
        <v>178</v>
      </c>
      <c r="W42" s="10"/>
      <c r="X42" s="10"/>
    </row>
    <row r="43" spans="1:25" x14ac:dyDescent="0.2">
      <c r="A43" s="62" t="s">
        <v>112</v>
      </c>
      <c r="B43" s="62" t="s">
        <v>110</v>
      </c>
      <c r="C43" s="48"/>
      <c r="D43" s="144">
        <f>1000*G43/F43</f>
        <v>237.85380611209806</v>
      </c>
      <c r="E43" s="62"/>
      <c r="F43" s="136">
        <f>F15-F37</f>
        <v>1365.6501115359997</v>
      </c>
      <c r="G43" s="141">
        <f>G15-G37</f>
        <v>324.82507684624875</v>
      </c>
      <c r="H43" s="48"/>
      <c r="J43" s="142">
        <f>J15-J37</f>
        <v>170.70626394199996</v>
      </c>
      <c r="K43" s="143">
        <f>K15-K37</f>
        <v>40.603134605781094</v>
      </c>
      <c r="L43" s="147">
        <v>0.73</v>
      </c>
      <c r="M43" s="147">
        <v>0.72</v>
      </c>
      <c r="R43" s="205">
        <f t="shared" ref="R43" si="6">1000*S43/T43</f>
        <v>201.60772963227444</v>
      </c>
      <c r="S43" s="142">
        <f>S15-S37</f>
        <v>294.08355547460422</v>
      </c>
      <c r="T43" s="143">
        <f>T15-T37</f>
        <v>1458.6918666809181</v>
      </c>
      <c r="U43" s="13">
        <f>S43/8</f>
        <v>36.760444434325528</v>
      </c>
      <c r="V43" s="13">
        <f>T43/8</f>
        <v>182.33648333511476</v>
      </c>
      <c r="W43" s="82">
        <f>AVERAGE(U40,U43)</f>
        <v>39.82774337831934</v>
      </c>
      <c r="X43" s="65">
        <f>AVERAGE(V40,V43)</f>
        <v>198.1492229994102</v>
      </c>
      <c r="Y43" s="144">
        <f>1000*W43/X43</f>
        <v>200.99873608102865</v>
      </c>
    </row>
    <row r="44" spans="1:25" x14ac:dyDescent="0.2">
      <c r="A44" s="62" t="s">
        <v>113</v>
      </c>
      <c r="B44" s="62" t="s">
        <v>177</v>
      </c>
      <c r="D44" s="144">
        <f>1000*G44/F44</f>
        <v>236.06127137599975</v>
      </c>
      <c r="E44" s="2"/>
      <c r="F44" s="136">
        <f>F16-F38</f>
        <v>1365.6501115359997</v>
      </c>
      <c r="G44" s="141">
        <f>G16-G38</f>
        <v>322.37710158396396</v>
      </c>
      <c r="J44" s="142">
        <f>J16-J38</f>
        <v>170.70626394199996</v>
      </c>
      <c r="K44" s="143">
        <f>K16-K38</f>
        <v>40.297137697995495</v>
      </c>
      <c r="L44" s="147">
        <v>0.73</v>
      </c>
      <c r="M44" s="147">
        <v>0.72</v>
      </c>
      <c r="S44" s="202"/>
      <c r="T44" s="202"/>
    </row>
  </sheetData>
  <mergeCells count="2">
    <mergeCell ref="A1:M1"/>
    <mergeCell ref="A2:M2"/>
  </mergeCells>
  <pageMargins left="0.7" right="0.7" top="0.75" bottom="0.75" header="0.3" footer="0.3"/>
  <pageSetup scale="89" orientation="portrait" r:id="rId1"/>
  <headerFooter>
    <oddHeader>&amp;LDraft Open-File Report&amp;RU.S. GEOLOGICAL SURVEY</oddHeader>
    <oddFooter>&amp;LPRELIMINARY - SUBJECT TO REVISION&amp;RNovember 17, 2017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137E9-8FC0-48EE-B532-E3F49D4006B7}">
  <sheetPr>
    <pageSetUpPr fitToPage="1"/>
  </sheetPr>
  <dimension ref="A1:X21"/>
  <sheetViews>
    <sheetView view="pageLayout" topLeftCell="A2" zoomScaleNormal="100" workbookViewId="0">
      <selection activeCell="A25" sqref="A25"/>
    </sheetView>
  </sheetViews>
  <sheetFormatPr baseColWidth="10" defaultColWidth="8.83203125" defaultRowHeight="15" x14ac:dyDescent="0.2"/>
  <cols>
    <col min="1" max="1" width="22.5" customWidth="1"/>
    <col min="2" max="2" width="9.83203125" bestFit="1" customWidth="1"/>
    <col min="3" max="3" width="5.5" bestFit="1" customWidth="1"/>
    <col min="4" max="4" width="7.1640625" customWidth="1"/>
    <col min="5" max="5" width="7.1640625" bestFit="1" customWidth="1"/>
    <col min="6" max="6" width="7.5" bestFit="1" customWidth="1"/>
    <col min="7" max="7" width="2.1640625" customWidth="1"/>
    <col min="8" max="8" width="11.1640625" customWidth="1"/>
    <col min="9" max="9" width="2.5" customWidth="1"/>
    <col min="10" max="10" width="6.5" customWidth="1"/>
    <col min="11" max="11" width="10.5" customWidth="1"/>
    <col min="12" max="12" width="9.83203125" customWidth="1"/>
    <col min="13" max="13" width="7.5" bestFit="1" customWidth="1"/>
    <col min="14" max="14" width="1.5" customWidth="1"/>
    <col min="15" max="15" width="12.83203125" bestFit="1" customWidth="1"/>
    <col min="16" max="16" width="14" customWidth="1"/>
    <col min="17" max="17" width="1" customWidth="1"/>
    <col min="18" max="18" width="11.6640625" bestFit="1" customWidth="1"/>
    <col min="19" max="19" width="11.83203125" bestFit="1" customWidth="1"/>
    <col min="20" max="20" width="1.1640625" customWidth="1"/>
    <col min="21" max="21" width="8.83203125" bestFit="1" customWidth="1"/>
    <col min="22" max="22" width="9.6640625" bestFit="1" customWidth="1"/>
    <col min="23" max="23" width="18.33203125" bestFit="1" customWidth="1"/>
    <col min="24" max="24" width="6.5" customWidth="1"/>
  </cols>
  <sheetData>
    <row r="1" spans="1:24" ht="15.75" customHeight="1" x14ac:dyDescent="0.2">
      <c r="A1" s="208" t="s">
        <v>172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197"/>
      <c r="R1" s="197"/>
      <c r="S1" s="197"/>
      <c r="T1" s="197"/>
      <c r="U1" s="197"/>
      <c r="V1" s="197"/>
      <c r="W1" s="197"/>
      <c r="X1" s="197"/>
    </row>
    <row r="2" spans="1:24" ht="57.75" customHeight="1" x14ac:dyDescent="0.2">
      <c r="A2" s="209" t="s">
        <v>149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193"/>
      <c r="R2" s="193"/>
      <c r="S2" s="193"/>
      <c r="T2" s="193"/>
      <c r="U2" s="193"/>
      <c r="V2" s="193"/>
      <c r="W2" s="193"/>
      <c r="X2" s="193"/>
    </row>
    <row r="3" spans="1:24" x14ac:dyDescent="0.2">
      <c r="A3" s="175"/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219"/>
      <c r="S3" s="219"/>
      <c r="T3" s="182"/>
      <c r="U3" s="219"/>
      <c r="V3" s="219"/>
      <c r="W3" s="219"/>
      <c r="X3" s="48"/>
    </row>
    <row r="4" spans="1:24" x14ac:dyDescent="0.2">
      <c r="A4" s="175"/>
      <c r="B4" s="42" t="s">
        <v>27</v>
      </c>
      <c r="C4" s="40" t="s">
        <v>56</v>
      </c>
      <c r="D4" s="40" t="s">
        <v>57</v>
      </c>
      <c r="E4" s="179" t="s">
        <v>58</v>
      </c>
      <c r="F4" s="179" t="s">
        <v>59</v>
      </c>
      <c r="G4" s="43"/>
      <c r="H4" s="40" t="s">
        <v>56</v>
      </c>
      <c r="I4" s="44"/>
      <c r="J4" s="40" t="s">
        <v>16</v>
      </c>
      <c r="K4" s="40" t="s">
        <v>60</v>
      </c>
      <c r="L4" s="40" t="s">
        <v>17</v>
      </c>
      <c r="M4" s="40" t="s">
        <v>61</v>
      </c>
      <c r="N4" s="175"/>
      <c r="O4" s="40" t="s">
        <v>76</v>
      </c>
      <c r="P4" s="40" t="s">
        <v>77</v>
      </c>
      <c r="Q4" s="175"/>
      <c r="R4" s="44"/>
      <c r="S4" s="44"/>
      <c r="T4" s="48"/>
      <c r="U4" s="44"/>
      <c r="V4" s="44"/>
      <c r="W4" s="44"/>
      <c r="X4" s="48"/>
    </row>
    <row r="5" spans="1:24" x14ac:dyDescent="0.2">
      <c r="A5" s="175"/>
      <c r="B5" s="179" t="s">
        <v>30</v>
      </c>
      <c r="C5" s="179" t="s">
        <v>31</v>
      </c>
      <c r="D5" s="179" t="s">
        <v>31</v>
      </c>
      <c r="E5" s="179" t="s">
        <v>31</v>
      </c>
      <c r="F5" s="179" t="s">
        <v>31</v>
      </c>
      <c r="G5" s="43"/>
      <c r="H5" s="40" t="s">
        <v>29</v>
      </c>
      <c r="I5" s="44"/>
      <c r="J5" s="179" t="s">
        <v>31</v>
      </c>
      <c r="K5" s="179" t="s">
        <v>31</v>
      </c>
      <c r="L5" s="179" t="s">
        <v>31</v>
      </c>
      <c r="M5" s="179" t="s">
        <v>31</v>
      </c>
      <c r="N5" s="175"/>
      <c r="O5" s="179" t="s">
        <v>31</v>
      </c>
      <c r="P5" s="179" t="s">
        <v>31</v>
      </c>
      <c r="Q5" s="175"/>
      <c r="R5" s="44"/>
      <c r="S5" s="44"/>
      <c r="T5" s="48"/>
      <c r="U5" s="44"/>
      <c r="V5" s="44"/>
      <c r="W5" s="44"/>
      <c r="X5" s="48"/>
    </row>
    <row r="6" spans="1:24" ht="48" x14ac:dyDescent="0.2">
      <c r="A6" s="17"/>
      <c r="B6" s="19" t="s">
        <v>28</v>
      </c>
      <c r="C6" s="18" t="s">
        <v>8</v>
      </c>
      <c r="D6" s="18" t="s">
        <v>8</v>
      </c>
      <c r="E6" s="19" t="s">
        <v>8</v>
      </c>
      <c r="F6" s="19" t="s">
        <v>8</v>
      </c>
      <c r="G6" s="20"/>
      <c r="H6" s="21" t="s">
        <v>143</v>
      </c>
      <c r="I6" s="22"/>
      <c r="J6" s="18" t="s">
        <v>13</v>
      </c>
      <c r="K6" s="18" t="s">
        <v>8</v>
      </c>
      <c r="L6" s="18" t="s">
        <v>13</v>
      </c>
      <c r="M6" s="18" t="s">
        <v>8</v>
      </c>
      <c r="N6" s="175"/>
      <c r="O6" s="18" t="s">
        <v>8</v>
      </c>
      <c r="P6" s="18" t="s">
        <v>8</v>
      </c>
      <c r="Q6" s="175"/>
      <c r="R6" s="6"/>
      <c r="S6" s="6"/>
      <c r="T6" s="48"/>
      <c r="U6" s="192"/>
      <c r="V6" s="192"/>
      <c r="W6" s="192"/>
      <c r="X6" s="48"/>
    </row>
    <row r="7" spans="1:24" s="175" customFormat="1" ht="16" x14ac:dyDescent="0.2">
      <c r="A7" s="47" t="s">
        <v>173</v>
      </c>
      <c r="B7" s="180"/>
      <c r="C7" s="180"/>
      <c r="D7" s="187"/>
      <c r="E7" s="185"/>
      <c r="F7" s="185"/>
      <c r="G7" s="48"/>
      <c r="H7" s="6"/>
      <c r="I7" s="6"/>
      <c r="J7" s="180"/>
      <c r="K7" s="180"/>
      <c r="L7" s="180"/>
      <c r="M7" s="180"/>
      <c r="R7" s="48"/>
      <c r="S7" s="6"/>
      <c r="T7" s="48"/>
      <c r="U7" s="192"/>
      <c r="V7" s="192"/>
      <c r="W7" s="192"/>
      <c r="X7" s="48"/>
    </row>
    <row r="8" spans="1:24" s="175" customFormat="1" x14ac:dyDescent="0.2">
      <c r="A8" s="54" t="s">
        <v>151</v>
      </c>
      <c r="B8" s="136">
        <v>1044.0097799511002</v>
      </c>
      <c r="C8" s="65">
        <v>334</v>
      </c>
      <c r="D8" s="188"/>
      <c r="E8" s="189"/>
      <c r="F8" s="189"/>
      <c r="G8" s="48"/>
      <c r="H8" s="167">
        <v>261</v>
      </c>
      <c r="I8" s="6"/>
      <c r="J8" s="196">
        <v>1094</v>
      </c>
      <c r="K8" s="65">
        <f>J8*H8/1000</f>
        <v>285.53399999999999</v>
      </c>
      <c r="L8" s="196">
        <v>1061</v>
      </c>
      <c r="M8" s="65">
        <f>L8*H8/1000</f>
        <v>276.92099999999999</v>
      </c>
      <c r="N8" s="26"/>
      <c r="O8" s="62"/>
      <c r="P8" s="62"/>
      <c r="R8" s="48"/>
      <c r="S8" s="6"/>
      <c r="T8" s="48"/>
      <c r="U8" s="192"/>
      <c r="V8" s="192"/>
      <c r="W8" s="192"/>
      <c r="X8" s="48"/>
    </row>
    <row r="9" spans="1:24" ht="16" x14ac:dyDescent="0.2">
      <c r="A9" s="1" t="s">
        <v>0</v>
      </c>
      <c r="B9" s="175"/>
      <c r="C9" s="6"/>
      <c r="D9" s="6"/>
      <c r="E9" s="26"/>
      <c r="F9" s="26"/>
      <c r="G9" s="26"/>
      <c r="H9" s="27"/>
      <c r="I9" s="26"/>
      <c r="J9" s="26"/>
      <c r="K9" s="26"/>
      <c r="L9" s="26"/>
      <c r="M9" s="26"/>
      <c r="N9" s="26"/>
      <c r="O9" s="26"/>
      <c r="P9" s="26"/>
      <c r="Q9" s="175"/>
      <c r="R9" s="48"/>
      <c r="S9" s="48"/>
      <c r="T9" s="48"/>
      <c r="U9" s="48"/>
      <c r="V9" s="48"/>
      <c r="W9" s="49"/>
      <c r="X9" s="48"/>
    </row>
    <row r="10" spans="1:24" x14ac:dyDescent="0.2">
      <c r="A10" s="54" t="s">
        <v>175</v>
      </c>
      <c r="B10" s="136">
        <v>1044.0097799511002</v>
      </c>
      <c r="C10" s="144">
        <v>304.8</v>
      </c>
      <c r="D10" s="4">
        <v>6.87</v>
      </c>
      <c r="E10" s="8">
        <f t="shared" ref="E10" si="0">C10+D10</f>
        <v>311.67</v>
      </c>
      <c r="F10" s="8">
        <v>312.10000000000002</v>
      </c>
      <c r="G10" s="26"/>
      <c r="H10" s="195">
        <v>265</v>
      </c>
      <c r="I10" s="27"/>
      <c r="J10" s="16">
        <v>1222</v>
      </c>
      <c r="K10" s="144">
        <f t="shared" ref="K10:K12" si="1">J10*H10/1000</f>
        <v>323.83</v>
      </c>
      <c r="L10" s="16">
        <v>971</v>
      </c>
      <c r="M10" s="144">
        <f>L10*H10/1000</f>
        <v>257.315</v>
      </c>
      <c r="N10" s="26"/>
      <c r="O10" s="8">
        <f t="shared" ref="O10" si="2">D10+K10</f>
        <v>330.7</v>
      </c>
      <c r="P10" s="8">
        <f t="shared" ref="P10" si="3">D10+M10</f>
        <v>264.185</v>
      </c>
      <c r="Q10" s="175"/>
      <c r="R10" s="48"/>
      <c r="S10" s="48"/>
      <c r="T10" s="48"/>
      <c r="U10" s="48"/>
      <c r="V10" s="48"/>
      <c r="W10" s="46"/>
      <c r="X10" s="6"/>
    </row>
    <row r="11" spans="1:24" ht="16" x14ac:dyDescent="0.2">
      <c r="A11" s="1" t="s">
        <v>0</v>
      </c>
      <c r="B11" s="175"/>
      <c r="C11" s="26"/>
      <c r="D11" s="26"/>
      <c r="E11" s="26"/>
      <c r="F11" s="26"/>
      <c r="G11" s="26"/>
      <c r="H11" s="27"/>
      <c r="I11" s="27"/>
      <c r="J11" s="26"/>
      <c r="K11" s="26"/>
      <c r="L11" s="26"/>
      <c r="M11" s="26"/>
      <c r="N11" s="26"/>
      <c r="O11" s="26"/>
      <c r="P11" s="26"/>
      <c r="Q11" s="175"/>
      <c r="R11" s="180"/>
      <c r="S11" s="180"/>
      <c r="T11" s="48"/>
      <c r="U11" s="180"/>
      <c r="V11" s="180"/>
      <c r="W11" s="180"/>
      <c r="X11" s="6"/>
    </row>
    <row r="12" spans="1:24" x14ac:dyDescent="0.2">
      <c r="A12" s="2" t="s">
        <v>151</v>
      </c>
      <c r="B12" s="136">
        <v>1044.0097799511002</v>
      </c>
      <c r="C12" s="144">
        <v>275</v>
      </c>
      <c r="D12" s="188"/>
      <c r="E12" s="183"/>
      <c r="F12" s="183"/>
      <c r="G12" s="26"/>
      <c r="H12" s="195">
        <v>265</v>
      </c>
      <c r="I12" s="27"/>
      <c r="J12" s="16">
        <v>1066</v>
      </c>
      <c r="K12" s="144">
        <f t="shared" si="1"/>
        <v>282.49</v>
      </c>
      <c r="L12" s="16">
        <v>971</v>
      </c>
      <c r="M12" s="144">
        <f t="shared" ref="M12" si="4">L12*H12/1000</f>
        <v>257.315</v>
      </c>
      <c r="N12" s="26"/>
      <c r="O12" s="62"/>
      <c r="P12" s="62"/>
      <c r="Q12" s="175"/>
      <c r="R12" s="48"/>
      <c r="S12" s="48"/>
      <c r="T12" s="48"/>
      <c r="U12" s="48"/>
      <c r="V12" s="48"/>
      <c r="W12" s="48"/>
      <c r="X12" s="48"/>
    </row>
    <row r="13" spans="1:24" x14ac:dyDescent="0.2"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S13" s="175"/>
      <c r="T13" s="175"/>
      <c r="U13" s="175"/>
      <c r="V13" s="175"/>
      <c r="W13" s="175"/>
      <c r="X13" s="175"/>
    </row>
    <row r="14" spans="1:24" ht="19" x14ac:dyDescent="0.25">
      <c r="A14" s="184" t="s">
        <v>174</v>
      </c>
      <c r="B14" s="48"/>
      <c r="C14" s="48"/>
      <c r="D14" s="190"/>
      <c r="E14" s="190"/>
      <c r="F14" s="190"/>
      <c r="G14" s="48"/>
      <c r="H14" s="48"/>
      <c r="I14" s="48"/>
      <c r="J14" s="48"/>
      <c r="K14" s="48"/>
      <c r="L14" s="48"/>
      <c r="M14" s="48"/>
      <c r="N14" s="26"/>
      <c r="O14" s="26"/>
      <c r="P14" s="26"/>
    </row>
    <row r="15" spans="1:24" ht="16" x14ac:dyDescent="0.2">
      <c r="A15" s="47" t="s">
        <v>173</v>
      </c>
      <c r="B15" s="180"/>
      <c r="C15" s="180"/>
      <c r="D15" s="181"/>
      <c r="E15" s="180"/>
      <c r="F15" s="180"/>
      <c r="G15" s="48"/>
      <c r="H15" s="6"/>
      <c r="I15" s="6"/>
      <c r="J15" s="180"/>
      <c r="K15" s="180"/>
      <c r="L15" s="185"/>
      <c r="M15" s="185"/>
      <c r="N15" s="26"/>
      <c r="O15" s="26"/>
      <c r="P15" s="26"/>
    </row>
    <row r="16" spans="1:24" x14ac:dyDescent="0.2">
      <c r="A16" s="54" t="s">
        <v>151</v>
      </c>
      <c r="B16" s="136">
        <v>1044.0097799511002</v>
      </c>
      <c r="C16" s="65">
        <v>58</v>
      </c>
      <c r="D16" s="7"/>
      <c r="E16" s="4"/>
      <c r="F16" s="4"/>
      <c r="G16" s="48"/>
      <c r="H16" s="167">
        <v>261</v>
      </c>
      <c r="I16" s="6"/>
      <c r="J16" s="183">
        <v>132</v>
      </c>
      <c r="K16" s="65">
        <f>J16*H16/1000</f>
        <v>34.451999999999998</v>
      </c>
      <c r="L16" s="183" t="s">
        <v>32</v>
      </c>
      <c r="M16" s="183" t="s">
        <v>32</v>
      </c>
      <c r="N16" s="26"/>
      <c r="O16" s="62"/>
      <c r="P16" s="62"/>
    </row>
    <row r="17" spans="1:16" ht="16" x14ac:dyDescent="0.2">
      <c r="A17" s="1" t="s">
        <v>0</v>
      </c>
      <c r="C17" s="26"/>
      <c r="D17" s="186"/>
      <c r="E17" s="186"/>
      <c r="F17" s="186"/>
      <c r="G17" s="26"/>
      <c r="H17" s="27"/>
      <c r="I17" s="26"/>
      <c r="J17" s="26"/>
      <c r="K17" s="26"/>
      <c r="L17" s="26"/>
      <c r="M17" s="26"/>
      <c r="N17" s="26"/>
      <c r="O17" s="26"/>
      <c r="P17" s="26"/>
    </row>
    <row r="18" spans="1:16" x14ac:dyDescent="0.2">
      <c r="A18" s="54" t="s">
        <v>175</v>
      </c>
      <c r="B18" s="136">
        <v>1044.0097799511002</v>
      </c>
      <c r="C18" s="194">
        <v>60</v>
      </c>
      <c r="D18" s="191"/>
      <c r="E18" s="191"/>
      <c r="F18" s="191"/>
      <c r="G18" s="27"/>
      <c r="H18" s="195">
        <v>265</v>
      </c>
      <c r="I18" s="27"/>
      <c r="J18" s="5">
        <v>237</v>
      </c>
      <c r="K18" s="144">
        <f t="shared" ref="K18" si="5">J18*H18/1000</f>
        <v>62.805</v>
      </c>
      <c r="L18" s="183" t="s">
        <v>32</v>
      </c>
      <c r="M18" s="183" t="s">
        <v>32</v>
      </c>
      <c r="N18" s="27"/>
      <c r="O18" s="5"/>
      <c r="P18" s="5"/>
    </row>
    <row r="19" spans="1:16" ht="16" x14ac:dyDescent="0.2">
      <c r="A19" s="1" t="s">
        <v>0</v>
      </c>
      <c r="B19" s="175"/>
      <c r="C19" s="26"/>
      <c r="D19" s="186"/>
      <c r="E19" s="186"/>
      <c r="F19" s="186"/>
      <c r="G19" s="26"/>
      <c r="H19" s="27"/>
      <c r="I19" s="27"/>
      <c r="J19" s="26"/>
      <c r="K19" s="26"/>
      <c r="L19" s="186"/>
      <c r="M19" s="186"/>
      <c r="N19" s="26"/>
      <c r="O19" s="26"/>
      <c r="P19" s="26"/>
    </row>
    <row r="20" spans="1:16" x14ac:dyDescent="0.2">
      <c r="A20" s="2" t="s">
        <v>151</v>
      </c>
      <c r="B20" s="136">
        <v>1044.0097799511002</v>
      </c>
      <c r="C20" s="144">
        <v>70</v>
      </c>
      <c r="D20" s="188"/>
      <c r="E20" s="183"/>
      <c r="F20" s="183"/>
      <c r="G20" s="26"/>
      <c r="H20" s="195">
        <v>265</v>
      </c>
      <c r="I20" s="27"/>
      <c r="J20" s="8">
        <v>181</v>
      </c>
      <c r="K20" s="144">
        <f t="shared" ref="K20" si="6">J20*H20/1000</f>
        <v>47.965000000000003</v>
      </c>
      <c r="L20" s="183" t="s">
        <v>32</v>
      </c>
      <c r="M20" s="183" t="s">
        <v>32</v>
      </c>
      <c r="N20" s="26"/>
      <c r="O20" s="62"/>
      <c r="P20" s="62"/>
    </row>
    <row r="21" spans="1:16" x14ac:dyDescent="0.2"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</row>
  </sheetData>
  <mergeCells count="4">
    <mergeCell ref="R3:S3"/>
    <mergeCell ref="U3:W3"/>
    <mergeCell ref="A2:P2"/>
    <mergeCell ref="A1:P1"/>
  </mergeCells>
  <conditionalFormatting sqref="A12 A7">
    <cfRule type="duplicateValues" dxfId="5" priority="7"/>
  </conditionalFormatting>
  <conditionalFormatting sqref="A8">
    <cfRule type="duplicateValues" dxfId="4" priority="5"/>
  </conditionalFormatting>
  <conditionalFormatting sqref="A20 A15">
    <cfRule type="duplicateValues" dxfId="3" priority="4"/>
  </conditionalFormatting>
  <conditionalFormatting sqref="A16">
    <cfRule type="duplicateValues" dxfId="2" priority="3"/>
  </conditionalFormatting>
  <conditionalFormatting sqref="A18">
    <cfRule type="duplicateValues" dxfId="1" priority="2"/>
  </conditionalFormatting>
  <conditionalFormatting sqref="A10">
    <cfRule type="duplicateValues" dxfId="0" priority="1"/>
  </conditionalFormatting>
  <pageMargins left="0.7" right="0.7" top="0.75" bottom="0.75" header="0.3" footer="0.3"/>
  <pageSetup scale="88" orientation="landscape" r:id="rId1"/>
  <headerFooter>
    <oddHeader>&amp;LDraft&amp;RU.S. GEOLOGICAL SURVEY</oddHeader>
    <oddFooter xml:space="preserve">&amp;LPRELIMINARY - SUBJECT TO REVISION&amp;RDecember 8, 2018 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AB68"/>
  <sheetViews>
    <sheetView view="pageLayout" zoomScale="70" zoomScaleNormal="110" zoomScalePageLayoutView="70" workbookViewId="0">
      <selection activeCell="J4" sqref="J4:J61"/>
    </sheetView>
  </sheetViews>
  <sheetFormatPr baseColWidth="10" defaultColWidth="8.83203125" defaultRowHeight="15" x14ac:dyDescent="0.2"/>
  <cols>
    <col min="1" max="1" width="17.1640625" customWidth="1"/>
    <col min="2" max="2" width="9.83203125" bestFit="1" customWidth="1"/>
    <col min="3" max="3" width="5.5" bestFit="1" customWidth="1"/>
    <col min="4" max="4" width="7.1640625" customWidth="1"/>
    <col min="5" max="5" width="7.1640625" bestFit="1" customWidth="1"/>
    <col min="6" max="6" width="7.5" bestFit="1" customWidth="1"/>
    <col min="7" max="7" width="2.1640625" customWidth="1"/>
    <col min="8" max="8" width="10.1640625" customWidth="1"/>
    <col min="9" max="9" width="5.6640625" customWidth="1"/>
    <col min="10" max="10" width="11" customWidth="1"/>
    <col min="11" max="11" width="10.5" customWidth="1"/>
    <col min="12" max="12" width="9.83203125" customWidth="1"/>
    <col min="13" max="13" width="7.5" bestFit="1" customWidth="1"/>
    <col min="14" max="14" width="1.5" customWidth="1"/>
    <col min="15" max="15" width="12.83203125" bestFit="1" customWidth="1"/>
    <col min="16" max="16" width="14" customWidth="1"/>
    <col min="17" max="17" width="1" customWidth="1"/>
    <col min="18" max="18" width="11.6640625" bestFit="1" customWidth="1"/>
    <col min="19" max="19" width="11.83203125" bestFit="1" customWidth="1"/>
    <col min="20" max="20" width="1.1640625" customWidth="1"/>
    <col min="21" max="21" width="8.83203125" bestFit="1" customWidth="1"/>
    <col min="22" max="22" width="9.6640625" bestFit="1" customWidth="1"/>
    <col min="23" max="23" width="18.33203125" bestFit="1" customWidth="1"/>
    <col min="24" max="24" width="6.5" customWidth="1"/>
  </cols>
  <sheetData>
    <row r="1" spans="1:28" ht="21" customHeight="1" x14ac:dyDescent="0.2">
      <c r="A1" s="208" t="s">
        <v>157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</row>
    <row r="2" spans="1:28" ht="45.75" customHeight="1" x14ac:dyDescent="0.2">
      <c r="A2" s="209" t="s">
        <v>149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</row>
    <row r="3" spans="1:28" x14ac:dyDescent="0.2">
      <c r="R3" s="207" t="s">
        <v>95</v>
      </c>
      <c r="S3" s="207"/>
      <c r="T3" s="43"/>
      <c r="U3" s="207" t="s">
        <v>96</v>
      </c>
      <c r="V3" s="207"/>
      <c r="W3" s="207"/>
    </row>
    <row r="4" spans="1:28" x14ac:dyDescent="0.2">
      <c r="B4" s="42" t="s">
        <v>27</v>
      </c>
      <c r="C4" s="40" t="s">
        <v>56</v>
      </c>
      <c r="D4" s="40" t="s">
        <v>57</v>
      </c>
      <c r="E4" s="41" t="s">
        <v>58</v>
      </c>
      <c r="F4" s="41" t="s">
        <v>59</v>
      </c>
      <c r="G4" s="43"/>
      <c r="H4" s="40" t="s">
        <v>56</v>
      </c>
      <c r="I4" s="44"/>
      <c r="J4" s="40" t="s">
        <v>16</v>
      </c>
      <c r="K4" s="40" t="s">
        <v>60</v>
      </c>
      <c r="L4" s="40" t="s">
        <v>17</v>
      </c>
      <c r="M4" s="40" t="s">
        <v>61</v>
      </c>
      <c r="O4" s="40" t="s">
        <v>76</v>
      </c>
      <c r="P4" s="40" t="s">
        <v>77</v>
      </c>
      <c r="R4" s="41" t="s">
        <v>78</v>
      </c>
      <c r="S4" s="41" t="s">
        <v>78</v>
      </c>
      <c r="U4" s="40" t="s">
        <v>78</v>
      </c>
      <c r="V4" s="40" t="s">
        <v>78</v>
      </c>
      <c r="W4" s="40" t="s">
        <v>87</v>
      </c>
    </row>
    <row r="5" spans="1:28" x14ac:dyDescent="0.2">
      <c r="B5" s="41" t="s">
        <v>30</v>
      </c>
      <c r="C5" s="41" t="s">
        <v>31</v>
      </c>
      <c r="D5" s="41" t="s">
        <v>31</v>
      </c>
      <c r="E5" s="41" t="s">
        <v>31</v>
      </c>
      <c r="F5" s="41" t="s">
        <v>31</v>
      </c>
      <c r="G5" s="43"/>
      <c r="H5" s="40" t="s">
        <v>29</v>
      </c>
      <c r="I5" s="44"/>
      <c r="J5" s="41" t="s">
        <v>31</v>
      </c>
      <c r="K5" s="41" t="s">
        <v>31</v>
      </c>
      <c r="L5" s="41" t="s">
        <v>31</v>
      </c>
      <c r="M5" s="41" t="s">
        <v>31</v>
      </c>
      <c r="O5" s="41" t="s">
        <v>31</v>
      </c>
      <c r="P5" s="41" t="s">
        <v>31</v>
      </c>
      <c r="R5" s="41" t="s">
        <v>79</v>
      </c>
      <c r="S5" s="41" t="s">
        <v>79</v>
      </c>
      <c r="U5" s="40" t="s">
        <v>84</v>
      </c>
      <c r="V5" s="40" t="s">
        <v>85</v>
      </c>
      <c r="W5" s="41" t="s">
        <v>88</v>
      </c>
    </row>
    <row r="6" spans="1:28" ht="48" x14ac:dyDescent="0.2">
      <c r="A6" s="17"/>
      <c r="B6" s="19" t="s">
        <v>28</v>
      </c>
      <c r="C6" s="18" t="s">
        <v>8</v>
      </c>
      <c r="D6" s="18" t="s">
        <v>8</v>
      </c>
      <c r="E6" s="19" t="s">
        <v>8</v>
      </c>
      <c r="F6" s="19" t="s">
        <v>8</v>
      </c>
      <c r="G6" s="20"/>
      <c r="H6" s="21" t="s">
        <v>143</v>
      </c>
      <c r="I6" s="22"/>
      <c r="J6" s="18" t="s">
        <v>13</v>
      </c>
      <c r="K6" s="18" t="s">
        <v>8</v>
      </c>
      <c r="L6" s="18" t="s">
        <v>13</v>
      </c>
      <c r="M6" s="18" t="s">
        <v>8</v>
      </c>
      <c r="O6" s="18" t="s">
        <v>8</v>
      </c>
      <c r="P6" s="18" t="s">
        <v>8</v>
      </c>
      <c r="R6" s="69" t="s">
        <v>156</v>
      </c>
      <c r="S6" s="3" t="s">
        <v>80</v>
      </c>
      <c r="U6" s="18" t="s">
        <v>86</v>
      </c>
      <c r="V6" s="18" t="s">
        <v>86</v>
      </c>
      <c r="W6" s="18" t="s">
        <v>86</v>
      </c>
      <c r="Y6" s="200" t="s">
        <v>181</v>
      </c>
    </row>
    <row r="7" spans="1:28" ht="16" x14ac:dyDescent="0.2">
      <c r="A7" s="1" t="s">
        <v>0</v>
      </c>
      <c r="C7" s="6"/>
      <c r="D7" s="6"/>
      <c r="H7" s="10"/>
      <c r="W7" s="37"/>
    </row>
    <row r="8" spans="1:28" x14ac:dyDescent="0.2">
      <c r="A8" s="2" t="s">
        <v>1</v>
      </c>
      <c r="B8" s="111">
        <v>204.980803196007</v>
      </c>
      <c r="C8" s="77">
        <v>16.01172380101201</v>
      </c>
      <c r="D8" s="79">
        <v>0.65657830170514253</v>
      </c>
      <c r="E8" s="82">
        <f>C8+D8</f>
        <v>16.668302102717153</v>
      </c>
      <c r="F8" s="82">
        <v>18.383019990603373</v>
      </c>
      <c r="H8" s="111">
        <v>251</v>
      </c>
      <c r="I8" s="10"/>
      <c r="J8" s="65">
        <v>128.98832071389089</v>
      </c>
      <c r="K8" s="77">
        <f>J8*H8/1000</f>
        <v>32.376068499186609</v>
      </c>
      <c r="L8" s="111">
        <v>180.9888007335</v>
      </c>
      <c r="M8" s="77">
        <f>L8*H8/1000</f>
        <v>45.428188984108502</v>
      </c>
      <c r="O8" s="82">
        <f>D8+K8</f>
        <v>33.032646800891754</v>
      </c>
      <c r="P8" s="82">
        <f>D8+M8</f>
        <v>46.084767285813648</v>
      </c>
      <c r="W8" s="65">
        <f>AVERAGE(J8,L8)</f>
        <v>154.98856072369546</v>
      </c>
      <c r="Y8" s="37">
        <f>1000*C8/J8</f>
        <v>124.13312858400282</v>
      </c>
    </row>
    <row r="9" spans="1:28" x14ac:dyDescent="0.2">
      <c r="A9" s="2" t="s">
        <v>2</v>
      </c>
      <c r="B9" s="111">
        <v>485</v>
      </c>
      <c r="C9" s="77">
        <v>100.41489455703709</v>
      </c>
      <c r="D9" s="80">
        <v>1.9523736462700469</v>
      </c>
      <c r="E9" s="82">
        <f t="shared" ref="E9:E15" si="0">C9+D9</f>
        <v>102.36726820330713</v>
      </c>
      <c r="F9" s="82">
        <v>107.02398919884065</v>
      </c>
      <c r="H9" s="111">
        <v>177</v>
      </c>
      <c r="I9" s="10"/>
      <c r="J9" s="65">
        <v>474.80587923990203</v>
      </c>
      <c r="K9" s="77">
        <f t="shared" ref="K9:K12" si="1">J9*H9/1000</f>
        <v>84.040640625462657</v>
      </c>
      <c r="L9" s="111">
        <v>377</v>
      </c>
      <c r="M9" s="77">
        <f t="shared" ref="M9:M12" si="2">L9*H9/1000</f>
        <v>66.728999999999999</v>
      </c>
      <c r="O9" s="82">
        <f t="shared" ref="O9:O12" si="3">D9+K9</f>
        <v>85.993014271732704</v>
      </c>
      <c r="P9" s="82">
        <f t="shared" ref="P9:P15" si="4">D9+M9</f>
        <v>68.681373646270046</v>
      </c>
      <c r="W9" s="65">
        <f t="shared" ref="W9:W14" si="5">AVERAGE(J9,L9)</f>
        <v>425.90293961995098</v>
      </c>
      <c r="Y9" s="37">
        <f t="shared" ref="Y9:Y15" si="6">1000*C9/J9</f>
        <v>211.48620720069289</v>
      </c>
    </row>
    <row r="10" spans="1:28" x14ac:dyDescent="0.2">
      <c r="A10" s="2" t="s">
        <v>3</v>
      </c>
      <c r="B10" s="111">
        <v>36.921198227783513</v>
      </c>
      <c r="C10" s="81">
        <v>0.95755870451857517</v>
      </c>
      <c r="D10" s="79">
        <v>0.12053998124932591</v>
      </c>
      <c r="E10" s="83">
        <f t="shared" si="0"/>
        <v>1.0780986857679011</v>
      </c>
      <c r="F10" s="83">
        <v>1.1811112117029507</v>
      </c>
      <c r="H10" s="111">
        <v>259</v>
      </c>
      <c r="I10" s="10"/>
      <c r="J10" s="80">
        <v>3.235526728183558</v>
      </c>
      <c r="K10" s="81">
        <f t="shared" si="1"/>
        <v>0.83800142259954158</v>
      </c>
      <c r="L10" s="114">
        <v>4.6901451574999999</v>
      </c>
      <c r="M10" s="81">
        <f t="shared" si="2"/>
        <v>1.2147475957925</v>
      </c>
      <c r="O10" s="83">
        <f t="shared" si="3"/>
        <v>0.95854140384886755</v>
      </c>
      <c r="P10" s="83">
        <f t="shared" si="4"/>
        <v>1.335287577041826</v>
      </c>
      <c r="W10" s="65">
        <f t="shared" si="5"/>
        <v>3.962835942841779</v>
      </c>
      <c r="Y10" s="37">
        <f t="shared" si="6"/>
        <v>295.95141223146493</v>
      </c>
    </row>
    <row r="11" spans="1:28" x14ac:dyDescent="0.2">
      <c r="A11" s="2" t="s">
        <v>4</v>
      </c>
      <c r="B11" s="111">
        <v>117.21609517589853</v>
      </c>
      <c r="C11" s="77">
        <v>20.89621856548095</v>
      </c>
      <c r="D11" s="80">
        <v>1.0672028771890236</v>
      </c>
      <c r="E11" s="82">
        <f t="shared" si="0"/>
        <v>21.963421442669976</v>
      </c>
      <c r="F11" s="82">
        <v>22.193108998148762</v>
      </c>
      <c r="H11" s="111">
        <v>255</v>
      </c>
      <c r="I11" s="10"/>
      <c r="J11" s="65">
        <v>118.50815675827299</v>
      </c>
      <c r="K11" s="77">
        <f t="shared" si="1"/>
        <v>30.219579973359611</v>
      </c>
      <c r="L11" s="111">
        <v>81.510549787499997</v>
      </c>
      <c r="M11" s="77">
        <f t="shared" si="2"/>
        <v>20.785190195812497</v>
      </c>
      <c r="O11" s="82">
        <f t="shared" si="3"/>
        <v>31.286782850548633</v>
      </c>
      <c r="P11" s="82">
        <f t="shared" si="4"/>
        <v>21.852393073001522</v>
      </c>
      <c r="W11" s="65">
        <f t="shared" si="5"/>
        <v>100.0093532728865</v>
      </c>
      <c r="Y11" s="37">
        <f t="shared" si="6"/>
        <v>176.32725997168291</v>
      </c>
    </row>
    <row r="12" spans="1:28" x14ac:dyDescent="0.2">
      <c r="A12" s="2" t="s">
        <v>5</v>
      </c>
      <c r="B12" s="111">
        <v>3</v>
      </c>
      <c r="C12" s="78">
        <v>5.3956688978243281E-2</v>
      </c>
      <c r="D12" s="79">
        <v>1.3206849460513207E-2</v>
      </c>
      <c r="E12" s="84">
        <f t="shared" si="0"/>
        <v>6.7163538438756484E-2</v>
      </c>
      <c r="F12" s="84">
        <v>7.0663176663886662E-2</v>
      </c>
      <c r="H12" s="112">
        <v>242</v>
      </c>
      <c r="I12" s="10"/>
      <c r="J12" s="80">
        <v>9.7446682078762212E-2</v>
      </c>
      <c r="K12" s="78">
        <f t="shared" si="1"/>
        <v>2.3582097063060456E-2</v>
      </c>
      <c r="L12" s="113">
        <v>0.12</v>
      </c>
      <c r="M12" s="78">
        <f t="shared" si="2"/>
        <v>2.904E-2</v>
      </c>
      <c r="O12" s="85">
        <f t="shared" si="3"/>
        <v>3.678894652357366E-2</v>
      </c>
      <c r="P12" s="84">
        <f t="shared" si="4"/>
        <v>4.2246849460513207E-2</v>
      </c>
      <c r="W12" s="72">
        <f t="shared" si="5"/>
        <v>0.10872334103938111</v>
      </c>
      <c r="X12" s="73" t="s">
        <v>93</v>
      </c>
      <c r="Y12" s="37">
        <f t="shared" si="6"/>
        <v>553.70473193363591</v>
      </c>
    </row>
    <row r="13" spans="1:28" x14ac:dyDescent="0.2">
      <c r="A13" s="2" t="s">
        <v>97</v>
      </c>
      <c r="B13" s="111">
        <v>86</v>
      </c>
      <c r="C13" s="77">
        <v>40.786946415908169</v>
      </c>
      <c r="D13" s="80">
        <v>1.1520123644249451</v>
      </c>
      <c r="E13" s="82">
        <f t="shared" si="0"/>
        <v>41.938958780333117</v>
      </c>
      <c r="F13" s="82">
        <v>39.547543136700774</v>
      </c>
      <c r="H13" s="112">
        <v>318</v>
      </c>
      <c r="I13" s="10"/>
      <c r="J13" s="65">
        <v>131.35701456257331</v>
      </c>
      <c r="K13" s="77">
        <f>J13*H13/1000</f>
        <v>41.771530630898312</v>
      </c>
      <c r="L13" s="111">
        <v>101</v>
      </c>
      <c r="M13" s="77">
        <f>L13*H13/1000</f>
        <v>32.118000000000002</v>
      </c>
      <c r="O13" s="82">
        <f>D13+K13</f>
        <v>42.92354299532326</v>
      </c>
      <c r="P13" s="82">
        <f t="shared" si="4"/>
        <v>33.27001236442495</v>
      </c>
      <c r="W13" s="65">
        <f t="shared" si="5"/>
        <v>116.17850728128666</v>
      </c>
      <c r="X13" s="6"/>
      <c r="Y13" s="37">
        <f t="shared" si="6"/>
        <v>310.5045174156183</v>
      </c>
    </row>
    <row r="14" spans="1:28" x14ac:dyDescent="0.2">
      <c r="A14" s="156" t="s">
        <v>105</v>
      </c>
      <c r="B14" s="136">
        <v>140.84107579462102</v>
      </c>
      <c r="C14" s="77">
        <v>33.5</v>
      </c>
      <c r="D14" s="79">
        <v>0.88</v>
      </c>
      <c r="E14" s="82">
        <f t="shared" si="0"/>
        <v>34.380000000000003</v>
      </c>
      <c r="F14" s="82">
        <v>34.6</v>
      </c>
      <c r="H14" s="145">
        <v>175</v>
      </c>
      <c r="I14" s="10"/>
      <c r="J14" s="77">
        <v>180</v>
      </c>
      <c r="K14" s="82">
        <f>J14*H14/1000</f>
        <v>31.5</v>
      </c>
      <c r="L14" s="136">
        <v>151</v>
      </c>
      <c r="M14" s="82">
        <f t="shared" ref="M14:M15" si="7">L14*H14/1000</f>
        <v>26.425000000000001</v>
      </c>
      <c r="O14" s="82">
        <f t="shared" ref="O14:O15" si="8">D14+K14</f>
        <v>32.380000000000003</v>
      </c>
      <c r="P14" s="82">
        <f t="shared" si="4"/>
        <v>27.305</v>
      </c>
      <c r="W14" s="65">
        <f t="shared" si="5"/>
        <v>165.5</v>
      </c>
      <c r="X14" s="6"/>
      <c r="Y14" s="37">
        <f t="shared" si="6"/>
        <v>186.11111111111111</v>
      </c>
    </row>
    <row r="15" spans="1:28" x14ac:dyDescent="0.2">
      <c r="A15" s="156" t="s">
        <v>151</v>
      </c>
      <c r="B15" s="136">
        <v>1044.0097799511002</v>
      </c>
      <c r="C15" s="77">
        <v>304.8</v>
      </c>
      <c r="D15" s="80">
        <v>6.87</v>
      </c>
      <c r="E15" s="82">
        <f t="shared" si="0"/>
        <v>311.67</v>
      </c>
      <c r="F15" s="82">
        <v>312.10000000000002</v>
      </c>
      <c r="H15" s="145">
        <v>265</v>
      </c>
      <c r="I15" s="10"/>
      <c r="J15" s="77">
        <v>1222</v>
      </c>
      <c r="K15" s="82">
        <f t="shared" ref="K15" si="9">J15*H15/1000</f>
        <v>323.83</v>
      </c>
      <c r="L15" s="136">
        <v>971</v>
      </c>
      <c r="M15" s="82">
        <f t="shared" si="7"/>
        <v>257.315</v>
      </c>
      <c r="O15" s="72">
        <f t="shared" si="8"/>
        <v>330.7</v>
      </c>
      <c r="P15" s="82">
        <f t="shared" si="4"/>
        <v>264.185</v>
      </c>
      <c r="W15" s="72">
        <f>AVERAGE(J15,L15)</f>
        <v>1096.5</v>
      </c>
      <c r="X15" s="73" t="s">
        <v>94</v>
      </c>
      <c r="Y15" s="37">
        <f t="shared" si="6"/>
        <v>249.42716857610475</v>
      </c>
    </row>
    <row r="16" spans="1:28" x14ac:dyDescent="0.2">
      <c r="A16" s="2" t="s">
        <v>152</v>
      </c>
      <c r="B16" s="155">
        <f>SUM(B8:B15)</f>
        <v>2117.9689523454099</v>
      </c>
      <c r="C16" s="158">
        <f>SUM(C8:C15)</f>
        <v>517.42129873293504</v>
      </c>
      <c r="D16" s="159">
        <f>SUM(D8:D15)</f>
        <v>12.711914020298998</v>
      </c>
      <c r="E16" s="160">
        <f>SUM(E8:E15)</f>
        <v>530.13321275323403</v>
      </c>
      <c r="F16" s="160">
        <f>SUM(F8:F15)</f>
        <v>535.09943571266035</v>
      </c>
      <c r="H16" s="13"/>
      <c r="I16" s="10" t="s">
        <v>26</v>
      </c>
      <c r="J16" s="155">
        <f>SUM(J8:J15)</f>
        <v>2258.9923446849016</v>
      </c>
      <c r="K16" s="157">
        <f>SUM(K8:K15)</f>
        <v>544.59940324856984</v>
      </c>
      <c r="L16" s="155">
        <f>SUM(L8:L15)</f>
        <v>1867.3094956784998</v>
      </c>
      <c r="M16" s="157">
        <f>SUM(M8:M15)</f>
        <v>450.04416677571351</v>
      </c>
      <c r="O16" s="160">
        <f>K16+$D$16</f>
        <v>557.31131726886883</v>
      </c>
      <c r="P16" s="160">
        <f>M16+$D$16</f>
        <v>462.7560807960125</v>
      </c>
      <c r="W16" s="155">
        <f>SUM(W8:W15)</f>
        <v>2063.1509201817007</v>
      </c>
      <c r="Y16" s="201">
        <f>1000*C16/J16</f>
        <v>229.04960255857273</v>
      </c>
      <c r="Z16" s="134"/>
      <c r="AA16" s="134"/>
      <c r="AB16" s="134"/>
    </row>
    <row r="17" spans="1:26" x14ac:dyDescent="0.2">
      <c r="A17" s="2" t="s">
        <v>152</v>
      </c>
      <c r="C17" s="31"/>
      <c r="D17" s="31"/>
      <c r="E17" s="31"/>
      <c r="F17" s="31"/>
      <c r="H17" s="111">
        <v>239</v>
      </c>
      <c r="I17" s="87" t="s">
        <v>153</v>
      </c>
      <c r="J17" s="155">
        <f>SUM(J8:J15)</f>
        <v>2258.9923446849016</v>
      </c>
      <c r="K17" s="157">
        <f>J17*H17/1000</f>
        <v>539.89917037969155</v>
      </c>
      <c r="L17" s="155">
        <f>SUM(L8:L15)</f>
        <v>1867.3094956784998</v>
      </c>
      <c r="M17" s="157">
        <f>L17*H17/1000</f>
        <v>446.28696946716144</v>
      </c>
      <c r="O17" s="160">
        <f>K17+$D$16</f>
        <v>552.61108439999055</v>
      </c>
      <c r="P17" s="160">
        <f>M17+$D$16</f>
        <v>458.99888348746043</v>
      </c>
      <c r="R17" s="24" t="s">
        <v>89</v>
      </c>
      <c r="S17" s="69" t="s">
        <v>154</v>
      </c>
      <c r="W17" s="69" t="s">
        <v>154</v>
      </c>
    </row>
    <row r="18" spans="1:26" ht="16" x14ac:dyDescent="0.2">
      <c r="A18" s="12" t="s">
        <v>11</v>
      </c>
      <c r="H18" s="10"/>
      <c r="I18" s="10"/>
      <c r="R18" s="160">
        <f>AVERAGE(E16,F16,O16,O17,P16,P17)</f>
        <v>516.15166906970444</v>
      </c>
      <c r="S18" s="161">
        <f>R18/8</f>
        <v>64.518958633713055</v>
      </c>
      <c r="U18" s="155">
        <f>J16/8</f>
        <v>282.3740430856127</v>
      </c>
      <c r="V18" s="155">
        <f>L16/8</f>
        <v>233.41368695981248</v>
      </c>
      <c r="W18" s="155">
        <f>AVERAGE(U18:V18)</f>
        <v>257.89386502271259</v>
      </c>
      <c r="X18" s="3" t="s">
        <v>91</v>
      </c>
      <c r="Z18" s="133"/>
    </row>
    <row r="19" spans="1:26" x14ac:dyDescent="0.2">
      <c r="A19" s="2" t="s">
        <v>1</v>
      </c>
      <c r="B19" s="111">
        <v>86.403555712866023</v>
      </c>
      <c r="C19" s="81">
        <v>1.8605728183919525</v>
      </c>
      <c r="D19" s="79">
        <v>0.30953340910397759</v>
      </c>
      <c r="E19" s="83">
        <f t="shared" ref="E19:E26" si="10">C19+D19</f>
        <v>2.1701062274959302</v>
      </c>
      <c r="F19" s="89">
        <v>4.2040737600343174</v>
      </c>
      <c r="H19" s="111">
        <v>318</v>
      </c>
      <c r="I19" s="10"/>
      <c r="J19" s="65">
        <v>32.549919974291456</v>
      </c>
      <c r="K19" s="81">
        <f>J19*H19/1000</f>
        <v>10.350874551824683</v>
      </c>
      <c r="L19" s="111">
        <v>36.182156569</v>
      </c>
      <c r="M19" s="77">
        <f>L19*H19/1000</f>
        <v>11.505925788942001</v>
      </c>
      <c r="O19" s="37"/>
      <c r="P19" s="37"/>
      <c r="W19" s="6"/>
      <c r="Y19" s="37">
        <f>1000*C19/J19</f>
        <v>57.160595782154559</v>
      </c>
    </row>
    <row r="20" spans="1:26" x14ac:dyDescent="0.2">
      <c r="A20" s="2" t="s">
        <v>2</v>
      </c>
      <c r="B20" s="111">
        <v>360</v>
      </c>
      <c r="C20" s="77">
        <v>29.555802976191064</v>
      </c>
      <c r="D20" s="79">
        <v>1.1361012431953779</v>
      </c>
      <c r="E20" s="82">
        <f t="shared" si="10"/>
        <v>30.691904219386441</v>
      </c>
      <c r="F20" s="90">
        <v>29.47715525729356</v>
      </c>
      <c r="H20" s="111">
        <v>217</v>
      </c>
      <c r="I20" s="10"/>
      <c r="J20" s="65">
        <v>106.47350303880529</v>
      </c>
      <c r="K20" s="77">
        <f t="shared" ref="K20:K26" si="11">J20*H20/1000</f>
        <v>23.10475015942075</v>
      </c>
      <c r="L20" s="111">
        <v>67</v>
      </c>
      <c r="M20" s="77">
        <f t="shared" ref="M20:M22" si="12">L20*H20/1000</f>
        <v>14.539</v>
      </c>
      <c r="Y20" s="37">
        <f t="shared" ref="Y20:Y26" si="13">1000*C20/J20</f>
        <v>277.58834012833381</v>
      </c>
    </row>
    <row r="21" spans="1:26" x14ac:dyDescent="0.2">
      <c r="A21" s="2" t="s">
        <v>3</v>
      </c>
      <c r="B21" s="111">
        <v>0</v>
      </c>
      <c r="C21" s="77">
        <v>0</v>
      </c>
      <c r="D21" s="65">
        <v>0</v>
      </c>
      <c r="E21" s="82">
        <f t="shared" si="10"/>
        <v>0</v>
      </c>
      <c r="F21" s="82">
        <v>0</v>
      </c>
      <c r="H21" s="111" t="s">
        <v>19</v>
      </c>
      <c r="I21" s="10"/>
      <c r="J21" s="65">
        <v>0</v>
      </c>
      <c r="K21" s="77" t="s">
        <v>19</v>
      </c>
      <c r="L21" s="128">
        <v>0</v>
      </c>
      <c r="M21" s="77" t="s">
        <v>19</v>
      </c>
      <c r="Y21" s="37"/>
    </row>
    <row r="22" spans="1:26" x14ac:dyDescent="0.2">
      <c r="A22" s="2" t="s">
        <v>4</v>
      </c>
      <c r="B22" s="111">
        <v>63.341694194967005</v>
      </c>
      <c r="C22" s="81">
        <v>5.3374381444468808</v>
      </c>
      <c r="D22" s="79">
        <v>0.60455298275131975</v>
      </c>
      <c r="E22" s="83">
        <f t="shared" si="10"/>
        <v>5.9419911271982002</v>
      </c>
      <c r="F22" s="83">
        <v>7.273280857549862</v>
      </c>
      <c r="H22" s="111">
        <v>243</v>
      </c>
      <c r="I22" s="10"/>
      <c r="J22" s="65">
        <v>26.955411214287164</v>
      </c>
      <c r="K22" s="81">
        <f t="shared" si="11"/>
        <v>6.5501649250717806</v>
      </c>
      <c r="L22" s="128">
        <v>33.764509210249997</v>
      </c>
      <c r="M22" s="81">
        <f t="shared" si="12"/>
        <v>8.2047757380907491</v>
      </c>
      <c r="Y22" s="37">
        <f t="shared" si="13"/>
        <v>198.00989500831213</v>
      </c>
    </row>
    <row r="23" spans="1:26" x14ac:dyDescent="0.2">
      <c r="A23" s="2" t="s">
        <v>5</v>
      </c>
      <c r="B23" s="111">
        <v>0</v>
      </c>
      <c r="C23" s="77">
        <v>0</v>
      </c>
      <c r="D23" s="65">
        <v>0</v>
      </c>
      <c r="E23" s="82">
        <f t="shared" si="10"/>
        <v>0</v>
      </c>
      <c r="F23" s="82">
        <v>0</v>
      </c>
      <c r="H23" s="112" t="s">
        <v>19</v>
      </c>
      <c r="I23" s="10"/>
      <c r="J23" s="65">
        <v>0</v>
      </c>
      <c r="K23" s="77">
        <v>0</v>
      </c>
      <c r="L23" s="111">
        <v>0</v>
      </c>
      <c r="M23" s="120">
        <v>0</v>
      </c>
      <c r="Y23" s="37"/>
    </row>
    <row r="24" spans="1:26" x14ac:dyDescent="0.2">
      <c r="A24" s="2" t="s">
        <v>97</v>
      </c>
      <c r="B24" s="111">
        <v>66.400000000000006</v>
      </c>
      <c r="C24" s="77">
        <v>11.435827675097746</v>
      </c>
      <c r="D24" s="79">
        <v>0.87672925131695278</v>
      </c>
      <c r="E24" s="82">
        <f t="shared" si="10"/>
        <v>12.312556926414699</v>
      </c>
      <c r="F24" s="82">
        <v>14.391644431945521</v>
      </c>
      <c r="H24" s="112">
        <v>356</v>
      </c>
      <c r="I24" s="10"/>
      <c r="J24" s="65">
        <v>31.091611338211866</v>
      </c>
      <c r="K24" s="81">
        <f t="shared" si="11"/>
        <v>11.068613636403425</v>
      </c>
      <c r="L24" s="111">
        <v>23.2</v>
      </c>
      <c r="M24" s="81">
        <f>L24*H24/1000</f>
        <v>8.2591999999999981</v>
      </c>
      <c r="Y24" s="37">
        <f t="shared" si="13"/>
        <v>367.81071108537282</v>
      </c>
    </row>
    <row r="25" spans="1:26" x14ac:dyDescent="0.2">
      <c r="A25" s="2" t="s">
        <v>105</v>
      </c>
      <c r="B25" s="111">
        <v>61.2</v>
      </c>
      <c r="C25" s="81">
        <v>3.8</v>
      </c>
      <c r="D25" s="79">
        <v>0.46</v>
      </c>
      <c r="E25" s="83">
        <f t="shared" si="10"/>
        <v>4.26</v>
      </c>
      <c r="F25" s="83">
        <v>4.2</v>
      </c>
      <c r="H25" s="145">
        <v>203</v>
      </c>
      <c r="I25" s="10"/>
      <c r="J25" s="65">
        <v>16</v>
      </c>
      <c r="K25" s="81">
        <f t="shared" si="11"/>
        <v>3.2480000000000002</v>
      </c>
      <c r="L25" s="154">
        <v>13.530664274999999</v>
      </c>
      <c r="M25" s="81">
        <f t="shared" ref="M25:M26" si="14">L25*H25/1000</f>
        <v>2.7467248478249999</v>
      </c>
      <c r="Y25" s="37">
        <f t="shared" si="13"/>
        <v>237.5</v>
      </c>
    </row>
    <row r="26" spans="1:26" x14ac:dyDescent="0.2">
      <c r="A26" s="2" t="s">
        <v>151</v>
      </c>
      <c r="B26" s="111">
        <v>1026.16425</v>
      </c>
      <c r="C26" s="77">
        <v>111.4</v>
      </c>
      <c r="D26" s="79">
        <v>4.1900000000000004</v>
      </c>
      <c r="E26" s="82">
        <f t="shared" si="10"/>
        <v>115.59</v>
      </c>
      <c r="F26" s="82">
        <v>116.4</v>
      </c>
      <c r="H26" s="145">
        <v>237</v>
      </c>
      <c r="I26" s="10"/>
      <c r="J26" s="65">
        <v>287</v>
      </c>
      <c r="K26" s="77">
        <f t="shared" si="11"/>
        <v>68.019000000000005</v>
      </c>
      <c r="L26" s="154">
        <v>277.52694238499998</v>
      </c>
      <c r="M26" s="77">
        <f t="shared" si="14"/>
        <v>65.773885345244992</v>
      </c>
      <c r="Y26" s="37">
        <f t="shared" si="13"/>
        <v>388.15331010452962</v>
      </c>
    </row>
    <row r="27" spans="1:26" x14ac:dyDescent="0.2">
      <c r="A27" s="2" t="s">
        <v>152</v>
      </c>
      <c r="B27" s="155">
        <f>SUM(B19:B26)</f>
        <v>1663.5094999078331</v>
      </c>
      <c r="C27" s="158">
        <f>SUM(C19:C26)</f>
        <v>163.38964161412764</v>
      </c>
      <c r="D27" s="159">
        <f>SUM(D19:D26)</f>
        <v>7.5769168863676288</v>
      </c>
      <c r="E27" s="160">
        <f>SUM(E19:E26)</f>
        <v>170.96655850049527</v>
      </c>
      <c r="F27" s="160">
        <f>SUM(F19:F26)</f>
        <v>175.94615430682327</v>
      </c>
      <c r="H27" s="3"/>
      <c r="I27" s="10" t="s">
        <v>26</v>
      </c>
      <c r="J27" s="155">
        <f>SUM(J19:J26)</f>
        <v>500.07044556559578</v>
      </c>
      <c r="K27" s="157">
        <f>SUM(K19:K26)</f>
        <v>122.34140327272064</v>
      </c>
      <c r="L27" s="155">
        <f>SUM(L19:L26)</f>
        <v>451.20427243924996</v>
      </c>
      <c r="M27" s="157">
        <f>SUM(M19:M26)</f>
        <v>111.02951172010275</v>
      </c>
      <c r="Y27" s="201">
        <f>1000*C27/J27</f>
        <v>326.73324941114788</v>
      </c>
      <c r="Z27" s="134">
        <f>D27/E27</f>
        <v>4.4318122519531676E-2</v>
      </c>
    </row>
    <row r="28" spans="1:26" x14ac:dyDescent="0.2">
      <c r="A28" s="2" t="s">
        <v>152</v>
      </c>
      <c r="B28" s="37"/>
      <c r="C28" s="31"/>
      <c r="D28" s="32"/>
      <c r="E28" s="31"/>
      <c r="F28" s="31"/>
      <c r="H28" s="111">
        <v>236</v>
      </c>
      <c r="I28" s="87" t="s">
        <v>153</v>
      </c>
      <c r="J28" s="155">
        <f>SUM(J19:J26)</f>
        <v>500.07044556559578</v>
      </c>
      <c r="K28" s="157">
        <f>J28*H28/1000</f>
        <v>118.0166251534806</v>
      </c>
      <c r="L28" s="155">
        <f>SUM(L19:L26)</f>
        <v>451.20427243924996</v>
      </c>
      <c r="M28" s="157">
        <f>L28*H28/1000</f>
        <v>106.484208295663</v>
      </c>
    </row>
    <row r="29" spans="1:26" ht="16" x14ac:dyDescent="0.2">
      <c r="A29" s="12" t="s">
        <v>12</v>
      </c>
      <c r="B29" s="37"/>
      <c r="D29" s="35"/>
      <c r="H29" s="10"/>
      <c r="I29" s="10"/>
      <c r="J29" s="9"/>
    </row>
    <row r="30" spans="1:26" x14ac:dyDescent="0.2">
      <c r="A30" s="2" t="s">
        <v>1</v>
      </c>
      <c r="B30" s="111">
        <v>85</v>
      </c>
      <c r="C30" s="81">
        <v>2.0396671218260911</v>
      </c>
      <c r="D30" s="79">
        <v>0.32692617285513415</v>
      </c>
      <c r="E30" s="83">
        <f>C30+D30</f>
        <v>2.3665932946812251</v>
      </c>
      <c r="F30" s="83">
        <v>2.2613608025897083</v>
      </c>
      <c r="H30" s="111">
        <v>318</v>
      </c>
      <c r="I30" s="10"/>
      <c r="J30" s="80">
        <v>8.6366006431364646</v>
      </c>
      <c r="K30" s="81">
        <f>J30*H30/1000</f>
        <v>2.7464390045173959</v>
      </c>
      <c r="L30" s="114">
        <v>6.0563653909999999</v>
      </c>
      <c r="M30" s="81">
        <f>L30*H30/1000</f>
        <v>1.9259241943380001</v>
      </c>
      <c r="Y30" s="37">
        <f>1000*C30/J30</f>
        <v>236.16550146347467</v>
      </c>
    </row>
    <row r="31" spans="1:26" x14ac:dyDescent="0.2">
      <c r="A31" s="2" t="s">
        <v>2</v>
      </c>
      <c r="B31" s="111">
        <v>95.92362156151502</v>
      </c>
      <c r="C31" s="81">
        <v>2.600359501926008</v>
      </c>
      <c r="D31" s="79">
        <v>0.39427387513220158</v>
      </c>
      <c r="E31" s="83">
        <f t="shared" ref="E31:E37" si="15">C31+D31</f>
        <v>2.9946333770582094</v>
      </c>
      <c r="F31" s="83">
        <v>2.9160440207634171</v>
      </c>
      <c r="H31" s="111">
        <v>266</v>
      </c>
      <c r="I31" s="10"/>
      <c r="J31" s="65">
        <v>10.90510901793011</v>
      </c>
      <c r="K31" s="81">
        <f t="shared" ref="K31:K37" si="16">J31*H31/1000</f>
        <v>2.9007589987694091</v>
      </c>
      <c r="L31" s="111">
        <v>20.282836640500001</v>
      </c>
      <c r="M31" s="81">
        <f t="shared" ref="M31:M37" si="17">L31*H31/1000</f>
        <v>5.3952345463730005</v>
      </c>
      <c r="Y31" s="37">
        <f t="shared" ref="Y31:Y37" si="18">1000*C31/J31</f>
        <v>238.4533247352698</v>
      </c>
    </row>
    <row r="32" spans="1:26" x14ac:dyDescent="0.2">
      <c r="A32" s="2" t="s">
        <v>3</v>
      </c>
      <c r="B32" s="111">
        <v>22.120468177770004</v>
      </c>
      <c r="C32" s="78">
        <v>0.39218615283164415</v>
      </c>
      <c r="D32" s="68">
        <v>6.6343788062598871E-2</v>
      </c>
      <c r="E32" s="84">
        <f t="shared" si="15"/>
        <v>0.45852994089424304</v>
      </c>
      <c r="F32" s="84">
        <v>0.43900163833838735</v>
      </c>
      <c r="H32" s="111">
        <v>348</v>
      </c>
      <c r="I32" s="10"/>
      <c r="J32" s="80">
        <v>1.4993947187134875</v>
      </c>
      <c r="K32" s="78">
        <f t="shared" si="16"/>
        <v>0.52178936211229365</v>
      </c>
      <c r="L32" s="114">
        <v>1.3417262452499998</v>
      </c>
      <c r="M32" s="81">
        <f t="shared" si="17"/>
        <v>0.46692073334699996</v>
      </c>
      <c r="Y32" s="37">
        <f t="shared" si="18"/>
        <v>261.56298133966231</v>
      </c>
    </row>
    <row r="33" spans="1:26" x14ac:dyDescent="0.2">
      <c r="A33" s="2" t="s">
        <v>4</v>
      </c>
      <c r="B33" s="111">
        <v>39</v>
      </c>
      <c r="C33" s="81">
        <v>1.357878877736423</v>
      </c>
      <c r="D33" s="79">
        <v>0.26491630098859675</v>
      </c>
      <c r="E33" s="83">
        <f t="shared" si="15"/>
        <v>1.6227951787250197</v>
      </c>
      <c r="F33" s="83">
        <v>1.7211063781500415</v>
      </c>
      <c r="H33" s="111">
        <v>286</v>
      </c>
      <c r="I33" s="10"/>
      <c r="J33" s="80">
        <v>6.8628830510398151</v>
      </c>
      <c r="K33" s="81">
        <f t="shared" si="16"/>
        <v>1.962784552597387</v>
      </c>
      <c r="L33" s="114">
        <v>9.1</v>
      </c>
      <c r="M33" s="81">
        <f t="shared" si="17"/>
        <v>2.6025999999999998</v>
      </c>
      <c r="Y33" s="37">
        <f t="shared" si="18"/>
        <v>197.85837346167321</v>
      </c>
    </row>
    <row r="34" spans="1:26" x14ac:dyDescent="0.2">
      <c r="A34" s="2" t="s">
        <v>5</v>
      </c>
      <c r="B34" s="113">
        <v>0.65</v>
      </c>
      <c r="C34" s="78">
        <v>6.9051968526170583E-3</v>
      </c>
      <c r="D34" s="68">
        <v>1.3542197739822663E-3</v>
      </c>
      <c r="E34" s="84">
        <f t="shared" si="15"/>
        <v>8.2594166265993248E-3</v>
      </c>
      <c r="F34" s="84">
        <v>8.7192529424556173E-3</v>
      </c>
      <c r="H34" s="112" t="s">
        <v>19</v>
      </c>
      <c r="I34" s="10"/>
      <c r="J34" s="68">
        <v>7.9978643134320793E-3</v>
      </c>
      <c r="K34" s="77">
        <v>0</v>
      </c>
      <c r="L34" s="113">
        <v>1.0999999999999999E-2</v>
      </c>
      <c r="M34" s="77">
        <v>0</v>
      </c>
      <c r="Y34" s="37">
        <f t="shared" si="18"/>
        <v>863.38009523618302</v>
      </c>
    </row>
    <row r="35" spans="1:26" x14ac:dyDescent="0.2">
      <c r="A35" s="2" t="s">
        <v>97</v>
      </c>
      <c r="B35" s="111">
        <v>17</v>
      </c>
      <c r="C35" s="78">
        <v>0.50432168912935516</v>
      </c>
      <c r="D35" s="79">
        <v>0.15667492513608966</v>
      </c>
      <c r="E35" s="84">
        <f t="shared" si="15"/>
        <v>0.66099661426544487</v>
      </c>
      <c r="F35" s="84">
        <v>0.60300058336390028</v>
      </c>
      <c r="H35" s="112">
        <v>304</v>
      </c>
      <c r="I35" s="10"/>
      <c r="J35" s="80">
        <v>2.0142125145273369</v>
      </c>
      <c r="K35" s="81">
        <f t="shared" si="16"/>
        <v>0.61232060441631042</v>
      </c>
      <c r="L35" s="114">
        <v>3.8</v>
      </c>
      <c r="M35" s="81">
        <f t="shared" si="17"/>
        <v>1.1552</v>
      </c>
      <c r="Y35" s="37">
        <f t="shared" si="18"/>
        <v>250.3815687232493</v>
      </c>
    </row>
    <row r="36" spans="1:26" x14ac:dyDescent="0.2">
      <c r="A36" s="2" t="s">
        <v>105</v>
      </c>
      <c r="B36" s="111">
        <v>52.023969000000001</v>
      </c>
      <c r="C36" s="81">
        <v>3.51</v>
      </c>
      <c r="D36" s="79">
        <v>0.35</v>
      </c>
      <c r="E36" s="83">
        <f t="shared" si="15"/>
        <v>3.86</v>
      </c>
      <c r="F36" s="83">
        <v>3.83</v>
      </c>
      <c r="H36" s="145">
        <v>217</v>
      </c>
      <c r="I36" s="10"/>
      <c r="J36" s="80">
        <v>15.6</v>
      </c>
      <c r="K36" s="81">
        <f t="shared" si="16"/>
        <v>3.3851999999999998</v>
      </c>
      <c r="L36" s="137">
        <v>8.7788292450000007</v>
      </c>
      <c r="M36" s="81">
        <f t="shared" si="17"/>
        <v>1.905005946165</v>
      </c>
      <c r="Y36" s="37">
        <f t="shared" si="18"/>
        <v>225</v>
      </c>
    </row>
    <row r="37" spans="1:26" x14ac:dyDescent="0.2">
      <c r="A37" s="2" t="s">
        <v>151</v>
      </c>
      <c r="B37" s="111">
        <v>31.800677832000002</v>
      </c>
      <c r="C37" s="78">
        <v>0.46</v>
      </c>
      <c r="D37" s="79">
        <v>0.17</v>
      </c>
      <c r="E37" s="84">
        <f t="shared" si="15"/>
        <v>0.63</v>
      </c>
      <c r="F37" s="84">
        <v>0.56999999999999995</v>
      </c>
      <c r="H37" s="145">
        <v>366</v>
      </c>
      <c r="I37" s="10"/>
      <c r="J37" s="80">
        <v>1.7</v>
      </c>
      <c r="K37" s="81">
        <f t="shared" si="16"/>
        <v>0.62219999999999998</v>
      </c>
      <c r="L37" s="137">
        <v>1.3108823250000001</v>
      </c>
      <c r="M37" s="81">
        <f t="shared" si="17"/>
        <v>0.47978293095000002</v>
      </c>
      <c r="Y37" s="37">
        <f t="shared" si="18"/>
        <v>270.58823529411768</v>
      </c>
    </row>
    <row r="38" spans="1:26" x14ac:dyDescent="0.2">
      <c r="A38" s="2" t="s">
        <v>152</v>
      </c>
      <c r="B38" s="155">
        <f>SUM(B30:B37)</f>
        <v>343.51873657128505</v>
      </c>
      <c r="C38" s="158">
        <f>SUM(C30:C37)</f>
        <v>10.87131854030214</v>
      </c>
      <c r="D38" s="159">
        <f>SUM(D30:D37)</f>
        <v>1.7304892819486031</v>
      </c>
      <c r="E38" s="160">
        <f>SUM(E30:E37)</f>
        <v>12.601807822250741</v>
      </c>
      <c r="F38" s="160">
        <f>SUM(F30:F37)</f>
        <v>12.34923267614791</v>
      </c>
      <c r="H38" s="3"/>
      <c r="I38" s="10" t="s">
        <v>26</v>
      </c>
      <c r="J38" s="155">
        <f>SUM(J30:J37)</f>
        <v>47.226197809660654</v>
      </c>
      <c r="K38" s="15">
        <f>SUM(K30:K37)</f>
        <v>12.751492522412796</v>
      </c>
      <c r="L38" s="155">
        <f>SUM(L30:L37)</f>
        <v>50.681639846750009</v>
      </c>
      <c r="M38" s="16">
        <f>SUM(M30:M37)</f>
        <v>13.930668351173001</v>
      </c>
      <c r="Y38" s="201">
        <f>1000*C38/J38</f>
        <v>230.19677730817213</v>
      </c>
      <c r="Z38" s="134">
        <f>D38/E38</f>
        <v>0.13732071670646456</v>
      </c>
    </row>
    <row r="39" spans="1:26" x14ac:dyDescent="0.2">
      <c r="A39" s="2" t="s">
        <v>152</v>
      </c>
      <c r="B39" s="37"/>
      <c r="C39" s="31"/>
      <c r="D39" s="32"/>
      <c r="E39" s="31"/>
      <c r="F39" s="31"/>
      <c r="H39" s="111">
        <v>280</v>
      </c>
      <c r="I39" s="87" t="s">
        <v>153</v>
      </c>
      <c r="J39" s="155">
        <f>SUM(J30:J37)</f>
        <v>47.226197809660654</v>
      </c>
      <c r="K39" s="15">
        <f>J39*H39/1000</f>
        <v>13.223335386704983</v>
      </c>
      <c r="L39" s="155">
        <f>SUM(L30:L37)</f>
        <v>50.681639846750009</v>
      </c>
      <c r="M39" s="16">
        <f>L39*H39/1000</f>
        <v>14.190859157090003</v>
      </c>
    </row>
    <row r="40" spans="1:26" ht="16" x14ac:dyDescent="0.2">
      <c r="A40" s="14" t="s">
        <v>25</v>
      </c>
      <c r="B40" s="37"/>
      <c r="D40" s="35"/>
      <c r="H40" s="10"/>
      <c r="I40" s="10"/>
    </row>
    <row r="41" spans="1:26" x14ac:dyDescent="0.2">
      <c r="A41" s="2" t="s">
        <v>1</v>
      </c>
      <c r="B41" s="111">
        <f>SUM(B19,B30)</f>
        <v>171.40355571286602</v>
      </c>
      <c r="C41" s="81">
        <f t="shared" ref="C41:C45" si="19">C19+C30</f>
        <v>3.9002399402180439</v>
      </c>
      <c r="D41" s="79">
        <f t="shared" ref="D41:F41" si="20">D19+D30</f>
        <v>0.63645958195911168</v>
      </c>
      <c r="E41" s="83">
        <f t="shared" si="20"/>
        <v>4.5366995221771553</v>
      </c>
      <c r="F41" s="83">
        <f t="shared" si="20"/>
        <v>6.4654345626240257</v>
      </c>
      <c r="H41" s="13"/>
      <c r="I41" s="10"/>
      <c r="J41" s="65">
        <f>J19+J30</f>
        <v>41.186520617427917</v>
      </c>
      <c r="K41" s="77">
        <f t="shared" ref="K41:M41" si="21">K19+K30</f>
        <v>13.09731355634208</v>
      </c>
      <c r="L41" s="111">
        <f>L19+L30</f>
        <v>42.23852196</v>
      </c>
      <c r="M41" s="77">
        <f t="shared" si="21"/>
        <v>13.431849983280001</v>
      </c>
      <c r="O41" s="90">
        <f>D41+K41</f>
        <v>13.733773138301192</v>
      </c>
      <c r="P41" s="90">
        <f>D41+M41</f>
        <v>14.068309565239113</v>
      </c>
      <c r="W41" s="77">
        <f>AVERAGE(J41,L41)</f>
        <v>41.712521288713958</v>
      </c>
      <c r="Y41" s="37">
        <f>1000*C41/J41</f>
        <v>94.696999934674565</v>
      </c>
    </row>
    <row r="42" spans="1:26" x14ac:dyDescent="0.2">
      <c r="A42" s="2" t="s">
        <v>2</v>
      </c>
      <c r="B42" s="111">
        <f>SUM(B20,B31)</f>
        <v>455.92362156151501</v>
      </c>
      <c r="C42" s="81">
        <f t="shared" si="19"/>
        <v>32.156162478117075</v>
      </c>
      <c r="D42" s="80">
        <f t="shared" ref="D42:F42" si="22">D20+D31</f>
        <v>1.5303751183275796</v>
      </c>
      <c r="E42" s="82">
        <f t="shared" si="22"/>
        <v>33.686537596444651</v>
      </c>
      <c r="F42" s="82">
        <f t="shared" si="22"/>
        <v>32.393199278056976</v>
      </c>
      <c r="H42" s="13"/>
      <c r="I42" s="10"/>
      <c r="J42" s="65">
        <f t="shared" ref="J42:M42" si="23">J20+J31</f>
        <v>117.37861205673541</v>
      </c>
      <c r="K42" s="77">
        <f t="shared" si="23"/>
        <v>26.005509158190158</v>
      </c>
      <c r="L42" s="111">
        <f t="shared" si="23"/>
        <v>87.282836640499994</v>
      </c>
      <c r="M42" s="77">
        <f t="shared" si="23"/>
        <v>19.934234546372998</v>
      </c>
      <c r="O42" s="90">
        <f t="shared" ref="O42:O45" si="24">D42+K42</f>
        <v>27.535884276517738</v>
      </c>
      <c r="P42" s="90">
        <f t="shared" ref="P42:P45" si="25">D42+M42</f>
        <v>21.464609664700578</v>
      </c>
      <c r="W42" s="77">
        <f t="shared" ref="W42:W45" si="26">AVERAGE(J42,L42)</f>
        <v>102.33072434861771</v>
      </c>
      <c r="Y42" s="37">
        <f t="shared" ref="Y42:Y48" si="27">1000*C42/J42</f>
        <v>273.95248516462499</v>
      </c>
    </row>
    <row r="43" spans="1:26" x14ac:dyDescent="0.2">
      <c r="A43" s="2" t="s">
        <v>3</v>
      </c>
      <c r="B43" s="111">
        <f>SUM(B21,B32)</f>
        <v>22.120468177770004</v>
      </c>
      <c r="C43" s="78">
        <f t="shared" si="19"/>
        <v>0.39218615283164415</v>
      </c>
      <c r="D43" s="68">
        <f t="shared" ref="D43:F43" si="28">D21+D32</f>
        <v>6.6343788062598871E-2</v>
      </c>
      <c r="E43" s="84">
        <f t="shared" si="28"/>
        <v>0.45852994089424304</v>
      </c>
      <c r="F43" s="84">
        <f t="shared" si="28"/>
        <v>0.43900163833838735</v>
      </c>
      <c r="H43" s="13"/>
      <c r="I43" s="10"/>
      <c r="J43" s="80">
        <f t="shared" ref="J43:L43" si="29">J21+J32</f>
        <v>1.4993947187134875</v>
      </c>
      <c r="K43" s="81">
        <f>K32</f>
        <v>0.52178936211229365</v>
      </c>
      <c r="L43" s="114">
        <f t="shared" si="29"/>
        <v>1.3417262452499998</v>
      </c>
      <c r="M43" s="81">
        <f>M32</f>
        <v>0.46692073334699996</v>
      </c>
      <c r="O43" s="89">
        <f t="shared" si="24"/>
        <v>0.58813315017489254</v>
      </c>
      <c r="P43" s="89">
        <f t="shared" si="25"/>
        <v>0.53326452140959879</v>
      </c>
      <c r="W43" s="77">
        <f t="shared" si="26"/>
        <v>1.4205604819817437</v>
      </c>
      <c r="Y43" s="37">
        <f t="shared" si="27"/>
        <v>261.56298133966231</v>
      </c>
    </row>
    <row r="44" spans="1:26" x14ac:dyDescent="0.2">
      <c r="A44" s="2" t="s">
        <v>4</v>
      </c>
      <c r="B44" s="111">
        <f>SUM(B22,B33)</f>
        <v>102.341694194967</v>
      </c>
      <c r="C44" s="81">
        <f t="shared" si="19"/>
        <v>6.6953170221833034</v>
      </c>
      <c r="D44" s="79">
        <f t="shared" ref="D44:F44" si="30">D22+D33</f>
        <v>0.8694692837399165</v>
      </c>
      <c r="E44" s="83">
        <f t="shared" si="30"/>
        <v>7.5647863059232199</v>
      </c>
      <c r="F44" s="83">
        <f t="shared" si="30"/>
        <v>8.9943872356999037</v>
      </c>
      <c r="H44" s="13"/>
      <c r="I44" s="10"/>
      <c r="J44" s="65">
        <f t="shared" ref="J44:M44" si="31">J22+J33</f>
        <v>33.818294265326976</v>
      </c>
      <c r="K44" s="81">
        <f t="shared" si="31"/>
        <v>8.5129494776691672</v>
      </c>
      <c r="L44" s="111">
        <f t="shared" si="31"/>
        <v>42.864509210249999</v>
      </c>
      <c r="M44" s="77">
        <f t="shared" si="31"/>
        <v>10.807375738090748</v>
      </c>
      <c r="O44" s="90">
        <f t="shared" si="24"/>
        <v>9.3824187614090846</v>
      </c>
      <c r="P44" s="90">
        <f t="shared" si="25"/>
        <v>11.676845021830665</v>
      </c>
      <c r="W44" s="77">
        <f t="shared" si="26"/>
        <v>38.341401737788487</v>
      </c>
      <c r="Y44" s="37">
        <f t="shared" si="27"/>
        <v>197.97914612884065</v>
      </c>
    </row>
    <row r="45" spans="1:26" x14ac:dyDescent="0.2">
      <c r="A45" s="2" t="s">
        <v>5</v>
      </c>
      <c r="B45" s="114">
        <f t="shared" ref="B45:B48" si="32">SUM(B23,B34)</f>
        <v>0.65</v>
      </c>
      <c r="C45" s="78">
        <f t="shared" si="19"/>
        <v>6.9051968526170583E-3</v>
      </c>
      <c r="D45" s="68">
        <f t="shared" ref="D45:F45" si="33">D23+D34</f>
        <v>1.3542197739822663E-3</v>
      </c>
      <c r="E45" s="84">
        <f t="shared" si="33"/>
        <v>8.2594166265993248E-3</v>
      </c>
      <c r="F45" s="84">
        <f t="shared" si="33"/>
        <v>8.7192529424556173E-3</v>
      </c>
      <c r="H45" s="3"/>
      <c r="I45" s="10"/>
      <c r="J45" s="68">
        <f t="shared" ref="J45:M45" si="34">J23+J34</f>
        <v>7.9978643134320793E-3</v>
      </c>
      <c r="K45" s="77">
        <f t="shared" si="34"/>
        <v>0</v>
      </c>
      <c r="L45" s="113">
        <f t="shared" si="34"/>
        <v>1.0999999999999999E-2</v>
      </c>
      <c r="M45" s="120">
        <f t="shared" si="34"/>
        <v>0</v>
      </c>
      <c r="O45" s="89">
        <f t="shared" si="24"/>
        <v>1.3542197739822663E-3</v>
      </c>
      <c r="P45" s="89">
        <f t="shared" si="25"/>
        <v>1.3542197739822663E-3</v>
      </c>
      <c r="W45" s="77">
        <f t="shared" si="26"/>
        <v>9.4989321567160393E-3</v>
      </c>
      <c r="Y45" s="37">
        <f t="shared" si="27"/>
        <v>863.38009523618302</v>
      </c>
    </row>
    <row r="46" spans="1:26" x14ac:dyDescent="0.2">
      <c r="A46" s="2" t="s">
        <v>97</v>
      </c>
      <c r="B46" s="111">
        <f t="shared" si="32"/>
        <v>83.4</v>
      </c>
      <c r="C46" s="81">
        <f>C24+C35</f>
        <v>11.940149364227102</v>
      </c>
      <c r="D46" s="80">
        <f t="shared" ref="D46:E46" si="35">D24+D35</f>
        <v>1.0334041764530424</v>
      </c>
      <c r="E46" s="82">
        <f t="shared" si="35"/>
        <v>12.973553540680143</v>
      </c>
      <c r="F46" s="82">
        <f>F24+F35</f>
        <v>14.994645015309422</v>
      </c>
      <c r="H46" s="5"/>
      <c r="I46" s="10"/>
      <c r="J46" s="65">
        <f>J24+J35</f>
        <v>33.105823852739206</v>
      </c>
      <c r="K46" s="77">
        <f>K24+K35</f>
        <v>11.680934240819736</v>
      </c>
      <c r="L46" s="111">
        <f>L24+L35</f>
        <v>27</v>
      </c>
      <c r="M46" s="81">
        <f>M24+M35</f>
        <v>9.4143999999999988</v>
      </c>
      <c r="O46" s="90">
        <f>D46+K46</f>
        <v>12.714338417272778</v>
      </c>
      <c r="P46" s="90">
        <f>D46+M46</f>
        <v>10.44780417645304</v>
      </c>
      <c r="W46" s="77">
        <f>AVERAGE(J46,L46)</f>
        <v>30.052911926369603</v>
      </c>
      <c r="Y46" s="37">
        <f t="shared" si="27"/>
        <v>360.66612984286638</v>
      </c>
    </row>
    <row r="47" spans="1:26" x14ac:dyDescent="0.2">
      <c r="A47" s="2" t="s">
        <v>105</v>
      </c>
      <c r="B47" s="136">
        <f t="shared" si="32"/>
        <v>113.22396900000001</v>
      </c>
      <c r="C47" s="81">
        <f t="shared" ref="C47:F47" si="36">C25+C36</f>
        <v>7.31</v>
      </c>
      <c r="D47" s="80">
        <f t="shared" si="36"/>
        <v>0.81</v>
      </c>
      <c r="E47" s="83">
        <f t="shared" si="36"/>
        <v>8.1199999999999992</v>
      </c>
      <c r="F47" s="82">
        <f t="shared" si="36"/>
        <v>8.0300000000000011</v>
      </c>
      <c r="H47" s="5"/>
      <c r="I47" s="10"/>
      <c r="J47" s="65">
        <f t="shared" ref="J47:K47" si="37">J25+J36</f>
        <v>31.6</v>
      </c>
      <c r="K47" s="77">
        <f t="shared" si="37"/>
        <v>6.6332000000000004</v>
      </c>
      <c r="L47" s="136">
        <f t="shared" ref="L47:M48" si="38">L25+L36</f>
        <v>22.30949352</v>
      </c>
      <c r="M47" s="81">
        <f t="shared" si="38"/>
        <v>4.6517307939899997</v>
      </c>
      <c r="O47" s="90">
        <f t="shared" ref="O47:O48" si="39">D47+K47</f>
        <v>7.4432000000000009</v>
      </c>
      <c r="P47" s="90">
        <f t="shared" ref="P47:P48" si="40">D47+M47</f>
        <v>5.4617307939900002</v>
      </c>
      <c r="W47" s="77">
        <f t="shared" ref="W47:W48" si="41">AVERAGE(J47,L47)</f>
        <v>26.954746759999999</v>
      </c>
      <c r="Y47" s="37">
        <f t="shared" si="27"/>
        <v>231.32911392405063</v>
      </c>
    </row>
    <row r="48" spans="1:26" x14ac:dyDescent="0.2">
      <c r="A48" s="2" t="s">
        <v>151</v>
      </c>
      <c r="B48" s="136">
        <f t="shared" si="32"/>
        <v>1057.9649278320001</v>
      </c>
      <c r="C48" s="77">
        <f t="shared" ref="C48:F48" si="42">C26+C37</f>
        <v>111.86</v>
      </c>
      <c r="D48" s="80">
        <f t="shared" si="42"/>
        <v>4.3600000000000003</v>
      </c>
      <c r="E48" s="82">
        <f t="shared" si="42"/>
        <v>116.22</v>
      </c>
      <c r="F48" s="82">
        <f t="shared" si="42"/>
        <v>116.97</v>
      </c>
      <c r="H48" s="5"/>
      <c r="I48" s="10"/>
      <c r="J48" s="65">
        <f>J26+J37</f>
        <v>288.7</v>
      </c>
      <c r="K48" s="77">
        <f t="shared" ref="K48" si="43">K26+K37</f>
        <v>68.641200000000012</v>
      </c>
      <c r="L48" s="136">
        <f t="shared" si="38"/>
        <v>278.83782471000001</v>
      </c>
      <c r="M48" s="81">
        <f t="shared" si="38"/>
        <v>66.253668276194986</v>
      </c>
      <c r="O48" s="90">
        <f t="shared" si="39"/>
        <v>73.001200000000011</v>
      </c>
      <c r="P48" s="90">
        <f t="shared" si="40"/>
        <v>70.613668276194986</v>
      </c>
      <c r="W48" s="77">
        <f t="shared" si="41"/>
        <v>283.768912355</v>
      </c>
      <c r="Y48" s="37">
        <f t="shared" si="27"/>
        <v>387.46103221337029</v>
      </c>
    </row>
    <row r="49" spans="1:28" x14ac:dyDescent="0.2">
      <c r="A49" s="2" t="s">
        <v>152</v>
      </c>
      <c r="B49" s="155">
        <f>SUM(B41:B48)</f>
        <v>2007.028236479118</v>
      </c>
      <c r="C49" s="158">
        <f>SUM(C41:C48)</f>
        <v>174.26096015442977</v>
      </c>
      <c r="D49" s="159">
        <f>SUM(D41:D48)</f>
        <v>9.3074061683162306</v>
      </c>
      <c r="E49" s="160">
        <f>SUM(E41:E48)</f>
        <v>183.56836632274602</v>
      </c>
      <c r="F49" s="160">
        <f>SUM(F41:F48)</f>
        <v>188.29538698297117</v>
      </c>
      <c r="H49" s="5"/>
      <c r="I49" s="10" t="s">
        <v>26</v>
      </c>
      <c r="J49" s="155">
        <f>SUM(J41:J48)</f>
        <v>547.29664337525651</v>
      </c>
      <c r="K49" s="157">
        <f>SUM(K41:K48)</f>
        <v>135.09289579513344</v>
      </c>
      <c r="L49" s="155">
        <f>SUM(L41:L48)</f>
        <v>501.88591228599995</v>
      </c>
      <c r="M49" s="157">
        <f>SUM(M41:M48)</f>
        <v>124.96018007127574</v>
      </c>
      <c r="O49" s="160">
        <f>K49+$D$49</f>
        <v>144.40030196344966</v>
      </c>
      <c r="P49" s="160">
        <f>M49+$D$49</f>
        <v>134.26758623959196</v>
      </c>
      <c r="W49" s="158">
        <f>SUM(W41:W48)</f>
        <v>524.5912778306282</v>
      </c>
      <c r="Y49" s="201">
        <f>1000*C49/J49</f>
        <v>318.40312244514706</v>
      </c>
      <c r="Z49" s="134">
        <f>D49/E49</f>
        <v>5.0702669282092681E-2</v>
      </c>
      <c r="AA49" s="134">
        <f>D49/O49</f>
        <v>6.4455586600311296E-2</v>
      </c>
      <c r="AB49" s="134">
        <f>D49/P49</f>
        <v>6.9319829371980793E-2</v>
      </c>
    </row>
    <row r="50" spans="1:28" x14ac:dyDescent="0.2">
      <c r="A50" s="2" t="s">
        <v>152</v>
      </c>
      <c r="B50" s="37"/>
      <c r="C50" s="31"/>
      <c r="D50" s="32"/>
      <c r="E50" s="31"/>
      <c r="F50" s="31"/>
      <c r="H50" s="8"/>
      <c r="I50" s="87" t="s">
        <v>153</v>
      </c>
      <c r="J50" s="155">
        <f>J28+J39</f>
        <v>547.29664337525639</v>
      </c>
      <c r="K50" s="157">
        <f>K28+K39</f>
        <v>131.23996054018559</v>
      </c>
      <c r="L50" s="155">
        <f t="shared" ref="L50:M50" si="44">L28+L39</f>
        <v>501.88591228599995</v>
      </c>
      <c r="M50" s="157">
        <f t="shared" si="44"/>
        <v>120.675067452753</v>
      </c>
      <c r="O50" s="160">
        <f>K50+$D$49</f>
        <v>140.54736670850181</v>
      </c>
      <c r="P50" s="160">
        <f>M50+$D$49</f>
        <v>129.98247362106923</v>
      </c>
      <c r="R50" s="24" t="s">
        <v>89</v>
      </c>
      <c r="S50" s="69" t="s">
        <v>154</v>
      </c>
      <c r="W50" s="69" t="s">
        <v>154</v>
      </c>
    </row>
    <row r="51" spans="1:28" ht="16" x14ac:dyDescent="0.2">
      <c r="A51" s="14" t="s">
        <v>15</v>
      </c>
      <c r="B51" s="37"/>
      <c r="D51" s="35"/>
      <c r="I51" s="10"/>
      <c r="R51" s="160">
        <f>AVERAGE(E49,F49,O49,O50,P49,P50)</f>
        <v>153.51024697305499</v>
      </c>
      <c r="S51" s="158">
        <f>R51/8</f>
        <v>19.188780871631874</v>
      </c>
      <c r="U51" s="155">
        <f>J49/8</f>
        <v>68.412080421907064</v>
      </c>
      <c r="V51" s="155">
        <f>L49/8</f>
        <v>62.735739035749994</v>
      </c>
      <c r="W51" s="155">
        <f>AVERAGE(U51:V51)</f>
        <v>65.573909728828525</v>
      </c>
      <c r="X51" s="3" t="s">
        <v>91</v>
      </c>
    </row>
    <row r="52" spans="1:28" x14ac:dyDescent="0.2">
      <c r="A52" s="2" t="s">
        <v>1</v>
      </c>
      <c r="B52" s="111">
        <f t="shared" ref="B52:B59" si="45">B41</f>
        <v>171.40355571286602</v>
      </c>
      <c r="C52" s="81">
        <v>7.6474677251075009</v>
      </c>
      <c r="D52" s="79">
        <v>0.66272507326374996</v>
      </c>
      <c r="E52" s="83">
        <f>SUM(C52:D52)</f>
        <v>8.3101927983712507</v>
      </c>
      <c r="F52" s="82">
        <v>10.598790257536312</v>
      </c>
      <c r="H52" s="111">
        <v>318</v>
      </c>
      <c r="I52" s="10"/>
      <c r="J52" s="65">
        <v>37.788542354575959</v>
      </c>
      <c r="K52" s="77">
        <f>J52*H52/1000</f>
        <v>12.016756468755155</v>
      </c>
      <c r="L52" s="111">
        <v>42.23852196</v>
      </c>
      <c r="M52" s="77">
        <f>L52*H52/1000</f>
        <v>13.431849983280001</v>
      </c>
      <c r="O52" s="82">
        <f>D52+K52</f>
        <v>12.679481542018905</v>
      </c>
      <c r="P52" s="82">
        <f>D52+M52</f>
        <v>14.094575056543752</v>
      </c>
      <c r="W52" s="77">
        <f>AVERAGE(J52,L52)</f>
        <v>40.013532157287983</v>
      </c>
      <c r="Y52" s="37">
        <f>1000*C52/J52</f>
        <v>202.37530342795665</v>
      </c>
    </row>
    <row r="53" spans="1:28" x14ac:dyDescent="0.2">
      <c r="A53" s="2" t="s">
        <v>2</v>
      </c>
      <c r="B53" s="111">
        <f t="shared" si="45"/>
        <v>455.92362156151501</v>
      </c>
      <c r="C53" s="77">
        <v>38.787915945224952</v>
      </c>
      <c r="D53" s="80">
        <v>2.2795522301922322</v>
      </c>
      <c r="E53" s="82">
        <f t="shared" ref="E53:E59" si="46">SUM(C53:D53)</f>
        <v>41.067468175417183</v>
      </c>
      <c r="F53" s="82">
        <v>41.84703335395033</v>
      </c>
      <c r="H53" s="111">
        <v>228</v>
      </c>
      <c r="I53" s="10"/>
      <c r="J53" s="65">
        <v>170.55084068407692</v>
      </c>
      <c r="K53" s="77">
        <f t="shared" ref="K53:K55" si="47">J53*H53/1000</f>
        <v>38.885591675969536</v>
      </c>
      <c r="L53" s="111">
        <v>87</v>
      </c>
      <c r="M53" s="77">
        <f t="shared" ref="M53:M55" si="48">L53*H53/1000</f>
        <v>19.835999999999999</v>
      </c>
      <c r="O53" s="82">
        <f t="shared" ref="O53:O56" si="49">D53+K53</f>
        <v>41.165143906161767</v>
      </c>
      <c r="P53" s="82">
        <f t="shared" ref="P53:P56" si="50">D53+M53</f>
        <v>22.115552230192229</v>
      </c>
      <c r="W53" s="77">
        <f t="shared" ref="W53:W56" si="51">AVERAGE(J53,L53)</f>
        <v>128.77542034203844</v>
      </c>
      <c r="Y53" s="37">
        <f t="shared" ref="Y53:Y59" si="52">1000*C53/J53</f>
        <v>227.42729258705023</v>
      </c>
    </row>
    <row r="54" spans="1:28" x14ac:dyDescent="0.2">
      <c r="A54" s="2" t="s">
        <v>3</v>
      </c>
      <c r="B54" s="111">
        <f t="shared" si="45"/>
        <v>22.120468177770004</v>
      </c>
      <c r="C54" s="78">
        <v>0.44001538640840737</v>
      </c>
      <c r="D54" s="68">
        <v>7.2898483398161046E-2</v>
      </c>
      <c r="E54" s="84">
        <f t="shared" si="46"/>
        <v>0.51291386980656839</v>
      </c>
      <c r="F54" s="84">
        <v>0.42579819646173178</v>
      </c>
      <c r="H54" s="111">
        <v>348</v>
      </c>
      <c r="I54" s="10"/>
      <c r="J54" s="80">
        <v>1.7329582552555267</v>
      </c>
      <c r="K54" s="81">
        <f t="shared" si="47"/>
        <v>0.60306947282892331</v>
      </c>
      <c r="L54" s="114">
        <v>1.3417262452499998</v>
      </c>
      <c r="M54" s="81">
        <f t="shared" si="48"/>
        <v>0.46692073334699996</v>
      </c>
      <c r="O54" s="82">
        <f t="shared" si="49"/>
        <v>0.67596795622708439</v>
      </c>
      <c r="P54" s="82">
        <f t="shared" si="50"/>
        <v>0.53981921674516098</v>
      </c>
      <c r="W54" s="77">
        <f t="shared" si="51"/>
        <v>1.5373422502527632</v>
      </c>
      <c r="Y54" s="37">
        <f t="shared" si="52"/>
        <v>253.90997450398862</v>
      </c>
    </row>
    <row r="55" spans="1:28" x14ac:dyDescent="0.2">
      <c r="A55" s="2" t="s">
        <v>4</v>
      </c>
      <c r="B55" s="111">
        <f t="shared" si="45"/>
        <v>102.341694194967</v>
      </c>
      <c r="C55" s="77">
        <v>10.995939291916669</v>
      </c>
      <c r="D55" s="80">
        <v>1.1571544905979603</v>
      </c>
      <c r="E55" s="82">
        <f t="shared" si="46"/>
        <v>12.153093782514629</v>
      </c>
      <c r="F55" s="82">
        <v>12.131185620468816</v>
      </c>
      <c r="H55" s="111">
        <v>259</v>
      </c>
      <c r="I55" s="10"/>
      <c r="J55" s="65">
        <v>63.869306764496514</v>
      </c>
      <c r="K55" s="77">
        <f t="shared" si="47"/>
        <v>16.542150452004595</v>
      </c>
      <c r="L55" s="111">
        <v>42.919817707249997</v>
      </c>
      <c r="M55" s="77">
        <f t="shared" si="48"/>
        <v>11.116232786177749</v>
      </c>
      <c r="O55" s="82">
        <f>D55+K55</f>
        <v>17.699304942602556</v>
      </c>
      <c r="P55" s="82">
        <f t="shared" si="50"/>
        <v>12.27338727677571</v>
      </c>
      <c r="W55" s="77">
        <f t="shared" si="51"/>
        <v>53.394562235873252</v>
      </c>
      <c r="Y55" s="37">
        <f t="shared" si="52"/>
        <v>172.16312261634036</v>
      </c>
    </row>
    <row r="56" spans="1:28" x14ac:dyDescent="0.2">
      <c r="A56" s="2" t="s">
        <v>5</v>
      </c>
      <c r="B56" s="114">
        <f t="shared" si="45"/>
        <v>0.65</v>
      </c>
      <c r="C56" s="78">
        <v>1.1984525390338207E-2</v>
      </c>
      <c r="D56" s="68">
        <v>2.0100194481175505E-3</v>
      </c>
      <c r="E56" s="84">
        <f t="shared" si="46"/>
        <v>1.3994544838455757E-2</v>
      </c>
      <c r="F56" s="84">
        <v>1.2638335674860855E-2</v>
      </c>
      <c r="H56" s="112" t="s">
        <v>19</v>
      </c>
      <c r="I56" s="10"/>
      <c r="J56" s="68">
        <v>1.0815216374602827E-2</v>
      </c>
      <c r="K56" s="77">
        <v>0</v>
      </c>
      <c r="L56" s="113">
        <v>1.2E-2</v>
      </c>
      <c r="M56" s="120">
        <v>0</v>
      </c>
      <c r="O56" s="167">
        <f t="shared" si="49"/>
        <v>2.0100194481175505E-3</v>
      </c>
      <c r="P56" s="82">
        <f t="shared" si="50"/>
        <v>2.0100194481175505E-3</v>
      </c>
      <c r="W56" s="72">
        <f t="shared" si="51"/>
        <v>1.1407608187301414E-2</v>
      </c>
      <c r="X56" s="73" t="s">
        <v>93</v>
      </c>
      <c r="Y56" s="37">
        <f t="shared" si="52"/>
        <v>1108.1170246839672</v>
      </c>
    </row>
    <row r="57" spans="1:28" x14ac:dyDescent="0.2">
      <c r="A57" s="2" t="s">
        <v>97</v>
      </c>
      <c r="B57" s="111">
        <f t="shared" si="45"/>
        <v>83.4</v>
      </c>
      <c r="C57" s="77">
        <v>23.654420384282929</v>
      </c>
      <c r="D57" s="80">
        <v>1.4808772099067145</v>
      </c>
      <c r="E57" s="82">
        <f t="shared" si="46"/>
        <v>25.135297594189645</v>
      </c>
      <c r="F57" s="82">
        <v>24.763856480772123</v>
      </c>
      <c r="H57" s="112">
        <v>346</v>
      </c>
      <c r="I57" s="10"/>
      <c r="J57" s="65">
        <v>74.348014729203882</v>
      </c>
      <c r="K57" s="77">
        <f>J57*H57/1000</f>
        <v>25.724413096304541</v>
      </c>
      <c r="L57" s="111">
        <v>27</v>
      </c>
      <c r="M57" s="81">
        <f>L57*H57/1000</f>
        <v>9.3420000000000005</v>
      </c>
      <c r="O57" s="82">
        <f>D57+K57</f>
        <v>27.205290306211257</v>
      </c>
      <c r="P57" s="82">
        <f>D57+M57</f>
        <v>10.822877209906714</v>
      </c>
      <c r="W57" s="77">
        <f>AVERAGE(J57,L57)</f>
        <v>50.674007364601941</v>
      </c>
      <c r="X57" s="6"/>
      <c r="Y57" s="37">
        <f t="shared" si="52"/>
        <v>318.15806340544395</v>
      </c>
    </row>
    <row r="58" spans="1:28" x14ac:dyDescent="0.2">
      <c r="A58" s="2" t="s">
        <v>105</v>
      </c>
      <c r="B58" s="136">
        <f t="shared" si="45"/>
        <v>113.22396900000001</v>
      </c>
      <c r="C58" s="81">
        <v>7.8</v>
      </c>
      <c r="D58" s="80">
        <v>0.8</v>
      </c>
      <c r="E58" s="83">
        <f t="shared" si="46"/>
        <v>8.6</v>
      </c>
      <c r="F58" s="82">
        <v>11.34</v>
      </c>
      <c r="H58" s="145">
        <v>209</v>
      </c>
      <c r="I58" s="10"/>
      <c r="J58" s="65">
        <v>45</v>
      </c>
      <c r="K58" s="81">
        <f>J58*H58/1000</f>
        <v>9.4049999999999994</v>
      </c>
      <c r="L58" s="136">
        <v>22.30949352</v>
      </c>
      <c r="M58" s="81">
        <f>L58*H58/1000</f>
        <v>4.6626841456800001</v>
      </c>
      <c r="O58" s="82">
        <f>D58+K58</f>
        <v>10.205</v>
      </c>
      <c r="P58" s="82">
        <f>D58+M58</f>
        <v>5.4626841456799999</v>
      </c>
      <c r="W58" s="77">
        <f>AVERAGE(J58,L58)</f>
        <v>33.654746760000002</v>
      </c>
      <c r="X58" s="6"/>
      <c r="Y58" s="37">
        <f t="shared" si="52"/>
        <v>173.33333333333334</v>
      </c>
    </row>
    <row r="59" spans="1:28" x14ac:dyDescent="0.2">
      <c r="A59" s="2" t="s">
        <v>151</v>
      </c>
      <c r="B59" s="136">
        <f t="shared" si="45"/>
        <v>1057.9649278320001</v>
      </c>
      <c r="C59" s="77">
        <v>134</v>
      </c>
      <c r="D59" s="80">
        <v>4.4000000000000004</v>
      </c>
      <c r="E59" s="82">
        <f t="shared" si="46"/>
        <v>138.4</v>
      </c>
      <c r="F59" s="82">
        <v>107.92</v>
      </c>
      <c r="H59" s="145">
        <v>238</v>
      </c>
      <c r="I59" s="10"/>
      <c r="J59" s="65">
        <v>407</v>
      </c>
      <c r="K59" s="77">
        <f>J59*H59/1000</f>
        <v>96.866</v>
      </c>
      <c r="L59" s="136">
        <v>278.83782471000001</v>
      </c>
      <c r="M59" s="77">
        <f>L59*H59/1000</f>
        <v>66.363402280980011</v>
      </c>
      <c r="O59" s="167">
        <f>D59+K59</f>
        <v>101.26600000000001</v>
      </c>
      <c r="P59" s="82">
        <f>D59+M59</f>
        <v>70.763402280980017</v>
      </c>
      <c r="W59" s="72">
        <f>AVERAGE(J59,L59)</f>
        <v>342.91891235499997</v>
      </c>
      <c r="X59" s="73" t="s">
        <v>94</v>
      </c>
      <c r="Y59" s="37">
        <f t="shared" si="52"/>
        <v>329.23832923832924</v>
      </c>
    </row>
    <row r="60" spans="1:28" x14ac:dyDescent="0.2">
      <c r="A60" s="2" t="s">
        <v>152</v>
      </c>
      <c r="B60" s="155">
        <f>SUM(B52:B59)</f>
        <v>2007.028236479118</v>
      </c>
      <c r="C60" s="155">
        <f>SUM(C52:C59)</f>
        <v>223.33774325833082</v>
      </c>
      <c r="D60" s="155">
        <f>SUM(D52:D59)</f>
        <v>10.855217506806934</v>
      </c>
      <c r="E60" s="160">
        <f>SUM(E52:E59)</f>
        <v>234.19296076513774</v>
      </c>
      <c r="F60" s="160">
        <f>SUM(F52:F59)</f>
        <v>209.03930224486419</v>
      </c>
      <c r="H60" s="3"/>
      <c r="I60" s="10" t="s">
        <v>26</v>
      </c>
      <c r="J60" s="155">
        <f>SUM(J52:J59)</f>
        <v>800.30047800398347</v>
      </c>
      <c r="K60" s="157">
        <f>SUM(K52:K59)</f>
        <v>200.04298116586276</v>
      </c>
      <c r="L60" s="155">
        <f>SUM(L52:L59)</f>
        <v>501.65938414250002</v>
      </c>
      <c r="M60" s="157">
        <f>SUM(M52:M59)</f>
        <v>125.21908992946476</v>
      </c>
      <c r="N60" s="86"/>
      <c r="O60" s="160">
        <f>K60+$D$60</f>
        <v>210.89819867266968</v>
      </c>
      <c r="P60" s="160">
        <f>M60+$D$60</f>
        <v>136.07430743627168</v>
      </c>
      <c r="W60" s="77">
        <f>SUM(W52:W59)</f>
        <v>650.97993107324169</v>
      </c>
      <c r="X60" s="5"/>
      <c r="Y60" s="201">
        <f>1000*C60/J60</f>
        <v>279.06736206799962</v>
      </c>
      <c r="Z60" s="134">
        <f>D60/E60</f>
        <v>4.6351596014421521E-2</v>
      </c>
      <c r="AA60" s="134">
        <f>D60/O60</f>
        <v>5.1471361894631786E-2</v>
      </c>
      <c r="AB60" s="134">
        <f>D60/P60</f>
        <v>7.9774188906975033E-2</v>
      </c>
    </row>
    <row r="61" spans="1:28" x14ac:dyDescent="0.2">
      <c r="A61" s="2" t="s">
        <v>152</v>
      </c>
      <c r="C61" s="31"/>
      <c r="D61" s="32"/>
      <c r="E61" s="31"/>
      <c r="F61" s="31"/>
      <c r="H61" s="111">
        <v>247</v>
      </c>
      <c r="I61" s="87" t="s">
        <v>153</v>
      </c>
      <c r="J61" s="155">
        <f>SUM(J52:J59)</f>
        <v>800.30047800398347</v>
      </c>
      <c r="K61" s="157">
        <f>J61*H61/1000</f>
        <v>197.67421806698391</v>
      </c>
      <c r="L61" s="155">
        <f>L60</f>
        <v>501.65938414250002</v>
      </c>
      <c r="M61" s="157">
        <f>L61*H61/1000</f>
        <v>123.90986788319749</v>
      </c>
      <c r="N61" s="86"/>
      <c r="O61" s="160">
        <f>K61+$D$60</f>
        <v>208.52943557379083</v>
      </c>
      <c r="P61" s="160">
        <f>M61+$D$60</f>
        <v>134.76508539000443</v>
      </c>
      <c r="R61" s="24" t="s">
        <v>89</v>
      </c>
      <c r="S61" s="69" t="s">
        <v>154</v>
      </c>
      <c r="W61" s="69" t="s">
        <v>154</v>
      </c>
    </row>
    <row r="62" spans="1:28" x14ac:dyDescent="0.2">
      <c r="R62" s="160">
        <f>AVERAGE(E60,F60,O60,O61,P60,P61)</f>
        <v>188.9165483471231</v>
      </c>
      <c r="S62" s="158">
        <f>R62/8</f>
        <v>23.614568543390387</v>
      </c>
      <c r="U62" s="155">
        <f>J60/8</f>
        <v>100.03755975049793</v>
      </c>
      <c r="V62" s="155">
        <f>L60/8</f>
        <v>62.707423017812502</v>
      </c>
      <c r="W62" s="155">
        <f>AVERAGE(U62:V62)</f>
        <v>81.372491384155211</v>
      </c>
      <c r="X62" s="3" t="s">
        <v>91</v>
      </c>
    </row>
    <row r="64" spans="1:28" ht="32" x14ac:dyDescent="0.2">
      <c r="R64" s="24" t="s">
        <v>90</v>
      </c>
      <c r="S64" s="92" t="s">
        <v>155</v>
      </c>
      <c r="T64" s="91"/>
      <c r="U64" s="91"/>
      <c r="V64" s="91"/>
      <c r="W64" s="92" t="s">
        <v>155</v>
      </c>
    </row>
    <row r="65" spans="1:24" x14ac:dyDescent="0.2">
      <c r="R65" s="160">
        <f>AVERAGE(R51,R62)</f>
        <v>171.21339766008904</v>
      </c>
      <c r="S65" s="158">
        <f>AVERAGE(S51,S62)</f>
        <v>21.40167470751113</v>
      </c>
      <c r="U65" s="162">
        <f>AVERAGE(U51,U62)</f>
        <v>84.224820086202499</v>
      </c>
      <c r="V65" s="162">
        <f>AVERAGE(V51,V62)</f>
        <v>62.721581026781251</v>
      </c>
      <c r="W65" s="155">
        <f>AVERAGE(W51,W62)</f>
        <v>73.473200556491861</v>
      </c>
      <c r="X65" s="3" t="s">
        <v>92</v>
      </c>
    </row>
    <row r="67" spans="1:24" x14ac:dyDescent="0.2">
      <c r="S67" s="86"/>
    </row>
    <row r="68" spans="1:24" x14ac:dyDescent="0.2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</row>
  </sheetData>
  <mergeCells count="4">
    <mergeCell ref="R3:S3"/>
    <mergeCell ref="U3:W3"/>
    <mergeCell ref="A1:X1"/>
    <mergeCell ref="A2:X2"/>
  </mergeCells>
  <conditionalFormatting sqref="A25:A26">
    <cfRule type="duplicateValues" dxfId="7" priority="1"/>
  </conditionalFormatting>
  <pageMargins left="0.7" right="0.7" top="0.75" bottom="0.75" header="0.3" footer="0.3"/>
  <pageSetup scale="48" orientation="landscape" verticalDpi="1200" r:id="rId1"/>
  <headerFooter>
    <oddHeader>&amp;LDraft &amp;RU.S. GEOLOGICAL SURVEY</oddHeader>
    <oddFooter>&amp;LPRELIMINARY - SUBJECT TO REVISION&amp;RDecember 8, 2018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99"/>
    <pageSetUpPr fitToPage="1"/>
  </sheetPr>
  <dimension ref="A1:X61"/>
  <sheetViews>
    <sheetView view="pageLayout" topLeftCell="A4" zoomScaleNormal="100" workbookViewId="0">
      <selection activeCell="J14" activeCellId="1" sqref="J26 J14"/>
    </sheetView>
  </sheetViews>
  <sheetFormatPr baseColWidth="10" defaultColWidth="8.83203125" defaultRowHeight="15" x14ac:dyDescent="0.2"/>
  <cols>
    <col min="1" max="1" width="21.1640625" customWidth="1"/>
    <col min="2" max="2" width="9.83203125" bestFit="1" customWidth="1"/>
    <col min="7" max="7" width="1.83203125" customWidth="1"/>
    <col min="8" max="8" width="5.1640625" customWidth="1"/>
    <col min="9" max="9" width="1.83203125" customWidth="1"/>
    <col min="14" max="14" width="14.33203125" customWidth="1"/>
    <col min="15" max="15" width="13.5" customWidth="1"/>
  </cols>
  <sheetData>
    <row r="1" spans="1:22" ht="25.25" customHeight="1" x14ac:dyDescent="0.2">
      <c r="A1" s="208" t="s">
        <v>158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63"/>
      <c r="O1" s="63"/>
      <c r="P1" s="63"/>
      <c r="Q1" s="63"/>
    </row>
    <row r="2" spans="1:22" ht="64.5" customHeight="1" x14ac:dyDescent="0.2">
      <c r="A2" s="216" t="s">
        <v>148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64"/>
      <c r="Q2" s="64"/>
    </row>
    <row r="3" spans="1:22" x14ac:dyDescent="0.2">
      <c r="B3" s="42" t="s">
        <v>27</v>
      </c>
      <c r="C3" s="55" t="s">
        <v>56</v>
      </c>
      <c r="D3" s="41" t="s">
        <v>57</v>
      </c>
      <c r="E3" s="57" t="s">
        <v>58</v>
      </c>
      <c r="F3" s="57" t="s">
        <v>59</v>
      </c>
      <c r="G3" s="43"/>
      <c r="H3" s="44"/>
      <c r="I3" s="44"/>
      <c r="J3" s="41" t="s">
        <v>16</v>
      </c>
      <c r="K3" s="55" t="s">
        <v>60</v>
      </c>
      <c r="L3" s="41" t="s">
        <v>17</v>
      </c>
      <c r="M3" s="55" t="s">
        <v>61</v>
      </c>
      <c r="N3" s="40" t="s">
        <v>76</v>
      </c>
      <c r="O3" s="40" t="s">
        <v>77</v>
      </c>
      <c r="P3" s="44"/>
      <c r="Q3" s="44"/>
    </row>
    <row r="4" spans="1:22" x14ac:dyDescent="0.2">
      <c r="B4" s="41" t="s">
        <v>37</v>
      </c>
      <c r="C4" s="55" t="s">
        <v>37</v>
      </c>
      <c r="D4" s="41" t="s">
        <v>37</v>
      </c>
      <c r="E4" s="57" t="s">
        <v>37</v>
      </c>
      <c r="F4" s="57" t="s">
        <v>37</v>
      </c>
      <c r="G4" s="43"/>
      <c r="H4" s="44"/>
      <c r="I4" s="44"/>
      <c r="J4" s="41" t="s">
        <v>37</v>
      </c>
      <c r="K4" s="55" t="s">
        <v>37</v>
      </c>
      <c r="L4" s="41" t="s">
        <v>37</v>
      </c>
      <c r="M4" s="55" t="s">
        <v>37</v>
      </c>
      <c r="N4" s="110" t="s">
        <v>37</v>
      </c>
      <c r="O4" s="110" t="s">
        <v>37</v>
      </c>
      <c r="P4" s="44"/>
      <c r="Q4" s="44"/>
    </row>
    <row r="5" spans="1:22" ht="16" x14ac:dyDescent="0.2">
      <c r="A5" s="1" t="s">
        <v>36</v>
      </c>
      <c r="C5" s="6"/>
      <c r="D5" s="6"/>
      <c r="E5" s="26"/>
      <c r="F5" s="26"/>
      <c r="G5" s="26"/>
      <c r="H5" s="27"/>
      <c r="I5" s="26"/>
      <c r="J5" s="26"/>
      <c r="K5" s="26"/>
      <c r="L5" s="26"/>
      <c r="M5" s="26"/>
      <c r="N5" s="26"/>
      <c r="O5" s="26"/>
      <c r="P5" s="26"/>
      <c r="Q5" s="26"/>
      <c r="T5" t="s">
        <v>37</v>
      </c>
      <c r="U5" t="s">
        <v>69</v>
      </c>
      <c r="V5" t="s">
        <v>70</v>
      </c>
    </row>
    <row r="6" spans="1:22" x14ac:dyDescent="0.2">
      <c r="A6" s="2" t="s">
        <v>1</v>
      </c>
      <c r="B6" s="45">
        <f>('T2x. THg loads 2010-17'!B8-'T2x. THg loads 2010-17'!B41)/'T2x. THg loads 2010-17'!B8</f>
        <v>0.16380679048775948</v>
      </c>
      <c r="C6" s="56">
        <f>('T2x. THg loads 2010-17'!C8-'T2x. THg loads 2010-17'!C41)/'T2x. THg loads 2010-17'!C8</f>
        <v>0.75641348872308611</v>
      </c>
      <c r="D6" s="45">
        <f>('T2x. THg loads 2010-17'!D8-'T2x. THg loads 2010-17'!D41)/'T2x. THg loads 2010-17'!D8</f>
        <v>3.0641767621290977E-2</v>
      </c>
      <c r="E6" s="58">
        <f>('T2x. THg loads 2010-17'!E8-'T2x. THg loads 2010-17'!E41)/'T2x. THg loads 2010-17'!E8</f>
        <v>0.72782473618368038</v>
      </c>
      <c r="F6" s="58">
        <f>('T2x. THg loads 2010-17'!F8-'T2x. THg loads 2010-17'!F41)/'T2x. THg loads 2010-17'!F8</f>
        <v>0.6482931223526448</v>
      </c>
      <c r="J6" s="45">
        <f>('T2x. THg loads 2010-17'!J8-'T2x. THg loads 2010-17'!J41)/'T2x. THg loads 2010-17'!J8</f>
        <v>0.6806957374940652</v>
      </c>
      <c r="K6" s="56">
        <f>('T2x. THg loads 2010-17'!K8-'T2x. THg loads 2010-17'!K41)/'T2x. THg loads 2010-17'!K8</f>
        <v>0.59546312559009051</v>
      </c>
      <c r="L6" s="45">
        <f>('T2x. THg loads 2010-17'!L8-'T2x. THg loads 2010-17'!L41)/'T2x. THg loads 2010-17'!L8</f>
        <v>0.76662356019367828</v>
      </c>
      <c r="M6" s="56">
        <f>('T2x. THg loads 2010-17'!M8-'T2x. THg loads 2010-17'!M41)/'T2x. THg loads 2010-17'!M8</f>
        <v>0.70432785713780766</v>
      </c>
      <c r="N6" s="58">
        <f>('T2x. THg loads 2010-17'!O8-'T2x. THg loads 2010-17'!O41)/'T2x. THg loads 2010-17'!O8</f>
        <v>0.58423637012549556</v>
      </c>
      <c r="O6" s="58">
        <f>('T2x. THg loads 2010-17'!P8-'T2x. THg loads 2010-17'!P41)/'T2x. THg loads 2010-17'!P8</f>
        <v>0.6947297253778304</v>
      </c>
      <c r="P6" s="66"/>
      <c r="Q6" s="66"/>
      <c r="T6">
        <v>47.190103290705999</v>
      </c>
      <c r="U6">
        <v>31.031993637943199</v>
      </c>
      <c r="V6">
        <f>U6/T6</f>
        <v>0.65759537432618609</v>
      </c>
    </row>
    <row r="7" spans="1:22" x14ac:dyDescent="0.2">
      <c r="A7" s="2" t="s">
        <v>2</v>
      </c>
      <c r="B7" s="45">
        <f>('T2x. THg loads 2010-17'!B9-'T2x. THg loads 2010-17'!B42)/'T2x. THg loads 2010-17'!B9</f>
        <v>5.9951295749453598E-2</v>
      </c>
      <c r="C7" s="56">
        <f>('T2x. THg loads 2010-17'!C9-'T2x. THg loads 2010-17'!C42)/'T2x. THg loads 2010-17'!C9</f>
        <v>0.67976700448704941</v>
      </c>
      <c r="D7" s="45">
        <f>('T2x. THg loads 2010-17'!D9-'T2x. THg loads 2010-17'!D42)/'T2x. THg loads 2010-17'!D9</f>
        <v>0.21614639633590799</v>
      </c>
      <c r="E7" s="58">
        <f>('T2x. THg loads 2010-17'!E9-'T2x. THg loads 2010-17'!E42)/'T2x. THg loads 2010-17'!E9</f>
        <v>0.67092471853853419</v>
      </c>
      <c r="F7" s="58">
        <f>('T2x. THg loads 2010-17'!F9-'T2x. THg loads 2010-17'!F42)/'T2x. THg loads 2010-17'!F9</f>
        <v>0.6973276783967246</v>
      </c>
      <c r="J7" s="45">
        <f>('T2x. THg loads 2010-17'!J9-'T2x. THg loads 2010-17'!J42)/'T2x. THg loads 2010-17'!J9</f>
        <v>0.75278610230218257</v>
      </c>
      <c r="K7" s="56">
        <f>('T2x. THg loads 2010-17'!K9-'T2x. THg loads 2010-17'!K42)/'T2x. THg loads 2010-17'!K9</f>
        <v>0.69056031742919621</v>
      </c>
      <c r="L7" s="45">
        <f>('T2x. THg loads 2010-17'!L9-'T2x. THg loads 2010-17'!L42)/'T2x. THg loads 2010-17'!L9</f>
        <v>0.76848053941511929</v>
      </c>
      <c r="M7" s="56">
        <f>('T2x. THg loads 2010-17'!M9-'T2x. THg loads 2010-17'!M42)/'T2x. THg loads 2010-17'!M9</f>
        <v>0.70126579828301039</v>
      </c>
      <c r="N7" s="58">
        <f>('T2x. THg loads 2010-17'!O9-'T2x. THg loads 2010-17'!O42)/'T2x. THg loads 2010-17'!O9</f>
        <v>0.67978928858679133</v>
      </c>
      <c r="O7" s="58">
        <f>('T2x. THg loads 2010-17'!P9-'T2x. THg loads 2010-17'!P42)/'T2x. THg loads 2010-17'!P9</f>
        <v>0.68747553339206868</v>
      </c>
      <c r="P7" s="66"/>
      <c r="Q7" s="66"/>
      <c r="T7">
        <v>55.534455936926797</v>
      </c>
      <c r="U7">
        <v>18.641005077723801</v>
      </c>
      <c r="V7">
        <f t="shared" ref="V7:V14" si="0">U7/T7</f>
        <v>0.33566557488013032</v>
      </c>
    </row>
    <row r="8" spans="1:22" x14ac:dyDescent="0.2">
      <c r="A8" s="2" t="s">
        <v>3</v>
      </c>
      <c r="B8" s="45">
        <f>('T2x. THg loads 2010-17'!B10-'T2x. THg loads 2010-17'!B43)/'T2x. THg loads 2010-17'!B10</f>
        <v>0.40087350249851411</v>
      </c>
      <c r="C8" s="56">
        <f>('T2x. THg loads 2010-17'!C10-'T2x. THg loads 2010-17'!C43)/'T2x. THg loads 2010-17'!C10</f>
        <v>0.59043121744810334</v>
      </c>
      <c r="D8" s="45">
        <f>('T2x. THg loads 2010-17'!D10-'T2x. THg loads 2010-17'!D43)/'T2x. THg loads 2010-17'!D10</f>
        <v>0.4496117605545929</v>
      </c>
      <c r="E8" s="58">
        <f>('T2x. THg loads 2010-17'!E10-'T2x. THg loads 2010-17'!E43)/'T2x. THg loads 2010-17'!E10</f>
        <v>0.57468648561829538</v>
      </c>
      <c r="F8" s="58">
        <f>('T2x. THg loads 2010-17'!F10-'T2x. THg loads 2010-17'!F43)/'T2x. THg loads 2010-17'!F10</f>
        <v>0.62831473108664704</v>
      </c>
      <c r="J8" s="45">
        <f>('T2x. THg loads 2010-17'!J10-'T2x. THg loads 2010-17'!J43)/'T2x. THg loads 2010-17'!J10</f>
        <v>0.53658404189562803</v>
      </c>
      <c r="K8" s="56">
        <f>('T2x. THg loads 2010-17'!K10-'T2x. THg loads 2010-17'!K43)/'T2x. THg loads 2010-17'!K10</f>
        <v>0.37734072038485927</v>
      </c>
      <c r="L8" s="45">
        <f>('T2x. THg loads 2010-17'!L10-'T2x. THg loads 2010-17'!L43)/'T2x. THg loads 2010-17'!L10</f>
        <v>0.71392649903288208</v>
      </c>
      <c r="M8" s="56">
        <f>('T2x. THg loads 2010-17'!M10-'T2x. THg loads 2010-17'!M43)/'T2x. THg loads 2010-17'!M10</f>
        <v>0.61562324966580284</v>
      </c>
      <c r="N8" s="58">
        <f>('T2x. THg loads 2010-17'!O10-'T2x. THg loads 2010-17'!O43)/'T2x. THg loads 2010-17'!O10</f>
        <v>0.38642906001416394</v>
      </c>
      <c r="O8" s="58">
        <f>('T2x. THg loads 2010-17'!P10-'T2x. THg loads 2010-17'!P43)/'T2x. THg loads 2010-17'!P10</f>
        <v>0.60063694849091298</v>
      </c>
      <c r="P8" s="66"/>
      <c r="Q8" s="66"/>
      <c r="T8">
        <v>68.934073409649102</v>
      </c>
      <c r="U8">
        <v>15.6662227451872</v>
      </c>
      <c r="V8">
        <f t="shared" si="0"/>
        <v>0.22726384747480058</v>
      </c>
    </row>
    <row r="9" spans="1:22" x14ac:dyDescent="0.2">
      <c r="A9" s="2" t="s">
        <v>4</v>
      </c>
      <c r="B9" s="45">
        <f>('T2x. THg loads 2010-17'!B11-'T2x. THg loads 2010-17'!B44)/'T2x. THg loads 2010-17'!B11</f>
        <v>0.12689725722914147</v>
      </c>
      <c r="C9" s="56">
        <f>('T2x. THg loads 2010-17'!C11-'T2x. THg loads 2010-17'!C44)/'T2x. THg loads 2010-17'!C11</f>
        <v>0.67959193185108213</v>
      </c>
      <c r="D9" s="45">
        <f>('T2x. THg loads 2010-17'!D11-'T2x. THg loads 2010-17'!D44)/'T2x. THg loads 2010-17'!D11</f>
        <v>0.18528210303361506</v>
      </c>
      <c r="E9" s="58">
        <f>('T2x. THg loads 2010-17'!E11-'T2x. THg loads 2010-17'!E44)/'T2x. THg loads 2010-17'!E11</f>
        <v>0.65557341210843645</v>
      </c>
      <c r="F9" s="58">
        <f>('T2x. THg loads 2010-17'!F11-'T2x. THg loads 2010-17'!F44)/'T2x. THg loads 2010-17'!F11</f>
        <v>0.59472162118204486</v>
      </c>
      <c r="J9" s="45">
        <f>('T2x. THg loads 2010-17'!J11-'T2x. THg loads 2010-17'!J44)/'T2x. THg loads 2010-17'!J11</f>
        <v>0.71463319327202235</v>
      </c>
      <c r="K9" s="56">
        <f>('T2x. THg loads 2010-17'!K11-'T2x. THg loads 2010-17'!K44)/'T2x. THg loads 2010-17'!K11</f>
        <v>0.71829689607950054</v>
      </c>
      <c r="L9" s="45">
        <f>('T2x. THg loads 2010-17'!L11-'T2x. THg loads 2010-17'!L44)/'T2x. THg loads 2010-17'!L11</f>
        <v>0.47412317396951897</v>
      </c>
      <c r="M9" s="56">
        <f>('T2x. THg loads 2010-17'!M11-'T2x. THg loads 2010-17'!M44)/'T2x. THg loads 2010-17'!M11</f>
        <v>0.48004441449527541</v>
      </c>
      <c r="N9" s="58">
        <f>('T2x. THg loads 2010-17'!O11-'T2x. THg loads 2010-17'!O44)/'T2x. THg loads 2010-17'!O11</f>
        <v>0.70011557895782317</v>
      </c>
      <c r="O9" s="58">
        <f>('T2x. THg loads 2010-17'!P11-'T2x. THg loads 2010-17'!P44)/'T2x. THg loads 2010-17'!P11</f>
        <v>0.46564914044781097</v>
      </c>
      <c r="P9" s="66"/>
      <c r="Q9" s="66"/>
      <c r="T9">
        <v>56.723170999274203</v>
      </c>
      <c r="U9">
        <v>19.390629333084402</v>
      </c>
      <c r="V9">
        <f t="shared" si="0"/>
        <v>0.34184670905180026</v>
      </c>
    </row>
    <row r="10" spans="1:22" x14ac:dyDescent="0.2">
      <c r="A10" s="2" t="s">
        <v>5</v>
      </c>
      <c r="B10" s="45">
        <f>('T2x. THg loads 2010-17'!B12-'T2x. THg loads 2010-17'!B45)/'T2x. THg loads 2010-17'!B12</f>
        <v>0.78333333333333333</v>
      </c>
      <c r="C10" s="56">
        <f>('T2x. THg loads 2010-17'!C12-'T2x. THg loads 2010-17'!C45)/'T2x. THg loads 2010-17'!C12</f>
        <v>0.87202333976791258</v>
      </c>
      <c r="D10" s="45">
        <f>('T2x. THg loads 2010-17'!D12-'T2x. THg loads 2010-17'!D45)/'T2x. THg loads 2010-17'!D12</f>
        <v>0.89746080031946984</v>
      </c>
      <c r="E10" s="58">
        <f>('T2x. THg loads 2010-17'!E12-'T2x. THg loads 2010-17'!E45)/'T2x. THg loads 2010-17'!E12</f>
        <v>0.87702529052827183</v>
      </c>
      <c r="F10" s="58">
        <f>('T2x. THg loads 2010-17'!F12-'T2x. THg loads 2010-17'!F45)/'T2x. THg loads 2010-17'!F12</f>
        <v>0.87660825122638864</v>
      </c>
      <c r="G10" s="175"/>
      <c r="H10" s="175"/>
      <c r="I10" s="175"/>
      <c r="J10" s="45">
        <f>('T2x. THg loads 2010-17'!J12-'T2x. THg loads 2010-17'!J45)/'T2x. THg loads 2010-17'!J12</f>
        <v>0.91792574007837713</v>
      </c>
      <c r="K10" s="56">
        <f>('T2x. THg loads 2010-17'!K12-'T2x. THg loads 2010-17'!K45)/'T2x. THg loads 2010-17'!K12</f>
        <v>1</v>
      </c>
      <c r="L10" s="45">
        <f>('T2x. THg loads 2010-17'!L12-'T2x. THg loads 2010-17'!L45)/'T2x. THg loads 2010-17'!L12</f>
        <v>0.90833333333333333</v>
      </c>
      <c r="M10" s="56">
        <f>('T2x. THg loads 2010-17'!M12-'T2x. THg loads 2010-17'!M45)/'T2x. THg loads 2010-17'!M12</f>
        <v>1</v>
      </c>
      <c r="N10" s="58">
        <f>('T2x. THg loads 2010-17'!O12-'T2x. THg loads 2010-17'!O45)/'T2x. THg loads 2010-17'!O12</f>
        <v>0.96318949298766943</v>
      </c>
      <c r="O10" s="58">
        <f>('T2x. THg loads 2010-17'!P12-'T2x. THg loads 2010-17'!P45)/'T2x. THg loads 2010-17'!P12</f>
        <v>0.96794507066738766</v>
      </c>
      <c r="P10" s="66"/>
      <c r="Q10" s="66"/>
      <c r="T10">
        <v>70.721720028924196</v>
      </c>
      <c r="U10">
        <v>14.7268252013106</v>
      </c>
      <c r="V10">
        <f t="shared" si="0"/>
        <v>0.20823624192521809</v>
      </c>
    </row>
    <row r="11" spans="1:22" x14ac:dyDescent="0.2">
      <c r="A11" s="2" t="s">
        <v>97</v>
      </c>
      <c r="B11" s="45">
        <f>('T2x. THg loads 2010-17'!B13-'T2x. THg loads 2010-17'!B46)/'T2x. THg loads 2010-17'!B13</f>
        <v>3.0232558139534817E-2</v>
      </c>
      <c r="C11" s="93">
        <f>('T2x. THg loads 2010-17'!C13-'T2x. THg loads 2010-17'!C46)/'T2x. THg loads 2010-17'!C13</f>
        <v>0.70725561942116666</v>
      </c>
      <c r="D11" s="94">
        <f>('T2x. THg loads 2010-17'!D13-'T2x. THg loads 2010-17'!D46)/'T2x. THg loads 2010-17'!D13</f>
        <v>0.10295739146090581</v>
      </c>
      <c r="E11" s="95">
        <f>('T2x. THg loads 2010-17'!E13-'T2x. THg loads 2010-17'!E46)/'T2x. THg loads 2010-17'!E13</f>
        <v>0.69065627955541975</v>
      </c>
      <c r="F11" s="95">
        <f>('T2x. THg loads 2010-17'!F13-'T2x. THg loads 2010-17'!F46)/'T2x. THg loads 2010-17'!F13</f>
        <v>0.62084509362620444</v>
      </c>
      <c r="G11" s="96"/>
      <c r="H11" s="96"/>
      <c r="I11" s="96"/>
      <c r="J11" s="94">
        <f>('T2x. THg loads 2010-17'!J13-'T2x. THg loads 2010-17'!J46)/'T2x. THg loads 2010-17'!J13</f>
        <v>0.74797064349411735</v>
      </c>
      <c r="K11" s="93">
        <f>('T2x. THg loads 2010-17'!K13-'T2x. THg loads 2010-17'!K46)/'T2x. THg loads 2010-17'!K13</f>
        <v>0.72036135462607698</v>
      </c>
      <c r="L11" s="94">
        <f>('T2x. THg loads 2010-17'!L13-'T2x. THg loads 2010-17'!L46)/'T2x. THg loads 2010-17'!L13</f>
        <v>0.73267326732673266</v>
      </c>
      <c r="M11" s="93">
        <f>('T2x. THg loads 2010-17'!M13-'T2x. THg loads 2010-17'!M46)/'T2x. THg loads 2010-17'!M13</f>
        <v>0.70688087676692202</v>
      </c>
      <c r="N11" s="58">
        <f>('T2x. THg loads 2010-17'!O13-'T2x. THg loads 2010-17'!O46)/'T2x. THg loads 2010-17'!O13</f>
        <v>0.70379103098134121</v>
      </c>
      <c r="O11" s="58">
        <f>('T2x. THg loads 2010-17'!P13-'T2x. THg loads 2010-17'!P46)/'T2x. THg loads 2010-17'!P13</f>
        <v>0.68596933292322138</v>
      </c>
      <c r="P11" s="66"/>
      <c r="Q11" s="66"/>
    </row>
    <row r="12" spans="1:22" x14ac:dyDescent="0.2">
      <c r="A12" s="2" t="s">
        <v>105</v>
      </c>
      <c r="B12" s="45">
        <f>('T2x. THg loads 2010-17'!B14-'T2x. THg loads 2010-17'!B47)/'T2x. THg loads 2010-17'!B14</f>
        <v>0.19608701963405306</v>
      </c>
      <c r="C12" s="93">
        <f>('T2x. THg loads 2010-17'!C14-'T2x. THg loads 2010-17'!C47)/'T2x. THg loads 2010-17'!C14</f>
        <v>0.78179104477611949</v>
      </c>
      <c r="D12" s="94">
        <f>('T2x. THg loads 2010-17'!D14-'T2x. THg loads 2010-17'!D47)/'T2x. THg loads 2010-17'!D14</f>
        <v>7.9545454545454489E-2</v>
      </c>
      <c r="E12" s="95">
        <f>('T2x. THg loads 2010-17'!E14-'T2x. THg loads 2010-17'!E47)/'T2x. THg loads 2010-17'!E14</f>
        <v>0.76381617219313569</v>
      </c>
      <c r="F12" s="95">
        <f>('T2x. THg loads 2010-17'!F14-'T2x. THg loads 2010-17'!F47)/'T2x. THg loads 2010-17'!F14</f>
        <v>0.76791907514450863</v>
      </c>
      <c r="G12" s="96"/>
      <c r="H12" s="96"/>
      <c r="I12" s="96"/>
      <c r="J12" s="94">
        <f>('T2x. THg loads 2010-17'!J14-'T2x. THg loads 2010-17'!J47)/'T2x. THg loads 2010-17'!J14</f>
        <v>0.82444444444444442</v>
      </c>
      <c r="K12" s="93">
        <f>('T2x. THg loads 2010-17'!K14-'T2x. THg loads 2010-17'!K47)/'T2x. THg loads 2010-17'!K14</f>
        <v>0.78942222222222214</v>
      </c>
      <c r="L12" s="94">
        <f>('T2x. THg loads 2010-17'!L14-'T2x. THg loads 2010-17'!L47)/'T2x. THg loads 2010-17'!L14</f>
        <v>0.85225500980132463</v>
      </c>
      <c r="M12" s="93">
        <f>('T2x. THg loads 2010-17'!M14-'T2x. THg loads 2010-17'!M47)/'T2x. THg loads 2010-17'!M14</f>
        <v>0.82396477600794693</v>
      </c>
      <c r="N12" s="58">
        <f>('T2x. THg loads 2010-17'!O14-'T2x. THg loads 2010-17'!O47)/'T2x. THg loads 2010-17'!O14</f>
        <v>0.77012970969734407</v>
      </c>
      <c r="O12" s="58">
        <f>('T2x. THg loads 2010-17'!P14-'T2x. THg loads 2010-17'!P47)/'T2x. THg loads 2010-17'!P14</f>
        <v>0.79997323589122871</v>
      </c>
      <c r="P12" s="66"/>
      <c r="Q12" s="66"/>
    </row>
    <row r="13" spans="1:22" x14ac:dyDescent="0.2">
      <c r="A13" s="2" t="s">
        <v>151</v>
      </c>
      <c r="B13" s="45">
        <f>('T2x. THg loads 2010-17'!B15-'T2x. THg loads 2010-17'!B48)/'T2x. THg loads 2010-17'!B15</f>
        <v>-1.3366874668121878E-2</v>
      </c>
      <c r="C13" s="93">
        <f>('T2x. THg loads 2010-17'!C15-'T2x. THg loads 2010-17'!C48)/'T2x. THg loads 2010-17'!C15</f>
        <v>0.63300524934383195</v>
      </c>
      <c r="D13" s="94">
        <f>('T2x. THg loads 2010-17'!D15-'T2x. THg loads 2010-17'!D48)/'T2x. THg loads 2010-17'!D15</f>
        <v>0.36535662299854438</v>
      </c>
      <c r="E13" s="95">
        <f>('T2x. THg loads 2010-17'!E15-'T2x. THg loads 2010-17'!E48)/'T2x. THg loads 2010-17'!E15</f>
        <v>0.62710559245355668</v>
      </c>
      <c r="F13" s="95">
        <f>('T2x. THg loads 2010-17'!F15-'T2x. THg loads 2010-17'!F48)/'T2x. THg loads 2010-17'!F15</f>
        <v>0.62521627683434799</v>
      </c>
      <c r="G13" s="96"/>
      <c r="H13" s="96"/>
      <c r="I13" s="96"/>
      <c r="J13" s="94">
        <f>('T2x. THg loads 2010-17'!J15-'T2x. THg loads 2010-17'!J48)/'T2x. THg loads 2010-17'!J15</f>
        <v>0.76374795417348607</v>
      </c>
      <c r="K13" s="93">
        <f>('T2x. THg loads 2010-17'!K15-'T2x. THg loads 2010-17'!K48)/'T2x. THg loads 2010-17'!K15</f>
        <v>0.78803322731062586</v>
      </c>
      <c r="L13" s="94">
        <f>('T2x. THg loads 2010-17'!L15-'T2x. THg loads 2010-17'!L48)/'T2x. THg loads 2010-17'!L15</f>
        <v>0.71283437208032963</v>
      </c>
      <c r="M13" s="93">
        <f>('T2x. THg loads 2010-17'!M15-'T2x. THg loads 2010-17'!M48)/'T2x. THg loads 2010-17'!M15</f>
        <v>0.74251921467386284</v>
      </c>
      <c r="N13" s="58">
        <f>('T2x. THg loads 2010-17'!O15-'T2x. THg loads 2010-17'!O48)/'T2x. THg loads 2010-17'!O15</f>
        <v>0.7792524947081948</v>
      </c>
      <c r="O13" s="58">
        <f>('T2x. THg loads 2010-17'!P15-'T2x. THg loads 2010-17'!P48)/'T2x. THg loads 2010-17'!P15</f>
        <v>0.73271128839186561</v>
      </c>
      <c r="P13" s="66"/>
      <c r="Q13" s="66"/>
    </row>
    <row r="14" spans="1:22" x14ac:dyDescent="0.2">
      <c r="A14" s="2" t="s">
        <v>152</v>
      </c>
      <c r="B14" s="45">
        <f>('T2x. THg loads 2010-17'!B16-'T2x. THg loads 2010-17'!B49)/'T2x. THg loads 2010-17'!B16</f>
        <v>5.2380709237232967E-2</v>
      </c>
      <c r="C14" s="116">
        <f>('T2x. THg loads 2010-17'!C16-'T2x. THg loads 2010-17'!C49)/'T2x. THg loads 2010-17'!C16</f>
        <v>0.66321262657497626</v>
      </c>
      <c r="D14" s="171">
        <f>('T2x. THg loads 2010-17'!D16-'T2x. THg loads 2010-17'!D49)/'T2x. THg loads 2010-17'!D16</f>
        <v>0.26782023907228175</v>
      </c>
      <c r="E14" s="117">
        <f>('T2x. THg loads 2010-17'!E16-'T2x. THg loads 2010-17'!E49)/'T2x. THg loads 2010-17'!E16</f>
        <v>0.6537316246054683</v>
      </c>
      <c r="F14" s="117">
        <f>('T2x. THg loads 2010-17'!F16-'T2x. THg loads 2010-17'!F49)/'T2x. THg loads 2010-17'!F16</f>
        <v>0.64811140805597345</v>
      </c>
      <c r="H14" s="10" t="s">
        <v>26</v>
      </c>
      <c r="J14" s="118">
        <f>('T2x. THg loads 2010-17'!J16-'T2x. THg loads 2010-17'!J49)/'T2x. THg loads 2010-17'!J16</f>
        <v>0.75772532179537033</v>
      </c>
      <c r="K14" s="116">
        <f>('T2x. THg loads 2010-17'!K16-'T2x. THg loads 2010-17'!K49)/'T2x. THg loads 2010-17'!K16</f>
        <v>0.75194079356441479</v>
      </c>
      <c r="L14" s="118">
        <f>('T2x. THg loads 2010-17'!L16-'T2x. THg loads 2010-17'!L49)/'T2x. THg loads 2010-17'!L16</f>
        <v>0.73122510572162214</v>
      </c>
      <c r="M14" s="116">
        <f>('T2x. THg loads 2010-17'!M16-'T2x. THg loads 2010-17'!M49)/'T2x. THg loads 2010-17'!M16</f>
        <v>0.72233796303474451</v>
      </c>
      <c r="N14" s="117">
        <f>('T2x. THg loads 2010-17'!O16-'T2x. THg loads 2010-17'!O49)/'T2x. THg loads 2010-17'!O16</f>
        <v>0.74089831394221384</v>
      </c>
      <c r="O14" s="117">
        <f>('T2x. THg loads 2010-17'!P16-'T2x. THg loads 2010-17'!P49)/'T2x. THg loads 2010-17'!P16</f>
        <v>0.70985235675643454</v>
      </c>
      <c r="P14" s="66"/>
      <c r="Q14" s="66"/>
      <c r="T14">
        <v>58.220885456144501</v>
      </c>
      <c r="U14">
        <v>18.7034155839556</v>
      </c>
      <c r="V14">
        <f t="shared" si="0"/>
        <v>0.32124924651041498</v>
      </c>
    </row>
    <row r="15" spans="1:22" x14ac:dyDescent="0.2">
      <c r="A15" s="2" t="s">
        <v>152</v>
      </c>
      <c r="C15" s="26"/>
      <c r="D15" s="26"/>
      <c r="E15" s="26"/>
      <c r="F15" s="26"/>
      <c r="H15" s="87" t="s">
        <v>153</v>
      </c>
      <c r="J15" s="118">
        <f>('T2x. THg loads 2010-17'!J17-'T2x. THg loads 2010-17'!J50)/'T2x. THg loads 2010-17'!J17</f>
        <v>0.75772532179537033</v>
      </c>
      <c r="K15" s="116">
        <f>('T2x. THg loads 2010-17'!K17-'T2x. THg loads 2010-17'!K50)/'T2x. THg loads 2010-17'!K17</f>
        <v>0.7569176473305389</v>
      </c>
      <c r="L15" s="118">
        <f>('T2x. THg loads 2010-17'!L17-'T2x. THg loads 2010-17'!L50)/'T2x. THg loads 2010-17'!L17</f>
        <v>0.73122510572162214</v>
      </c>
      <c r="M15" s="116">
        <f>('T2x. THg loads 2010-17'!M17-'T2x. THg loads 2010-17'!M50)/'T2x. THg loads 2010-17'!M17</f>
        <v>0.72960208182454567</v>
      </c>
      <c r="N15" s="117">
        <f>('T2x. THg loads 2010-17'!O17-'T2x. THg loads 2010-17'!O50)/'T2x. THg loads 2010-17'!O17</f>
        <v>0.74566676153247236</v>
      </c>
      <c r="O15" s="117">
        <f>('T2x. THg loads 2010-17'!P17-'T2x. THg loads 2010-17'!P50)/'T2x. THg loads 2010-17'!P17</f>
        <v>0.71681309411154537</v>
      </c>
      <c r="P15" s="66"/>
      <c r="Q15" s="66"/>
      <c r="T15">
        <v>62.882552212663398</v>
      </c>
    </row>
    <row r="16" spans="1:22" x14ac:dyDescent="0.2">
      <c r="C16" s="26"/>
      <c r="D16" s="26"/>
      <c r="E16" s="26"/>
      <c r="F16" s="26"/>
      <c r="H16" s="10"/>
      <c r="K16" s="26"/>
      <c r="L16" s="26"/>
      <c r="M16" s="26"/>
      <c r="N16" s="26"/>
      <c r="O16" s="26"/>
      <c r="P16" s="26"/>
      <c r="Q16" s="26"/>
      <c r="T16">
        <v>64.705298696281105</v>
      </c>
    </row>
    <row r="17" spans="1:24" ht="16" x14ac:dyDescent="0.2">
      <c r="A17" s="1" t="s">
        <v>38</v>
      </c>
      <c r="C17" s="6"/>
      <c r="D17" s="6"/>
      <c r="E17" s="26"/>
      <c r="F17" s="26"/>
      <c r="H17" s="10"/>
      <c r="K17" s="26"/>
      <c r="L17" s="26"/>
      <c r="M17" s="26"/>
      <c r="N17" s="26"/>
      <c r="O17" s="26"/>
      <c r="P17" s="26"/>
      <c r="Q17" s="26"/>
    </row>
    <row r="18" spans="1:24" x14ac:dyDescent="0.2">
      <c r="A18" s="2" t="s">
        <v>1</v>
      </c>
      <c r="B18" s="45">
        <f>('T2x. THg loads 2010-17'!B8-'T2x. THg loads 2010-17'!B52)/'T2x. THg loads 2010-17'!B8</f>
        <v>0.16380679048775948</v>
      </c>
      <c r="C18" s="56">
        <f>('T2x. THg loads 2010-17'!C8-'T2x. THg loads 2010-17'!C52)/'T2x. THg loads 2010-17'!C8</f>
        <v>0.52238323492538963</v>
      </c>
      <c r="D18" s="45">
        <f>('T2x. THg loads 2010-17'!D8-'T2x. THg loads 2010-17'!D52)/'T2x. THg loads 2010-17'!D8</f>
        <v>-9.3618256080717048E-3</v>
      </c>
      <c r="E18" s="58">
        <f>('T2x. THg loads 2010-17'!E8-'T2x. THg loads 2010-17'!E52)/'T2x. THg loads 2010-17'!E8</f>
        <v>0.50143735413719315</v>
      </c>
      <c r="F18" s="58">
        <f>('T2x. THg loads 2010-17'!F8-'T2x. THg loads 2010-17'!F52)/'T2x. THg loads 2010-17'!F8</f>
        <v>0.42344673166030566</v>
      </c>
      <c r="H18" s="10"/>
      <c r="J18" s="45">
        <f>('T2x. THg loads 2010-17'!J8-'T2x. THg loads 2010-17'!J52)/'T2x. THg loads 2010-17'!J8</f>
        <v>0.70703903930655276</v>
      </c>
      <c r="K18" s="56">
        <f>('T2x. THg loads 2010-17'!K8-'T2x. THg loads 2010-17'!K52)/'T2x. THg loads 2010-17'!K8</f>
        <v>0.62883830477881975</v>
      </c>
      <c r="L18" s="45">
        <f>('T2x. THg loads 2010-17'!L8-'T2x. THg loads 2010-17'!L52)/'T2x. THg loads 2010-17'!L8</f>
        <v>0.76662356019367828</v>
      </c>
      <c r="M18" s="56">
        <f>('T2x. THg loads 2010-17'!M8-'T2x. THg loads 2010-17'!M52)/'T2x. THg loads 2010-17'!M8</f>
        <v>0.70432785713780766</v>
      </c>
      <c r="N18" s="53">
        <f>('T2x. THg loads 2010-17'!O8-'T2x. THg loads 2010-17'!O52)/'T2x. THg loads 2010-17'!O8</f>
        <v>0.61615302526479321</v>
      </c>
      <c r="O18" s="53">
        <f>('T2x. THg loads 2010-17'!P8-'T2x. THg loads 2010-17'!P52)/'T2x. THg loads 2010-17'!P8</f>
        <v>0.6941597867006587</v>
      </c>
      <c r="P18" s="66"/>
      <c r="Q18" s="66"/>
    </row>
    <row r="19" spans="1:24" x14ac:dyDescent="0.2">
      <c r="A19" s="2" t="s">
        <v>2</v>
      </c>
      <c r="B19" s="45">
        <f>('T2x. THg loads 2010-17'!B9-'T2x. THg loads 2010-17'!B53)/'T2x. THg loads 2010-17'!B9</f>
        <v>5.9951295749453598E-2</v>
      </c>
      <c r="C19" s="56">
        <f>('T2x. THg loads 2010-17'!C9-'T2x. THg loads 2010-17'!C53)/'T2x. THg loads 2010-17'!C9</f>
        <v>0.61372348080101935</v>
      </c>
      <c r="D19" s="45">
        <f>('T2x. THg loads 2010-17'!D9-'T2x. THg loads 2010-17'!D53)/'T2x. THg loads 2010-17'!D9</f>
        <v>-0.1675799018017122</v>
      </c>
      <c r="E19" s="58">
        <f>('T2x. THg loads 2010-17'!E9-'T2x. THg loads 2010-17'!E53)/'T2x. THg loads 2010-17'!E9</f>
        <v>0.59882227106173347</v>
      </c>
      <c r="F19" s="58">
        <f>('T2x. THg loads 2010-17'!F9-'T2x. THg loads 2010-17'!F53)/'T2x. THg loads 2010-17'!F9</f>
        <v>0.60899389317097485</v>
      </c>
      <c r="H19" s="10"/>
      <c r="J19" s="45">
        <f>('T2x. THg loads 2010-17'!J9-'T2x. THg loads 2010-17'!J53)/'T2x. THg loads 2010-17'!J9</f>
        <v>0.64079880190804495</v>
      </c>
      <c r="K19" s="56">
        <f>('T2x. THg loads 2010-17'!K9-'T2x. THg loads 2010-17'!K53)/'T2x. THg loads 2010-17'!K9</f>
        <v>0.53730015161036304</v>
      </c>
      <c r="L19" s="45">
        <f>('T2x. THg loads 2010-17'!L9-'T2x. THg loads 2010-17'!L53)/'T2x. THg loads 2010-17'!L9</f>
        <v>0.76923076923076927</v>
      </c>
      <c r="M19" s="56">
        <f>('T2x. THg loads 2010-17'!M9-'T2x. THg loads 2010-17'!M53)/'T2x. THg loads 2010-17'!M9</f>
        <v>0.70273794002607559</v>
      </c>
      <c r="N19" s="53">
        <f>('T2x. THg loads 2010-17'!O9-'T2x. THg loads 2010-17'!O53)/'T2x. THg loads 2010-17'!O9</f>
        <v>0.52129665118980006</v>
      </c>
      <c r="O19" s="53">
        <f>('T2x. THg loads 2010-17'!P9-'T2x. THg loads 2010-17'!P53)/'T2x. THg loads 2010-17'!P9</f>
        <v>0.67799781722342878</v>
      </c>
      <c r="P19" s="66"/>
      <c r="Q19" s="66"/>
      <c r="S19" t="s">
        <v>71</v>
      </c>
      <c r="T19">
        <f>AVERAGE(T6:T16)</f>
        <v>60.614032503821157</v>
      </c>
    </row>
    <row r="20" spans="1:24" x14ac:dyDescent="0.2">
      <c r="A20" s="2" t="s">
        <v>3</v>
      </c>
      <c r="B20" s="45">
        <f>('T2x. THg loads 2010-17'!B10-'T2x. THg loads 2010-17'!B54)/'T2x. THg loads 2010-17'!B10</f>
        <v>0.40087350249851411</v>
      </c>
      <c r="C20" s="56">
        <f>('T2x. THg loads 2010-17'!C10-'T2x. THg loads 2010-17'!C54)/'T2x. THg loads 2010-17'!C10</f>
        <v>0.54048207767101797</v>
      </c>
      <c r="D20" s="45">
        <f>('T2x. THg loads 2010-17'!D10-'T2x. THg loads 2010-17'!D54)/'T2x. THg loads 2010-17'!D10</f>
        <v>0.39523399089155981</v>
      </c>
      <c r="E20" s="58">
        <f>('T2x. THg loads 2010-17'!E10-'T2x. THg loads 2010-17'!E54)/'T2x. THg loads 2010-17'!E10</f>
        <v>0.52424218990561755</v>
      </c>
      <c r="F20" s="58">
        <f>('T2x. THg loads 2010-17'!F10-'T2x. THg loads 2010-17'!F54)/'T2x. THg loads 2010-17'!F10</f>
        <v>0.63949356145065539</v>
      </c>
      <c r="H20" s="10"/>
      <c r="J20" s="45">
        <f>('T2x. THg loads 2010-17'!J10-'T2x. THg loads 2010-17'!J54)/'T2x. THg loads 2010-17'!J10</f>
        <v>0.46439686615464348</v>
      </c>
      <c r="K20" s="56">
        <f>('T2x. THg loads 2010-17'!K10-'T2x. THg loads 2010-17'!K54)/'T2x. THg loads 2010-17'!K10</f>
        <v>0.28034791282554417</v>
      </c>
      <c r="L20" s="45">
        <f>('T2x. THg loads 2010-17'!L10-'T2x. THg loads 2010-17'!L54)/'T2x. THg loads 2010-17'!L10</f>
        <v>0.71392649903288208</v>
      </c>
      <c r="M20" s="56">
        <f>('T2x. THg loads 2010-17'!M10-'T2x. THg loads 2010-17'!M54)/'T2x. THg loads 2010-17'!M10</f>
        <v>0.61562324966580284</v>
      </c>
      <c r="N20" s="53">
        <f>('T2x. THg loads 2010-17'!O10-'T2x. THg loads 2010-17'!O54)/'T2x. THg loads 2010-17'!O10</f>
        <v>0.29479524461557455</v>
      </c>
      <c r="O20" s="53">
        <f>('T2x. THg loads 2010-17'!P10-'T2x. THg loads 2010-17'!P54)/'T2x. THg loads 2010-17'!P10</f>
        <v>0.59572812177203993</v>
      </c>
      <c r="P20" s="66"/>
      <c r="Q20" s="66"/>
      <c r="S20" t="s">
        <v>73</v>
      </c>
      <c r="T20">
        <f>AVERAGE(T6:T14)</f>
        <v>59.554068186937464</v>
      </c>
    </row>
    <row r="21" spans="1:24" x14ac:dyDescent="0.2">
      <c r="A21" s="2" t="s">
        <v>4</v>
      </c>
      <c r="B21" s="45">
        <f>('T2x. THg loads 2010-17'!B11-'T2x. THg loads 2010-17'!B55)/'T2x. THg loads 2010-17'!B11</f>
        <v>0.12689725722914147</v>
      </c>
      <c r="C21" s="56">
        <f>('T2x. THg loads 2010-17'!C11-'T2x. THg loads 2010-17'!C55)/'T2x. THg loads 2010-17'!C11</f>
        <v>0.47378329445303713</v>
      </c>
      <c r="D21" s="45">
        <f>('T2x. THg loads 2010-17'!D11-'T2x. THg loads 2010-17'!D55)/'T2x. THg loads 2010-17'!D11</f>
        <v>-8.4287266584087708E-2</v>
      </c>
      <c r="E21" s="58">
        <f>('T2x. THg loads 2010-17'!E11-'T2x. THg loads 2010-17'!E55)/'T2x. THg loads 2010-17'!E11</f>
        <v>0.44666664006620077</v>
      </c>
      <c r="F21" s="58">
        <f>('T2x. THg loads 2010-17'!F11-'T2x. THg loads 2010-17'!F55)/'T2x. THg loads 2010-17'!F11</f>
        <v>0.45338052359041997</v>
      </c>
      <c r="H21" s="10"/>
      <c r="J21" s="45">
        <f>('T2x. THg loads 2010-17'!J11-'T2x. THg loads 2010-17'!J55)/'T2x. THg loads 2010-17'!J11</f>
        <v>0.46105560569325255</v>
      </c>
      <c r="K21" s="56">
        <f>('T2x. THg loads 2010-17'!K11-'T2x. THg loads 2010-17'!K55)/'T2x. THg loads 2010-17'!K11</f>
        <v>0.45260157597863698</v>
      </c>
      <c r="L21" s="45">
        <f>('T2x. THg loads 2010-17'!L11-'T2x. THg loads 2010-17'!L55)/'T2x. THg loads 2010-17'!L11</f>
        <v>0.47344462993878689</v>
      </c>
      <c r="M21" s="56">
        <f>('T2x. THg loads 2010-17'!M11-'T2x. THg loads 2010-17'!M55)/'T2x. THg loads 2010-17'!M11</f>
        <v>0.46518493785939524</v>
      </c>
      <c r="N21" s="53">
        <f>('T2x. THg loads 2010-17'!O11-'T2x. THg loads 2010-17'!O55)/'T2x. THg loads 2010-17'!O11</f>
        <v>0.43428811370127218</v>
      </c>
      <c r="O21" s="53">
        <f>('T2x. THg loads 2010-17'!P11-'T2x. THg loads 2010-17'!P55)/'T2x. THg loads 2010-17'!P11</f>
        <v>0.43835042524750328</v>
      </c>
      <c r="P21" s="66"/>
      <c r="Q21" s="66"/>
      <c r="S21" s="60" t="s">
        <v>62</v>
      </c>
      <c r="T21" s="60">
        <f>MEDIAN(T6:T16)</f>
        <v>60.55171883440395</v>
      </c>
    </row>
    <row r="22" spans="1:24" x14ac:dyDescent="0.2">
      <c r="A22" s="2" t="s">
        <v>5</v>
      </c>
      <c r="B22" s="45">
        <f>('T2x. THg loads 2010-17'!B12-'T2x. THg loads 2010-17'!B56)/'T2x. THg loads 2010-17'!B12</f>
        <v>0.78333333333333333</v>
      </c>
      <c r="C22" s="56">
        <f>('T2x. THg loads 2010-17'!C12-'T2x. THg loads 2010-17'!C56)/'T2x. THg loads 2010-17'!C12</f>
        <v>0.77788619692415384</v>
      </c>
      <c r="D22" s="45">
        <f>('T2x. THg loads 2010-17'!D12-'T2x. THg loads 2010-17'!D56)/'T2x. THg loads 2010-17'!D12</f>
        <v>0.84780477326350612</v>
      </c>
      <c r="E22" s="58">
        <f>('T2x. THg loads 2010-17'!E12-'T2x. THg loads 2010-17'!E56)/'T2x. THg loads 2010-17'!E12</f>
        <v>0.79163478929543329</v>
      </c>
      <c r="F22" s="58">
        <f>('T2x. THg loads 2010-17'!F12-'T2x. THg loads 2010-17'!F56)/'T2x. THg loads 2010-17'!F12</f>
        <v>0.82114679424934711</v>
      </c>
      <c r="G22" s="175"/>
      <c r="H22" s="10"/>
      <c r="I22" s="175"/>
      <c r="J22" s="45">
        <f>('T2x. THg loads 2010-17'!J12-'T2x. THg loads 2010-17'!J56)/'T2x. THg loads 2010-17'!J12</f>
        <v>0.88901401110956946</v>
      </c>
      <c r="K22" s="56">
        <f>('T2x. THg loads 2010-17'!K12-'T2x. THg loads 2010-17'!K56)/'T2x. THg loads 2010-17'!K12</f>
        <v>1</v>
      </c>
      <c r="L22" s="45">
        <f>('T2x. THg loads 2010-17'!L12-'T2x. THg loads 2010-17'!L56)/'T2x. THg loads 2010-17'!L12</f>
        <v>0.9</v>
      </c>
      <c r="M22" s="56">
        <f>('T2x. THg loads 2010-17'!M12-'T2x. THg loads 2010-17'!M56)/'T2x. THg loads 2010-17'!M12</f>
        <v>1</v>
      </c>
      <c r="N22" s="53">
        <f>('T2x. THg loads 2010-17'!O12-'T2x. THg loads 2010-17'!O56)/'T2x. THg loads 2010-17'!O12</f>
        <v>0.94536349534147246</v>
      </c>
      <c r="O22" s="53">
        <f>('T2x. THg loads 2010-17'!P12-'T2x. THg loads 2010-17'!P56)/'T2x. THg loads 2010-17'!P12</f>
        <v>0.95242202735150105</v>
      </c>
      <c r="P22" s="66"/>
      <c r="Q22" s="66"/>
      <c r="S22" s="60" t="s">
        <v>73</v>
      </c>
      <c r="T22" s="60">
        <f>MEDIAN(T6:T14)</f>
        <v>57.472028227709352</v>
      </c>
    </row>
    <row r="23" spans="1:24" x14ac:dyDescent="0.2">
      <c r="A23" s="2" t="s">
        <v>97</v>
      </c>
      <c r="B23" s="45">
        <f>('T2x. THg loads 2010-17'!B13-'T2x. THg loads 2010-17'!B57)/'T2x. THg loads 2010-17'!B13</f>
        <v>3.0232558139534817E-2</v>
      </c>
      <c r="C23" s="56">
        <f>('T2x. THg loads 2010-17'!C13-'T2x. THg loads 2010-17'!C57)/'T2x. THg loads 2010-17'!C13</f>
        <v>0.4200492446020187</v>
      </c>
      <c r="D23" s="45">
        <f>('T2x. THg loads 2010-17'!D13-'T2x. THg loads 2010-17'!D57)/'T2x. THg loads 2010-17'!D13</f>
        <v>-0.28546989219679958</v>
      </c>
      <c r="E23" s="58">
        <f>('T2x. THg loads 2010-17'!E13-'T2x. THg loads 2010-17'!E57)/'T2x. THg loads 2010-17'!E13</f>
        <v>0.40066948905806865</v>
      </c>
      <c r="F23" s="58">
        <f>('T2x. THg loads 2010-17'!F13-'T2x. THg loads 2010-17'!F57)/'T2x. THg loads 2010-17'!F13</f>
        <v>0.37382060890172331</v>
      </c>
      <c r="H23" s="10"/>
      <c r="J23" s="45">
        <f>('T2x. THg loads 2010-17'!J13-'T2x. THg loads 2010-17'!J57)/'T2x. THg loads 2010-17'!J13</f>
        <v>0.43400042261323307</v>
      </c>
      <c r="K23" s="56">
        <f>('T2x. THg loads 2010-17'!K13-'T2x. THg loads 2010-17'!K57)/'T2x. THg loads 2010-17'!K13</f>
        <v>0.38416398183703981</v>
      </c>
      <c r="L23" s="45">
        <f>('T2x. THg loads 2010-17'!L13-'T2x. THg loads 2010-17'!L57)/'T2x. THg loads 2010-17'!L13</f>
        <v>0.73267326732673266</v>
      </c>
      <c r="M23" s="56">
        <f>('T2x. THg loads 2010-17'!M13-'T2x. THg loads 2010-17'!M57)/'T2x. THg loads 2010-17'!M13</f>
        <v>0.70913506444984131</v>
      </c>
      <c r="N23" s="53">
        <f>('T2x. THg loads 2010-17'!O13-'T2x. THg loads 2010-17'!O57)/'T2x. THg loads 2010-17'!O13</f>
        <v>0.36619187495367256</v>
      </c>
      <c r="O23" s="53">
        <f>('T2x. THg loads 2010-17'!P13-'T2x. THg loads 2010-17'!P57)/'T2x. THg loads 2010-17'!P13</f>
        <v>0.67469572624867946</v>
      </c>
      <c r="P23" s="66"/>
      <c r="Q23" s="66"/>
      <c r="S23" s="60"/>
      <c r="T23" s="60"/>
    </row>
    <row r="24" spans="1:24" x14ac:dyDescent="0.2">
      <c r="A24" s="2" t="s">
        <v>105</v>
      </c>
      <c r="B24" s="45">
        <f>('T2x. THg loads 2010-17'!B14-'T2x. THg loads 2010-17'!B58)/'T2x. THg loads 2010-17'!B14</f>
        <v>0.19608701963405306</v>
      </c>
      <c r="C24" s="56">
        <f>('T2x. THg loads 2010-17'!C14-'T2x. THg loads 2010-17'!C58)/'T2x. THg loads 2010-17'!C14</f>
        <v>0.76716417910447754</v>
      </c>
      <c r="D24" s="45">
        <f>('T2x. THg loads 2010-17'!D14-'T2x. THg loads 2010-17'!D58)/'T2x. THg loads 2010-17'!D14</f>
        <v>9.090909090909087E-2</v>
      </c>
      <c r="E24" s="58">
        <f>('T2x. THg loads 2010-17'!E14-'T2x. THg loads 2010-17'!E58)/'T2x. THg loads 2010-17'!E14</f>
        <v>0.74985456660849326</v>
      </c>
      <c r="F24" s="58">
        <f>('T2x. THg loads 2010-17'!F14-'T2x. THg loads 2010-17'!F58)/'T2x. THg loads 2010-17'!F14</f>
        <v>0.67225433526011558</v>
      </c>
      <c r="H24" s="10"/>
      <c r="J24" s="45">
        <f>('T2x. THg loads 2010-17'!J14-'T2x. THg loads 2010-17'!J58)/'T2x. THg loads 2010-17'!J14</f>
        <v>0.75</v>
      </c>
      <c r="K24" s="56">
        <f>('T2x. THg loads 2010-17'!K14-'T2x. THg loads 2010-17'!K58)/'T2x. THg loads 2010-17'!K14</f>
        <v>0.7014285714285714</v>
      </c>
      <c r="L24" s="45">
        <f>('T2x. THg loads 2010-17'!L14-'T2x. THg loads 2010-17'!L58)/'T2x. THg loads 2010-17'!L14</f>
        <v>0.85225500980132463</v>
      </c>
      <c r="M24" s="56">
        <f>('T2x. THg loads 2010-17'!M14-'T2x. THg loads 2010-17'!M58)/'T2x. THg loads 2010-17'!M14</f>
        <v>0.82355026884843896</v>
      </c>
      <c r="N24" s="53">
        <f>('T2x. THg loads 2010-17'!O14-'T2x. THg loads 2010-17'!O58)/'T2x. THg loads 2010-17'!O14</f>
        <v>0.68483631871525641</v>
      </c>
      <c r="O24" s="53">
        <f>('T2x. THg loads 2010-17'!P14-'T2x. THg loads 2010-17'!P58)/'T2x. THg loads 2010-17'!P14</f>
        <v>0.79993832097857531</v>
      </c>
      <c r="P24" s="66"/>
      <c r="Q24" s="66"/>
      <c r="S24" s="60"/>
      <c r="T24" s="60"/>
    </row>
    <row r="25" spans="1:24" x14ac:dyDescent="0.2">
      <c r="A25" s="2" t="s">
        <v>151</v>
      </c>
      <c r="B25" s="45">
        <f>('T2x. THg loads 2010-17'!B15-'T2x. THg loads 2010-17'!B59)/'T2x. THg loads 2010-17'!B15</f>
        <v>-1.3366874668121878E-2</v>
      </c>
      <c r="C25" s="56">
        <f>('T2x. THg loads 2010-17'!C15-'T2x. THg loads 2010-17'!C59)/'T2x. THg loads 2010-17'!C15</f>
        <v>0.56036745406824151</v>
      </c>
      <c r="D25" s="45">
        <f>('T2x. THg loads 2010-17'!D15-'T2x. THg loads 2010-17'!D59)/'T2x. THg loads 2010-17'!D15</f>
        <v>0.35953420669577868</v>
      </c>
      <c r="E25" s="58">
        <f>('T2x. THg loads 2010-17'!E15-'T2x. THg loads 2010-17'!E59)/'T2x. THg loads 2010-17'!E15</f>
        <v>0.55594057817563447</v>
      </c>
      <c r="F25" s="58">
        <f>('T2x. THg loads 2010-17'!F15-'T2x. THg loads 2010-17'!F59)/'T2x. THg loads 2010-17'!F15</f>
        <v>0.65421339314322335</v>
      </c>
      <c r="H25" s="10"/>
      <c r="J25" s="45">
        <f>('T2x. THg loads 2010-17'!J15-'T2x. THg loads 2010-17'!J59)/'T2x. THg loads 2010-17'!J15</f>
        <v>0.66693944353518819</v>
      </c>
      <c r="K25" s="56">
        <f>('T2x. THg loads 2010-17'!K15-'T2x. THg loads 2010-17'!K59)/'T2x. THg loads 2010-17'!K15</f>
        <v>0.70087391532594268</v>
      </c>
      <c r="L25" s="45">
        <f>('T2x. THg loads 2010-17'!L15-'T2x. THg loads 2010-17'!L59)/'T2x. THg loads 2010-17'!L15</f>
        <v>0.71283437208032963</v>
      </c>
      <c r="M25" s="56">
        <f>('T2x. THg loads 2010-17'!M15-'T2x. THg loads 2010-17'!M59)/'T2x. THg loads 2010-17'!M15</f>
        <v>0.74209275681176767</v>
      </c>
      <c r="N25" s="53">
        <f>('T2x. THg loads 2010-17'!O15-'T2x. THg loads 2010-17'!O59)/'T2x. THg loads 2010-17'!O15</f>
        <v>0.69378288478983963</v>
      </c>
      <c r="O25" s="53">
        <f>('T2x. THg loads 2010-17'!P15-'T2x. THg loads 2010-17'!P59)/'T2x. THg loads 2010-17'!P15</f>
        <v>0.73214451130465386</v>
      </c>
      <c r="P25" s="66"/>
      <c r="Q25" s="66"/>
      <c r="S25" s="60"/>
      <c r="T25" s="60"/>
    </row>
    <row r="26" spans="1:24" x14ac:dyDescent="0.2">
      <c r="A26" s="2" t="s">
        <v>152</v>
      </c>
      <c r="B26" s="45">
        <f>('T2x. THg loads 2010-17'!B16-'T2x. THg loads 2010-17'!B60)/'T2x. THg loads 2010-17'!B16</f>
        <v>5.2380709237232967E-2</v>
      </c>
      <c r="C26" s="116">
        <f>('T2x. THg loads 2010-17'!C16-'T2x. THg loads 2010-17'!C60)/'T2x. THg loads 2010-17'!C16</f>
        <v>0.56836383850985284</v>
      </c>
      <c r="D26" s="171">
        <f>('T2x. THg loads 2010-17'!D16-'T2x. THg loads 2010-17'!D60)/'T2x. THg loads 2010-17'!D16</f>
        <v>0.14605955566779336</v>
      </c>
      <c r="E26" s="117">
        <f>('T2x. THg loads 2010-17'!E16-'T2x. THg loads 2010-17'!E60)/'T2x. THg loads 2010-17'!E16</f>
        <v>0.55823752383129843</v>
      </c>
      <c r="F26" s="117">
        <f>('T2x. THg loads 2010-17'!F16-'T2x. THg loads 2010-17'!F60)/'T2x. THg loads 2010-17'!F16</f>
        <v>0.60934493984943228</v>
      </c>
      <c r="H26" s="10" t="s">
        <v>26</v>
      </c>
      <c r="J26" s="118">
        <f>('T2x. THg loads 2010-17'!J16-'T2x. THg loads 2010-17'!J60)/'T2x. THg loads 2010-17'!J16</f>
        <v>0.64572678615446377</v>
      </c>
      <c r="K26" s="116">
        <f>('T2x. THg loads 2010-17'!K16-'T2x. THg loads 2010-17'!K60)/'T2x. THg loads 2010-17'!K16</f>
        <v>0.63267866256813032</v>
      </c>
      <c r="L26" s="118">
        <f>('T2x. THg loads 2010-17'!L16-'T2x. THg loads 2010-17'!L60)/'T2x. THg loads 2010-17'!L16</f>
        <v>0.73134641830747038</v>
      </c>
      <c r="M26" s="116">
        <f>('T2x. THg loads 2010-17'!M16-'T2x. THg loads 2010-17'!M60)/'T2x. THg loads 2010-17'!M16</f>
        <v>0.7217626642589734</v>
      </c>
      <c r="N26" s="117">
        <f>('T2x. THg loads 2010-17'!O16-'T2x. THg loads 2010-17'!O60)/'T2x. THg loads 2010-17'!O16</f>
        <v>0.62157919256657745</v>
      </c>
      <c r="O26" s="117">
        <f>('T2x. THg loads 2010-17'!P16-'T2x. THg loads 2010-17'!P60)/'T2x. THg loads 2010-17'!P16</f>
        <v>0.70594809429148353</v>
      </c>
      <c r="P26" s="66"/>
      <c r="Q26" s="66"/>
      <c r="S26" t="s">
        <v>72</v>
      </c>
      <c r="V26">
        <f>SQRT((V6*V6)+(V7*V7)+(V8*V8)+(V9*V9)+(V10*V10)+(V14*V14))</f>
        <v>0.92745592573881808</v>
      </c>
    </row>
    <row r="27" spans="1:24" x14ac:dyDescent="0.2">
      <c r="A27" s="2" t="s">
        <v>152</v>
      </c>
      <c r="H27" s="87" t="s">
        <v>153</v>
      </c>
      <c r="J27" s="118">
        <f>('T2x. THg loads 2010-17'!J17-'T2x. THg loads 2010-17'!J61)/'T2x. THg loads 2010-17'!J17</f>
        <v>0.64572678615446377</v>
      </c>
      <c r="K27" s="116">
        <f>('T2x. THg loads 2010-17'!K17-'T2x. THg loads 2010-17'!K61)/'T2x. THg loads 2010-17'!K17</f>
        <v>0.63386826853620315</v>
      </c>
      <c r="L27" s="118">
        <f>('T2x. THg loads 2010-17'!L17-'T2x. THg loads 2010-17'!L61)/'T2x. THg loads 2010-17'!L17</f>
        <v>0.73134641830747038</v>
      </c>
      <c r="M27" s="116">
        <f>('T2x. THg loads 2010-17'!M17-'T2x. THg loads 2010-17'!M61)/'T2x. THg loads 2010-17'!M17</f>
        <v>0.72235382979893392</v>
      </c>
      <c r="N27" s="117">
        <f>('T2x. THg loads 2010-17'!O17-'T2x. THg loads 2010-17'!O61)/'T2x. THg loads 2010-17'!O17</f>
        <v>0.62264702706749697</v>
      </c>
      <c r="O27" s="117">
        <f>('T2x. THg loads 2010-17'!P17-'T2x. THg loads 2010-17'!P61)/'T2x. THg loads 2010-17'!P17</f>
        <v>0.70639343528231879</v>
      </c>
      <c r="P27" s="66"/>
      <c r="Q27" s="66"/>
      <c r="W27" t="s">
        <v>74</v>
      </c>
      <c r="X27" t="s">
        <v>75</v>
      </c>
    </row>
    <row r="28" spans="1:24" x14ac:dyDescent="0.2">
      <c r="N28" s="26"/>
      <c r="O28" s="26"/>
      <c r="P28" s="26"/>
      <c r="Q28" s="26"/>
      <c r="S28" t="s">
        <v>33</v>
      </c>
      <c r="T28">
        <f>T20</f>
        <v>59.554068186937464</v>
      </c>
      <c r="V28">
        <f>T28*V26</f>
        <v>55.233773441828781</v>
      </c>
      <c r="W28">
        <f>T28-V28</f>
        <v>4.3202947451086828</v>
      </c>
      <c r="X28">
        <f>T28+V28</f>
        <v>114.78784162876624</v>
      </c>
    </row>
    <row r="30" spans="1:24" x14ac:dyDescent="0.2">
      <c r="E30" s="2"/>
      <c r="F30" s="2"/>
      <c r="G30" s="2"/>
      <c r="H30" s="3" t="s">
        <v>34</v>
      </c>
      <c r="I30" s="2"/>
      <c r="J30" s="3" t="s">
        <v>100</v>
      </c>
      <c r="K30" s="3" t="s">
        <v>99</v>
      </c>
    </row>
    <row r="31" spans="1:24" x14ac:dyDescent="0.2">
      <c r="E31" s="210" t="s">
        <v>98</v>
      </c>
      <c r="F31" s="211"/>
      <c r="G31" s="119"/>
      <c r="H31" s="120">
        <v>8</v>
      </c>
      <c r="I31" s="119"/>
      <c r="J31" s="121">
        <f>AVERAGE(J14:J15,J26:J27,L14:L15,L26:L27)</f>
        <v>0.71650590799473168</v>
      </c>
      <c r="K31" s="118">
        <f>STDEV(J14,J15,J26,J27,L14:L15,L26:L27)</f>
        <v>4.5184130243810065E-2</v>
      </c>
    </row>
    <row r="32" spans="1:24" x14ac:dyDescent="0.2">
      <c r="E32" s="212" t="s">
        <v>102</v>
      </c>
      <c r="F32" s="213"/>
      <c r="G32" s="122"/>
      <c r="H32" s="123">
        <v>10</v>
      </c>
      <c r="I32" s="122"/>
      <c r="J32" s="124">
        <f>AVERAGE(C14,K14,M14,K15,M15,C26,K26,M26,K27,M27)</f>
        <v>0.69030383760013125</v>
      </c>
      <c r="K32" s="116">
        <f>STDEV(C14,K14,K15,M14,M15,C26,K26,K27,M26,M27)</f>
        <v>6.2301098884105073E-2</v>
      </c>
    </row>
    <row r="33" spans="5:11" x14ac:dyDescent="0.2">
      <c r="E33" s="214" t="s">
        <v>164</v>
      </c>
      <c r="F33" s="215"/>
      <c r="G33" s="125"/>
      <c r="H33" s="112">
        <v>12</v>
      </c>
      <c r="I33" s="125"/>
      <c r="J33" s="126">
        <f>AVERAGE(E14,F14,E26,F26,N14:O15,N26:O27)</f>
        <v>0.66993531432439291</v>
      </c>
      <c r="K33" s="117">
        <f>STDEV(E14,F14,E26,F26,N14:O15,N26:O27)</f>
        <v>5.9275121086910181E-2</v>
      </c>
    </row>
    <row r="34" spans="5:11" x14ac:dyDescent="0.2">
      <c r="E34" s="172" t="s">
        <v>165</v>
      </c>
      <c r="F34" s="172"/>
      <c r="G34" s="172"/>
      <c r="H34" s="170">
        <v>2</v>
      </c>
      <c r="I34" s="172"/>
      <c r="J34" s="174">
        <f>AVERAGE(D14,D26)</f>
        <v>0.20693989737003754</v>
      </c>
      <c r="K34" s="171">
        <f>ABS(D14-D26)/2</f>
        <v>6.0880341702244198E-2</v>
      </c>
    </row>
    <row r="61" ht="16.5" customHeight="1" x14ac:dyDescent="0.2"/>
  </sheetData>
  <mergeCells count="5">
    <mergeCell ref="A1:M1"/>
    <mergeCell ref="E31:F31"/>
    <mergeCell ref="E32:F32"/>
    <mergeCell ref="E33:F33"/>
    <mergeCell ref="A2:O2"/>
  </mergeCells>
  <pageMargins left="0.7" right="0.7" top="0.75" bottom="0.75" header="0.3" footer="0.3"/>
  <pageSetup scale="55" orientation="landscape" verticalDpi="1200" r:id="rId1"/>
  <headerFooter>
    <oddHeader>&amp;LDraft&amp;RU.S. GEOLOGICAL SURVEY</oddHeader>
    <oddFooter>&amp;LPRELIMINARY - SUBJECT TO REVISION&amp;RDecember 8, 2018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  <pageSetUpPr fitToPage="1"/>
  </sheetPr>
  <dimension ref="A1:M61"/>
  <sheetViews>
    <sheetView view="pageLayout" topLeftCell="A34" zoomScaleNormal="100" workbookViewId="0">
      <selection activeCell="H8" sqref="H8:H61"/>
    </sheetView>
  </sheetViews>
  <sheetFormatPr baseColWidth="10" defaultColWidth="8.83203125" defaultRowHeight="15" x14ac:dyDescent="0.2"/>
  <cols>
    <col min="1" max="1" width="18.83203125" customWidth="1"/>
    <col min="7" max="7" width="2.5" customWidth="1"/>
    <col min="8" max="8" width="10.83203125" customWidth="1"/>
    <col min="9" max="9" width="4.83203125" customWidth="1"/>
  </cols>
  <sheetData>
    <row r="1" spans="1:13" ht="31.5" customHeight="1" x14ac:dyDescent="0.2">
      <c r="A1" s="208" t="s">
        <v>159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</row>
    <row r="2" spans="1:13" ht="72.75" customHeight="1" x14ac:dyDescent="0.2">
      <c r="A2" s="209" t="s">
        <v>147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</row>
    <row r="4" spans="1:13" x14ac:dyDescent="0.2">
      <c r="B4" s="42" t="s">
        <v>27</v>
      </c>
      <c r="C4" s="40" t="s">
        <v>56</v>
      </c>
      <c r="D4" s="40" t="s">
        <v>57</v>
      </c>
      <c r="E4" s="41" t="s">
        <v>58</v>
      </c>
      <c r="F4" s="41" t="s">
        <v>59</v>
      </c>
      <c r="G4" s="43"/>
      <c r="H4" s="40" t="s">
        <v>56</v>
      </c>
      <c r="I4" s="44"/>
      <c r="J4" s="40" t="s">
        <v>16</v>
      </c>
      <c r="K4" s="40" t="s">
        <v>60</v>
      </c>
      <c r="L4" s="40" t="s">
        <v>17</v>
      </c>
      <c r="M4" s="40" t="s">
        <v>61</v>
      </c>
    </row>
    <row r="5" spans="1:13" x14ac:dyDescent="0.2">
      <c r="B5" s="41" t="s">
        <v>30</v>
      </c>
      <c r="C5" s="41" t="s">
        <v>35</v>
      </c>
      <c r="D5" s="41" t="s">
        <v>35</v>
      </c>
      <c r="E5" s="41" t="s">
        <v>35</v>
      </c>
      <c r="F5" s="41" t="s">
        <v>35</v>
      </c>
      <c r="G5" s="43"/>
      <c r="H5" s="40" t="s">
        <v>29</v>
      </c>
      <c r="I5" s="44"/>
      <c r="J5" s="41" t="s">
        <v>35</v>
      </c>
      <c r="K5" s="41" t="s">
        <v>35</v>
      </c>
      <c r="L5" s="41" t="s">
        <v>35</v>
      </c>
      <c r="M5" s="41" t="s">
        <v>35</v>
      </c>
    </row>
    <row r="6" spans="1:13" ht="48" x14ac:dyDescent="0.2">
      <c r="A6" s="17"/>
      <c r="B6" s="19" t="s">
        <v>28</v>
      </c>
      <c r="C6" s="18" t="s">
        <v>8</v>
      </c>
      <c r="D6" s="18" t="s">
        <v>8</v>
      </c>
      <c r="E6" s="19" t="s">
        <v>8</v>
      </c>
      <c r="F6" s="19" t="s">
        <v>8</v>
      </c>
      <c r="G6" s="20"/>
      <c r="H6" s="21" t="s">
        <v>143</v>
      </c>
      <c r="I6" s="22"/>
      <c r="J6" s="18" t="s">
        <v>13</v>
      </c>
      <c r="K6" s="18" t="s">
        <v>8</v>
      </c>
      <c r="L6" s="18" t="s">
        <v>13</v>
      </c>
      <c r="M6" s="18" t="s">
        <v>8</v>
      </c>
    </row>
    <row r="7" spans="1:13" ht="16" x14ac:dyDescent="0.2">
      <c r="A7" s="1" t="s">
        <v>0</v>
      </c>
      <c r="C7" s="6"/>
      <c r="D7" s="6"/>
      <c r="H7" s="10"/>
    </row>
    <row r="8" spans="1:13" x14ac:dyDescent="0.2">
      <c r="A8" s="2" t="s">
        <v>1</v>
      </c>
      <c r="B8" s="111">
        <v>204.980803196007</v>
      </c>
      <c r="C8" s="80">
        <v>3.9119625202406167</v>
      </c>
      <c r="D8" s="79">
        <v>9.6783629973036966E-2</v>
      </c>
      <c r="E8" s="81">
        <f>SUM(C8:D8)</f>
        <v>4.0087461502136534</v>
      </c>
      <c r="F8" s="81">
        <v>3.1470249427831245</v>
      </c>
      <c r="H8" s="111">
        <v>251</v>
      </c>
      <c r="J8" s="80">
        <v>22.327058892311701</v>
      </c>
      <c r="K8" s="80">
        <f>J8*H8/1000</f>
        <v>5.6040917819702374</v>
      </c>
      <c r="L8" s="4" t="s">
        <v>32</v>
      </c>
      <c r="M8" s="36" t="s">
        <v>32</v>
      </c>
    </row>
    <row r="9" spans="1:13" x14ac:dyDescent="0.2">
      <c r="A9" s="2" t="s">
        <v>2</v>
      </c>
      <c r="B9" s="111">
        <v>485</v>
      </c>
      <c r="C9" s="65">
        <v>22.280447352739976</v>
      </c>
      <c r="D9" s="79">
        <v>0.30334243257367577</v>
      </c>
      <c r="E9" s="77">
        <f t="shared" ref="E9:E11" si="0">SUM(C9:D9)</f>
        <v>22.583789785313652</v>
      </c>
      <c r="F9" s="77">
        <v>17.283509638691385</v>
      </c>
      <c r="H9" s="111">
        <v>177</v>
      </c>
      <c r="J9" s="65">
        <v>107.27957389764838</v>
      </c>
      <c r="K9" s="65">
        <f t="shared" ref="K9:K11" si="1">J9*H9/1000</f>
        <v>18.988484579883764</v>
      </c>
      <c r="L9" s="4" t="s">
        <v>32</v>
      </c>
      <c r="M9" s="36" t="s">
        <v>32</v>
      </c>
    </row>
    <row r="10" spans="1:13" x14ac:dyDescent="0.2">
      <c r="A10" s="2" t="s">
        <v>3</v>
      </c>
      <c r="B10" s="111">
        <v>36.921198227783513</v>
      </c>
      <c r="C10" s="79">
        <v>0.12213732449573871</v>
      </c>
      <c r="D10" s="79">
        <v>1.3148749015942596E-2</v>
      </c>
      <c r="E10" s="78">
        <f t="shared" si="0"/>
        <v>0.13528607351168132</v>
      </c>
      <c r="F10" s="78">
        <v>0.11856821988601675</v>
      </c>
      <c r="H10" s="111">
        <v>259</v>
      </c>
      <c r="J10" s="79">
        <v>0.51232322347670534</v>
      </c>
      <c r="K10" s="79">
        <f t="shared" si="1"/>
        <v>0.13269171488046669</v>
      </c>
      <c r="L10" s="4" t="s">
        <v>32</v>
      </c>
      <c r="M10" s="36" t="s">
        <v>32</v>
      </c>
    </row>
    <row r="11" spans="1:13" x14ac:dyDescent="0.2">
      <c r="A11" s="2" t="s">
        <v>4</v>
      </c>
      <c r="B11" s="111">
        <v>117.21609517589853</v>
      </c>
      <c r="C11" s="80">
        <v>3.6673144880276829</v>
      </c>
      <c r="D11" s="79">
        <v>0.13235482492964201</v>
      </c>
      <c r="E11" s="81">
        <f t="shared" si="0"/>
        <v>3.7996693129573247</v>
      </c>
      <c r="F11" s="81">
        <v>3.1526127315406898</v>
      </c>
      <c r="H11" s="111">
        <v>255</v>
      </c>
      <c r="J11" s="80">
        <v>25.351281027735499</v>
      </c>
      <c r="K11" s="80">
        <f t="shared" si="1"/>
        <v>6.4645766620725524</v>
      </c>
      <c r="L11" s="4" t="s">
        <v>32</v>
      </c>
      <c r="M11" s="36" t="s">
        <v>32</v>
      </c>
    </row>
    <row r="12" spans="1:13" x14ac:dyDescent="0.2">
      <c r="A12" s="2" t="s">
        <v>5</v>
      </c>
      <c r="B12" s="111">
        <v>3</v>
      </c>
      <c r="C12" s="68">
        <v>1.0413207925658745E-2</v>
      </c>
      <c r="D12" s="68">
        <v>2.016924910614953E-3</v>
      </c>
      <c r="E12" s="77">
        <v>0</v>
      </c>
      <c r="F12" s="97">
        <v>1.1359235641256375E-2</v>
      </c>
      <c r="H12" s="112">
        <v>242</v>
      </c>
      <c r="J12" s="65">
        <v>1.6954627062322425E-2</v>
      </c>
      <c r="K12" s="65">
        <v>0</v>
      </c>
      <c r="L12" s="13" t="s">
        <v>32</v>
      </c>
      <c r="M12" s="36" t="s">
        <v>32</v>
      </c>
    </row>
    <row r="13" spans="1:13" x14ac:dyDescent="0.2">
      <c r="A13" s="2" t="s">
        <v>97</v>
      </c>
      <c r="B13" s="111">
        <v>86</v>
      </c>
      <c r="C13" s="65">
        <v>10.9729570190862</v>
      </c>
      <c r="D13" s="79">
        <v>0.19181892763576536</v>
      </c>
      <c r="E13" s="77">
        <f>SUM(C13:D13)</f>
        <v>11.164775946721965</v>
      </c>
      <c r="F13" s="77">
        <v>9.037203422501479</v>
      </c>
      <c r="H13" s="112">
        <v>318</v>
      </c>
      <c r="J13" s="65">
        <v>31.892775586674372</v>
      </c>
      <c r="K13" s="80">
        <f>J13*H13/1000</f>
        <v>10.141902636562451</v>
      </c>
      <c r="L13" s="13" t="s">
        <v>32</v>
      </c>
      <c r="M13" s="36" t="s">
        <v>32</v>
      </c>
    </row>
    <row r="14" spans="1:13" x14ac:dyDescent="0.2">
      <c r="A14" s="2" t="s">
        <v>105</v>
      </c>
      <c r="B14" s="136">
        <v>140.84107579462102</v>
      </c>
      <c r="C14" s="80">
        <v>7</v>
      </c>
      <c r="D14" s="79">
        <v>0.14000000000000001</v>
      </c>
      <c r="E14" s="77">
        <f>SUM(C14:D14)</f>
        <v>7.14</v>
      </c>
      <c r="F14" s="77">
        <v>7.2</v>
      </c>
      <c r="H14" s="145">
        <v>175</v>
      </c>
      <c r="J14" s="65">
        <v>37</v>
      </c>
      <c r="K14" s="80">
        <f t="shared" ref="K14:K15" si="2">J14*H14/1000</f>
        <v>6.4749999999999996</v>
      </c>
      <c r="L14" s="13" t="s">
        <v>32</v>
      </c>
      <c r="M14" s="36" t="s">
        <v>32</v>
      </c>
    </row>
    <row r="15" spans="1:13" x14ac:dyDescent="0.2">
      <c r="A15" s="2" t="s">
        <v>151</v>
      </c>
      <c r="B15" s="136">
        <v>1044.0097799511002</v>
      </c>
      <c r="C15" s="65">
        <v>59.9</v>
      </c>
      <c r="D15" s="79">
        <v>1.21</v>
      </c>
      <c r="E15" s="77">
        <f>SUM(C15:D15)</f>
        <v>61.11</v>
      </c>
      <c r="F15" s="77">
        <v>60.9</v>
      </c>
      <c r="H15" s="145">
        <v>265</v>
      </c>
      <c r="J15" s="65">
        <v>237</v>
      </c>
      <c r="K15" s="80">
        <f t="shared" si="2"/>
        <v>62.805</v>
      </c>
      <c r="L15" s="13" t="s">
        <v>32</v>
      </c>
      <c r="M15" s="36" t="s">
        <v>32</v>
      </c>
    </row>
    <row r="16" spans="1:13" x14ac:dyDescent="0.2">
      <c r="A16" s="2" t="s">
        <v>152</v>
      </c>
      <c r="B16" s="155">
        <f>SUM(B8:B15)</f>
        <v>2117.9689523454099</v>
      </c>
      <c r="C16" s="163">
        <f>SUM(C8:C15)</f>
        <v>107.86523191251587</v>
      </c>
      <c r="D16" s="164">
        <f>SUM(D8:D15)</f>
        <v>2.0894654890386777</v>
      </c>
      <c r="E16" s="157">
        <f>SUM(C16:D16)</f>
        <v>109.95469740155454</v>
      </c>
      <c r="F16" s="157">
        <f>SUM(F8:F15)</f>
        <v>100.85027819104396</v>
      </c>
      <c r="H16" s="13"/>
      <c r="I16" s="10" t="s">
        <v>26</v>
      </c>
      <c r="J16" s="155">
        <f>SUM(J8:J15)</f>
        <v>461.37996725490893</v>
      </c>
      <c r="K16" s="157">
        <f>SUM(K8:K15)</f>
        <v>110.61174737536948</v>
      </c>
      <c r="L16" s="11" t="s">
        <v>32</v>
      </c>
      <c r="M16" s="36" t="s">
        <v>32</v>
      </c>
    </row>
    <row r="17" spans="1:13" x14ac:dyDescent="0.2">
      <c r="A17" s="2" t="s">
        <v>152</v>
      </c>
      <c r="C17" s="31"/>
      <c r="D17" s="31"/>
      <c r="E17" s="31"/>
      <c r="F17" s="31"/>
      <c r="H17" s="111">
        <v>239</v>
      </c>
      <c r="I17" s="87" t="s">
        <v>153</v>
      </c>
      <c r="J17" s="155">
        <f>SUM(J8:J15)</f>
        <v>461.37996725490893</v>
      </c>
      <c r="K17" s="157">
        <f>J17*H17/1000</f>
        <v>110.26981217392323</v>
      </c>
      <c r="L17" s="11" t="s">
        <v>32</v>
      </c>
      <c r="M17" s="36" t="s">
        <v>32</v>
      </c>
    </row>
    <row r="18" spans="1:13" ht="16" x14ac:dyDescent="0.2">
      <c r="A18" s="12" t="s">
        <v>11</v>
      </c>
      <c r="H18" s="10"/>
    </row>
    <row r="19" spans="1:13" x14ac:dyDescent="0.2">
      <c r="A19" s="2" t="s">
        <v>1</v>
      </c>
      <c r="B19" s="111">
        <v>86.403555712866023</v>
      </c>
      <c r="C19" s="80">
        <v>0.80715400286245143</v>
      </c>
      <c r="D19" s="68">
        <v>5.8122339737896205E-2</v>
      </c>
      <c r="E19" s="78">
        <f>SUM(C19:D19)</f>
        <v>0.86527634260034758</v>
      </c>
      <c r="F19" s="81">
        <v>2.8726390714348433</v>
      </c>
      <c r="H19" s="111">
        <v>318</v>
      </c>
      <c r="J19" s="80">
        <v>14.051275877241876</v>
      </c>
      <c r="K19" s="80">
        <f>J19*H19/1000</f>
        <v>4.4683057289629167</v>
      </c>
      <c r="L19" s="4" t="s">
        <v>32</v>
      </c>
      <c r="M19" s="36" t="s">
        <v>32</v>
      </c>
    </row>
    <row r="20" spans="1:13" x14ac:dyDescent="0.2">
      <c r="A20" s="2" t="s">
        <v>2</v>
      </c>
      <c r="B20" s="111">
        <v>360</v>
      </c>
      <c r="C20" s="65">
        <v>11.498597236188617</v>
      </c>
      <c r="D20" s="79">
        <v>0.12575677378691352</v>
      </c>
      <c r="E20" s="77">
        <f t="shared" ref="E20:E22" si="3">SUM(C20:D20)</f>
        <v>11.62435400997553</v>
      </c>
      <c r="F20" s="77">
        <v>16.735354843981575</v>
      </c>
      <c r="H20" s="111">
        <v>217</v>
      </c>
      <c r="J20" s="80">
        <v>36.269268256252296</v>
      </c>
      <c r="K20" s="80">
        <f t="shared" ref="K20:K28" si="4">J20*H20/1000</f>
        <v>7.870431211606749</v>
      </c>
      <c r="L20" s="4" t="s">
        <v>32</v>
      </c>
      <c r="M20" s="36" t="s">
        <v>32</v>
      </c>
    </row>
    <row r="21" spans="1:13" x14ac:dyDescent="0.2">
      <c r="A21" s="2" t="s">
        <v>3</v>
      </c>
      <c r="B21" s="111">
        <v>0</v>
      </c>
      <c r="C21" s="65">
        <v>0</v>
      </c>
      <c r="D21" s="65">
        <v>0</v>
      </c>
      <c r="E21" s="77">
        <f t="shared" si="3"/>
        <v>0</v>
      </c>
      <c r="F21" s="77">
        <v>0</v>
      </c>
      <c r="H21" s="111" t="s">
        <v>19</v>
      </c>
      <c r="J21" s="65">
        <v>0</v>
      </c>
      <c r="K21" s="65" t="s">
        <v>19</v>
      </c>
      <c r="L21" s="4" t="s">
        <v>32</v>
      </c>
      <c r="M21" s="36" t="s">
        <v>32</v>
      </c>
    </row>
    <row r="22" spans="1:13" x14ac:dyDescent="0.2">
      <c r="A22" s="2" t="s">
        <v>4</v>
      </c>
      <c r="B22" s="111">
        <v>63.341694194967005</v>
      </c>
      <c r="C22" s="80">
        <v>1.1753458370792842</v>
      </c>
      <c r="D22" s="68">
        <v>5.4985419696308539E-2</v>
      </c>
      <c r="E22" s="81">
        <f t="shared" si="3"/>
        <v>1.2303312567755926</v>
      </c>
      <c r="F22" s="81">
        <v>3.6158376226277009</v>
      </c>
      <c r="H22" s="111">
        <v>243</v>
      </c>
      <c r="J22" s="80">
        <v>10.175184401620006</v>
      </c>
      <c r="K22" s="80">
        <f t="shared" si="4"/>
        <v>2.4725698095936615</v>
      </c>
      <c r="L22" s="4" t="s">
        <v>32</v>
      </c>
      <c r="M22" s="36" t="s">
        <v>32</v>
      </c>
    </row>
    <row r="23" spans="1:13" x14ac:dyDescent="0.2">
      <c r="A23" s="2" t="s">
        <v>5</v>
      </c>
      <c r="B23" s="111">
        <v>0</v>
      </c>
      <c r="C23" s="65">
        <v>0</v>
      </c>
      <c r="D23" s="65">
        <v>0</v>
      </c>
      <c r="E23" s="77">
        <v>0</v>
      </c>
      <c r="F23" s="77">
        <v>0</v>
      </c>
      <c r="H23" s="112" t="s">
        <v>19</v>
      </c>
      <c r="J23" s="65">
        <v>0</v>
      </c>
      <c r="K23" s="65">
        <v>0</v>
      </c>
      <c r="L23" s="13" t="s">
        <v>32</v>
      </c>
      <c r="M23" s="36" t="s">
        <v>32</v>
      </c>
    </row>
    <row r="24" spans="1:13" x14ac:dyDescent="0.2">
      <c r="A24" s="2" t="s">
        <v>97</v>
      </c>
      <c r="B24" s="111">
        <v>66.400000000000006</v>
      </c>
      <c r="C24" s="65">
        <v>12.205017736616952</v>
      </c>
      <c r="D24" s="68">
        <v>9.1359215765682539E-2</v>
      </c>
      <c r="E24" s="77">
        <f>SUM(C24:D24)</f>
        <v>12.296376952382635</v>
      </c>
      <c r="F24" s="81">
        <v>6.4381557176064179</v>
      </c>
      <c r="H24" s="112">
        <v>356</v>
      </c>
      <c r="J24" s="65">
        <v>10.129657064582796</v>
      </c>
      <c r="K24" s="80">
        <f t="shared" si="4"/>
        <v>3.6061579149914755</v>
      </c>
      <c r="L24" s="13" t="s">
        <v>32</v>
      </c>
      <c r="M24" s="36" t="s">
        <v>32</v>
      </c>
    </row>
    <row r="25" spans="1:13" x14ac:dyDescent="0.2">
      <c r="A25" s="2" t="s">
        <v>105</v>
      </c>
      <c r="B25" s="111">
        <v>61.2</v>
      </c>
      <c r="C25" s="80">
        <v>0.9</v>
      </c>
      <c r="D25" s="79">
        <v>7.0000000000000007E-2</v>
      </c>
      <c r="E25" s="81">
        <f t="shared" ref="E25:E26" si="5">SUM(C25:D25)</f>
        <v>0.97</v>
      </c>
      <c r="F25" s="81">
        <v>0.92</v>
      </c>
      <c r="H25" s="145">
        <v>203</v>
      </c>
      <c r="J25" s="80">
        <v>6</v>
      </c>
      <c r="K25" s="80">
        <f t="shared" si="4"/>
        <v>1.218</v>
      </c>
      <c r="L25" s="13" t="s">
        <v>32</v>
      </c>
      <c r="M25" s="36" t="s">
        <v>32</v>
      </c>
    </row>
    <row r="26" spans="1:13" x14ac:dyDescent="0.2">
      <c r="A26" s="2" t="s">
        <v>151</v>
      </c>
      <c r="B26" s="111">
        <v>1026.16425</v>
      </c>
      <c r="C26" s="65">
        <v>28.5</v>
      </c>
      <c r="D26" s="79">
        <v>0.45</v>
      </c>
      <c r="E26" s="77">
        <f t="shared" si="5"/>
        <v>28.95</v>
      </c>
      <c r="F26" s="77">
        <v>27.5</v>
      </c>
      <c r="H26" s="145">
        <v>237</v>
      </c>
      <c r="J26" s="65">
        <v>72.3</v>
      </c>
      <c r="K26" s="65">
        <f t="shared" si="4"/>
        <v>17.135099999999998</v>
      </c>
      <c r="L26" s="13" t="s">
        <v>32</v>
      </c>
      <c r="M26" s="36" t="s">
        <v>32</v>
      </c>
    </row>
    <row r="27" spans="1:13" x14ac:dyDescent="0.2">
      <c r="A27" s="2" t="s">
        <v>152</v>
      </c>
      <c r="B27" s="155">
        <f>SUM(B19:B26)</f>
        <v>1663.5094999078331</v>
      </c>
      <c r="C27" s="163">
        <f>SUM(C19:C26)</f>
        <v>55.086114812747304</v>
      </c>
      <c r="D27" s="164">
        <f>SUM(D19:D26)</f>
        <v>0.85022374898680086</v>
      </c>
      <c r="E27" s="157">
        <f>SUM(E19:E26)</f>
        <v>55.936338561734104</v>
      </c>
      <c r="F27" s="157">
        <f>SUM(F19:F26)</f>
        <v>58.081987255650539</v>
      </c>
      <c r="H27" s="3"/>
      <c r="I27" s="10" t="s">
        <v>26</v>
      </c>
      <c r="J27" s="155">
        <f>SUM(J19:J26)</f>
        <v>148.92538559969699</v>
      </c>
      <c r="K27" s="157">
        <f>SUM(K19:K26)</f>
        <v>36.770564665154801</v>
      </c>
      <c r="L27" s="11" t="s">
        <v>32</v>
      </c>
      <c r="M27" s="36" t="s">
        <v>32</v>
      </c>
    </row>
    <row r="28" spans="1:13" x14ac:dyDescent="0.2">
      <c r="A28" s="2" t="s">
        <v>152</v>
      </c>
      <c r="B28" s="37"/>
      <c r="C28" s="31"/>
      <c r="D28" s="32"/>
      <c r="E28" s="31"/>
      <c r="F28" s="31"/>
      <c r="H28" s="111">
        <v>236</v>
      </c>
      <c r="I28" s="87" t="s">
        <v>153</v>
      </c>
      <c r="J28" s="155">
        <f>SUM(J19:J26)</f>
        <v>148.92538559969699</v>
      </c>
      <c r="K28" s="157">
        <f t="shared" si="4"/>
        <v>35.146391001528492</v>
      </c>
      <c r="L28" s="11" t="s">
        <v>32</v>
      </c>
      <c r="M28" s="36" t="s">
        <v>32</v>
      </c>
    </row>
    <row r="29" spans="1:13" ht="16" x14ac:dyDescent="0.2">
      <c r="A29" s="12" t="s">
        <v>12</v>
      </c>
      <c r="B29" s="37"/>
      <c r="H29" s="10"/>
      <c r="J29" s="9"/>
      <c r="M29" s="26"/>
    </row>
    <row r="30" spans="1:13" x14ac:dyDescent="0.2">
      <c r="A30" s="2" t="s">
        <v>1</v>
      </c>
      <c r="B30" s="111">
        <v>85</v>
      </c>
      <c r="C30" s="79">
        <v>0.48676930532408941</v>
      </c>
      <c r="D30" s="68">
        <v>6.1786397710660829E-2</v>
      </c>
      <c r="E30" s="78">
        <f>SUM(C30:D30)</f>
        <v>0.54855570303475021</v>
      </c>
      <c r="F30" s="78">
        <v>0.44593920591543768</v>
      </c>
      <c r="H30" s="111">
        <v>318</v>
      </c>
      <c r="J30" s="80">
        <v>1.818523719687591</v>
      </c>
      <c r="K30" s="79">
        <f>J30*H30/1000</f>
        <v>0.57829054286065384</v>
      </c>
      <c r="L30" s="4" t="s">
        <v>32</v>
      </c>
      <c r="M30" s="36" t="s">
        <v>32</v>
      </c>
    </row>
    <row r="31" spans="1:13" x14ac:dyDescent="0.2">
      <c r="A31" s="2" t="s">
        <v>2</v>
      </c>
      <c r="B31" s="111">
        <v>95.92362156151502</v>
      </c>
      <c r="C31" s="79">
        <v>0.56626636143731646</v>
      </c>
      <c r="D31" s="68">
        <v>4.2866931773217286E-2</v>
      </c>
      <c r="E31" s="78">
        <f t="shared" ref="E31:E34" si="6">SUM(C31:D31)</f>
        <v>0.60913329321053378</v>
      </c>
      <c r="F31" s="78">
        <v>0.54382988748690242</v>
      </c>
      <c r="H31" s="111">
        <v>266</v>
      </c>
      <c r="J31" s="80">
        <v>2.071117691649818</v>
      </c>
      <c r="K31" s="80">
        <f t="shared" ref="K31:K39" si="7">J31*H31/1000</f>
        <v>0.55091730597885158</v>
      </c>
      <c r="L31" s="4" t="s">
        <v>32</v>
      </c>
      <c r="M31" s="36" t="s">
        <v>32</v>
      </c>
    </row>
    <row r="32" spans="1:13" x14ac:dyDescent="0.2">
      <c r="A32" s="2" t="s">
        <v>3</v>
      </c>
      <c r="B32" s="111">
        <v>22.120468177770004</v>
      </c>
      <c r="C32" s="79">
        <v>0.10195362324803349</v>
      </c>
      <c r="D32" s="68">
        <v>9.4417366043602208E-3</v>
      </c>
      <c r="E32" s="78">
        <f t="shared" si="6"/>
        <v>0.11139535985239371</v>
      </c>
      <c r="F32" s="97">
        <v>9.4445777793617069E-2</v>
      </c>
      <c r="H32" s="111">
        <v>348</v>
      </c>
      <c r="J32" s="79">
        <v>0.35399669545231066</v>
      </c>
      <c r="K32" s="79">
        <f t="shared" si="7"/>
        <v>0.12319085001740411</v>
      </c>
      <c r="L32" s="4" t="s">
        <v>32</v>
      </c>
      <c r="M32" s="36" t="s">
        <v>32</v>
      </c>
    </row>
    <row r="33" spans="1:13" x14ac:dyDescent="0.2">
      <c r="A33" s="2" t="s">
        <v>4</v>
      </c>
      <c r="B33" s="111">
        <v>39</v>
      </c>
      <c r="C33" s="79">
        <v>0.38535404266861173</v>
      </c>
      <c r="D33" s="68">
        <v>3.834807213790134E-2</v>
      </c>
      <c r="E33" s="78">
        <f t="shared" si="6"/>
        <v>0.4237021148065131</v>
      </c>
      <c r="F33" s="78">
        <v>0.45546045805555418</v>
      </c>
      <c r="H33" s="111">
        <v>286</v>
      </c>
      <c r="J33" s="80">
        <v>2.2543061810729563</v>
      </c>
      <c r="K33" s="79">
        <f t="shared" si="7"/>
        <v>0.64473156778686558</v>
      </c>
      <c r="L33" s="4" t="s">
        <v>32</v>
      </c>
      <c r="M33" s="36" t="s">
        <v>32</v>
      </c>
    </row>
    <row r="34" spans="1:13" x14ac:dyDescent="0.2">
      <c r="A34" s="2" t="s">
        <v>5</v>
      </c>
      <c r="B34" s="113">
        <v>0.65</v>
      </c>
      <c r="C34" s="68">
        <v>4.198576737568684E-3</v>
      </c>
      <c r="D34" s="99">
        <v>3.6516635219180761E-4</v>
      </c>
      <c r="E34" s="97">
        <f t="shared" si="6"/>
        <v>4.5637430897604919E-3</v>
      </c>
      <c r="F34" s="97">
        <v>4.9593074406742363E-3</v>
      </c>
      <c r="H34" s="112" t="s">
        <v>19</v>
      </c>
      <c r="J34" s="68">
        <v>3.3875363453196245E-3</v>
      </c>
      <c r="K34" s="68">
        <v>0</v>
      </c>
      <c r="L34" s="13" t="s">
        <v>32</v>
      </c>
      <c r="M34" s="36" t="s">
        <v>32</v>
      </c>
    </row>
    <row r="35" spans="1:13" x14ac:dyDescent="0.2">
      <c r="A35" s="2" t="s">
        <v>97</v>
      </c>
      <c r="B35" s="111">
        <v>17</v>
      </c>
      <c r="C35" s="79">
        <v>0.12191434608161009</v>
      </c>
      <c r="D35" s="68">
        <v>3.3836234950463721E-2</v>
      </c>
      <c r="E35" s="78">
        <f>SUM(C35:D35)</f>
        <v>0.15575058103207381</v>
      </c>
      <c r="F35" s="78">
        <v>0.1324169424536113</v>
      </c>
      <c r="H35" s="112">
        <v>304</v>
      </c>
      <c r="J35" s="79">
        <v>0.4666478437036774</v>
      </c>
      <c r="K35" s="79">
        <f>J35*H35/1000</f>
        <v>0.14186094448591793</v>
      </c>
      <c r="L35" s="13" t="s">
        <v>32</v>
      </c>
      <c r="M35" s="36" t="s">
        <v>32</v>
      </c>
    </row>
    <row r="36" spans="1:13" x14ac:dyDescent="0.2">
      <c r="A36" s="2" t="s">
        <v>105</v>
      </c>
      <c r="B36" s="111">
        <v>52.023969000000001</v>
      </c>
      <c r="C36" s="79">
        <v>1.02</v>
      </c>
      <c r="D36" s="79">
        <v>0.05</v>
      </c>
      <c r="E36" s="78">
        <f>SUM(C36:D36)</f>
        <v>1.07</v>
      </c>
      <c r="F36" s="78">
        <v>0.99</v>
      </c>
      <c r="H36" s="145">
        <v>217</v>
      </c>
      <c r="J36" s="80">
        <v>4.7</v>
      </c>
      <c r="K36" s="80">
        <f>J36*H36/1000</f>
        <v>1.0199</v>
      </c>
      <c r="L36" s="13" t="s">
        <v>32</v>
      </c>
      <c r="M36" s="36" t="s">
        <v>32</v>
      </c>
    </row>
    <row r="37" spans="1:13" x14ac:dyDescent="0.2">
      <c r="A37" s="2" t="s">
        <v>151</v>
      </c>
      <c r="B37" s="111">
        <v>31.800677832000002</v>
      </c>
      <c r="C37" s="79">
        <v>0.24</v>
      </c>
      <c r="D37" s="79">
        <v>0.03</v>
      </c>
      <c r="E37" s="78">
        <f>SUM(C37:D37)</f>
        <v>0.27</v>
      </c>
      <c r="F37" s="78">
        <v>0.27</v>
      </c>
      <c r="H37" s="145">
        <v>366</v>
      </c>
      <c r="J37" s="79">
        <v>0.9</v>
      </c>
      <c r="K37" s="79">
        <f>J37*H37/1000</f>
        <v>0.32940000000000003</v>
      </c>
      <c r="L37" s="13" t="s">
        <v>32</v>
      </c>
      <c r="M37" s="36" t="s">
        <v>32</v>
      </c>
    </row>
    <row r="38" spans="1:13" x14ac:dyDescent="0.2">
      <c r="A38" s="2" t="s">
        <v>152</v>
      </c>
      <c r="B38" s="155">
        <f>SUM(B30:B37)</f>
        <v>343.51873657128505</v>
      </c>
      <c r="C38" s="165">
        <f>SUM(C30:C37)</f>
        <v>2.9264562554972304</v>
      </c>
      <c r="D38" s="164">
        <f>SUM(D30:D37)</f>
        <v>0.26664453952879519</v>
      </c>
      <c r="E38" s="166">
        <f>SUM(E30:E37)</f>
        <v>3.1931007950260253</v>
      </c>
      <c r="F38" s="166">
        <f>SUM(F30:F37)</f>
        <v>2.937051579145797</v>
      </c>
      <c r="H38" s="3"/>
      <c r="I38" s="10" t="s">
        <v>26</v>
      </c>
      <c r="J38" s="155">
        <f>SUM(J30:J37)</f>
        <v>12.567979667911674</v>
      </c>
      <c r="K38" s="166">
        <f>SUM(K30:K37)</f>
        <v>3.3882912111296934</v>
      </c>
      <c r="L38" s="11" t="s">
        <v>32</v>
      </c>
      <c r="M38" s="36" t="s">
        <v>32</v>
      </c>
    </row>
    <row r="39" spans="1:13" x14ac:dyDescent="0.2">
      <c r="A39" s="2" t="s">
        <v>152</v>
      </c>
      <c r="B39" s="37"/>
      <c r="C39" s="31"/>
      <c r="D39" s="32"/>
      <c r="E39" s="31"/>
      <c r="F39" s="31"/>
      <c r="H39" s="111">
        <v>280</v>
      </c>
      <c r="I39" s="87" t="s">
        <v>153</v>
      </c>
      <c r="J39" s="155">
        <f>SUM(J30:J37)</f>
        <v>12.567979667911674</v>
      </c>
      <c r="K39" s="166">
        <f t="shared" si="7"/>
        <v>3.5190343070152683</v>
      </c>
      <c r="L39" s="11" t="s">
        <v>32</v>
      </c>
      <c r="M39" s="36" t="s">
        <v>32</v>
      </c>
    </row>
    <row r="40" spans="1:13" ht="16" x14ac:dyDescent="0.2">
      <c r="A40" s="14" t="s">
        <v>14</v>
      </c>
      <c r="B40" s="37"/>
      <c r="H40" s="10"/>
    </row>
    <row r="41" spans="1:13" x14ac:dyDescent="0.2">
      <c r="A41" s="2" t="s">
        <v>1</v>
      </c>
      <c r="B41" s="111">
        <f>SUM(B19,B30)</f>
        <v>171.40355571286602</v>
      </c>
      <c r="C41" s="80">
        <f>C19+C30</f>
        <v>1.2939233081865409</v>
      </c>
      <c r="D41" s="79">
        <f>D19+D30</f>
        <v>0.11990873744855704</v>
      </c>
      <c r="E41" s="81">
        <f>E19+E30</f>
        <v>1.4138320456350977</v>
      </c>
      <c r="F41" s="81">
        <f>F19+F30</f>
        <v>3.318578277350281</v>
      </c>
      <c r="H41" s="13"/>
      <c r="J41" s="65">
        <f>SUM(J19+J30)</f>
        <v>15.869799596929466</v>
      </c>
      <c r="K41" s="65">
        <f>SUM(K19+K30)</f>
        <v>5.0465962718235708</v>
      </c>
      <c r="L41" s="4" t="s">
        <v>32</v>
      </c>
      <c r="M41" s="36" t="s">
        <v>32</v>
      </c>
    </row>
    <row r="42" spans="1:13" x14ac:dyDescent="0.2">
      <c r="A42" s="2" t="s">
        <v>2</v>
      </c>
      <c r="B42" s="111">
        <f>SUM(B20,B31)</f>
        <v>455.92362156151501</v>
      </c>
      <c r="C42" s="65">
        <f>C20+C31</f>
        <v>12.064863597625934</v>
      </c>
      <c r="D42" s="79">
        <f t="shared" ref="D42:F42" si="8">D20+D31</f>
        <v>0.16862370556013082</v>
      </c>
      <c r="E42" s="77">
        <f t="shared" si="8"/>
        <v>12.233487303186063</v>
      </c>
      <c r="F42" s="77">
        <f t="shared" si="8"/>
        <v>17.279184731468479</v>
      </c>
      <c r="H42" s="13"/>
      <c r="J42" s="65">
        <f>SUM(J20+J31)</f>
        <v>38.340385947902114</v>
      </c>
      <c r="K42" s="65">
        <f>SUM(K20+K31)</f>
        <v>8.4213485175856011</v>
      </c>
      <c r="L42" s="4" t="s">
        <v>32</v>
      </c>
      <c r="M42" s="36" t="s">
        <v>32</v>
      </c>
    </row>
    <row r="43" spans="1:13" x14ac:dyDescent="0.2">
      <c r="A43" s="2" t="s">
        <v>3</v>
      </c>
      <c r="B43" s="111">
        <f>SUM(B21,B32)</f>
        <v>22.120468177770004</v>
      </c>
      <c r="C43" s="79">
        <f>C21+C32</f>
        <v>0.10195362324803349</v>
      </c>
      <c r="D43" s="68">
        <f t="shared" ref="D43:F43" si="9">D21+D32</f>
        <v>9.4417366043602208E-3</v>
      </c>
      <c r="E43" s="78">
        <f t="shared" si="9"/>
        <v>0.11139535985239371</v>
      </c>
      <c r="F43" s="78">
        <f t="shared" si="9"/>
        <v>9.4445777793617069E-2</v>
      </c>
      <c r="H43" s="13"/>
      <c r="J43" s="79">
        <f>SUM(J21+J32)</f>
        <v>0.35399669545231066</v>
      </c>
      <c r="K43" s="79">
        <f>K32</f>
        <v>0.12319085001740411</v>
      </c>
      <c r="L43" s="4" t="s">
        <v>32</v>
      </c>
      <c r="M43" s="36" t="s">
        <v>32</v>
      </c>
    </row>
    <row r="44" spans="1:13" x14ac:dyDescent="0.2">
      <c r="A44" s="2" t="s">
        <v>4</v>
      </c>
      <c r="B44" s="111">
        <f>SUM(B22,B33)</f>
        <v>102.341694194967</v>
      </c>
      <c r="C44" s="80">
        <f t="shared" ref="C44:F44" si="10">C22+C33</f>
        <v>1.5606998797478959</v>
      </c>
      <c r="D44" s="79">
        <f t="shared" si="10"/>
        <v>9.3333491834209886E-2</v>
      </c>
      <c r="E44" s="81">
        <f t="shared" si="10"/>
        <v>1.6540333715821056</v>
      </c>
      <c r="F44" s="81">
        <f t="shared" si="10"/>
        <v>4.0712980806832553</v>
      </c>
      <c r="H44" s="13"/>
      <c r="J44" s="65">
        <f>SUM(J22+J33)</f>
        <v>12.429490582692964</v>
      </c>
      <c r="K44" s="65">
        <f>SUM(K22+K33)</f>
        <v>3.1173013773805271</v>
      </c>
      <c r="L44" s="4" t="s">
        <v>32</v>
      </c>
      <c r="M44" s="36" t="s">
        <v>32</v>
      </c>
    </row>
    <row r="45" spans="1:13" x14ac:dyDescent="0.2">
      <c r="A45" s="2" t="s">
        <v>5</v>
      </c>
      <c r="B45" s="114">
        <f t="shared" ref="B45:B48" si="11">SUM(B23,B34)</f>
        <v>0.65</v>
      </c>
      <c r="C45" s="68">
        <f t="shared" ref="C45:F46" si="12">C23+C34</f>
        <v>4.198576737568684E-3</v>
      </c>
      <c r="D45" s="99">
        <f t="shared" si="12"/>
        <v>3.6516635219180761E-4</v>
      </c>
      <c r="E45" s="97">
        <f t="shared" si="12"/>
        <v>4.5637430897604919E-3</v>
      </c>
      <c r="F45" s="97">
        <f t="shared" si="12"/>
        <v>4.9593074406742363E-3</v>
      </c>
      <c r="H45" s="3"/>
      <c r="J45" s="79">
        <f>SUM(J23+J34)</f>
        <v>3.3875363453196245E-3</v>
      </c>
      <c r="K45" s="79">
        <f>SUM(K23+K34)</f>
        <v>0</v>
      </c>
      <c r="L45" s="13" t="s">
        <v>32</v>
      </c>
      <c r="M45" s="36" t="s">
        <v>32</v>
      </c>
    </row>
    <row r="46" spans="1:13" x14ac:dyDescent="0.2">
      <c r="A46" s="2" t="s">
        <v>97</v>
      </c>
      <c r="B46" s="111">
        <f t="shared" si="11"/>
        <v>83.4</v>
      </c>
      <c r="C46" s="65">
        <f t="shared" si="12"/>
        <v>12.326932082698562</v>
      </c>
      <c r="D46" s="79">
        <f t="shared" si="12"/>
        <v>0.12519545071614627</v>
      </c>
      <c r="E46" s="77">
        <f t="shared" si="12"/>
        <v>12.452127533414709</v>
      </c>
      <c r="F46" s="81">
        <f t="shared" si="12"/>
        <v>6.5705726600600292</v>
      </c>
      <c r="H46" s="5"/>
      <c r="J46" s="65">
        <f>SUM(J24+J35)</f>
        <v>10.596304908286474</v>
      </c>
      <c r="K46" s="80">
        <f>SUM(K24+K35)</f>
        <v>3.7480188594773933</v>
      </c>
      <c r="L46" s="13" t="s">
        <v>32</v>
      </c>
      <c r="M46" s="36" t="s">
        <v>32</v>
      </c>
    </row>
    <row r="47" spans="1:13" x14ac:dyDescent="0.2">
      <c r="A47" s="2" t="s">
        <v>105</v>
      </c>
      <c r="B47" s="136">
        <f t="shared" si="11"/>
        <v>113.22396900000001</v>
      </c>
      <c r="C47" s="65">
        <f t="shared" ref="C47:F47" si="13">C25+C36</f>
        <v>1.92</v>
      </c>
      <c r="D47" s="79">
        <f t="shared" si="13"/>
        <v>0.12000000000000001</v>
      </c>
      <c r="E47" s="77">
        <f t="shared" si="13"/>
        <v>2.04</v>
      </c>
      <c r="F47" s="81">
        <f t="shared" si="13"/>
        <v>1.9100000000000001</v>
      </c>
      <c r="H47" s="5"/>
      <c r="J47" s="65">
        <f t="shared" ref="J47:K47" si="14">SUM(J25+J36)</f>
        <v>10.7</v>
      </c>
      <c r="K47" s="80">
        <f t="shared" si="14"/>
        <v>2.2378999999999998</v>
      </c>
      <c r="L47" s="13" t="s">
        <v>32</v>
      </c>
      <c r="M47" s="36" t="s">
        <v>32</v>
      </c>
    </row>
    <row r="48" spans="1:13" x14ac:dyDescent="0.2">
      <c r="A48" s="2" t="s">
        <v>151</v>
      </c>
      <c r="B48" s="136">
        <f t="shared" si="11"/>
        <v>1057.9649278320001</v>
      </c>
      <c r="C48" s="65">
        <f t="shared" ref="C48:F48" si="15">C26+C37</f>
        <v>28.74</v>
      </c>
      <c r="D48" s="79">
        <f t="shared" si="15"/>
        <v>0.48</v>
      </c>
      <c r="E48" s="77">
        <f t="shared" si="15"/>
        <v>29.22</v>
      </c>
      <c r="F48" s="81">
        <f t="shared" si="15"/>
        <v>27.77</v>
      </c>
      <c r="H48" s="5"/>
      <c r="J48" s="65">
        <f t="shared" ref="J48:K48" si="16">SUM(J26+J37)</f>
        <v>73.2</v>
      </c>
      <c r="K48" s="65">
        <f t="shared" si="16"/>
        <v>17.464499999999997</v>
      </c>
      <c r="L48" s="13" t="s">
        <v>32</v>
      </c>
      <c r="M48" s="36" t="s">
        <v>32</v>
      </c>
    </row>
    <row r="49" spans="1:13" x14ac:dyDescent="0.2">
      <c r="A49" s="2" t="s">
        <v>152</v>
      </c>
      <c r="B49" s="155">
        <f>SUM(B41:B48)</f>
        <v>2007.028236479118</v>
      </c>
      <c r="C49" s="163">
        <f>SUM(C41:C48)</f>
        <v>58.012571068244526</v>
      </c>
      <c r="D49" s="164">
        <f>SUM(D41:D48)</f>
        <v>1.1168682885155961</v>
      </c>
      <c r="E49" s="157">
        <f>SUM(E41:E48)</f>
        <v>59.12943935676013</v>
      </c>
      <c r="F49" s="157">
        <f>SUM(F41:F48)</f>
        <v>61.019038834796334</v>
      </c>
      <c r="H49" s="5"/>
      <c r="I49" s="10" t="s">
        <v>26</v>
      </c>
      <c r="J49" s="155">
        <f>SUM(J41:J48)</f>
        <v>161.49336526760865</v>
      </c>
      <c r="K49" s="157">
        <f>SUM(K41:K48)</f>
        <v>40.158855876284491</v>
      </c>
      <c r="L49" s="11" t="s">
        <v>32</v>
      </c>
      <c r="M49" s="36" t="s">
        <v>32</v>
      </c>
    </row>
    <row r="50" spans="1:13" x14ac:dyDescent="0.2">
      <c r="A50" s="2" t="s">
        <v>152</v>
      </c>
      <c r="B50" s="37"/>
      <c r="C50" s="31"/>
      <c r="D50" s="32"/>
      <c r="E50" s="31"/>
      <c r="F50" s="31"/>
      <c r="H50" s="8"/>
      <c r="I50" s="87" t="s">
        <v>153</v>
      </c>
      <c r="J50" s="155">
        <f>SUM(J41:J48)</f>
        <v>161.49336526760865</v>
      </c>
      <c r="K50" s="157">
        <f>SUM(K41:K48)</f>
        <v>40.158855876284491</v>
      </c>
      <c r="L50" s="11" t="s">
        <v>32</v>
      </c>
      <c r="M50" s="36" t="s">
        <v>32</v>
      </c>
    </row>
    <row r="51" spans="1:13" ht="16" x14ac:dyDescent="0.2">
      <c r="A51" s="14" t="s">
        <v>15</v>
      </c>
      <c r="B51" s="37"/>
      <c r="H51" s="175"/>
    </row>
    <row r="52" spans="1:13" x14ac:dyDescent="0.2">
      <c r="A52" s="2" t="s">
        <v>1</v>
      </c>
      <c r="B52" s="111">
        <f t="shared" ref="B52:B59" si="17">B41</f>
        <v>171.40355571286602</v>
      </c>
      <c r="C52" s="80">
        <v>3.9916121429844327</v>
      </c>
      <c r="D52" s="79">
        <v>0.106837263389815</v>
      </c>
      <c r="E52" s="81">
        <f>SUM(C52:D52)</f>
        <v>4.0984494063742476</v>
      </c>
      <c r="F52" s="81">
        <v>2.8784725723330191</v>
      </c>
      <c r="H52" s="111">
        <v>318</v>
      </c>
      <c r="J52" s="65">
        <v>10.277580973463635</v>
      </c>
      <c r="K52" s="80">
        <f>J52*H52/1000</f>
        <v>3.2682707495614358</v>
      </c>
      <c r="L52" s="4" t="s">
        <v>32</v>
      </c>
      <c r="M52" s="36" t="s">
        <v>32</v>
      </c>
    </row>
    <row r="53" spans="1:13" x14ac:dyDescent="0.2">
      <c r="A53" s="2" t="s">
        <v>2</v>
      </c>
      <c r="B53" s="111">
        <f t="shared" si="17"/>
        <v>455.92362156151501</v>
      </c>
      <c r="C53" s="65">
        <v>14.490984427736143</v>
      </c>
      <c r="D53" s="79">
        <v>0.31504444386896624</v>
      </c>
      <c r="E53" s="77">
        <f t="shared" ref="E53:E59" si="18">SUM(C53:D53)</f>
        <v>14.806028871605109</v>
      </c>
      <c r="F53" s="77">
        <v>12.199213894679856</v>
      </c>
      <c r="H53" s="111">
        <v>228</v>
      </c>
      <c r="J53" s="65">
        <v>50.010898619829646</v>
      </c>
      <c r="K53" s="65">
        <f t="shared" ref="K53:K59" si="19">J53*H53/1000</f>
        <v>11.402484885321158</v>
      </c>
      <c r="L53" s="4" t="s">
        <v>32</v>
      </c>
      <c r="M53" s="36" t="s">
        <v>32</v>
      </c>
    </row>
    <row r="54" spans="1:13" x14ac:dyDescent="0.2">
      <c r="A54" s="2" t="s">
        <v>3</v>
      </c>
      <c r="B54" s="111">
        <f t="shared" si="17"/>
        <v>22.120468177770004</v>
      </c>
      <c r="C54" s="79">
        <v>0.17156591567285223</v>
      </c>
      <c r="D54" s="99">
        <v>9.0374576332739251E-3</v>
      </c>
      <c r="E54" s="78">
        <f t="shared" si="18"/>
        <v>0.18060337330612616</v>
      </c>
      <c r="F54" s="78">
        <v>0.1139061134390404</v>
      </c>
      <c r="H54" s="111">
        <v>348</v>
      </c>
      <c r="J54" s="79">
        <v>0.45651520037337995</v>
      </c>
      <c r="K54" s="79">
        <f t="shared" si="19"/>
        <v>0.15886728972993625</v>
      </c>
      <c r="L54" s="4" t="s">
        <v>32</v>
      </c>
      <c r="M54" s="36" t="s">
        <v>32</v>
      </c>
    </row>
    <row r="55" spans="1:13" x14ac:dyDescent="0.2">
      <c r="A55" s="2" t="s">
        <v>4</v>
      </c>
      <c r="B55" s="111">
        <f t="shared" si="17"/>
        <v>102.341694194967</v>
      </c>
      <c r="C55" s="80">
        <v>4.0150944974036502</v>
      </c>
      <c r="D55" s="79">
        <v>0.1439588103059419</v>
      </c>
      <c r="E55" s="81">
        <f t="shared" si="18"/>
        <v>4.1590533077095921</v>
      </c>
      <c r="F55" s="81">
        <v>3.5401907494985858</v>
      </c>
      <c r="H55" s="111">
        <v>259</v>
      </c>
      <c r="J55" s="65">
        <v>18.242950242935695</v>
      </c>
      <c r="K55" s="80">
        <f t="shared" si="19"/>
        <v>4.7249241129203448</v>
      </c>
      <c r="L55" s="4" t="s">
        <v>32</v>
      </c>
      <c r="M55" s="36" t="s">
        <v>32</v>
      </c>
    </row>
    <row r="56" spans="1:13" x14ac:dyDescent="0.2">
      <c r="A56" s="2" t="s">
        <v>5</v>
      </c>
      <c r="B56" s="114">
        <f t="shared" si="17"/>
        <v>0.65</v>
      </c>
      <c r="C56" s="68">
        <v>9.2520721981388908E-3</v>
      </c>
      <c r="D56" s="99">
        <v>5.1072307883219602E-4</v>
      </c>
      <c r="E56" s="97">
        <f t="shared" si="18"/>
        <v>9.7627952769710862E-3</v>
      </c>
      <c r="F56" s="101">
        <v>7.4988371248658472E-3</v>
      </c>
      <c r="H56" s="112" t="s">
        <v>19</v>
      </c>
      <c r="J56" s="68">
        <v>5.4624984876069024E-3</v>
      </c>
      <c r="K56" s="65" t="s">
        <v>32</v>
      </c>
      <c r="L56" s="13" t="s">
        <v>32</v>
      </c>
      <c r="M56" s="36" t="s">
        <v>32</v>
      </c>
    </row>
    <row r="57" spans="1:13" x14ac:dyDescent="0.2">
      <c r="A57" s="2" t="s">
        <v>97</v>
      </c>
      <c r="B57" s="111">
        <f t="shared" si="17"/>
        <v>83.4</v>
      </c>
      <c r="C57" s="80">
        <v>8.8734511524263837</v>
      </c>
      <c r="D57" s="79">
        <v>0.22814722277273278</v>
      </c>
      <c r="E57" s="81">
        <f t="shared" si="18"/>
        <v>9.1015983751991172</v>
      </c>
      <c r="F57" s="81">
        <v>7.6588899357709295</v>
      </c>
      <c r="H57" s="112">
        <v>346</v>
      </c>
      <c r="J57" s="65">
        <v>26.491813021051662</v>
      </c>
      <c r="K57" s="80">
        <f t="shared" si="19"/>
        <v>9.1661673052838761</v>
      </c>
      <c r="L57" s="13" t="s">
        <v>32</v>
      </c>
      <c r="M57" s="36" t="s">
        <v>32</v>
      </c>
    </row>
    <row r="58" spans="1:13" x14ac:dyDescent="0.2">
      <c r="A58" s="2" t="s">
        <v>105</v>
      </c>
      <c r="B58" s="136">
        <f t="shared" si="17"/>
        <v>113.22396900000001</v>
      </c>
      <c r="C58" s="80">
        <v>1.7</v>
      </c>
      <c r="D58" s="79">
        <v>0.18</v>
      </c>
      <c r="E58" s="81">
        <f t="shared" si="18"/>
        <v>1.88</v>
      </c>
      <c r="F58" s="81">
        <v>3.1</v>
      </c>
      <c r="H58" s="145">
        <v>209</v>
      </c>
      <c r="J58" s="65">
        <v>13.8</v>
      </c>
      <c r="K58" s="80">
        <f t="shared" si="19"/>
        <v>2.8842000000000003</v>
      </c>
      <c r="L58" s="13" t="s">
        <v>32</v>
      </c>
      <c r="M58" s="36" t="s">
        <v>32</v>
      </c>
    </row>
    <row r="59" spans="1:13" x14ac:dyDescent="0.2">
      <c r="A59" s="2" t="s">
        <v>151</v>
      </c>
      <c r="B59" s="136">
        <f t="shared" si="17"/>
        <v>1057.9649278320001</v>
      </c>
      <c r="C59" s="65">
        <v>36.6</v>
      </c>
      <c r="D59" s="79">
        <v>0.44</v>
      </c>
      <c r="E59" s="81">
        <f t="shared" si="18"/>
        <v>37.04</v>
      </c>
      <c r="F59" s="77">
        <v>27.8</v>
      </c>
      <c r="H59" s="145">
        <v>238</v>
      </c>
      <c r="J59" s="65">
        <v>118</v>
      </c>
      <c r="K59" s="80">
        <f t="shared" si="19"/>
        <v>28.084</v>
      </c>
      <c r="L59" s="13" t="s">
        <v>32</v>
      </c>
      <c r="M59" s="36" t="s">
        <v>32</v>
      </c>
    </row>
    <row r="60" spans="1:13" x14ac:dyDescent="0.2">
      <c r="A60" s="2" t="s">
        <v>152</v>
      </c>
      <c r="B60" s="155">
        <f>SUM(B52:B59)</f>
        <v>2007.028236479118</v>
      </c>
      <c r="C60" s="163">
        <f>SUM(C52:C59)</f>
        <v>69.851960208421602</v>
      </c>
      <c r="D60" s="164">
        <f>SUM(D52:D59)</f>
        <v>1.4235359210495619</v>
      </c>
      <c r="E60" s="157">
        <f>SUM(E52:E57)</f>
        <v>32.355496129471163</v>
      </c>
      <c r="F60" s="157">
        <f>SUM(F52:F59)</f>
        <v>57.298172102846294</v>
      </c>
      <c r="H60" s="3"/>
      <c r="I60" s="10" t="s">
        <v>26</v>
      </c>
      <c r="J60" s="155">
        <f>SUM(J52:J59)</f>
        <v>237.28522055614161</v>
      </c>
      <c r="K60" s="157">
        <f>SUM(K52:K59)</f>
        <v>59.688914342816759</v>
      </c>
      <c r="L60" s="11" t="s">
        <v>32</v>
      </c>
      <c r="M60" s="36" t="s">
        <v>32</v>
      </c>
    </row>
    <row r="61" spans="1:13" x14ac:dyDescent="0.2">
      <c r="A61" s="2" t="s">
        <v>152</v>
      </c>
      <c r="C61" s="31"/>
      <c r="D61" s="32"/>
      <c r="E61" s="31"/>
      <c r="F61" s="31"/>
      <c r="H61" s="111">
        <v>247</v>
      </c>
      <c r="I61" s="87" t="s">
        <v>153</v>
      </c>
      <c r="J61" s="155">
        <f>SUM(J52:J59)</f>
        <v>237.28522055614161</v>
      </c>
      <c r="K61" s="157">
        <f>J61*H61/1000</f>
        <v>58.609449477366979</v>
      </c>
      <c r="L61" s="11" t="s">
        <v>32</v>
      </c>
      <c r="M61" s="36" t="s">
        <v>32</v>
      </c>
    </row>
  </sheetData>
  <mergeCells count="2">
    <mergeCell ref="A1:M1"/>
    <mergeCell ref="A2:M2"/>
  </mergeCells>
  <pageMargins left="0.7" right="0.7" top="0.75" bottom="0.75" header="0.3" footer="0.3"/>
  <pageSetup scale="69" orientation="portrait" r:id="rId1"/>
  <headerFooter>
    <oddHeader>&amp;LDraft&amp;RU.S. GEOLOGICAL SURVEY</oddHeader>
    <oddFooter>&amp;LPRELIMINARY - SUBJECT TO REVISION&amp;RDecember 8, 2018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59999389629810485"/>
    <pageSetUpPr fitToPage="1"/>
  </sheetPr>
  <dimension ref="A1:BZ30"/>
  <sheetViews>
    <sheetView view="pageLayout" topLeftCell="A5" zoomScaleNormal="100" workbookViewId="0">
      <selection activeCell="F21" sqref="F21"/>
    </sheetView>
  </sheetViews>
  <sheetFormatPr baseColWidth="10" defaultColWidth="8.83203125" defaultRowHeight="15" x14ac:dyDescent="0.2"/>
  <cols>
    <col min="1" max="1" width="19.5" customWidth="1"/>
    <col min="6" max="6" width="1.83203125" customWidth="1"/>
    <col min="7" max="7" width="5.1640625" customWidth="1"/>
    <col min="8" max="8" width="2.1640625" customWidth="1"/>
    <col min="13" max="13" width="14.33203125" customWidth="1"/>
    <col min="14" max="14" width="12.6640625" customWidth="1"/>
    <col min="16" max="16" width="2.5" customWidth="1"/>
    <col min="17" max="17" width="1.5" customWidth="1"/>
    <col min="22" max="22" width="7.5" customWidth="1"/>
    <col min="23" max="23" width="7" customWidth="1"/>
    <col min="24" max="24" width="9" customWidth="1"/>
    <col min="25" max="25" width="2.5" customWidth="1"/>
    <col min="26" max="26" width="8.33203125" customWidth="1"/>
    <col min="27" max="27" width="10.5" customWidth="1"/>
    <col min="28" max="28" width="13.5" customWidth="1"/>
    <col min="29" max="29" width="9.33203125" customWidth="1"/>
    <col min="30" max="30" width="1.5" customWidth="1"/>
    <col min="35" max="35" width="20.83203125" customWidth="1"/>
    <col min="36" max="36" width="22" customWidth="1"/>
    <col min="37" max="37" width="21.1640625" customWidth="1"/>
    <col min="38" max="38" width="3.1640625" customWidth="1"/>
    <col min="43" max="43" width="9" customWidth="1"/>
    <col min="46" max="46" width="2.83203125" customWidth="1"/>
    <col min="53" max="53" width="9.1640625" customWidth="1"/>
    <col min="54" max="54" width="2.5" customWidth="1"/>
    <col min="62" max="62" width="1.83203125" customWidth="1"/>
  </cols>
  <sheetData>
    <row r="1" spans="1:78" ht="16.5" customHeight="1" x14ac:dyDescent="0.2">
      <c r="A1" s="208" t="s">
        <v>160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</row>
    <row r="2" spans="1:78" ht="63.75" customHeight="1" x14ac:dyDescent="0.2">
      <c r="A2" s="216" t="s">
        <v>146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V2" s="59" t="s">
        <v>50</v>
      </c>
    </row>
    <row r="3" spans="1:78" x14ac:dyDescent="0.2">
      <c r="V3" t="s">
        <v>51</v>
      </c>
    </row>
    <row r="4" spans="1:78" x14ac:dyDescent="0.2">
      <c r="R4" t="s">
        <v>6</v>
      </c>
      <c r="AE4" t="s">
        <v>7</v>
      </c>
      <c r="AM4" t="s">
        <v>10</v>
      </c>
      <c r="AU4" t="s">
        <v>9</v>
      </c>
      <c r="BC4" t="s">
        <v>16</v>
      </c>
      <c r="BK4" t="s">
        <v>18</v>
      </c>
      <c r="BT4" t="s">
        <v>104</v>
      </c>
    </row>
    <row r="5" spans="1:78" x14ac:dyDescent="0.2">
      <c r="V5" t="s">
        <v>46</v>
      </c>
      <c r="W5" t="s">
        <v>49</v>
      </c>
      <c r="X5" t="s">
        <v>47</v>
      </c>
      <c r="Z5" t="s">
        <v>52</v>
      </c>
      <c r="AA5" t="s">
        <v>53</v>
      </c>
      <c r="AB5" t="s">
        <v>54</v>
      </c>
      <c r="AC5" t="s">
        <v>55</v>
      </c>
      <c r="AI5" t="s">
        <v>46</v>
      </c>
      <c r="AJ5" t="s">
        <v>49</v>
      </c>
      <c r="AK5" t="s">
        <v>47</v>
      </c>
      <c r="AQ5" t="s">
        <v>46</v>
      </c>
      <c r="AR5" t="s">
        <v>49</v>
      </c>
      <c r="AS5" t="s">
        <v>47</v>
      </c>
      <c r="BG5" t="s">
        <v>46</v>
      </c>
      <c r="BH5" t="s">
        <v>49</v>
      </c>
      <c r="BI5" t="s">
        <v>47</v>
      </c>
      <c r="BO5" t="s">
        <v>46</v>
      </c>
      <c r="BP5" t="s">
        <v>49</v>
      </c>
      <c r="BQ5" t="s">
        <v>47</v>
      </c>
      <c r="BX5" t="s">
        <v>46</v>
      </c>
      <c r="BY5" t="s">
        <v>49</v>
      </c>
      <c r="BZ5" t="s">
        <v>47</v>
      </c>
    </row>
    <row r="6" spans="1:78" x14ac:dyDescent="0.2">
      <c r="B6" s="55" t="s">
        <v>56</v>
      </c>
      <c r="C6" s="41" t="s">
        <v>57</v>
      </c>
      <c r="D6" s="57" t="s">
        <v>58</v>
      </c>
      <c r="E6" s="57" t="s">
        <v>59</v>
      </c>
      <c r="F6" s="43"/>
      <c r="G6" s="44"/>
      <c r="H6" s="44"/>
      <c r="I6" s="41" t="s">
        <v>16</v>
      </c>
      <c r="J6" s="55" t="s">
        <v>60</v>
      </c>
      <c r="K6" s="41" t="s">
        <v>17</v>
      </c>
      <c r="L6" s="55" t="s">
        <v>61</v>
      </c>
      <c r="M6" s="57" t="s">
        <v>76</v>
      </c>
      <c r="N6" s="40" t="s">
        <v>77</v>
      </c>
      <c r="R6" t="s">
        <v>40</v>
      </c>
      <c r="S6" t="s">
        <v>42</v>
      </c>
      <c r="T6" t="s">
        <v>41</v>
      </c>
      <c r="U6" t="s">
        <v>43</v>
      </c>
      <c r="V6" t="s">
        <v>44</v>
      </c>
      <c r="W6" t="s">
        <v>45</v>
      </c>
      <c r="X6" t="s">
        <v>48</v>
      </c>
      <c r="AE6" t="s">
        <v>40</v>
      </c>
      <c r="AF6" t="s">
        <v>42</v>
      </c>
      <c r="AG6" t="s">
        <v>41</v>
      </c>
      <c r="AH6" t="s">
        <v>43</v>
      </c>
      <c r="AI6" t="s">
        <v>44</v>
      </c>
      <c r="AJ6" t="s">
        <v>45</v>
      </c>
      <c r="AK6" t="s">
        <v>48</v>
      </c>
      <c r="AM6" t="s">
        <v>40</v>
      </c>
      <c r="AN6" t="s">
        <v>42</v>
      </c>
      <c r="AO6" t="s">
        <v>41</v>
      </c>
      <c r="AP6" t="s">
        <v>43</v>
      </c>
      <c r="AQ6" t="s">
        <v>44</v>
      </c>
      <c r="AR6" t="s">
        <v>45</v>
      </c>
      <c r="AS6" t="s">
        <v>48</v>
      </c>
      <c r="AU6" t="s">
        <v>40</v>
      </c>
      <c r="AV6" t="s">
        <v>42</v>
      </c>
      <c r="AW6" t="s">
        <v>41</v>
      </c>
      <c r="AX6" t="s">
        <v>43</v>
      </c>
      <c r="AY6" t="s">
        <v>44</v>
      </c>
      <c r="AZ6" t="s">
        <v>45</v>
      </c>
      <c r="BA6" t="s">
        <v>48</v>
      </c>
      <c r="BC6" t="s">
        <v>40</v>
      </c>
      <c r="BD6" t="s">
        <v>42</v>
      </c>
      <c r="BE6" t="s">
        <v>41</v>
      </c>
      <c r="BF6" t="s">
        <v>43</v>
      </c>
      <c r="BG6" t="s">
        <v>44</v>
      </c>
      <c r="BH6" t="s">
        <v>45</v>
      </c>
      <c r="BI6" t="s">
        <v>48</v>
      </c>
      <c r="BK6" t="s">
        <v>40</v>
      </c>
      <c r="BL6" t="s">
        <v>42</v>
      </c>
      <c r="BM6" t="s">
        <v>41</v>
      </c>
      <c r="BN6" t="s">
        <v>43</v>
      </c>
      <c r="BO6" t="s">
        <v>44</v>
      </c>
      <c r="BP6" t="s">
        <v>45</v>
      </c>
      <c r="BQ6" t="s">
        <v>48</v>
      </c>
      <c r="BT6" t="s">
        <v>40</v>
      </c>
      <c r="BU6" t="s">
        <v>42</v>
      </c>
      <c r="BV6" t="s">
        <v>41</v>
      </c>
      <c r="BW6" t="s">
        <v>43</v>
      </c>
      <c r="BX6" t="s">
        <v>44</v>
      </c>
      <c r="BY6" t="s">
        <v>45</v>
      </c>
      <c r="BZ6" t="s">
        <v>48</v>
      </c>
    </row>
    <row r="7" spans="1:78" x14ac:dyDescent="0.2">
      <c r="B7" s="55" t="s">
        <v>39</v>
      </c>
      <c r="C7" s="41" t="s">
        <v>39</v>
      </c>
      <c r="D7" s="57" t="s">
        <v>39</v>
      </c>
      <c r="E7" s="57" t="s">
        <v>39</v>
      </c>
      <c r="F7" s="43"/>
      <c r="G7" s="44"/>
      <c r="H7" s="44"/>
      <c r="I7" s="41" t="s">
        <v>39</v>
      </c>
      <c r="J7" s="55" t="s">
        <v>39</v>
      </c>
      <c r="K7" s="41" t="s">
        <v>39</v>
      </c>
      <c r="L7" s="55" t="s">
        <v>39</v>
      </c>
      <c r="M7" s="57" t="s">
        <v>39</v>
      </c>
      <c r="N7" s="55" t="s">
        <v>39</v>
      </c>
      <c r="R7">
        <v>1000</v>
      </c>
      <c r="S7">
        <v>200</v>
      </c>
      <c r="T7">
        <v>250</v>
      </c>
      <c r="U7">
        <v>50</v>
      </c>
      <c r="V7">
        <f>((U7^2)*((1/R7)^2))</f>
        <v>2.5000000000000001E-3</v>
      </c>
      <c r="W7">
        <f>((S7*S7)*((-T7/(R7*R7))^2))</f>
        <v>2.5000000000000001E-3</v>
      </c>
      <c r="X7">
        <f>SQRT(V7+W7)</f>
        <v>7.0710678118654752E-2</v>
      </c>
      <c r="Z7">
        <f>(U7/T7)^2</f>
        <v>4.0000000000000008E-2</v>
      </c>
      <c r="AA7">
        <f>(S7/R7)^2</f>
        <v>4.0000000000000008E-2</v>
      </c>
      <c r="AB7">
        <f>SQRT(Z7+AA7)</f>
        <v>0.28284271247461906</v>
      </c>
      <c r="AC7">
        <f>(T7/R7)*AB7</f>
        <v>7.0710678118654766E-2</v>
      </c>
      <c r="AE7">
        <v>1000</v>
      </c>
      <c r="AF7">
        <v>200</v>
      </c>
      <c r="AG7">
        <v>250</v>
      </c>
      <c r="AH7">
        <v>50</v>
      </c>
      <c r="AI7">
        <f>((AH7^2)*((1/AE7)^2))</f>
        <v>2.5000000000000001E-3</v>
      </c>
      <c r="AJ7">
        <f>((AF7*AF7)*((-AG7/(AE7*AE7))^2))</f>
        <v>2.5000000000000001E-3</v>
      </c>
      <c r="AK7">
        <f>SQRT(AI7+AJ7)</f>
        <v>7.0710678118654752E-2</v>
      </c>
      <c r="AM7">
        <v>1000</v>
      </c>
      <c r="AN7">
        <v>200</v>
      </c>
      <c r="AO7">
        <v>250</v>
      </c>
      <c r="AP7">
        <v>50</v>
      </c>
      <c r="AQ7">
        <f>((AP7^2)*((1/AM7)^2))</f>
        <v>2.5000000000000001E-3</v>
      </c>
      <c r="AR7">
        <f>((AN7*AN7)*((-AO7/(AM7*AM7))^2))</f>
        <v>2.5000000000000001E-3</v>
      </c>
      <c r="AS7">
        <f>SQRT(AQ7+AR7)</f>
        <v>7.0710678118654752E-2</v>
      </c>
      <c r="AU7">
        <v>1000</v>
      </c>
      <c r="AV7">
        <v>200</v>
      </c>
      <c r="AW7">
        <v>250</v>
      </c>
      <c r="AX7">
        <v>50</v>
      </c>
      <c r="AY7">
        <f>((AX7^2)*((1/AU7)^2))</f>
        <v>2.5000000000000001E-3</v>
      </c>
      <c r="AZ7">
        <f>((AV7*AV7)*((-AW7/(AU7*AU7))^2))</f>
        <v>2.5000000000000001E-3</v>
      </c>
      <c r="BA7">
        <f>SQRT(AY7+AZ7)</f>
        <v>7.0710678118654752E-2</v>
      </c>
      <c r="BC7">
        <v>1000</v>
      </c>
      <c r="BD7">
        <v>200</v>
      </c>
      <c r="BE7">
        <v>250</v>
      </c>
      <c r="BF7">
        <v>50</v>
      </c>
      <c r="BG7">
        <f>((BF7^2)*((1/BC7)^2))</f>
        <v>2.5000000000000001E-3</v>
      </c>
      <c r="BH7">
        <f>((BD7*BD7)*((-BE7/(BC7*BC7))^2))</f>
        <v>2.5000000000000001E-3</v>
      </c>
      <c r="BI7">
        <f>SQRT(BG7+BH7)</f>
        <v>7.0710678118654752E-2</v>
      </c>
      <c r="BK7">
        <v>1000</v>
      </c>
      <c r="BL7">
        <v>200</v>
      </c>
      <c r="BM7">
        <v>250</v>
      </c>
      <c r="BN7">
        <v>50</v>
      </c>
      <c r="BO7">
        <f>((BN7^2)*((1/BK7)^2))</f>
        <v>2.5000000000000001E-3</v>
      </c>
      <c r="BP7">
        <f>((BL7*BL7)*((-BM7/(BK7*BK7))^2))</f>
        <v>2.5000000000000001E-3</v>
      </c>
      <c r="BQ7">
        <f>SQRT(BO7+BP7)</f>
        <v>7.0710678118654752E-2</v>
      </c>
    </row>
    <row r="8" spans="1:78" ht="16" x14ac:dyDescent="0.2">
      <c r="A8" s="1" t="s">
        <v>36</v>
      </c>
      <c r="B8" s="6"/>
      <c r="C8" s="6"/>
      <c r="D8" s="26"/>
      <c r="E8" s="26"/>
      <c r="F8" s="26"/>
      <c r="G8" s="27"/>
      <c r="H8" s="26"/>
      <c r="I8" s="26"/>
      <c r="J8" s="26"/>
      <c r="K8" s="26"/>
      <c r="L8" s="26"/>
      <c r="M8" s="26"/>
      <c r="N8" s="26"/>
    </row>
    <row r="9" spans="1:78" x14ac:dyDescent="0.2">
      <c r="A9" s="2" t="s">
        <v>1</v>
      </c>
      <c r="B9" s="56">
        <f>X9</f>
        <v>0.10036025614796013</v>
      </c>
      <c r="C9" s="45">
        <f>AK9</f>
        <v>0.23188330296647089</v>
      </c>
      <c r="D9" s="58">
        <f>AS9</f>
        <v>0.10714249831212921</v>
      </c>
      <c r="E9" s="58">
        <f>BA9</f>
        <v>0.19030008765800055</v>
      </c>
      <c r="I9" s="45">
        <f>BI9</f>
        <v>0.13487698852320743</v>
      </c>
      <c r="J9" s="56">
        <f>BQ9</f>
        <v>0.17088000936406364</v>
      </c>
      <c r="K9" s="45" t="s">
        <v>32</v>
      </c>
      <c r="L9" s="56" t="s">
        <v>32</v>
      </c>
      <c r="M9" s="58">
        <f>BZ9</f>
        <v>0.20492017412835237</v>
      </c>
      <c r="N9" s="56" t="s">
        <v>32</v>
      </c>
      <c r="R9" s="37">
        <f>'T2x. THg loads 2010-17'!C8</f>
        <v>16.01172380101201</v>
      </c>
      <c r="S9" s="37">
        <f>'T4x. THg SE 2010-17'!C8</f>
        <v>3.9119625202406167</v>
      </c>
      <c r="T9" s="37">
        <f>'T2x. THg loads 2010-17'!C41</f>
        <v>3.9002399402180439</v>
      </c>
      <c r="U9" s="37">
        <f>'T4x. THg SE 2010-17'!C41</f>
        <v>1.2939233081865409</v>
      </c>
      <c r="V9" s="51">
        <f>((U9^2)*((1/R9)^2))</f>
        <v>6.53041667226552E-3</v>
      </c>
      <c r="W9" s="51">
        <f>((S9*S9)*((-T9/(R9*R9))^2))</f>
        <v>3.5417643418186465E-3</v>
      </c>
      <c r="X9" s="51">
        <f>SQRT(V9+W9)</f>
        <v>0.10036025614796013</v>
      </c>
      <c r="AE9" s="35">
        <f>'T2x. THg loads 2010-17'!D8</f>
        <v>0.65657830170514253</v>
      </c>
      <c r="AF9" s="35">
        <f>'T4x. THg SE 2010-17'!D8</f>
        <v>9.6783629973036966E-2</v>
      </c>
      <c r="AG9" s="35">
        <f>'T2x. THg loads 2010-17'!D41</f>
        <v>0.63645958195911168</v>
      </c>
      <c r="AH9" s="35">
        <f>'T4x. THg SE 2010-17'!D41</f>
        <v>0.11990873744855704</v>
      </c>
      <c r="AI9">
        <f>((AH9^2)*((1/AE9)^2))</f>
        <v>3.3352516513147711E-2</v>
      </c>
      <c r="AJ9">
        <f>((AF9*AF9)*((-AG9/(AE9*AE9))^2))</f>
        <v>2.0417349681492412E-2</v>
      </c>
      <c r="AK9">
        <f>SQRT(AI9+AJ9)</f>
        <v>0.23188330296647089</v>
      </c>
      <c r="AM9" s="37">
        <f>'T2x. THg loads 2010-17'!E8</f>
        <v>16.668302102717153</v>
      </c>
      <c r="AN9" s="52">
        <f>'T4x. THg SE 2010-17'!E8</f>
        <v>4.0087461502136534</v>
      </c>
      <c r="AO9" s="52">
        <f>'T2x. THg loads 2010-17'!E41</f>
        <v>4.5366995221771553</v>
      </c>
      <c r="AP9" s="52">
        <f>'T4x. THg SE 2010-17'!E41</f>
        <v>1.4138320456350977</v>
      </c>
      <c r="AQ9">
        <f>((AP9^2)*((1/AM9)^2))</f>
        <v>7.194703745131769E-3</v>
      </c>
      <c r="AR9">
        <f>((AN9*AN9)*((-AO9/(AM9*AM9))^2))</f>
        <v>4.2848111994328412E-3</v>
      </c>
      <c r="AS9">
        <f>SQRT(AQ9+AR9)</f>
        <v>0.10714249831212921</v>
      </c>
      <c r="AU9" s="37">
        <f>'T2x. THg loads 2010-17'!F8</f>
        <v>18.383019990603373</v>
      </c>
      <c r="AV9" s="52">
        <f>'T4x. THg SE 2010-17'!F8</f>
        <v>3.1470249427831245</v>
      </c>
      <c r="AW9" s="37">
        <f>'T2x. THg loads 2010-17'!F41</f>
        <v>6.4654345626240257</v>
      </c>
      <c r="AX9" s="37">
        <f>'T4x. THg SE 2010-17'!F41</f>
        <v>3.318578277350281</v>
      </c>
      <c r="AY9">
        <f>((AX9^2)*((1/AU9)^2))</f>
        <v>3.2588953396369552E-2</v>
      </c>
      <c r="AZ9">
        <f>((AV9*AV9)*((-AW9/(AU9*AU9))^2))</f>
        <v>3.6251699662731415E-3</v>
      </c>
      <c r="BA9">
        <f>SQRT(AY9+AZ9)</f>
        <v>0.19030008765800055</v>
      </c>
      <c r="BC9" s="37">
        <f>'T2x. THg loads 2010-17'!J8</f>
        <v>128.98832071389089</v>
      </c>
      <c r="BD9">
        <f>'T4x. THg SE 2010-17'!J8</f>
        <v>22.327058892311701</v>
      </c>
      <c r="BE9" s="37">
        <f>'T2x. THg loads 2010-17'!J41</f>
        <v>41.186520617427917</v>
      </c>
      <c r="BF9" s="37">
        <f>'T4x. THg SE 2010-17'!J41</f>
        <v>15.869799596929466</v>
      </c>
      <c r="BG9">
        <f>((BF9^2)*((1/BC9)^2))</f>
        <v>1.5137080047858426E-2</v>
      </c>
      <c r="BH9">
        <f>((BD9*BD9)*((-BE9/(BC9*BC9))^2))</f>
        <v>3.0547219852310034E-3</v>
      </c>
      <c r="BI9">
        <f>SQRT(BG9+BH9)</f>
        <v>0.13487698852320743</v>
      </c>
      <c r="BK9" s="37">
        <f>'T2x. THg loads 2010-17'!K8</f>
        <v>32.376068499186609</v>
      </c>
      <c r="BL9">
        <f>'T4x. THg SE 2010-17'!K8</f>
        <v>5.6040917819702374</v>
      </c>
      <c r="BM9" s="37">
        <f>'T2x. THg loads 2010-17'!K41</f>
        <v>13.09731355634208</v>
      </c>
      <c r="BN9">
        <f>'T4x. THg SE 2010-17'!K41</f>
        <v>5.0465962718235708</v>
      </c>
      <c r="BO9">
        <f>((BN9^2)*((1/BK9)^2))</f>
        <v>2.4296790253482265E-2</v>
      </c>
      <c r="BP9">
        <f>((BL9*BL9)*((-BM9/(BK9*BK9))^2))</f>
        <v>4.9031873467802129E-3</v>
      </c>
      <c r="BQ9">
        <f>SQRT(BO9+BP9)</f>
        <v>0.17088000936406364</v>
      </c>
      <c r="BT9" s="37">
        <f>'T2x. THg loads 2010-17'!O8</f>
        <v>33.032646800891754</v>
      </c>
      <c r="BU9" s="35">
        <f>'T4x. THg SE 2010-17'!D8+'T4x. THg SE 2010-17'!K8</f>
        <v>5.7008754119432741</v>
      </c>
      <c r="BV9" s="37">
        <f>'T2x. THg loads 2010-17'!O41</f>
        <v>13.733773138301192</v>
      </c>
      <c r="BW9" s="37">
        <f>'T4x. THg SE 2010-17'!C41+'T4x. THg SE 2010-17'!K41</f>
        <v>6.3405195800101115</v>
      </c>
      <c r="BX9">
        <f>((BW9^2)*((1/BT9)^2))</f>
        <v>3.6843675499433362E-2</v>
      </c>
      <c r="BY9">
        <f>((BU9*BU9)*((-BV9/(BT9*BT9))^2))</f>
        <v>5.1486022653608925E-3</v>
      </c>
      <c r="BZ9">
        <f>SQRT(BX9+BY9)</f>
        <v>0.20492017412835237</v>
      </c>
    </row>
    <row r="10" spans="1:78" x14ac:dyDescent="0.2">
      <c r="A10" s="2" t="s">
        <v>2</v>
      </c>
      <c r="B10" s="56">
        <f t="shared" ref="B10:B12" si="0">X10</f>
        <v>0.13958797963494685</v>
      </c>
      <c r="C10" s="45">
        <f>AK10</f>
        <v>0.14930469726646331</v>
      </c>
      <c r="D10" s="58">
        <f>AS10</f>
        <v>0.13982943471417342</v>
      </c>
      <c r="E10" s="58">
        <f>BA10</f>
        <v>0.1686883520046947</v>
      </c>
      <c r="I10" s="45">
        <f t="shared" ref="I10:I18" si="1">BI10</f>
        <v>9.8185785752871652E-2</v>
      </c>
      <c r="J10" s="56">
        <f t="shared" ref="J10:J12" si="2">BQ10</f>
        <v>0.12218605316804605</v>
      </c>
      <c r="K10" s="45" t="s">
        <v>32</v>
      </c>
      <c r="L10" s="56" t="s">
        <v>32</v>
      </c>
      <c r="M10" s="58">
        <f t="shared" ref="M10:M18" si="3">BZ10</f>
        <v>0.24882638565107332</v>
      </c>
      <c r="N10" s="56" t="s">
        <v>32</v>
      </c>
      <c r="R10" s="37">
        <f>'T2x. THg loads 2010-17'!C9</f>
        <v>100.41489455703709</v>
      </c>
      <c r="S10" s="37">
        <f>'T4x. THg SE 2010-17'!C9</f>
        <v>22.280447352739976</v>
      </c>
      <c r="T10" s="37">
        <f>'T2x. THg loads 2010-17'!C42</f>
        <v>32.156162478117075</v>
      </c>
      <c r="U10" s="37">
        <f>'T4x. THg SE 2010-17'!C42</f>
        <v>12.064863597625934</v>
      </c>
      <c r="V10" s="51">
        <f t="shared" ref="V10:V17" si="4">((U10^2)*((1/R10)^2))</f>
        <v>1.4436056042737391E-2</v>
      </c>
      <c r="W10" s="51">
        <f t="shared" ref="W10:W17" si="5">((S10*S10)*((-T10/(R10*R10))^2))</f>
        <v>5.0487480158289419E-3</v>
      </c>
      <c r="X10" s="51">
        <f t="shared" ref="X10:X17" si="6">SQRT(V10+W10)</f>
        <v>0.13958797963494685</v>
      </c>
      <c r="AE10" s="35">
        <f>'T2x. THg loads 2010-17'!D9</f>
        <v>1.9523736462700469</v>
      </c>
      <c r="AF10" s="35">
        <f>'T4x. THg SE 2010-17'!D9</f>
        <v>0.30334243257367577</v>
      </c>
      <c r="AG10" s="35">
        <f>'T2x. THg loads 2010-17'!D42</f>
        <v>1.5303751183275796</v>
      </c>
      <c r="AH10" s="35">
        <f>'T4x. THg SE 2010-17'!D42</f>
        <v>0.16862370556013082</v>
      </c>
      <c r="AI10">
        <f t="shared" ref="AI10:AI17" si="7">((AH10^2)*((1/AE10)^2))</f>
        <v>7.4595286121077525E-3</v>
      </c>
      <c r="AJ10">
        <f t="shared" ref="AJ10:AJ17" si="8">((AF10*AF10)*((-AG10/(AE10*AE10))^2))</f>
        <v>1.4832364013722503E-2</v>
      </c>
      <c r="AK10">
        <f t="shared" ref="AK10:AK17" si="9">SQRT(AI10+AJ10)</f>
        <v>0.14930469726646331</v>
      </c>
      <c r="AM10" s="37">
        <f>'T2x. THg loads 2010-17'!E9</f>
        <v>102.36726820330713</v>
      </c>
      <c r="AN10" s="52">
        <f>'T4x. THg SE 2010-17'!E9</f>
        <v>22.583789785313652</v>
      </c>
      <c r="AO10" s="52">
        <f>'T2x. THg loads 2010-17'!E42</f>
        <v>33.686537596444651</v>
      </c>
      <c r="AP10" s="52">
        <f>'T4x. THg SE 2010-17'!E42</f>
        <v>12.233487303186063</v>
      </c>
      <c r="AQ10">
        <f t="shared" ref="AQ10:AQ17" si="10">((AP10^2)*((1/AM10)^2))</f>
        <v>1.4281647960945644E-2</v>
      </c>
      <c r="AR10">
        <f t="shared" ref="AR10:AR17" si="11">((AN10*AN10)*((-AO10/(AM10*AM10))^2))</f>
        <v>5.2706228515396383E-3</v>
      </c>
      <c r="AS10">
        <f t="shared" ref="AS10:AS17" si="12">SQRT(AQ10+AR10)</f>
        <v>0.13982943471417342</v>
      </c>
      <c r="AU10" s="37">
        <f>'T2x. THg loads 2010-17'!F9</f>
        <v>107.02398919884065</v>
      </c>
      <c r="AV10" s="52">
        <f>'T4x. THg SE 2010-17'!F9</f>
        <v>17.283509638691385</v>
      </c>
      <c r="AW10" s="37">
        <f>'T2x. THg loads 2010-17'!F42</f>
        <v>32.393199278056976</v>
      </c>
      <c r="AX10" s="37">
        <f>'T4x. THg SE 2010-17'!F42</f>
        <v>17.279184731468479</v>
      </c>
      <c r="AY10">
        <f t="shared" ref="AY10:AY17" si="13">((AX10^2)*((1/AU10)^2))</f>
        <v>2.6066590289738078E-2</v>
      </c>
      <c r="AZ10">
        <f t="shared" ref="AZ10:AZ17" si="14">((AV10*AV10)*((-AW10/(AU10*AU10))^2))</f>
        <v>2.3891698123217051E-3</v>
      </c>
      <c r="BA10">
        <f t="shared" ref="BA10:BA17" si="15">SQRT(AY10+AZ10)</f>
        <v>0.1686883520046947</v>
      </c>
      <c r="BC10" s="37">
        <f>'T2x. THg loads 2010-17'!J9</f>
        <v>474.80587923990203</v>
      </c>
      <c r="BD10">
        <f>'T4x. THg SE 2010-17'!J9</f>
        <v>107.27957389764838</v>
      </c>
      <c r="BE10" s="37">
        <f>'T2x. THg loads 2010-17'!J42</f>
        <v>117.37861205673541</v>
      </c>
      <c r="BF10" s="37">
        <f>'T4x. THg SE 2010-17'!J42</f>
        <v>38.340385947902114</v>
      </c>
      <c r="BG10">
        <f t="shared" ref="BG10:BG17" si="16">((BF10^2)*((1/BC10)^2))</f>
        <v>6.5204982816688146E-3</v>
      </c>
      <c r="BH10">
        <f t="shared" ref="BH10:BH17" si="17">((BD10*BD10)*((-BE10/(BC10*BC10))^2))</f>
        <v>3.1199502422399983E-3</v>
      </c>
      <c r="BI10">
        <f t="shared" ref="BI10:BI17" si="18">SQRT(BG10+BH10)</f>
        <v>9.8185785752871652E-2</v>
      </c>
      <c r="BK10" s="37">
        <f>'T2x. THg loads 2010-17'!K9</f>
        <v>84.040640625462657</v>
      </c>
      <c r="BL10">
        <f>'T4x. THg SE 2010-17'!K9</f>
        <v>18.988484579883764</v>
      </c>
      <c r="BM10" s="37">
        <f>'T2x. THg loads 2010-17'!K42</f>
        <v>26.005509158190158</v>
      </c>
      <c r="BN10">
        <f>'T4x. THg SE 2010-17'!K42</f>
        <v>8.4213485175856011</v>
      </c>
      <c r="BO10">
        <f t="shared" ref="BO10:BO18" si="19">((BN10^2)*((1/BK10)^2))</f>
        <v>1.0041175862514105E-2</v>
      </c>
      <c r="BP10">
        <f t="shared" ref="BP10:BP18" si="20">((BL10*BL10)*((-BM10/(BK10*BK10))^2))</f>
        <v>4.8882557262704737E-3</v>
      </c>
      <c r="BQ10">
        <f t="shared" ref="BQ10:BQ18" si="21">SQRT(BO10+BP10)</f>
        <v>0.12218605316804605</v>
      </c>
      <c r="BT10" s="37">
        <f>'T2x. THg loads 2010-17'!O9</f>
        <v>85.993014271732704</v>
      </c>
      <c r="BU10" s="35">
        <f>'T4x. THg SE 2010-17'!D9+'T4x. THg SE 2010-17'!K9</f>
        <v>19.291827012457439</v>
      </c>
      <c r="BV10" s="37">
        <f>'T2x. THg loads 2010-17'!O42</f>
        <v>27.535884276517738</v>
      </c>
      <c r="BW10" s="37">
        <f>'T4x. THg SE 2010-17'!C42+'T4x. THg SE 2010-17'!K42</f>
        <v>20.486212115211536</v>
      </c>
      <c r="BX10">
        <f t="shared" ref="BX10:BX12" si="22">((BW10^2)*((1/BT10)^2))</f>
        <v>5.6754066608930585E-2</v>
      </c>
      <c r="BY10">
        <f t="shared" ref="BY10:BY12" si="23">((BU10*BU10)*((-BV10/(BT10*BT10))^2))</f>
        <v>5.1605035872460802E-3</v>
      </c>
      <c r="BZ10">
        <f t="shared" ref="BZ10:BZ12" si="24">SQRT(BX10+BY10)</f>
        <v>0.24882638565107332</v>
      </c>
    </row>
    <row r="11" spans="1:78" x14ac:dyDescent="0.2">
      <c r="A11" s="2" t="s">
        <v>3</v>
      </c>
      <c r="B11" s="56">
        <f t="shared" si="0"/>
        <v>0.11859799536681725</v>
      </c>
      <c r="C11" s="45">
        <f>AK11</f>
        <v>9.8690829894302667E-2</v>
      </c>
      <c r="D11" s="58">
        <f>AS11</f>
        <v>0.11629554754742648</v>
      </c>
      <c r="E11" s="58">
        <f>BA11</f>
        <v>8.8240428721351905E-2</v>
      </c>
      <c r="I11" s="45">
        <f t="shared" si="1"/>
        <v>0.13173772358044578</v>
      </c>
      <c r="J11" s="56">
        <f t="shared" si="2"/>
        <v>0.17700667106561827</v>
      </c>
      <c r="K11" s="45" t="s">
        <v>32</v>
      </c>
      <c r="L11" s="56" t="s">
        <v>32</v>
      </c>
      <c r="M11" s="58">
        <f t="shared" si="3"/>
        <v>0.25275414082391895</v>
      </c>
      <c r="N11" s="56" t="s">
        <v>32</v>
      </c>
      <c r="R11" s="37">
        <f>'T2x. THg loads 2010-17'!C10</f>
        <v>0.95755870451857517</v>
      </c>
      <c r="S11" s="37">
        <f>'T4x. THg SE 2010-17'!C10</f>
        <v>0.12213732449573871</v>
      </c>
      <c r="T11" s="37">
        <f>'T2x. THg loads 2010-17'!C43</f>
        <v>0.39218615283164415</v>
      </c>
      <c r="U11" s="37">
        <f>'T4x. THg SE 2010-17'!C43</f>
        <v>0.10195362324803349</v>
      </c>
      <c r="V11" s="51">
        <f t="shared" si="4"/>
        <v>1.1336383044676563E-2</v>
      </c>
      <c r="W11" s="51">
        <f t="shared" si="5"/>
        <v>2.7291014603510453E-3</v>
      </c>
      <c r="X11" s="51">
        <f t="shared" si="6"/>
        <v>0.11859799536681725</v>
      </c>
      <c r="AE11" s="35">
        <f>'T2x. THg loads 2010-17'!D10</f>
        <v>0.12053998124932591</v>
      </c>
      <c r="AF11" s="35">
        <f>'T4x. THg SE 2010-17'!D10</f>
        <v>1.3148749015942596E-2</v>
      </c>
      <c r="AG11" s="35">
        <f>'T2x. THg loads 2010-17'!D43</f>
        <v>6.6343788062598871E-2</v>
      </c>
      <c r="AH11" s="35">
        <f>'T4x. THg SE 2010-17'!D43</f>
        <v>9.4417366043602208E-3</v>
      </c>
      <c r="AI11">
        <f t="shared" si="7"/>
        <v>6.1353807925563332E-3</v>
      </c>
      <c r="AJ11">
        <f t="shared" si="8"/>
        <v>3.6044991126698506E-3</v>
      </c>
      <c r="AK11">
        <f t="shared" si="9"/>
        <v>9.8690829894302667E-2</v>
      </c>
      <c r="AM11" s="37">
        <f>'T2x. THg loads 2010-17'!E10</f>
        <v>1.0780986857679011</v>
      </c>
      <c r="AN11" s="52">
        <f>'T4x. THg SE 2010-17'!E10</f>
        <v>0.13528607351168132</v>
      </c>
      <c r="AO11" s="52">
        <f>'T2x. THg loads 2010-17'!E43</f>
        <v>0.45852994089424304</v>
      </c>
      <c r="AP11" s="52">
        <f>'T4x. THg SE 2010-17'!E43</f>
        <v>0.11139535985239371</v>
      </c>
      <c r="AQ11">
        <f t="shared" si="10"/>
        <v>1.0676211489317125E-2</v>
      </c>
      <c r="AR11">
        <f t="shared" si="11"/>
        <v>2.8484428900386063E-3</v>
      </c>
      <c r="AS11">
        <f t="shared" si="12"/>
        <v>0.11629554754742648</v>
      </c>
      <c r="AU11" s="37">
        <f>'T2x. THg loads 2010-17'!F10</f>
        <v>1.1811112117029507</v>
      </c>
      <c r="AV11" s="52">
        <f>'T4x. THg SE 2010-17'!F10</f>
        <v>0.11856821988601675</v>
      </c>
      <c r="AW11" s="37">
        <f>'T2x. THg loads 2010-17'!F43</f>
        <v>0.43900163833838735</v>
      </c>
      <c r="AX11" s="37">
        <f>'T4x. THg SE 2010-17'!F43</f>
        <v>9.4445777793617069E-2</v>
      </c>
      <c r="AY11">
        <f t="shared" si="13"/>
        <v>6.3941601700257915E-3</v>
      </c>
      <c r="AZ11">
        <f t="shared" si="14"/>
        <v>1.3922130909021953E-3</v>
      </c>
      <c r="BA11">
        <f t="shared" si="15"/>
        <v>8.8240428721351905E-2</v>
      </c>
      <c r="BC11" s="37">
        <f>'T2x. THg loads 2010-17'!J10</f>
        <v>3.235526728183558</v>
      </c>
      <c r="BD11">
        <f>'T4x. THg SE 2010-17'!J10</f>
        <v>0.51232322347670534</v>
      </c>
      <c r="BE11" s="37">
        <f>'T2x. THg loads 2010-17'!J43</f>
        <v>1.4993947187134875</v>
      </c>
      <c r="BF11" s="37">
        <f>'T4x. THg SE 2010-17'!J43</f>
        <v>0.35399669545231066</v>
      </c>
      <c r="BG11">
        <f t="shared" si="16"/>
        <v>1.1970393640875088E-2</v>
      </c>
      <c r="BH11">
        <f t="shared" si="17"/>
        <v>5.3844341732828494E-3</v>
      </c>
      <c r="BI11">
        <f t="shared" si="18"/>
        <v>0.13173772358044578</v>
      </c>
      <c r="BK11" s="37">
        <f>'T2x. THg loads 2010-17'!K10</f>
        <v>0.83800142259954158</v>
      </c>
      <c r="BL11">
        <f>'T4x. THg SE 2010-17'!K10</f>
        <v>0.13269171488046669</v>
      </c>
      <c r="BM11" s="37">
        <f>'T2x. THg loads 2010-17'!K43</f>
        <v>0.52178936211229365</v>
      </c>
      <c r="BN11">
        <f>'T4x. THg SE 2010-17'!K43</f>
        <v>0.12319085001740411</v>
      </c>
      <c r="BO11">
        <f t="shared" si="19"/>
        <v>2.1610628217893842E-2</v>
      </c>
      <c r="BP11">
        <f t="shared" si="20"/>
        <v>9.7207333838381389E-3</v>
      </c>
      <c r="BQ11">
        <f t="shared" si="21"/>
        <v>0.17700667106561827</v>
      </c>
      <c r="BT11" s="37">
        <f>'T2x. THg loads 2010-17'!O10</f>
        <v>0.95854140384886755</v>
      </c>
      <c r="BU11" s="35">
        <f>'T4x. THg SE 2010-17'!D10+'T4x. THg SE 2010-17'!K10</f>
        <v>0.14584046389640928</v>
      </c>
      <c r="BV11" s="37">
        <f>'T2x. THg loads 2010-17'!O43</f>
        <v>0.58813315017489254</v>
      </c>
      <c r="BW11" s="37">
        <f>'T4x. THg SE 2010-17'!C43+'T4x. THg SE 2010-17'!K43</f>
        <v>0.2251444732654376</v>
      </c>
      <c r="BX11">
        <f t="shared" si="22"/>
        <v>5.5169726063815303E-2</v>
      </c>
      <c r="BY11">
        <f t="shared" si="23"/>
        <v>8.7149296398221342E-3</v>
      </c>
      <c r="BZ11">
        <f t="shared" si="24"/>
        <v>0.25275414082391895</v>
      </c>
    </row>
    <row r="12" spans="1:78" x14ac:dyDescent="0.2">
      <c r="A12" s="2" t="s">
        <v>4</v>
      </c>
      <c r="B12" s="56">
        <f t="shared" si="0"/>
        <v>9.3489906940296921E-2</v>
      </c>
      <c r="C12" s="45">
        <f>AK12</f>
        <v>0.13363375799275515</v>
      </c>
      <c r="D12" s="58">
        <f>AS12</f>
        <v>9.603041201620939E-2</v>
      </c>
      <c r="E12" s="58">
        <f>BA12</f>
        <v>0.19227037266799435</v>
      </c>
      <c r="I12" s="45">
        <f t="shared" si="1"/>
        <v>0.12135493883580982</v>
      </c>
      <c r="J12" s="56">
        <f t="shared" si="2"/>
        <v>0.11946741289730209</v>
      </c>
      <c r="K12" s="45" t="s">
        <v>32</v>
      </c>
      <c r="L12" s="56" t="s">
        <v>32</v>
      </c>
      <c r="M12" s="58">
        <f t="shared" si="3"/>
        <v>0.16234067436408411</v>
      </c>
      <c r="N12" s="56" t="s">
        <v>32</v>
      </c>
      <c r="R12" s="37">
        <f>'T2x. THg loads 2010-17'!C11</f>
        <v>20.89621856548095</v>
      </c>
      <c r="S12" s="37">
        <f>'T4x. THg SE 2010-17'!C11</f>
        <v>3.6673144880276829</v>
      </c>
      <c r="T12" s="37">
        <f>'T2x. THg loads 2010-17'!C44</f>
        <v>6.6953170221833034</v>
      </c>
      <c r="U12" s="37">
        <f>'T4x. THg SE 2010-17'!C44</f>
        <v>1.5606998797478959</v>
      </c>
      <c r="V12" s="51">
        <f t="shared" si="4"/>
        <v>5.5783195581030273E-3</v>
      </c>
      <c r="W12" s="51">
        <f t="shared" si="5"/>
        <v>3.1620431416023516E-3</v>
      </c>
      <c r="X12" s="51">
        <f t="shared" si="6"/>
        <v>9.3489906940296921E-2</v>
      </c>
      <c r="AE12" s="35">
        <f>'T2x. THg loads 2010-17'!D11</f>
        <v>1.0672028771890236</v>
      </c>
      <c r="AF12" s="35">
        <f>'T4x. THg SE 2010-17'!D11</f>
        <v>0.13235482492964201</v>
      </c>
      <c r="AG12" s="35">
        <f>'T2x. THg loads 2010-17'!D44</f>
        <v>0.8694692837399165</v>
      </c>
      <c r="AH12" s="35">
        <f>'T4x. THg SE 2010-17'!D44</f>
        <v>9.3333491834209886E-2</v>
      </c>
      <c r="AI12">
        <f t="shared" si="7"/>
        <v>7.6485842249721077E-3</v>
      </c>
      <c r="AJ12">
        <f t="shared" si="8"/>
        <v>1.0209397050294142E-2</v>
      </c>
      <c r="AK12">
        <f t="shared" si="9"/>
        <v>0.13363375799275515</v>
      </c>
      <c r="AM12" s="37">
        <f>'T2x. THg loads 2010-17'!E11</f>
        <v>21.963421442669976</v>
      </c>
      <c r="AN12" s="52">
        <f>'T4x. THg SE 2010-17'!E11</f>
        <v>3.7996693129573247</v>
      </c>
      <c r="AO12" s="52">
        <f>'T2x. THg loads 2010-17'!E44</f>
        <v>7.5647863059232199</v>
      </c>
      <c r="AP12" s="52">
        <f>'T4x. THg SE 2010-17'!E44</f>
        <v>1.6540333715821056</v>
      </c>
      <c r="AQ12">
        <f t="shared" si="10"/>
        <v>5.6713773581341899E-3</v>
      </c>
      <c r="AR12">
        <f t="shared" si="11"/>
        <v>3.5504626738687432E-3</v>
      </c>
      <c r="AS12">
        <f t="shared" si="12"/>
        <v>9.603041201620939E-2</v>
      </c>
      <c r="AU12" s="37">
        <f>'T2x. THg loads 2010-17'!F11</f>
        <v>22.193108998148762</v>
      </c>
      <c r="AV12" s="52">
        <f>'T4x. THg SE 2010-17'!F11</f>
        <v>3.1526127315406898</v>
      </c>
      <c r="AW12" s="37">
        <f>'T2x. THg loads 2010-17'!F44</f>
        <v>8.9943872356999037</v>
      </c>
      <c r="AX12" s="37">
        <f>'T4x. THg SE 2010-17'!F44</f>
        <v>4.0712980806832553</v>
      </c>
      <c r="AY12">
        <f t="shared" si="13"/>
        <v>3.3653443485730253E-2</v>
      </c>
      <c r="AZ12">
        <f t="shared" si="14"/>
        <v>3.3144527201591808E-3</v>
      </c>
      <c r="BA12">
        <f t="shared" si="15"/>
        <v>0.19227037266799435</v>
      </c>
      <c r="BC12" s="37">
        <f>'T2x. THg loads 2010-17'!J11</f>
        <v>118.50815675827299</v>
      </c>
      <c r="BD12">
        <f>'T4x. THg SE 2010-17'!J11</f>
        <v>25.351281027735499</v>
      </c>
      <c r="BE12" s="37">
        <f>'T2x. THg loads 2010-17'!J44</f>
        <v>33.818294265326976</v>
      </c>
      <c r="BF12" s="37">
        <f>'T4x. THg SE 2010-17'!J44</f>
        <v>12.429490582692964</v>
      </c>
      <c r="BG12">
        <f t="shared" si="16"/>
        <v>1.1000442941001193E-2</v>
      </c>
      <c r="BH12">
        <f t="shared" si="17"/>
        <v>3.7265782388419496E-3</v>
      </c>
      <c r="BI12">
        <f t="shared" si="18"/>
        <v>0.12135493883580982</v>
      </c>
      <c r="BK12" s="37">
        <f>'T2x. THg loads 2010-17'!K11</f>
        <v>30.219579973359611</v>
      </c>
      <c r="BL12">
        <f>'T4x. THg SE 2010-17'!K11</f>
        <v>6.4645766620725524</v>
      </c>
      <c r="BM12" s="37">
        <f>'T2x. THg loads 2010-17'!K44</f>
        <v>8.5129494776691672</v>
      </c>
      <c r="BN12">
        <f>'T4x. THg SE 2010-17'!K44</f>
        <v>3.1173013773805271</v>
      </c>
      <c r="BO12">
        <f t="shared" si="19"/>
        <v>1.0640958156914741E-2</v>
      </c>
      <c r="BP12">
        <f t="shared" si="20"/>
        <v>3.6315045874597204E-3</v>
      </c>
      <c r="BQ12">
        <f t="shared" si="21"/>
        <v>0.11946741289730209</v>
      </c>
      <c r="BT12" s="37">
        <f>'T2x. THg loads 2010-17'!O11</f>
        <v>31.286782850548633</v>
      </c>
      <c r="BU12" s="35">
        <f>'T4x. THg SE 2010-17'!D11+'T4x. THg SE 2010-17'!K11</f>
        <v>6.5969314870021947</v>
      </c>
      <c r="BV12" s="37">
        <f>'T2x. THg loads 2010-17'!O44</f>
        <v>9.3824187614090846</v>
      </c>
      <c r="BW12" s="37">
        <f>'T4x. THg SE 2010-17'!C44+'T4x. THg SE 2010-17'!K44</f>
        <v>4.6780012571284235</v>
      </c>
      <c r="BX12">
        <f t="shared" si="22"/>
        <v>2.2356244596681337E-2</v>
      </c>
      <c r="BY12">
        <f t="shared" si="23"/>
        <v>3.9982499563042569E-3</v>
      </c>
      <c r="BZ12">
        <f t="shared" si="24"/>
        <v>0.16234067436408411</v>
      </c>
    </row>
    <row r="13" spans="1:78" x14ac:dyDescent="0.2">
      <c r="A13" s="2" t="s">
        <v>5</v>
      </c>
      <c r="B13" s="56" t="s">
        <v>32</v>
      </c>
      <c r="C13" s="45" t="s">
        <v>32</v>
      </c>
      <c r="D13" s="58" t="s">
        <v>32</v>
      </c>
      <c r="E13" s="58" t="s">
        <v>32</v>
      </c>
      <c r="I13" s="45" t="s">
        <v>32</v>
      </c>
      <c r="J13" s="56" t="s">
        <v>32</v>
      </c>
      <c r="K13" s="45" t="s">
        <v>32</v>
      </c>
      <c r="L13" s="56" t="s">
        <v>32</v>
      </c>
      <c r="M13" s="58" t="s">
        <v>32</v>
      </c>
      <c r="N13" s="56" t="s">
        <v>32</v>
      </c>
      <c r="R13" s="37"/>
      <c r="S13" s="37"/>
      <c r="T13" s="37"/>
      <c r="U13" s="37"/>
      <c r="V13" s="51"/>
      <c r="W13" s="51"/>
      <c r="X13" s="51"/>
      <c r="AE13" s="35"/>
      <c r="AF13" s="35"/>
      <c r="AG13" s="35"/>
      <c r="AH13" s="35"/>
      <c r="AM13" s="37"/>
      <c r="AN13" s="52"/>
      <c r="AO13" s="52"/>
      <c r="AP13" s="52"/>
      <c r="AU13" s="37"/>
      <c r="AV13" s="52"/>
      <c r="AW13" s="37"/>
      <c r="AX13" s="37"/>
      <c r="BC13" s="37"/>
      <c r="BE13" s="37"/>
      <c r="BF13" s="37"/>
      <c r="BK13" s="37"/>
      <c r="BM13" s="37"/>
      <c r="BT13" s="37"/>
      <c r="BU13" s="35"/>
      <c r="BV13" s="37"/>
      <c r="BW13" s="37"/>
    </row>
    <row r="14" spans="1:78" x14ac:dyDescent="0.2">
      <c r="A14" s="2" t="s">
        <v>97</v>
      </c>
      <c r="B14" s="56">
        <f t="shared" ref="B14" si="25">X14</f>
        <v>0.3123205246597624</v>
      </c>
      <c r="C14" s="45">
        <f>AK14</f>
        <v>0.1847162831182384</v>
      </c>
      <c r="D14" s="58">
        <f>AS14</f>
        <v>0.30811982732436072</v>
      </c>
      <c r="E14" s="58">
        <f>BA14</f>
        <v>0.18737833335182316</v>
      </c>
      <c r="I14" s="45">
        <f t="shared" ref="I14" si="26">BI14</f>
        <v>0.10125071182128455</v>
      </c>
      <c r="J14" s="56">
        <f t="shared" ref="J14" si="27">BQ14</f>
        <v>0.11251918474638324</v>
      </c>
      <c r="K14" s="45" t="s">
        <v>32</v>
      </c>
      <c r="L14" s="56" t="s">
        <v>32</v>
      </c>
      <c r="M14" s="58">
        <f t="shared" si="3"/>
        <v>0.38123095796450812</v>
      </c>
      <c r="N14" s="56" t="s">
        <v>32</v>
      </c>
      <c r="R14" s="37">
        <f>'T2x. THg loads 2010-17'!C13</f>
        <v>40.786946415908169</v>
      </c>
      <c r="S14" s="37">
        <f>'T4x. THg SE 2010-17'!C13</f>
        <v>10.9729570190862</v>
      </c>
      <c r="T14" s="37">
        <f>'T2x. THg loads 2010-17'!C46</f>
        <v>11.940149364227102</v>
      </c>
      <c r="U14" s="37">
        <f>'T4x. THg SE 2010-17'!C46</f>
        <v>12.326932082698562</v>
      </c>
      <c r="V14" s="51">
        <f t="shared" ref="V14" si="28">((U14^2)*((1/R14)^2))</f>
        <v>9.1341391136654154E-2</v>
      </c>
      <c r="W14" s="51">
        <f t="shared" ref="W14" si="29">((S14*S14)*((-T14/(R14*R14))^2))</f>
        <v>6.2027189870951091E-3</v>
      </c>
      <c r="X14" s="51">
        <f t="shared" ref="X14" si="30">SQRT(V14+W14)</f>
        <v>0.3123205246597624</v>
      </c>
      <c r="AE14" s="35">
        <f>'T2x. THg loads 2010-17'!D13</f>
        <v>1.1520123644249451</v>
      </c>
      <c r="AF14" s="35">
        <f>'T4x. THg SE 2010-17'!D13</f>
        <v>0.19181892763576536</v>
      </c>
      <c r="AG14" s="35">
        <f>'T2x. THg loads 2010-17'!D46</f>
        <v>1.0334041764530424</v>
      </c>
      <c r="AH14" s="35">
        <f>'T4x. THg SE 2010-17'!D46</f>
        <v>0.12519545071614627</v>
      </c>
      <c r="AI14">
        <f t="shared" ref="AI14" si="31">((AH14^2)*((1/AE14)^2))</f>
        <v>1.1810351283121754E-2</v>
      </c>
      <c r="AJ14">
        <f t="shared" ref="AJ14" si="32">((AF14*AF14)*((-AG14/(AE14*AE14))^2))</f>
        <v>2.2309753965895456E-2</v>
      </c>
      <c r="AK14">
        <f t="shared" ref="AK14" si="33">SQRT(AI14+AJ14)</f>
        <v>0.1847162831182384</v>
      </c>
      <c r="AM14" s="37">
        <f>'T2x. THg loads 2010-17'!E13</f>
        <v>41.938958780333117</v>
      </c>
      <c r="AN14" s="52">
        <f>'T4x. THg SE 2010-17'!E13</f>
        <v>11.164775946721965</v>
      </c>
      <c r="AO14" s="52">
        <f>'T2x. THg loads 2010-17'!E46</f>
        <v>12.973553540680143</v>
      </c>
      <c r="AP14" s="52">
        <f>'T4x. THg SE 2010-17'!E46</f>
        <v>12.452127533414709</v>
      </c>
      <c r="AQ14">
        <f t="shared" ref="AQ14" si="34">((AP14^2)*((1/AM14)^2))</f>
        <v>8.8155991026315966E-2</v>
      </c>
      <c r="AR14">
        <f t="shared" ref="AR14" si="35">((AN14*AN14)*((-AO14/(AM14*AM14))^2))</f>
        <v>6.7818369640779098E-3</v>
      </c>
      <c r="AS14">
        <f t="shared" ref="AS14" si="36">SQRT(AQ14+AR14)</f>
        <v>0.30811982732436072</v>
      </c>
      <c r="AU14" s="37">
        <f>'T2x. THg loads 2010-17'!F13</f>
        <v>39.547543136700774</v>
      </c>
      <c r="AV14" s="52">
        <f>'T4x. THg SE 2010-17'!F13</f>
        <v>9.037203422501479</v>
      </c>
      <c r="AW14" s="37">
        <f>'T2x. THg loads 2010-17'!F46</f>
        <v>14.994645015309422</v>
      </c>
      <c r="AX14" s="37">
        <f>'T4x. THg SE 2010-17'!F46</f>
        <v>6.5705726600600292</v>
      </c>
      <c r="AY14">
        <f t="shared" ref="AY14" si="37">((AX14^2)*((1/AU14)^2))</f>
        <v>2.7603708190486641E-2</v>
      </c>
      <c r="AZ14">
        <f t="shared" ref="AZ14" si="38">((AV14*AV14)*((-AW14/(AU14*AU14))^2))</f>
        <v>7.5069316192203197E-3</v>
      </c>
      <c r="BA14">
        <f t="shared" ref="BA14" si="39">SQRT(AY14+AZ14)</f>
        <v>0.18737833335182316</v>
      </c>
      <c r="BC14" s="37">
        <f>'T2x. THg loads 2010-17'!J13</f>
        <v>131.35701456257331</v>
      </c>
      <c r="BD14">
        <f>'T4x. THg SE 2010-17'!J13</f>
        <v>31.892775586674372</v>
      </c>
      <c r="BE14" s="37">
        <f>'T2x. THg loads 2010-17'!J46</f>
        <v>33.105823852739206</v>
      </c>
      <c r="BF14" s="37">
        <f>'T4x. THg SE 2010-17'!J46</f>
        <v>10.596304908286474</v>
      </c>
      <c r="BG14">
        <f t="shared" ref="BG14" si="40">((BF14^2)*((1/BC14)^2))</f>
        <v>6.5073228556575937E-3</v>
      </c>
      <c r="BH14">
        <f t="shared" ref="BH14" si="41">((BD14*BD14)*((-BE14/(BC14*BC14))^2))</f>
        <v>3.7443837886592165E-3</v>
      </c>
      <c r="BI14">
        <f t="shared" ref="BI14" si="42">SQRT(BG14+BH14)</f>
        <v>0.10125071182128455</v>
      </c>
      <c r="BK14" s="37">
        <f>'T2x. THg loads 2010-17'!K13</f>
        <v>41.771530630898312</v>
      </c>
      <c r="BL14">
        <f>'T4x. THg SE 2010-17'!K13</f>
        <v>10.141902636562451</v>
      </c>
      <c r="BM14" s="37">
        <f>'T2x. THg loads 2010-17'!K46</f>
        <v>11.680934240819736</v>
      </c>
      <c r="BN14">
        <f>'T4x. THg SE 2010-17'!K46</f>
        <v>3.7480188594773933</v>
      </c>
      <c r="BO14">
        <f t="shared" ref="BO14" si="43">((BN14^2)*((1/BK14)^2))</f>
        <v>8.0508689303331205E-3</v>
      </c>
      <c r="BP14">
        <f t="shared" ref="BP14" si="44">((BL14*BL14)*((-BM14/(BK14*BK14))^2))</f>
        <v>4.6096980056576017E-3</v>
      </c>
      <c r="BQ14">
        <f t="shared" ref="BQ14" si="45">SQRT(BO14+BP14)</f>
        <v>0.11251918474638324</v>
      </c>
      <c r="BT14" s="37">
        <f>'T2x. THg loads 2010-17'!O13</f>
        <v>42.92354299532326</v>
      </c>
      <c r="BU14" s="35">
        <f>'T4x. THg SE 2010-17'!D13+'T4x. THg SE 2010-17'!K13</f>
        <v>10.333721564198216</v>
      </c>
      <c r="BV14" s="37">
        <f>'T2x. THg loads 2010-17'!O46</f>
        <v>12.714338417272778</v>
      </c>
      <c r="BW14" s="37">
        <f>'T4x. THg SE 2010-17'!C46+'T4x. THg SE 2010-17'!K46</f>
        <v>16.074950942175956</v>
      </c>
      <c r="BX14">
        <f t="shared" ref="BX14:BX18" si="46">((BW14^2)*((1/BT14)^2))</f>
        <v>0.14025171735079311</v>
      </c>
      <c r="BY14">
        <f t="shared" ref="BY14:BY18" si="47">((BU14*BU14)*((-BV14/(BT14*BT14))^2))</f>
        <v>5.0853259597434608E-3</v>
      </c>
      <c r="BZ14">
        <f t="shared" ref="BZ14:BZ18" si="48">SQRT(BX14+BY14)</f>
        <v>0.38123095796450812</v>
      </c>
    </row>
    <row r="15" spans="1:78" x14ac:dyDescent="0.2">
      <c r="A15" s="2" t="s">
        <v>105</v>
      </c>
      <c r="B15" s="56">
        <f t="shared" ref="B15:B16" si="49">X15</f>
        <v>7.3238076024546225E-2</v>
      </c>
      <c r="C15" s="45">
        <f t="shared" ref="C15:C16" si="50">AK15</f>
        <v>0.20009629905557477</v>
      </c>
      <c r="D15" s="58">
        <f t="shared" ref="D15:D16" si="51">AS15</f>
        <v>7.6985711396138121E-2</v>
      </c>
      <c r="E15" s="58">
        <f t="shared" ref="E15:E16" si="52">BA15</f>
        <v>7.334599062019484E-2</v>
      </c>
      <c r="I15" s="45">
        <f t="shared" ref="I15:I16" si="53">BI15</f>
        <v>6.9540431878904713E-2</v>
      </c>
      <c r="J15" s="56">
        <f t="shared" ref="J15:J16" si="54">BQ15</f>
        <v>8.3192197461039494E-2</v>
      </c>
      <c r="K15" s="45" t="s">
        <v>32</v>
      </c>
      <c r="L15" s="56" t="s">
        <v>32</v>
      </c>
      <c r="M15" s="58">
        <f t="shared" ref="M15:M16" si="55">BZ15</f>
        <v>0</v>
      </c>
      <c r="N15" s="56" t="s">
        <v>32</v>
      </c>
      <c r="R15" s="37">
        <f>'T2x. THg loads 2010-17'!C14</f>
        <v>33.5</v>
      </c>
      <c r="S15" s="37">
        <f>'T4x. THg SE 2010-17'!C14</f>
        <v>7</v>
      </c>
      <c r="T15" s="37">
        <f>'T2x. THg loads 2010-17'!C47</f>
        <v>7.31</v>
      </c>
      <c r="U15" s="37">
        <f>'T4x. THg SE 2010-17'!C47</f>
        <v>1.92</v>
      </c>
      <c r="V15" s="51">
        <f t="shared" ref="V15:V16" si="56">((U15^2)*((1/R15)^2))</f>
        <v>3.2848295834261524E-3</v>
      </c>
      <c r="W15" s="51">
        <f t="shared" ref="W15:W16" si="57">((S15*S15)*((-T15/(R15*R15))^2))</f>
        <v>2.078986196351061E-3</v>
      </c>
      <c r="X15" s="51">
        <f t="shared" ref="X15:X16" si="58">SQRT(V15+W15)</f>
        <v>7.3238076024546225E-2</v>
      </c>
      <c r="AE15" s="35">
        <f>'T2x. THg loads 2010-17'!D14</f>
        <v>0.88</v>
      </c>
      <c r="AF15" s="35">
        <f>'T4x. THg SE 2010-17'!D14</f>
        <v>0.14000000000000001</v>
      </c>
      <c r="AG15" s="35">
        <f>'T2x. THg loads 2010-17'!D47</f>
        <v>0.81</v>
      </c>
      <c r="AH15" s="35">
        <f>'T4x. THg SE 2010-17'!D47</f>
        <v>0.12000000000000001</v>
      </c>
      <c r="AI15">
        <f t="shared" ref="AI15:AI16" si="59">((AH15^2)*((1/AE15)^2))</f>
        <v>1.8595041322314057E-2</v>
      </c>
      <c r="AJ15">
        <f t="shared" ref="AJ15:AJ16" si="60">((AF15*AF15)*((-AG15/(AE15*AE15))^2))</f>
        <v>2.1443487573423951E-2</v>
      </c>
      <c r="AK15">
        <f t="shared" ref="AK15:AK16" si="61">SQRT(AI15+AJ15)</f>
        <v>0.20009629905557477</v>
      </c>
      <c r="AM15" s="37">
        <f>'T2x. THg loads 2010-17'!E14</f>
        <v>34.380000000000003</v>
      </c>
      <c r="AN15" s="52">
        <f>'T4x. THg SE 2010-17'!E14</f>
        <v>7.14</v>
      </c>
      <c r="AO15" s="52">
        <f>'T2x. THg loads 2010-17'!E47</f>
        <v>8.1199999999999992</v>
      </c>
      <c r="AP15" s="52">
        <f>'T4x. THg SE 2010-17'!E47</f>
        <v>2.04</v>
      </c>
      <c r="AQ15">
        <f t="shared" ref="AQ15:AQ16" si="62">((AP15^2)*((1/AM15)^2))</f>
        <v>3.5208586509263562E-3</v>
      </c>
      <c r="AR15">
        <f t="shared" ref="AR15:AR16" si="63">((AN15*AN15)*((-AO15/(AM15*AM15))^2))</f>
        <v>2.405941108243115E-3</v>
      </c>
      <c r="AS15">
        <f t="shared" ref="AS15:AS16" si="64">SQRT(AQ15+AR15)</f>
        <v>7.6985711396138121E-2</v>
      </c>
      <c r="AU15" s="37">
        <f>'T2x. THg loads 2010-17'!F14</f>
        <v>34.6</v>
      </c>
      <c r="AV15" s="52">
        <f>'T4x. THg SE 2010-17'!F14</f>
        <v>7.2</v>
      </c>
      <c r="AW15" s="37">
        <f>'T2x. THg loads 2010-17'!F47</f>
        <v>8.0300000000000011</v>
      </c>
      <c r="AX15" s="37">
        <f>'T4x. THg SE 2010-17'!F47</f>
        <v>1.9100000000000001</v>
      </c>
      <c r="AY15">
        <f t="shared" ref="AY15:AY16" si="65">((AX15^2)*((1/AU15)^2))</f>
        <v>3.0472952654615926E-3</v>
      </c>
      <c r="AZ15">
        <f t="shared" ref="AZ15:AZ16" si="66">((AV15*AV15)*((-AW15/(AU15*AU15))^2))</f>
        <v>2.3323390745961167E-3</v>
      </c>
      <c r="BA15">
        <f t="shared" ref="BA15:BA16" si="67">SQRT(AY15+AZ15)</f>
        <v>7.334599062019484E-2</v>
      </c>
      <c r="BC15" s="37">
        <f>'T2x. THg loads 2010-17'!J14</f>
        <v>180</v>
      </c>
      <c r="BD15">
        <f>'T4x. THg SE 2010-17'!J14</f>
        <v>37</v>
      </c>
      <c r="BE15" s="37">
        <f>'T2x. THg loads 2010-17'!J47</f>
        <v>31.6</v>
      </c>
      <c r="BF15" s="37">
        <f>'T4x. THg SE 2010-17'!J47</f>
        <v>10.7</v>
      </c>
      <c r="BG15">
        <f t="shared" ref="BG15:BG16" si="68">((BF15^2)*((1/BC15)^2))</f>
        <v>3.5336419753086413E-3</v>
      </c>
      <c r="BH15">
        <f t="shared" ref="BH15:BH16" si="69">((BD15*BD15)*((-BE15/(BC15*BC15))^2))</f>
        <v>1.3022296905959457E-3</v>
      </c>
      <c r="BI15">
        <f t="shared" ref="BI15:BI16" si="70">SQRT(BG15+BH15)</f>
        <v>6.9540431878904713E-2</v>
      </c>
      <c r="BK15" s="37">
        <f>'T2x. THg loads 2010-17'!K14</f>
        <v>31.5</v>
      </c>
      <c r="BL15">
        <f>'T4x. THg SE 2010-17'!K14</f>
        <v>6.4749999999999996</v>
      </c>
      <c r="BM15" s="37">
        <f>'T2x. THg loads 2010-17'!K47</f>
        <v>6.6332000000000004</v>
      </c>
      <c r="BN15">
        <f>'T4x. THg SE 2010-17'!K47</f>
        <v>2.2378999999999998</v>
      </c>
      <c r="BO15">
        <f t="shared" ref="BO15:BO16" si="71">((BN15^2)*((1/BK15)^2))</f>
        <v>5.0473130864197519E-3</v>
      </c>
      <c r="BP15">
        <f t="shared" ref="BP15:BP16" si="72">((BL15*BL15)*((-BM15/(BK15*BK15))^2))</f>
        <v>1.8736286319768329E-3</v>
      </c>
      <c r="BQ15">
        <f t="shared" ref="BQ15:BQ16" si="73">SQRT(BO15+BP15)</f>
        <v>8.3192197461039494E-2</v>
      </c>
      <c r="BT15" s="37"/>
      <c r="BU15" s="35"/>
      <c r="BV15" s="37"/>
      <c r="BW15" s="37"/>
    </row>
    <row r="16" spans="1:78" x14ac:dyDescent="0.2">
      <c r="A16" s="2" t="s">
        <v>151</v>
      </c>
      <c r="B16" s="56">
        <f t="shared" si="49"/>
        <v>0.11871197937674537</v>
      </c>
      <c r="C16" s="45">
        <f t="shared" si="50"/>
        <v>0.13181849579619187</v>
      </c>
      <c r="D16" s="58">
        <f t="shared" si="51"/>
        <v>0.11889216844280535</v>
      </c>
      <c r="E16" s="58">
        <f t="shared" si="52"/>
        <v>0.11517497856914298</v>
      </c>
      <c r="I16" s="45">
        <f t="shared" si="53"/>
        <v>7.5416677197959775E-2</v>
      </c>
      <c r="J16" s="56">
        <f t="shared" si="54"/>
        <v>6.7812779805961426E-2</v>
      </c>
      <c r="K16" s="45" t="s">
        <v>32</v>
      </c>
      <c r="L16" s="56" t="s">
        <v>32</v>
      </c>
      <c r="M16" s="58">
        <f t="shared" si="55"/>
        <v>0</v>
      </c>
      <c r="N16" s="56" t="s">
        <v>32</v>
      </c>
      <c r="R16" s="37">
        <f>'T2x. THg loads 2010-17'!C15</f>
        <v>304.8</v>
      </c>
      <c r="S16" s="37">
        <f>'T4x. THg SE 2010-17'!C15</f>
        <v>59.9</v>
      </c>
      <c r="T16" s="37">
        <f>'T2x. THg loads 2010-17'!C48</f>
        <v>111.86</v>
      </c>
      <c r="U16" s="37">
        <f>'T4x. THg SE 2010-17'!C48</f>
        <v>28.74</v>
      </c>
      <c r="V16" s="51">
        <f t="shared" si="56"/>
        <v>8.8908565317130615E-3</v>
      </c>
      <c r="W16" s="51">
        <f t="shared" si="57"/>
        <v>5.201677515831755E-3</v>
      </c>
      <c r="X16" s="51">
        <f t="shared" si="58"/>
        <v>0.11871197937674537</v>
      </c>
      <c r="AE16" s="35">
        <f>'T2x. THg loads 2010-17'!D15</f>
        <v>6.87</v>
      </c>
      <c r="AF16" s="35">
        <f>'T4x. THg SE 2010-17'!D15</f>
        <v>1.21</v>
      </c>
      <c r="AG16" s="35">
        <f>'T2x. THg loads 2010-17'!D48</f>
        <v>4.3600000000000003</v>
      </c>
      <c r="AH16" s="35">
        <f>'T4x. THg SE 2010-17'!D48</f>
        <v>0.48</v>
      </c>
      <c r="AI16">
        <f t="shared" si="59"/>
        <v>4.8816765507904104E-3</v>
      </c>
      <c r="AJ16">
        <f t="shared" si="60"/>
        <v>1.2494439283180244E-2</v>
      </c>
      <c r="AK16">
        <f t="shared" si="61"/>
        <v>0.13181849579619187</v>
      </c>
      <c r="AM16" s="37">
        <f>'T2x. THg loads 2010-17'!E15</f>
        <v>311.67</v>
      </c>
      <c r="AN16" s="52">
        <f>'T4x. THg SE 2010-17'!E15</f>
        <v>61.11</v>
      </c>
      <c r="AO16" s="52">
        <f>'T2x. THg loads 2010-17'!E48</f>
        <v>116.22</v>
      </c>
      <c r="AP16" s="52">
        <f>'T4x. THg SE 2010-17'!E48</f>
        <v>29.22</v>
      </c>
      <c r="AQ16">
        <f t="shared" si="62"/>
        <v>8.7896265070266273E-3</v>
      </c>
      <c r="AR16">
        <f t="shared" si="63"/>
        <v>5.3457212100057744E-3</v>
      </c>
      <c r="AS16">
        <f t="shared" si="64"/>
        <v>0.11889216844280535</v>
      </c>
      <c r="AU16" s="37">
        <f>'T2x. THg loads 2010-17'!F15</f>
        <v>312.10000000000002</v>
      </c>
      <c r="AV16" s="52">
        <f>'T4x. THg SE 2010-17'!F15</f>
        <v>60.9</v>
      </c>
      <c r="AW16" s="37">
        <f>'T2x. THg loads 2010-17'!F48</f>
        <v>116.97</v>
      </c>
      <c r="AX16" s="37">
        <f>'T4x. THg SE 2010-17'!F48</f>
        <v>27.77</v>
      </c>
      <c r="AY16">
        <f t="shared" si="65"/>
        <v>7.9170652116221079E-3</v>
      </c>
      <c r="AZ16">
        <f t="shared" si="66"/>
        <v>5.3482104767804345E-3</v>
      </c>
      <c r="BA16">
        <f t="shared" si="67"/>
        <v>0.11517497856914298</v>
      </c>
      <c r="BC16" s="37">
        <f>'T2x. THg loads 2010-17'!J15</f>
        <v>1222</v>
      </c>
      <c r="BD16">
        <f>'T4x. THg SE 2010-17'!J15</f>
        <v>237</v>
      </c>
      <c r="BE16" s="37">
        <f>'T2x. THg loads 2010-17'!J48</f>
        <v>288.7</v>
      </c>
      <c r="BF16" s="37">
        <f>'T4x. THg SE 2010-17'!J48</f>
        <v>73.2</v>
      </c>
      <c r="BG16">
        <f t="shared" si="68"/>
        <v>3.5882256824555821E-3</v>
      </c>
      <c r="BH16">
        <f t="shared" si="69"/>
        <v>2.0994495171256836E-3</v>
      </c>
      <c r="BI16">
        <f t="shared" si="70"/>
        <v>7.5416677197959775E-2</v>
      </c>
      <c r="BK16" s="37">
        <f>'T2x. THg loads 2010-17'!K15</f>
        <v>323.83</v>
      </c>
      <c r="BL16">
        <f>'T4x. THg SE 2010-17'!K15</f>
        <v>62.805</v>
      </c>
      <c r="BM16" s="37">
        <f>'T2x. THg loads 2010-17'!K48</f>
        <v>68.641200000000012</v>
      </c>
      <c r="BN16">
        <f>'T4x. THg SE 2010-17'!K48</f>
        <v>17.464499999999997</v>
      </c>
      <c r="BO16">
        <f t="shared" si="71"/>
        <v>2.9085608449099486E-3</v>
      </c>
      <c r="BP16">
        <f t="shared" si="72"/>
        <v>1.6900122601018611E-3</v>
      </c>
      <c r="BQ16">
        <f t="shared" si="73"/>
        <v>6.7812779805961426E-2</v>
      </c>
      <c r="BT16" s="37"/>
      <c r="BU16" s="35"/>
      <c r="BV16" s="37"/>
      <c r="BW16" s="37"/>
    </row>
    <row r="17" spans="1:78" x14ac:dyDescent="0.2">
      <c r="A17" s="2" t="s">
        <v>152</v>
      </c>
      <c r="B17" s="56">
        <f>X17</f>
        <v>0.13228717611189653</v>
      </c>
      <c r="C17" s="45">
        <f>AK17</f>
        <v>0.1490074520099334</v>
      </c>
      <c r="D17" s="58">
        <f>AS17</f>
        <v>0.13265938509075265</v>
      </c>
      <c r="E17" s="58">
        <f>BA17</f>
        <v>0.13191646221735778</v>
      </c>
      <c r="G17" s="3" t="s">
        <v>26</v>
      </c>
      <c r="I17" s="45">
        <f t="shared" si="1"/>
        <v>8.6943749725968994E-2</v>
      </c>
      <c r="J17" s="56">
        <f>BQ17</f>
        <v>8.93084917383975E-2</v>
      </c>
      <c r="K17" s="45" t="s">
        <v>32</v>
      </c>
      <c r="L17" s="56" t="s">
        <v>32</v>
      </c>
      <c r="M17" s="58">
        <f t="shared" si="3"/>
        <v>0.18377936652345436</v>
      </c>
      <c r="N17" s="56" t="s">
        <v>32</v>
      </c>
      <c r="R17" s="37">
        <f>'T2x. THg loads 2010-17'!C16</f>
        <v>517.42129873293504</v>
      </c>
      <c r="S17" s="37">
        <f>'T4x. THg SE 2010-17'!C16</f>
        <v>107.86523191251587</v>
      </c>
      <c r="T17" s="37">
        <f>'T2x. THg loads 2010-17'!C49</f>
        <v>174.26096015442977</v>
      </c>
      <c r="U17" s="37">
        <f>'T4x. THg SE 2010-17'!C49</f>
        <v>58.012571068244526</v>
      </c>
      <c r="V17" s="51">
        <f t="shared" si="4"/>
        <v>1.2570588892549955E-2</v>
      </c>
      <c r="W17" s="51">
        <f t="shared" si="5"/>
        <v>4.9293080711099689E-3</v>
      </c>
      <c r="X17" s="51">
        <f t="shared" si="6"/>
        <v>0.13228717611189653</v>
      </c>
      <c r="AE17" s="35">
        <f>'T2x. THg loads 2010-17'!D16</f>
        <v>12.711914020298998</v>
      </c>
      <c r="AF17" s="35">
        <f>'T4x. THg SE 2010-17'!D16</f>
        <v>2.0894654890386777</v>
      </c>
      <c r="AG17" s="35">
        <f>'T2x. THg loads 2010-17'!D49</f>
        <v>9.3074061683162306</v>
      </c>
      <c r="AH17" s="35">
        <f>'T4x. THg SE 2010-17'!D49</f>
        <v>1.1168682885155961</v>
      </c>
      <c r="AI17">
        <f t="shared" si="7"/>
        <v>7.7193730020540452E-3</v>
      </c>
      <c r="AJ17">
        <f t="shared" si="8"/>
        <v>1.4483847752438562E-2</v>
      </c>
      <c r="AK17">
        <f t="shared" si="9"/>
        <v>0.1490074520099334</v>
      </c>
      <c r="AM17" s="37">
        <f>'T2x. THg loads 2010-17'!E16</f>
        <v>530.13321275323403</v>
      </c>
      <c r="AN17" s="52">
        <f>'T4x. THg SE 2010-17'!E16</f>
        <v>109.95469740155454</v>
      </c>
      <c r="AO17" s="52">
        <f>'T2x. THg loads 2010-17'!E49</f>
        <v>183.56836632274602</v>
      </c>
      <c r="AP17" s="52">
        <f>'T4x. THg SE 2010-17'!E49</f>
        <v>59.12943935676013</v>
      </c>
      <c r="AQ17">
        <f t="shared" si="10"/>
        <v>1.2440490252775721E-2</v>
      </c>
      <c r="AR17">
        <f t="shared" si="11"/>
        <v>5.1580221998808818E-3</v>
      </c>
      <c r="AS17">
        <f t="shared" si="12"/>
        <v>0.13265938509075265</v>
      </c>
      <c r="AU17" s="37">
        <f>'T2x. THg loads 2010-17'!F16</f>
        <v>535.09943571266035</v>
      </c>
      <c r="AV17" s="52">
        <f>'T4x. THg SE 2010-17'!F16</f>
        <v>100.85027819104396</v>
      </c>
      <c r="AW17" s="37">
        <f>'T2x. THg loads 2010-17'!F49</f>
        <v>188.29538698297117</v>
      </c>
      <c r="AX17" s="37">
        <f>'T4x. THg SE 2010-17'!F49</f>
        <v>61.019038834796334</v>
      </c>
      <c r="AY17">
        <f t="shared" si="13"/>
        <v>1.3003544218345126E-2</v>
      </c>
      <c r="AZ17">
        <f t="shared" si="14"/>
        <v>4.3984087855984616E-3</v>
      </c>
      <c r="BA17">
        <f t="shared" si="15"/>
        <v>0.13191646221735778</v>
      </c>
      <c r="BC17" s="37">
        <f>'T2x. THg loads 2010-17'!J16</f>
        <v>2258.9923446849016</v>
      </c>
      <c r="BD17">
        <f>'T4x. THg SE 2010-17'!J16</f>
        <v>461.37996725490893</v>
      </c>
      <c r="BE17" s="37">
        <f>'T2x. THg loads 2010-17'!J49</f>
        <v>547.29664337525651</v>
      </c>
      <c r="BF17" s="37">
        <f>'T4x. THg SE 2010-17'!J49</f>
        <v>161.49336526760865</v>
      </c>
      <c r="BG17">
        <f t="shared" si="16"/>
        <v>5.1106936745186401E-3</v>
      </c>
      <c r="BH17">
        <f t="shared" si="17"/>
        <v>2.4485219418932933E-3</v>
      </c>
      <c r="BI17">
        <f t="shared" si="18"/>
        <v>8.6943749725968994E-2</v>
      </c>
      <c r="BK17" s="37">
        <f>'T2x. THg loads 2010-17'!K16</f>
        <v>544.59940324856984</v>
      </c>
      <c r="BL17">
        <f>'T4x. THg SE 2010-17'!K16</f>
        <v>110.61174737536948</v>
      </c>
      <c r="BM17" s="37">
        <f>'T2x. THg loads 2010-17'!K49</f>
        <v>135.09289579513344</v>
      </c>
      <c r="BN17">
        <f>'T4x. THg SE 2010-17'!K49</f>
        <v>40.158855876284491</v>
      </c>
      <c r="BO17">
        <f t="shared" si="19"/>
        <v>5.4376135649709242E-3</v>
      </c>
      <c r="BP17">
        <f t="shared" si="20"/>
        <v>2.5383931316164915E-3</v>
      </c>
      <c r="BQ17">
        <f t="shared" si="21"/>
        <v>8.93084917383975E-2</v>
      </c>
      <c r="BT17" s="37">
        <f>'T2x. THg loads 2010-17'!O16</f>
        <v>557.31131726886883</v>
      </c>
      <c r="BU17" s="35">
        <f>'T4x. THg SE 2010-17'!D16+'T4x. THg SE 2010-17'!K16</f>
        <v>112.70121286440815</v>
      </c>
      <c r="BV17" s="37">
        <f>'T2x. THg loads 2010-17'!O49</f>
        <v>144.40030196344966</v>
      </c>
      <c r="BW17" s="37">
        <f>'T4x. THg SE 2010-17'!C49+'T4x. THg SE 2010-17'!K49</f>
        <v>98.171426944529017</v>
      </c>
      <c r="BX17">
        <f t="shared" si="46"/>
        <v>3.1029478924743607E-2</v>
      </c>
      <c r="BY17">
        <f t="shared" si="47"/>
        <v>2.7453766350185689E-3</v>
      </c>
      <c r="BZ17">
        <f t="shared" si="48"/>
        <v>0.18377936652345436</v>
      </c>
    </row>
    <row r="18" spans="1:78" x14ac:dyDescent="0.2">
      <c r="A18" s="2" t="s">
        <v>152</v>
      </c>
      <c r="B18" s="26"/>
      <c r="C18" s="26"/>
      <c r="D18" s="26"/>
      <c r="E18" s="26"/>
      <c r="G18" s="69" t="s">
        <v>153</v>
      </c>
      <c r="I18" s="45">
        <f t="shared" si="1"/>
        <v>8.6943749725968994E-2</v>
      </c>
      <c r="J18" s="56">
        <f>BQ18</f>
        <v>8.9429174787047108E-2</v>
      </c>
      <c r="K18" s="45" t="s">
        <v>32</v>
      </c>
      <c r="L18" s="56" t="s">
        <v>32</v>
      </c>
      <c r="M18" s="58">
        <f t="shared" si="3"/>
        <v>8.8638029345794428E-2</v>
      </c>
      <c r="N18" s="56" t="s">
        <v>32</v>
      </c>
      <c r="R18" s="37"/>
      <c r="T18" s="37"/>
      <c r="BC18" s="37">
        <f>'T2x. THg loads 2010-17'!J17</f>
        <v>2258.9923446849016</v>
      </c>
      <c r="BD18">
        <f>'T4x. THg SE 2010-17'!J17</f>
        <v>461.37996725490893</v>
      </c>
      <c r="BE18" s="37">
        <f>'T2x. THg loads 2010-17'!J50</f>
        <v>547.29664337525639</v>
      </c>
      <c r="BF18" s="37">
        <f>'T4x. THg SE 2010-17'!J50</f>
        <v>161.49336526760865</v>
      </c>
      <c r="BG18">
        <f t="shared" ref="BG18" si="74">((BF18^2)*((1/BC18)^2))</f>
        <v>5.1106936745186401E-3</v>
      </c>
      <c r="BH18">
        <f t="shared" ref="BH18" si="75">((BD18*BD18)*((-BE18/(BC18*BC18))^2))</f>
        <v>2.4485219418932925E-3</v>
      </c>
      <c r="BI18">
        <f t="shared" ref="BI18" si="76">SQRT(BG18+BH18)</f>
        <v>8.6943749725968994E-2</v>
      </c>
      <c r="BK18" s="37">
        <f>'T2x. THg loads 2010-17'!K17</f>
        <v>539.89917037969155</v>
      </c>
      <c r="BL18">
        <f>'T4x. THg SE 2010-17'!K17</f>
        <v>110.26981217392323</v>
      </c>
      <c r="BM18" s="37">
        <f>'T2x. THg loads 2010-17'!K50</f>
        <v>131.23996054018559</v>
      </c>
      <c r="BN18">
        <f>'T4x. THg SE 2010-17'!K50</f>
        <v>40.158855876284491</v>
      </c>
      <c r="BO18">
        <f t="shared" si="19"/>
        <v>5.5327028058724144E-3</v>
      </c>
      <c r="BP18">
        <f t="shared" si="20"/>
        <v>2.4648744972198076E-3</v>
      </c>
      <c r="BQ18">
        <f t="shared" si="21"/>
        <v>8.9429174787047108E-2</v>
      </c>
      <c r="BT18" s="37">
        <f>'T2x. THg loads 2010-17'!O17</f>
        <v>552.61108439999055</v>
      </c>
      <c r="BU18" s="35">
        <f>'T4x. THg SE 2010-17'!D17+'T4x. THg SE 2010-17'!K17</f>
        <v>110.26981217392323</v>
      </c>
      <c r="BV18" s="37">
        <f>'T2x. THg loads 2010-17'!O50</f>
        <v>140.54736670850181</v>
      </c>
      <c r="BW18" s="37">
        <f>'T4x. THg SE 2010-17'!C50+'T4x. THg SE 2010-17'!K50</f>
        <v>40.158855876284491</v>
      </c>
      <c r="BX18">
        <f t="shared" si="46"/>
        <v>5.281088906910732E-3</v>
      </c>
      <c r="BY18">
        <f t="shared" si="47"/>
        <v>2.5756113393951828E-3</v>
      </c>
      <c r="BZ18">
        <f t="shared" si="48"/>
        <v>8.8638029345794428E-2</v>
      </c>
    </row>
    <row r="19" spans="1:78" ht="16" x14ac:dyDescent="0.2">
      <c r="A19" s="1" t="s">
        <v>38</v>
      </c>
      <c r="B19" s="6"/>
      <c r="C19" s="6"/>
      <c r="D19" s="26"/>
      <c r="E19" s="26"/>
      <c r="G19" s="10"/>
      <c r="J19" s="26"/>
      <c r="L19" s="26"/>
      <c r="M19" s="26"/>
      <c r="N19" s="26"/>
    </row>
    <row r="20" spans="1:78" x14ac:dyDescent="0.2">
      <c r="A20" s="2" t="s">
        <v>1</v>
      </c>
      <c r="B20" s="56">
        <f>X20</f>
        <v>0.27525217526342327</v>
      </c>
      <c r="C20" s="45">
        <f>AK20</f>
        <v>0.22048700060559831</v>
      </c>
      <c r="D20" s="58">
        <f>AS20</f>
        <v>0.2735608787099989</v>
      </c>
      <c r="E20" s="58">
        <f>BA20</f>
        <v>0.1850952413745191</v>
      </c>
      <c r="G20" s="10"/>
      <c r="I20" s="45">
        <f>BI20</f>
        <v>9.4446369303071057E-2</v>
      </c>
      <c r="J20" s="56">
        <f>BQ20</f>
        <v>0.11965715314094261</v>
      </c>
      <c r="K20" s="45" t="s">
        <v>32</v>
      </c>
      <c r="L20" s="56" t="s">
        <v>32</v>
      </c>
      <c r="M20" s="58">
        <f t="shared" ref="M20:M29" si="77">BZ20</f>
        <v>6.7017259166859022E-2</v>
      </c>
      <c r="N20" s="56" t="s">
        <v>32</v>
      </c>
      <c r="R20" s="37">
        <f>R9</f>
        <v>16.01172380101201</v>
      </c>
      <c r="S20" s="37">
        <f>S9</f>
        <v>3.9119625202406167</v>
      </c>
      <c r="T20" s="52">
        <f>'T2x. THg loads 2010-17'!C52</f>
        <v>7.6474677251075009</v>
      </c>
      <c r="U20" s="52">
        <f>'T4x. THg SE 2010-17'!C52</f>
        <v>3.9916121429844327</v>
      </c>
      <c r="V20" s="51">
        <f>((U20^2)*((1/R20)^2))</f>
        <v>6.2147045979868629E-2</v>
      </c>
      <c r="W20" s="51">
        <f>((S20*S20)*((-T20/(R20*R20))^2))</f>
        <v>1.3616714007377639E-2</v>
      </c>
      <c r="X20" s="51">
        <f>SQRT(V20+W20)</f>
        <v>0.27525217526342327</v>
      </c>
      <c r="AE20" s="35">
        <f>AE9</f>
        <v>0.65657830170514253</v>
      </c>
      <c r="AF20" s="35">
        <f>AF9</f>
        <v>9.6783629973036966E-2</v>
      </c>
      <c r="AG20" s="35">
        <f>'T2x. THg loads 2010-17'!D52</f>
        <v>0.66272507326374996</v>
      </c>
      <c r="AH20" s="35">
        <f>'T4x. THg SE 2010-17'!D52</f>
        <v>0.106837263389815</v>
      </c>
      <c r="AI20">
        <f>((AH20^2)*((1/AE20)^2))</f>
        <v>2.6477224495711604E-2</v>
      </c>
      <c r="AJ20">
        <f>((AF20*AF20)*((-AG20/(AE20*AE20))^2))</f>
        <v>2.2137292940341505E-2</v>
      </c>
      <c r="AK20">
        <f>SQRT(AI20+AJ20)</f>
        <v>0.22048700060559831</v>
      </c>
      <c r="AM20" s="37">
        <f>AM9</f>
        <v>16.668302102717153</v>
      </c>
      <c r="AN20" s="52">
        <f>AN9</f>
        <v>4.0087461502136534</v>
      </c>
      <c r="AO20" s="52">
        <f>'T2x. THg loads 2010-17'!E52</f>
        <v>8.3101927983712507</v>
      </c>
      <c r="AP20" s="52">
        <f>'T4x. THg SE 2010-17'!E52</f>
        <v>4.0984494063742476</v>
      </c>
      <c r="AQ20">
        <f>((AP20^2)*((1/AM20)^2))</f>
        <v>6.0458369454020722E-2</v>
      </c>
      <c r="AR20">
        <f>((AN20*AN20)*((-AO20/(AM20*AM20))^2))</f>
        <v>1.4377184906566001E-2</v>
      </c>
      <c r="AS20">
        <f>SQRT(AQ20+AR20)</f>
        <v>0.2735608787099989</v>
      </c>
      <c r="AU20" s="37">
        <f>AU9</f>
        <v>18.383019990603373</v>
      </c>
      <c r="AV20" s="52">
        <f>AV9</f>
        <v>3.1470249427831245</v>
      </c>
      <c r="AW20" s="37">
        <f>'T2x. THg loads 2010-17'!F52</f>
        <v>10.598790257536312</v>
      </c>
      <c r="AX20" s="37">
        <f>'T4x. THg SE 2010-17'!F52</f>
        <v>2.8784725723330191</v>
      </c>
      <c r="AY20">
        <f>((AX20^2)*((1/AU20)^2))</f>
        <v>2.4518306640408046E-2</v>
      </c>
      <c r="AZ20">
        <f>((AV20*AV20)*((-AW20/(AU20*AU20))^2))</f>
        <v>9.741941739083439E-3</v>
      </c>
      <c r="BA20">
        <f>SQRT(AY20+AZ20)</f>
        <v>0.1850952413745191</v>
      </c>
      <c r="BC20" s="37">
        <f>BC9</f>
        <v>128.98832071389089</v>
      </c>
      <c r="BD20">
        <f>BD9</f>
        <v>22.327058892311701</v>
      </c>
      <c r="BE20" s="37">
        <f>'T2x. THg loads 2010-17'!J52</f>
        <v>37.788542354575959</v>
      </c>
      <c r="BF20" s="37">
        <f>'T4x. THg SE 2010-17'!J52</f>
        <v>10.277580973463635</v>
      </c>
      <c r="BG20">
        <f>((BF20^2)*((1/BC20)^2))</f>
        <v>6.3486449066342057E-3</v>
      </c>
      <c r="BH20">
        <f>((BD20*BD20)*((-BE20/(BC20*BC20))^2))</f>
        <v>2.5714717678978751E-3</v>
      </c>
      <c r="BI20">
        <f>SQRT(BG20+BH20)</f>
        <v>9.4446369303071057E-2</v>
      </c>
      <c r="BK20" s="37">
        <f>BK9</f>
        <v>32.376068499186609</v>
      </c>
      <c r="BL20">
        <f>BL9</f>
        <v>5.6040917819702374</v>
      </c>
      <c r="BM20" s="37">
        <f>'T2x. THg loads 2010-17'!K52</f>
        <v>12.016756468755155</v>
      </c>
      <c r="BN20">
        <f>'T4x. THg SE 2010-17'!K52</f>
        <v>3.2682707495614358</v>
      </c>
      <c r="BO20">
        <f>((BN20^2)*((1/BK20)^2))</f>
        <v>1.0190320273304829E-2</v>
      </c>
      <c r="BP20">
        <f>((BL20*BL20)*((-BM20/(BK20*BK20))^2))</f>
        <v>4.127514024490163E-3</v>
      </c>
      <c r="BQ20">
        <f>SQRT(BO20+BP20)</f>
        <v>0.11965715314094261</v>
      </c>
      <c r="BT20" s="37">
        <f t="shared" ref="BT20:BU23" si="78">BT9</f>
        <v>33.032646800891754</v>
      </c>
      <c r="BU20" s="37">
        <f t="shared" si="78"/>
        <v>5.7008754119432741</v>
      </c>
      <c r="BV20" s="37">
        <f>'T2x. THg loads 2010-17'!O52</f>
        <v>12.679481542018905</v>
      </c>
      <c r="BW20" s="35">
        <f>'T6x. MeHg loads 2010-17'!D52+'T6x. MeHg loads 2010-17'!K52</f>
        <v>0.33499803403368589</v>
      </c>
      <c r="BX20">
        <f>((BW20^2)*((1/BT20)^2))</f>
        <v>1.0284845433466196E-4</v>
      </c>
      <c r="BY20">
        <f>((BU20*BU20)*((-BV20/(BT20*BT20))^2))</f>
        <v>4.3884645719032885E-3</v>
      </c>
      <c r="BZ20">
        <f>SQRT(BX20+BY20)</f>
        <v>6.7017259166859022E-2</v>
      </c>
    </row>
    <row r="21" spans="1:78" x14ac:dyDescent="0.2">
      <c r="A21" s="2" t="s">
        <v>2</v>
      </c>
      <c r="B21" s="56">
        <f t="shared" ref="B21:B23" si="79">X21</f>
        <v>0.16784411919507186</v>
      </c>
      <c r="C21" s="45">
        <f>AK21</f>
        <v>0.24279112914406559</v>
      </c>
      <c r="D21" s="58">
        <f>AS21</f>
        <v>0.16956704081603227</v>
      </c>
      <c r="E21" s="58">
        <f>BA21</f>
        <v>0.13030719962192638</v>
      </c>
      <c r="G21" s="10"/>
      <c r="I21" s="45">
        <f t="shared" ref="I21:I23" si="80">BI21</f>
        <v>0.13297020181651598</v>
      </c>
      <c r="J21" s="56">
        <f t="shared" ref="J21:J23" si="81">BQ21</f>
        <v>0.17128364979754598</v>
      </c>
      <c r="K21" s="45" t="s">
        <v>32</v>
      </c>
      <c r="L21" s="56" t="s">
        <v>32</v>
      </c>
      <c r="M21" s="58">
        <f t="shared" si="77"/>
        <v>0.10768030187504915</v>
      </c>
      <c r="N21" s="56" t="s">
        <v>32</v>
      </c>
      <c r="R21" s="37">
        <f t="shared" ref="R21:S21" si="82">R10</f>
        <v>100.41489455703709</v>
      </c>
      <c r="S21" s="37">
        <f t="shared" si="82"/>
        <v>22.280447352739976</v>
      </c>
      <c r="T21" s="52">
        <f>'T2x. THg loads 2010-17'!C53</f>
        <v>38.787915945224952</v>
      </c>
      <c r="U21" s="52">
        <f>'T4x. THg SE 2010-17'!C53</f>
        <v>14.490984427736143</v>
      </c>
      <c r="V21" s="51">
        <f t="shared" ref="V21:V23" si="83">((U21^2)*((1/R21)^2))</f>
        <v>2.0825695129081834E-2</v>
      </c>
      <c r="W21" s="51">
        <f t="shared" ref="W21:W23" si="84">((S21*S21)*((-T21/(R21*R21))^2))</f>
        <v>7.345953219287652E-3</v>
      </c>
      <c r="X21" s="51">
        <f t="shared" ref="X21:X23" si="85">SQRT(V21+W21)</f>
        <v>0.16784411919507186</v>
      </c>
      <c r="AE21" s="35">
        <f t="shared" ref="AE21:AF21" si="86">AE10</f>
        <v>1.9523736462700469</v>
      </c>
      <c r="AF21" s="35">
        <f t="shared" si="86"/>
        <v>0.30334243257367577</v>
      </c>
      <c r="AG21" s="35">
        <f>'T2x. THg loads 2010-17'!D53</f>
        <v>2.2795522301922322</v>
      </c>
      <c r="AH21" s="35">
        <f>'T4x. THg SE 2010-17'!D53</f>
        <v>0.31504444386896624</v>
      </c>
      <c r="AI21">
        <f t="shared" ref="AI21:AI23" si="87">((AH21^2)*((1/AE21)^2))</f>
        <v>2.6038608748084092E-2</v>
      </c>
      <c r="AJ21">
        <f t="shared" ref="AJ21:AJ23" si="88">((AF21*AF21)*((-AG21/(AE21*AE21))^2))</f>
        <v>3.2908923642966235E-2</v>
      </c>
      <c r="AK21">
        <f t="shared" ref="AK21:AK23" si="89">SQRT(AI21+AJ21)</f>
        <v>0.24279112914406559</v>
      </c>
      <c r="AM21" s="37">
        <f t="shared" ref="AM21:AN21" si="90">AM10</f>
        <v>102.36726820330713</v>
      </c>
      <c r="AN21" s="52">
        <f t="shared" si="90"/>
        <v>22.583789785313652</v>
      </c>
      <c r="AO21" s="52">
        <f>'T2x. THg loads 2010-17'!E53</f>
        <v>41.067468175417183</v>
      </c>
      <c r="AP21" s="52">
        <f>'T4x. THg SE 2010-17'!E53</f>
        <v>14.806028871605109</v>
      </c>
      <c r="AQ21">
        <f t="shared" ref="AQ21:AQ23" si="91">((AP21^2)*((1/AM21)^2))</f>
        <v>2.0919676112782542E-2</v>
      </c>
      <c r="AR21">
        <f t="shared" ref="AR21:AR23" si="92">((AN21*AN21)*((-AO21/(AM21*AM21))^2))</f>
        <v>7.8333052183234154E-3</v>
      </c>
      <c r="AS21">
        <f t="shared" ref="AS21:AS23" si="93">SQRT(AQ21+AR21)</f>
        <v>0.16956704081603227</v>
      </c>
      <c r="AU21" s="37">
        <f t="shared" ref="AU21:AV21" si="94">AU10</f>
        <v>107.02398919884065</v>
      </c>
      <c r="AV21" s="52">
        <f t="shared" si="94"/>
        <v>17.283509638691385</v>
      </c>
      <c r="AW21" s="37">
        <f>'T2x. THg loads 2010-17'!F53</f>
        <v>41.84703335395033</v>
      </c>
      <c r="AX21" s="37">
        <f>'T4x. THg SE 2010-17'!F53</f>
        <v>12.199213894679856</v>
      </c>
      <c r="AY21">
        <f t="shared" ref="AY21:AY23" si="95">((AX21^2)*((1/AU21)^2))</f>
        <v>1.2992760187511802E-2</v>
      </c>
      <c r="AZ21">
        <f t="shared" ref="AZ21:AZ23" si="96">((AV21*AV21)*((-AW21/(AU21*AU21))^2))</f>
        <v>3.9872060857967699E-3</v>
      </c>
      <c r="BA21">
        <f t="shared" ref="BA21:BA23" si="97">SQRT(AY21+AZ21)</f>
        <v>0.13030719962192638</v>
      </c>
      <c r="BC21" s="37">
        <f t="shared" ref="BC21:BD21" si="98">BC10</f>
        <v>474.80587923990203</v>
      </c>
      <c r="BD21">
        <f t="shared" si="98"/>
        <v>107.27957389764838</v>
      </c>
      <c r="BE21" s="37">
        <f>'T2x. THg loads 2010-17'!J53</f>
        <v>170.55084068407692</v>
      </c>
      <c r="BF21" s="37">
        <f>'T4x. THg SE 2010-17'!J53</f>
        <v>50.010898619829646</v>
      </c>
      <c r="BG21">
        <f t="shared" ref="BG21:BG23" si="99">((BF21^2)*((1/BC21)^2))</f>
        <v>1.1094229371420936E-2</v>
      </c>
      <c r="BH21">
        <f t="shared" ref="BH21:BH23" si="100">((BD21*BD21)*((-BE21/(BC21*BC21))^2))</f>
        <v>6.5868451997040502E-3</v>
      </c>
      <c r="BI21">
        <f t="shared" ref="BI21:BI23" si="101">SQRT(BG21+BH21)</f>
        <v>0.13297020181651598</v>
      </c>
      <c r="BK21" s="37">
        <f t="shared" ref="BK21:BL21" si="102">BK10</f>
        <v>84.040640625462657</v>
      </c>
      <c r="BL21">
        <f t="shared" si="102"/>
        <v>18.988484579883764</v>
      </c>
      <c r="BM21" s="37">
        <f>'T2x. THg loads 2010-17'!K53</f>
        <v>38.885591675969536</v>
      </c>
      <c r="BN21">
        <f>'T4x. THg SE 2010-17'!K53</f>
        <v>11.402484885321158</v>
      </c>
      <c r="BO21">
        <f t="shared" ref="BO21:BO23" si="103">((BN21^2)*((1/BK21)^2))</f>
        <v>1.8408580537008706E-2</v>
      </c>
      <c r="BP21">
        <f t="shared" ref="BP21:BP23" si="104">((BL21*BL21)*((-BM21/(BK21*BK21))^2))</f>
        <v>1.0929508150959671E-2</v>
      </c>
      <c r="BQ21">
        <f t="shared" ref="BQ21:BQ23" si="105">SQRT(BO21+BP21)</f>
        <v>0.17128364979754598</v>
      </c>
      <c r="BT21" s="37">
        <f t="shared" si="78"/>
        <v>85.993014271732704</v>
      </c>
      <c r="BU21" s="37">
        <f t="shared" si="78"/>
        <v>19.291827012457439</v>
      </c>
      <c r="BV21" s="37">
        <f>'T2x. THg loads 2010-17'!O53</f>
        <v>41.165143906161767</v>
      </c>
      <c r="BW21" s="35">
        <f>'T6x. MeHg loads 2010-17'!D53+'T6x. MeHg loads 2010-17'!K53</f>
        <v>0.67577029726983906</v>
      </c>
      <c r="BX21">
        <f t="shared" ref="BX21:BX23" si="106">((BW21^2)*((1/BT21)^2))</f>
        <v>6.1754961200585995E-5</v>
      </c>
      <c r="BY21">
        <f t="shared" ref="BY21:BY23" si="107">((BU21*BU21)*((-BV21/(BT21*BT21))^2))</f>
        <v>1.1533292450701128E-2</v>
      </c>
      <c r="BZ21">
        <f t="shared" ref="BZ21:BZ23" si="108">SQRT(BX21+BY21)</f>
        <v>0.10768030187504915</v>
      </c>
    </row>
    <row r="22" spans="1:78" x14ac:dyDescent="0.2">
      <c r="A22" s="2" t="s">
        <v>3</v>
      </c>
      <c r="B22" s="56">
        <f t="shared" si="79"/>
        <v>0.18851335239817305</v>
      </c>
      <c r="C22" s="45">
        <f>AK22</f>
        <v>9.9865615879631928E-2</v>
      </c>
      <c r="D22" s="58">
        <f>AS22</f>
        <v>0.17784045984122843</v>
      </c>
      <c r="E22" s="58">
        <f>BA22</f>
        <v>0.10300660337416384</v>
      </c>
      <c r="G22" s="10"/>
      <c r="I22" s="45">
        <f t="shared" si="80"/>
        <v>0.1646215260677123</v>
      </c>
      <c r="J22" s="56">
        <f t="shared" si="81"/>
        <v>0.22119031301762118</v>
      </c>
      <c r="K22" s="45" t="s">
        <v>32</v>
      </c>
      <c r="L22" s="56" t="s">
        <v>32</v>
      </c>
      <c r="M22" s="58">
        <f t="shared" si="77"/>
        <v>0.10843689652048427</v>
      </c>
      <c r="N22" s="56" t="s">
        <v>32</v>
      </c>
      <c r="R22" s="37">
        <f t="shared" ref="R22:S22" si="109">R11</f>
        <v>0.95755870451857517</v>
      </c>
      <c r="S22" s="37">
        <f t="shared" si="109"/>
        <v>0.12213732449573871</v>
      </c>
      <c r="T22" s="52">
        <f>'T2x. THg loads 2010-17'!C54</f>
        <v>0.44001538640840737</v>
      </c>
      <c r="U22" s="52">
        <f>'T4x. THg SE 2010-17'!C54</f>
        <v>0.17156591567285223</v>
      </c>
      <c r="V22" s="51">
        <f t="shared" si="83"/>
        <v>3.2101934773802715E-2</v>
      </c>
      <c r="W22" s="51">
        <f t="shared" si="84"/>
        <v>3.4353492585950567E-3</v>
      </c>
      <c r="X22" s="51">
        <f t="shared" si="85"/>
        <v>0.18851335239817305</v>
      </c>
      <c r="AE22" s="35">
        <f t="shared" ref="AE22:AF22" si="110">AE11</f>
        <v>0.12053998124932591</v>
      </c>
      <c r="AF22" s="35">
        <f t="shared" si="110"/>
        <v>1.3148749015942596E-2</v>
      </c>
      <c r="AG22" s="35">
        <f>'T2x. THg loads 2010-17'!D54</f>
        <v>7.2898483398161046E-2</v>
      </c>
      <c r="AH22" s="35">
        <f>'T4x. THg SE 2010-17'!D54</f>
        <v>9.0374576332739251E-3</v>
      </c>
      <c r="AI22">
        <f t="shared" si="87"/>
        <v>5.6212164640950515E-3</v>
      </c>
      <c r="AJ22">
        <f t="shared" si="88"/>
        <v>4.3519247709231414E-3</v>
      </c>
      <c r="AK22">
        <f t="shared" si="89"/>
        <v>9.9865615879631928E-2</v>
      </c>
      <c r="AM22" s="37">
        <f t="shared" ref="AM22:AN22" si="111">AM11</f>
        <v>1.0780986857679011</v>
      </c>
      <c r="AN22" s="52">
        <f t="shared" si="111"/>
        <v>0.13528607351168132</v>
      </c>
      <c r="AO22" s="52">
        <f>'T2x. THg loads 2010-17'!E54</f>
        <v>0.51291386980656839</v>
      </c>
      <c r="AP22" s="52">
        <f>'T4x. THg SE 2010-17'!E54</f>
        <v>0.18060337330612616</v>
      </c>
      <c r="AQ22">
        <f t="shared" si="91"/>
        <v>2.8063037871156073E-2</v>
      </c>
      <c r="AR22">
        <f t="shared" si="92"/>
        <v>3.5641912853835067E-3</v>
      </c>
      <c r="AS22">
        <f t="shared" si="93"/>
        <v>0.17784045984122843</v>
      </c>
      <c r="AU22" s="37">
        <f t="shared" ref="AU22:AV22" si="112">AU11</f>
        <v>1.1811112117029507</v>
      </c>
      <c r="AV22" s="52">
        <f t="shared" si="112"/>
        <v>0.11856821988601675</v>
      </c>
      <c r="AW22" s="37">
        <f>'T2x. THg loads 2010-17'!F54</f>
        <v>0.42579819646173178</v>
      </c>
      <c r="AX22" s="37">
        <f>'T4x. THg SE 2010-17'!F54</f>
        <v>0.1139061134390404</v>
      </c>
      <c r="AY22">
        <f t="shared" si="95"/>
        <v>9.3006324772648957E-3</v>
      </c>
      <c r="AZ22">
        <f t="shared" si="96"/>
        <v>1.3097278614174061E-3</v>
      </c>
      <c r="BA22">
        <f t="shared" si="97"/>
        <v>0.10300660337416384</v>
      </c>
      <c r="BC22" s="37">
        <f t="shared" ref="BC22:BD22" si="113">BC11</f>
        <v>3.235526728183558</v>
      </c>
      <c r="BD22">
        <f t="shared" si="113"/>
        <v>0.51232322347670534</v>
      </c>
      <c r="BE22" s="37">
        <f>'T2x. THg loads 2010-17'!J54</f>
        <v>1.7329582552555267</v>
      </c>
      <c r="BF22" s="37">
        <f>'T4x. THg SE 2010-17'!J54</f>
        <v>0.45651520037337995</v>
      </c>
      <c r="BG22">
        <f t="shared" si="99"/>
        <v>1.9907673142751318E-2</v>
      </c>
      <c r="BH22">
        <f t="shared" si="100"/>
        <v>7.1925737021111581E-3</v>
      </c>
      <c r="BI22">
        <f t="shared" si="101"/>
        <v>0.1646215260677123</v>
      </c>
      <c r="BK22" s="37">
        <f t="shared" ref="BK22:BL22" si="114">BK11</f>
        <v>0.83800142259954158</v>
      </c>
      <c r="BL22">
        <f t="shared" si="114"/>
        <v>0.13269171488046669</v>
      </c>
      <c r="BM22" s="37">
        <f>'T2x. THg loads 2010-17'!K54</f>
        <v>0.60306947282892331</v>
      </c>
      <c r="BN22">
        <f>'T4x. THg SE 2010-17'!K54</f>
        <v>0.15886728972993625</v>
      </c>
      <c r="BO22">
        <f t="shared" si="103"/>
        <v>3.5940114910030511E-2</v>
      </c>
      <c r="BP22">
        <f t="shared" si="104"/>
        <v>1.2985039662802726E-2</v>
      </c>
      <c r="BQ22">
        <f t="shared" si="105"/>
        <v>0.22119031301762118</v>
      </c>
      <c r="BT22" s="37">
        <f t="shared" si="78"/>
        <v>0.95854140384886755</v>
      </c>
      <c r="BU22" s="37">
        <f t="shared" si="78"/>
        <v>0.14584046389640928</v>
      </c>
      <c r="BV22" s="37">
        <f>'T2x. THg loads 2010-17'!O54</f>
        <v>0.67596795622708439</v>
      </c>
      <c r="BW22" s="35">
        <f>'T6x. MeHg loads 2010-17'!D54+'T6x. MeHg loads 2010-17'!K54</f>
        <v>1.5039918198473062E-2</v>
      </c>
      <c r="BX22">
        <f t="shared" si="106"/>
        <v>2.4618931201345111E-4</v>
      </c>
      <c r="BY22">
        <f t="shared" si="107"/>
        <v>1.1512371214980765E-2</v>
      </c>
      <c r="BZ22">
        <f t="shared" si="108"/>
        <v>0.10843689652048427</v>
      </c>
    </row>
    <row r="23" spans="1:78" x14ac:dyDescent="0.2">
      <c r="A23" s="2" t="s">
        <v>4</v>
      </c>
      <c r="B23" s="56">
        <f t="shared" si="79"/>
        <v>0.21318623718766164</v>
      </c>
      <c r="C23" s="45">
        <f>AK23</f>
        <v>0.19047161235926033</v>
      </c>
      <c r="D23" s="58">
        <f>AS23</f>
        <v>0.212183468304181</v>
      </c>
      <c r="E23" s="58">
        <f>BA23</f>
        <v>0.177412707935483</v>
      </c>
      <c r="G23" s="10"/>
      <c r="I23" s="45">
        <f t="shared" si="80"/>
        <v>0.19232535984673452</v>
      </c>
      <c r="J23" s="56">
        <f t="shared" si="81"/>
        <v>0.1953422282364872</v>
      </c>
      <c r="K23" s="45" t="s">
        <v>32</v>
      </c>
      <c r="L23" s="56" t="s">
        <v>32</v>
      </c>
      <c r="M23" s="58">
        <f t="shared" si="77"/>
        <v>0.11947326214526177</v>
      </c>
      <c r="N23" s="56" t="s">
        <v>32</v>
      </c>
      <c r="R23" s="37">
        <f>R12</f>
        <v>20.89621856548095</v>
      </c>
      <c r="S23" s="37">
        <f>S12</f>
        <v>3.6673144880276829</v>
      </c>
      <c r="T23" s="52">
        <f>'T2x. THg loads 2010-17'!C55</f>
        <v>10.995939291916669</v>
      </c>
      <c r="U23" s="52">
        <f>'T4x. THg SE 2010-17'!C55</f>
        <v>4.0150944974036502</v>
      </c>
      <c r="V23" s="51">
        <f t="shared" si="83"/>
        <v>3.6919527808505513E-2</v>
      </c>
      <c r="W23" s="51">
        <f t="shared" si="84"/>
        <v>8.5288439177284084E-3</v>
      </c>
      <c r="X23" s="51">
        <f t="shared" si="85"/>
        <v>0.21318623718766164</v>
      </c>
      <c r="AE23" s="35">
        <f>AE12</f>
        <v>1.0672028771890236</v>
      </c>
      <c r="AF23" s="35">
        <f>AF12</f>
        <v>0.13235482492964201</v>
      </c>
      <c r="AG23" s="35">
        <f>'T2x. THg loads 2010-17'!D55</f>
        <v>1.1571544905979603</v>
      </c>
      <c r="AH23" s="35">
        <f>'T4x. THg SE 2010-17'!D55</f>
        <v>0.1439588103059419</v>
      </c>
      <c r="AI23">
        <f t="shared" si="87"/>
        <v>1.8196276311254034E-2</v>
      </c>
      <c r="AJ23">
        <f t="shared" si="88"/>
        <v>1.80831588034823E-2</v>
      </c>
      <c r="AK23">
        <f t="shared" si="89"/>
        <v>0.19047161235926033</v>
      </c>
      <c r="AM23" s="37">
        <f>AM12</f>
        <v>21.963421442669976</v>
      </c>
      <c r="AN23" s="52">
        <f>AN12</f>
        <v>3.7996693129573247</v>
      </c>
      <c r="AO23" s="52">
        <f>'T2x. THg loads 2010-17'!E55</f>
        <v>12.153093782514629</v>
      </c>
      <c r="AP23" s="52">
        <f>'T4x. THg SE 2010-17'!E55</f>
        <v>4.1590533077095921</v>
      </c>
      <c r="AQ23">
        <f t="shared" si="91"/>
        <v>3.5858241153889615E-2</v>
      </c>
      <c r="AR23">
        <f t="shared" si="92"/>
        <v>9.1635830677017673E-3</v>
      </c>
      <c r="AS23">
        <f t="shared" si="93"/>
        <v>0.212183468304181</v>
      </c>
      <c r="AU23" s="37">
        <f>AU12</f>
        <v>22.193108998148762</v>
      </c>
      <c r="AV23" s="52">
        <f>AV12</f>
        <v>3.1526127315406898</v>
      </c>
      <c r="AW23" s="37">
        <f>'T2x. THg loads 2010-17'!F55</f>
        <v>12.131185620468816</v>
      </c>
      <c r="AX23" s="37">
        <f>'T4x. THg SE 2010-17'!F55</f>
        <v>3.5401907494985858</v>
      </c>
      <c r="AY23">
        <f t="shared" si="95"/>
        <v>2.5445854152102397E-2</v>
      </c>
      <c r="AZ23">
        <f t="shared" si="96"/>
        <v>6.0294147848985935E-3</v>
      </c>
      <c r="BA23">
        <f t="shared" si="97"/>
        <v>0.177412707935483</v>
      </c>
      <c r="BC23" s="37">
        <f>BC12</f>
        <v>118.50815675827299</v>
      </c>
      <c r="BD23">
        <f>BD12</f>
        <v>25.351281027735499</v>
      </c>
      <c r="BE23" s="37">
        <f>'T2x. THg loads 2010-17'!J55</f>
        <v>63.869306764496514</v>
      </c>
      <c r="BF23" s="37">
        <f>'T4x. THg SE 2010-17'!J55</f>
        <v>18.242950242935695</v>
      </c>
      <c r="BG23">
        <f t="shared" si="99"/>
        <v>2.3697015938521318E-2</v>
      </c>
      <c r="BH23">
        <f t="shared" si="100"/>
        <v>1.3292028101654595E-2</v>
      </c>
      <c r="BI23">
        <f t="shared" si="101"/>
        <v>0.19232535984673452</v>
      </c>
      <c r="BK23" s="37">
        <f>BK12</f>
        <v>30.219579973359611</v>
      </c>
      <c r="BL23">
        <f>BL12</f>
        <v>6.4645766620725524</v>
      </c>
      <c r="BM23" s="37">
        <f>'T2x. THg loads 2010-17'!K55</f>
        <v>16.542150452004595</v>
      </c>
      <c r="BN23">
        <f>'T4x. THg SE 2010-17'!K55</f>
        <v>4.7249241129203448</v>
      </c>
      <c r="BO23">
        <f t="shared" si="103"/>
        <v>2.4446282601644723E-2</v>
      </c>
      <c r="BP23">
        <f t="shared" si="104"/>
        <v>1.3712303530751131E-2</v>
      </c>
      <c r="BQ23">
        <f t="shared" si="105"/>
        <v>0.1953422282364872</v>
      </c>
      <c r="BT23" s="37">
        <f t="shared" si="78"/>
        <v>31.286782850548633</v>
      </c>
      <c r="BU23" s="37">
        <f t="shared" si="78"/>
        <v>6.5969314870021947</v>
      </c>
      <c r="BV23" s="37">
        <f>'T2x. THg loads 2010-17'!O55</f>
        <v>17.699304942602556</v>
      </c>
      <c r="BW23" s="35">
        <f>'T6x. MeHg loads 2010-17'!D55+'T6x. MeHg loads 2010-17'!K55</f>
        <v>0.21120166405079416</v>
      </c>
      <c r="BX23">
        <f t="shared" si="106"/>
        <v>4.5569352270187098E-5</v>
      </c>
      <c r="BY23">
        <f t="shared" si="107"/>
        <v>1.4228291015360254E-2</v>
      </c>
      <c r="BZ23">
        <f t="shared" si="108"/>
        <v>0.11947326214526177</v>
      </c>
    </row>
    <row r="24" spans="1:78" x14ac:dyDescent="0.2">
      <c r="A24" s="2" t="s">
        <v>5</v>
      </c>
      <c r="B24" s="56" t="s">
        <v>32</v>
      </c>
      <c r="C24" s="45" t="s">
        <v>32</v>
      </c>
      <c r="D24" s="58" t="s">
        <v>32</v>
      </c>
      <c r="E24" s="58" t="s">
        <v>32</v>
      </c>
      <c r="G24" s="10"/>
      <c r="I24" s="45" t="s">
        <v>32</v>
      </c>
      <c r="J24" s="56" t="s">
        <v>32</v>
      </c>
      <c r="K24" s="45" t="s">
        <v>32</v>
      </c>
      <c r="L24" s="56" t="s">
        <v>32</v>
      </c>
      <c r="M24" s="58" t="s">
        <v>32</v>
      </c>
      <c r="N24" s="56" t="s">
        <v>32</v>
      </c>
      <c r="R24" s="37"/>
      <c r="S24" s="37"/>
      <c r="T24" s="52"/>
      <c r="U24" s="52"/>
      <c r="V24" s="51"/>
      <c r="W24" s="51"/>
      <c r="X24" s="51"/>
      <c r="AE24" s="35"/>
      <c r="AF24" s="35"/>
      <c r="AG24" s="35"/>
      <c r="AH24" s="35"/>
      <c r="AM24" s="37"/>
      <c r="AN24" s="52"/>
      <c r="AO24" s="52"/>
      <c r="AP24" s="52"/>
      <c r="AU24" s="37"/>
      <c r="AV24" s="52"/>
      <c r="AW24" s="37"/>
      <c r="AX24" s="37"/>
      <c r="BC24" s="37"/>
      <c r="BE24" s="37"/>
      <c r="BF24" s="37"/>
      <c r="BK24" s="37"/>
      <c r="BM24" s="37"/>
      <c r="BT24" s="37"/>
      <c r="BU24" s="37"/>
      <c r="BV24" s="37"/>
      <c r="BW24" s="35"/>
    </row>
    <row r="25" spans="1:78" x14ac:dyDescent="0.2">
      <c r="A25" s="2" t="s">
        <v>97</v>
      </c>
      <c r="B25" s="56">
        <f t="shared" ref="B25" si="115">X25</f>
        <v>0.26772077710324427</v>
      </c>
      <c r="C25" s="45">
        <f>AK25</f>
        <v>0.29160617390032306</v>
      </c>
      <c r="D25" s="58">
        <f>AS25</f>
        <v>0.26935880995047601</v>
      </c>
      <c r="E25" s="58">
        <f>BA25</f>
        <v>0.24079125468662543</v>
      </c>
      <c r="G25" s="10"/>
      <c r="I25" s="45">
        <f t="shared" ref="I25" si="116">BI25</f>
        <v>0.24404651979817274</v>
      </c>
      <c r="J25" s="56">
        <f t="shared" ref="J25" si="117">BQ25</f>
        <v>0.26553489261059049</v>
      </c>
      <c r="K25" s="45" t="s">
        <v>32</v>
      </c>
      <c r="L25" s="56" t="s">
        <v>32</v>
      </c>
      <c r="M25" s="58">
        <f t="shared" si="77"/>
        <v>0.15260928619813374</v>
      </c>
      <c r="N25" s="56" t="s">
        <v>32</v>
      </c>
      <c r="R25" s="37">
        <f>R14</f>
        <v>40.786946415908169</v>
      </c>
      <c r="S25" s="37">
        <f>S14</f>
        <v>10.9729570190862</v>
      </c>
      <c r="T25" s="52">
        <f>'T2x. THg loads 2010-17'!C57</f>
        <v>23.654420384282929</v>
      </c>
      <c r="U25" s="52">
        <f>'T4x. THg SE 2010-17'!C57</f>
        <v>8.8734511524263837</v>
      </c>
      <c r="V25" s="51">
        <f t="shared" ref="V25" si="118">((U25^2)*((1/R25)^2))</f>
        <v>4.7330679682175157E-2</v>
      </c>
      <c r="W25" s="51">
        <f t="shared" ref="W25" si="119">((S25*S25)*((-T25/(R25*R25))^2))</f>
        <v>2.4343734810589841E-2</v>
      </c>
      <c r="X25" s="51">
        <f t="shared" ref="X25" si="120">SQRT(V25+W25)</f>
        <v>0.26772077710324427</v>
      </c>
      <c r="AE25" s="35">
        <f>AE14</f>
        <v>1.1520123644249451</v>
      </c>
      <c r="AF25" s="35">
        <f>AF14</f>
        <v>0.19181892763576536</v>
      </c>
      <c r="AG25" s="35">
        <f>'T2x. THg loads 2010-17'!D57</f>
        <v>1.4808772099067145</v>
      </c>
      <c r="AH25" s="35">
        <f>'T4x. THg SE 2010-17'!D57</f>
        <v>0.22814722277273278</v>
      </c>
      <c r="AI25">
        <f t="shared" ref="AI25" si="121">((AH25^2)*((1/AE25)^2))</f>
        <v>3.9220767887062392E-2</v>
      </c>
      <c r="AJ25">
        <f t="shared" ref="AJ25" si="122">((AF25*AF25)*((-AG25/(AE25*AE25))^2))</f>
        <v>4.5813392769723064E-2</v>
      </c>
      <c r="AK25">
        <f t="shared" ref="AK25" si="123">SQRT(AI25+AJ25)</f>
        <v>0.29160617390032306</v>
      </c>
      <c r="AM25" s="37">
        <f>AM14</f>
        <v>41.938958780333117</v>
      </c>
      <c r="AN25" s="52">
        <f>AN14</f>
        <v>11.164775946721965</v>
      </c>
      <c r="AO25" s="52">
        <f>'T2x. THg loads 2010-17'!E57</f>
        <v>25.135297594189645</v>
      </c>
      <c r="AP25" s="52">
        <f>'T4x. THg SE 2010-17'!E57</f>
        <v>9.1015983751991172</v>
      </c>
      <c r="AQ25">
        <f t="shared" ref="AQ25" si="124">((AP25^2)*((1/AM25)^2))</f>
        <v>4.7097737742442934E-2</v>
      </c>
      <c r="AR25">
        <f t="shared" ref="AR25" si="125">((AN25*AN25)*((-AO25/(AM25*AM25))^2))</f>
        <v>2.5456430755493701E-2</v>
      </c>
      <c r="AS25">
        <f t="shared" ref="AS25" si="126">SQRT(AQ25+AR25)</f>
        <v>0.26935880995047601</v>
      </c>
      <c r="AU25" s="37">
        <f>AU14</f>
        <v>39.547543136700774</v>
      </c>
      <c r="AV25" s="52">
        <f>AV14</f>
        <v>9.037203422501479</v>
      </c>
      <c r="AW25" s="37">
        <f>'T2x. THg loads 2010-17'!F57</f>
        <v>24.763856480772123</v>
      </c>
      <c r="AX25" s="37">
        <f>'T4x. THg SE 2010-17'!F57</f>
        <v>7.6588899357709295</v>
      </c>
      <c r="AY25">
        <f t="shared" ref="AY25" si="127">((AX25^2)*((1/AU25)^2))</f>
        <v>3.750529967990366E-2</v>
      </c>
      <c r="AZ25">
        <f t="shared" ref="AZ25" si="128">((AV25*AV25)*((-AW25/(AU25*AU25))^2))</f>
        <v>2.0475128653655653E-2</v>
      </c>
      <c r="BA25">
        <f t="shared" ref="BA25" si="129">SQRT(AY25+AZ25)</f>
        <v>0.24079125468662543</v>
      </c>
      <c r="BC25" s="37">
        <f>BC14</f>
        <v>131.35701456257331</v>
      </c>
      <c r="BD25">
        <f>BD14</f>
        <v>31.892775586674372</v>
      </c>
      <c r="BE25" s="37">
        <f>'T2x. THg loads 2010-17'!J57</f>
        <v>74.348014729203882</v>
      </c>
      <c r="BF25" s="37">
        <f>'T4x. THg SE 2010-17'!J57</f>
        <v>26.491813021051662</v>
      </c>
      <c r="BG25">
        <f t="shared" ref="BG25" si="130">((BF25^2)*((1/BC25)^2))</f>
        <v>4.067399430620474E-2</v>
      </c>
      <c r="BH25">
        <f t="shared" ref="BH25" si="131">((BD25*BD25)*((-BE25/(BC25*BC25))^2))</f>
        <v>1.8884709519395179E-2</v>
      </c>
      <c r="BI25">
        <f t="shared" ref="BI25" si="132">SQRT(BG25+BH25)</f>
        <v>0.24404651979817274</v>
      </c>
      <c r="BK25" s="37">
        <f>BK14</f>
        <v>41.771530630898312</v>
      </c>
      <c r="BL25">
        <f>BL14</f>
        <v>10.141902636562451</v>
      </c>
      <c r="BM25" s="37">
        <f>'T2x. THg loads 2010-17'!K57</f>
        <v>25.724413096304541</v>
      </c>
      <c r="BN25">
        <f>'T4x. THg SE 2010-17'!K57</f>
        <v>9.1661673052838761</v>
      </c>
      <c r="BO25">
        <f t="shared" ref="BO25" si="133">((BN25^2)*((1/BK25)^2))</f>
        <v>4.8152049981820412E-2</v>
      </c>
      <c r="BP25">
        <f t="shared" ref="BP25" si="134">((BL25*BL25)*((-BM25/(BK25*BK25))^2))</f>
        <v>2.2356729211897412E-2</v>
      </c>
      <c r="BQ25">
        <f t="shared" ref="BQ25" si="135">SQRT(BO25+BP25)</f>
        <v>0.26553489261059049</v>
      </c>
      <c r="BT25" s="37">
        <f>BT14</f>
        <v>42.92354299532326</v>
      </c>
      <c r="BU25" s="37">
        <f>BU14</f>
        <v>10.333721564198216</v>
      </c>
      <c r="BV25" s="37">
        <f>'T2x. THg loads 2010-17'!O57</f>
        <v>27.205290306211257</v>
      </c>
      <c r="BW25" s="35">
        <f>'T6x. MeHg loads 2010-17'!D57+'T6x. MeHg loads 2010-17'!K57</f>
        <v>0.11064792690164814</v>
      </c>
      <c r="BX25">
        <f t="shared" ref="BX25:BX29" si="136">((BW25^2)*((1/BT25)^2))</f>
        <v>6.645006929756076E-6</v>
      </c>
      <c r="BY25">
        <f t="shared" ref="BY25:BY29" si="137">((BU25*BU25)*((-BV25/(BT25*BT25))^2))</f>
        <v>2.3282949226974138E-2</v>
      </c>
      <c r="BZ25">
        <f t="shared" ref="BZ25:BZ29" si="138">SQRT(BX25+BY25)</f>
        <v>0.15260928619813374</v>
      </c>
    </row>
    <row r="26" spans="1:78" x14ac:dyDescent="0.2">
      <c r="A26" s="2" t="s">
        <v>105</v>
      </c>
      <c r="B26" s="56">
        <f t="shared" ref="B26:B27" si="139">X26</f>
        <v>7.0300969346330039E-2</v>
      </c>
      <c r="C26" s="45">
        <f t="shared" ref="C26:C27" si="140">AK26</f>
        <v>0.25051173634335361</v>
      </c>
      <c r="D26" s="58">
        <f t="shared" ref="D26:D27" si="141">AS26</f>
        <v>7.5425593903998236E-2</v>
      </c>
      <c r="E26" s="58">
        <f t="shared" ref="E26:E27" si="142">BA26</f>
        <v>0.11260001632927565</v>
      </c>
      <c r="G26" s="10"/>
      <c r="I26" s="45">
        <f t="shared" ref="I26:I27" si="143">BI26</f>
        <v>9.2296238704577482E-2</v>
      </c>
      <c r="J26" s="56">
        <f t="shared" ref="J26:J27" si="144">BQ26</f>
        <v>0.11022807936718111</v>
      </c>
      <c r="K26" s="45" t="s">
        <v>32</v>
      </c>
      <c r="L26" s="56" t="s">
        <v>32</v>
      </c>
      <c r="M26" s="58">
        <f t="shared" ref="M26:M27" si="145">BZ26</f>
        <v>0</v>
      </c>
      <c r="N26" s="56" t="s">
        <v>32</v>
      </c>
      <c r="R26" s="37">
        <f t="shared" ref="R26:S26" si="146">R15</f>
        <v>33.5</v>
      </c>
      <c r="S26" s="37">
        <f t="shared" si="146"/>
        <v>7</v>
      </c>
      <c r="T26" s="52">
        <f>'T2x. THg loads 2010-17'!C58</f>
        <v>7.8</v>
      </c>
      <c r="U26" s="52">
        <f>'T4x. THg SE 2010-17'!C58</f>
        <v>1.7</v>
      </c>
      <c r="V26" s="51">
        <f t="shared" ref="V26:V27" si="147">((U26^2)*((1/R26)^2))</f>
        <v>2.5751837825796387E-3</v>
      </c>
      <c r="W26" s="51">
        <f t="shared" ref="W26:W27" si="148">((S26*S26)*((-T26/(R26*R26))^2))</f>
        <v>2.3670425084539965E-3</v>
      </c>
      <c r="X26" s="51">
        <f t="shared" ref="X26:X27" si="149">SQRT(V26+W26)</f>
        <v>7.0300969346330039E-2</v>
      </c>
      <c r="AE26" s="35">
        <f t="shared" ref="AE26:AF26" si="150">AE15</f>
        <v>0.88</v>
      </c>
      <c r="AF26" s="35">
        <f t="shared" si="150"/>
        <v>0.14000000000000001</v>
      </c>
      <c r="AG26" s="35">
        <f>'T2x. THg loads 2010-17'!D58</f>
        <v>0.8</v>
      </c>
      <c r="AH26" s="35">
        <f>'T4x. THg SE 2010-17'!D58</f>
        <v>0.18</v>
      </c>
      <c r="AI26">
        <f t="shared" ref="AI26:AI27" si="151">((AH26^2)*((1/AE26)^2))</f>
        <v>4.1838842975206618E-2</v>
      </c>
      <c r="AJ26">
        <f t="shared" ref="AJ26:AJ27" si="152">((AF26*AF26)*((-AG26/(AE26*AE26))^2))</f>
        <v>2.0917287070555297E-2</v>
      </c>
      <c r="AK26">
        <f t="shared" ref="AK26:AK27" si="153">SQRT(AI26+AJ26)</f>
        <v>0.25051173634335361</v>
      </c>
      <c r="AM26" s="37">
        <f t="shared" ref="AM26:AN26" si="154">AM15</f>
        <v>34.380000000000003</v>
      </c>
      <c r="AN26" s="52">
        <f t="shared" si="154"/>
        <v>7.14</v>
      </c>
      <c r="AO26" s="52">
        <f>'T2x. THg loads 2010-17'!E58</f>
        <v>8.6</v>
      </c>
      <c r="AP26" s="52">
        <f>'T4x. THg SE 2010-17'!E58</f>
        <v>1.88</v>
      </c>
      <c r="AQ26">
        <f t="shared" ref="AQ26:AQ27" si="155">((AP26^2)*((1/AM26)^2))</f>
        <v>2.9902255901177702E-3</v>
      </c>
      <c r="AR26">
        <f t="shared" ref="AR26:AR27" si="156">((AN26*AN26)*((-AO26/(AM26*AM26))^2))</f>
        <v>2.6987946256530858E-3</v>
      </c>
      <c r="AS26">
        <f t="shared" ref="AS26:AS27" si="157">SQRT(AQ26+AR26)</f>
        <v>7.5425593903998236E-2</v>
      </c>
      <c r="AU26" s="37">
        <f t="shared" ref="AU26:AV26" si="158">AU15</f>
        <v>34.6</v>
      </c>
      <c r="AV26" s="52">
        <f t="shared" si="158"/>
        <v>7.2</v>
      </c>
      <c r="AW26" s="37">
        <f>'T2x. THg loads 2010-17'!F58</f>
        <v>11.34</v>
      </c>
      <c r="AX26" s="37">
        <f>'T4x. THg SE 2010-17'!F58</f>
        <v>3.1</v>
      </c>
      <c r="AY26">
        <f t="shared" ref="AY26:AY27" si="159">((AX26^2)*((1/AU26)^2))</f>
        <v>8.0273313508637117E-3</v>
      </c>
      <c r="AZ26">
        <f t="shared" ref="AZ26:AZ27" si="160">((AV26*AV26)*((-AW26/(AU26*AU26))^2))</f>
        <v>4.6514323264894289E-3</v>
      </c>
      <c r="BA26">
        <f t="shared" ref="BA26:BA27" si="161">SQRT(AY26+AZ26)</f>
        <v>0.11260001632927565</v>
      </c>
      <c r="BC26" s="37">
        <f t="shared" ref="BC26:BD26" si="162">BC15</f>
        <v>180</v>
      </c>
      <c r="BD26">
        <f t="shared" si="162"/>
        <v>37</v>
      </c>
      <c r="BE26" s="37">
        <f>'T2x. THg loads 2010-17'!J58</f>
        <v>45</v>
      </c>
      <c r="BF26" s="37">
        <f>'T4x. THg SE 2010-17'!J58</f>
        <v>13.8</v>
      </c>
      <c r="BG26">
        <f t="shared" ref="BG26:BG27" si="163">((BF26^2)*((1/BC26)^2))</f>
        <v>5.8777777777777786E-3</v>
      </c>
      <c r="BH26">
        <f t="shared" ref="BH26:BH27" si="164">((BD26*BD26)*((-BE26/(BC26*BC26))^2))</f>
        <v>2.640817901234568E-3</v>
      </c>
      <c r="BI26">
        <f t="shared" ref="BI26:BI27" si="165">SQRT(BG26+BH26)</f>
        <v>9.2296238704577482E-2</v>
      </c>
      <c r="BK26" s="37">
        <f t="shared" ref="BK26:BL26" si="166">BK15</f>
        <v>31.5</v>
      </c>
      <c r="BL26">
        <f t="shared" si="166"/>
        <v>6.4749999999999996</v>
      </c>
      <c r="BM26" s="37">
        <f>'T2x. THg loads 2010-17'!K58</f>
        <v>9.4049999999999994</v>
      </c>
      <c r="BN26">
        <f>'T4x. THg SE 2010-17'!K58</f>
        <v>2.8842000000000003</v>
      </c>
      <c r="BO26">
        <f t="shared" ref="BO26:BO27" si="167">((BN26^2)*((1/BK26)^2))</f>
        <v>8.3835824036281193E-3</v>
      </c>
      <c r="BP26">
        <f t="shared" ref="BP26:BP27" si="168">((BL26*BL26)*((-BM26/(BK26*BK26))^2))</f>
        <v>3.7666470773494581E-3</v>
      </c>
      <c r="BQ26">
        <f t="shared" ref="BQ26:BQ27" si="169">SQRT(BO26+BP26)</f>
        <v>0.11022807936718111</v>
      </c>
      <c r="BT26" s="37"/>
      <c r="BU26" s="37"/>
      <c r="BV26" s="37"/>
      <c r="BW26" s="35"/>
    </row>
    <row r="27" spans="1:78" x14ac:dyDescent="0.2">
      <c r="A27" s="2" t="s">
        <v>151</v>
      </c>
      <c r="B27" s="56">
        <f t="shared" si="139"/>
        <v>0.14793055702782748</v>
      </c>
      <c r="C27" s="45">
        <f t="shared" si="140"/>
        <v>0.12971781298545443</v>
      </c>
      <c r="D27" s="58">
        <f t="shared" si="141"/>
        <v>0.14732495579417332</v>
      </c>
      <c r="E27" s="58">
        <f t="shared" si="142"/>
        <v>0.11174444450841854</v>
      </c>
      <c r="G27" s="10"/>
      <c r="I27" s="45">
        <f t="shared" si="143"/>
        <v>0.11617640419997159</v>
      </c>
      <c r="J27" s="56">
        <f t="shared" si="144"/>
        <v>0.10433956301733298</v>
      </c>
      <c r="K27" s="45" t="s">
        <v>32</v>
      </c>
      <c r="L27" s="56" t="s">
        <v>32</v>
      </c>
      <c r="M27" s="58">
        <f t="shared" si="145"/>
        <v>0</v>
      </c>
      <c r="N27" s="56" t="s">
        <v>32</v>
      </c>
      <c r="R27" s="37">
        <f t="shared" ref="R27:S27" si="170">R16</f>
        <v>304.8</v>
      </c>
      <c r="S27" s="37">
        <f t="shared" si="170"/>
        <v>59.9</v>
      </c>
      <c r="T27" s="52">
        <f>'T2x. THg loads 2010-17'!C59</f>
        <v>134</v>
      </c>
      <c r="U27" s="52">
        <f>'T4x. THg SE 2010-17'!C59</f>
        <v>36.6</v>
      </c>
      <c r="V27" s="51">
        <f t="shared" si="147"/>
        <v>1.4418903837807676E-2</v>
      </c>
      <c r="W27" s="51">
        <f t="shared" si="148"/>
        <v>7.4645458647556442E-3</v>
      </c>
      <c r="X27" s="51">
        <f t="shared" si="149"/>
        <v>0.14793055702782748</v>
      </c>
      <c r="AE27" s="35">
        <f t="shared" ref="AE27:AF27" si="171">AE16</f>
        <v>6.87</v>
      </c>
      <c r="AF27" s="35">
        <f t="shared" si="171"/>
        <v>1.21</v>
      </c>
      <c r="AG27" s="35">
        <f>'T2x. THg loads 2010-17'!D59</f>
        <v>4.4000000000000004</v>
      </c>
      <c r="AH27" s="35">
        <f>'T4x. THg SE 2010-17'!D59</f>
        <v>0.44</v>
      </c>
      <c r="AI27">
        <f t="shared" si="151"/>
        <v>4.1019643239280533E-3</v>
      </c>
      <c r="AJ27">
        <f t="shared" si="152"/>
        <v>1.2724746681801275E-2</v>
      </c>
      <c r="AK27">
        <f t="shared" si="153"/>
        <v>0.12971781298545443</v>
      </c>
      <c r="AM27" s="37">
        <f t="shared" ref="AM27:AN27" si="172">AM16</f>
        <v>311.67</v>
      </c>
      <c r="AN27" s="52">
        <f t="shared" si="172"/>
        <v>61.11</v>
      </c>
      <c r="AO27" s="52">
        <f>'T2x. THg loads 2010-17'!E59</f>
        <v>138.4</v>
      </c>
      <c r="AP27" s="52">
        <f>'T4x. THg SE 2010-17'!E59</f>
        <v>37.04</v>
      </c>
      <c r="AQ27">
        <f t="shared" si="155"/>
        <v>1.4123812843704352E-2</v>
      </c>
      <c r="AR27">
        <f t="shared" si="156"/>
        <v>7.5808297560507722E-3</v>
      </c>
      <c r="AS27">
        <f t="shared" si="157"/>
        <v>0.14732495579417332</v>
      </c>
      <c r="AU27" s="37">
        <f t="shared" ref="AU27:AV27" si="173">AU16</f>
        <v>312.10000000000002</v>
      </c>
      <c r="AV27" s="52">
        <f t="shared" si="173"/>
        <v>60.9</v>
      </c>
      <c r="AW27" s="37">
        <f>'T2x. THg loads 2010-17'!F59</f>
        <v>107.92</v>
      </c>
      <c r="AX27" s="37">
        <f>'T4x. THg SE 2010-17'!F59</f>
        <v>27.8</v>
      </c>
      <c r="AY27">
        <f t="shared" si="159"/>
        <v>7.9341801016996703E-3</v>
      </c>
      <c r="AZ27">
        <f t="shared" si="160"/>
        <v>4.5526407767953591E-3</v>
      </c>
      <c r="BA27">
        <f t="shared" si="161"/>
        <v>0.11174444450841854</v>
      </c>
      <c r="BC27" s="37">
        <f t="shared" ref="BC27:BD27" si="174">BC16</f>
        <v>1222</v>
      </c>
      <c r="BD27">
        <f t="shared" si="174"/>
        <v>237</v>
      </c>
      <c r="BE27" s="37">
        <f>'T2x. THg loads 2010-17'!J59</f>
        <v>407</v>
      </c>
      <c r="BF27" s="37">
        <f>'T4x. THg SE 2010-17'!J59</f>
        <v>118</v>
      </c>
      <c r="BG27">
        <f t="shared" si="163"/>
        <v>9.3244151815729641E-3</v>
      </c>
      <c r="BH27">
        <f t="shared" si="164"/>
        <v>4.1725417112622124E-3</v>
      </c>
      <c r="BI27">
        <f t="shared" si="165"/>
        <v>0.11617640419997159</v>
      </c>
      <c r="BK27" s="37">
        <f t="shared" ref="BK27:BL27" si="175">BK16</f>
        <v>323.83</v>
      </c>
      <c r="BL27">
        <f t="shared" si="175"/>
        <v>62.805</v>
      </c>
      <c r="BM27" s="37">
        <f>'T2x. THg loads 2010-17'!K59</f>
        <v>96.866</v>
      </c>
      <c r="BN27">
        <f>'T4x. THg SE 2010-17'!K59</f>
        <v>28.084</v>
      </c>
      <c r="BO27">
        <f t="shared" si="167"/>
        <v>7.5211416667144019E-3</v>
      </c>
      <c r="BP27">
        <f t="shared" si="168"/>
        <v>3.3656027439335967E-3</v>
      </c>
      <c r="BQ27">
        <f t="shared" si="169"/>
        <v>0.10433956301733298</v>
      </c>
      <c r="BT27" s="37"/>
      <c r="BU27" s="37"/>
      <c r="BV27" s="37"/>
      <c r="BW27" s="35"/>
    </row>
    <row r="28" spans="1:78" x14ac:dyDescent="0.2">
      <c r="A28" s="2" t="s">
        <v>152</v>
      </c>
      <c r="B28" s="56">
        <f t="shared" ref="B28" si="176">X28</f>
        <v>0.16223988640750717</v>
      </c>
      <c r="C28" s="45">
        <f>AK28</f>
        <v>0.17956113783682523</v>
      </c>
      <c r="D28" s="58">
        <f>AS28</f>
        <v>0.11009213721997452</v>
      </c>
      <c r="E28" s="58">
        <f>BA28</f>
        <v>0.1299497026873615</v>
      </c>
      <c r="G28" s="10"/>
      <c r="I28" s="45">
        <f>BI28</f>
        <v>0.1275501501521038</v>
      </c>
      <c r="J28" s="56">
        <f t="shared" ref="J28" si="177">BQ28</f>
        <v>0.13258376707254679</v>
      </c>
      <c r="K28" s="45" t="s">
        <v>32</v>
      </c>
      <c r="L28" s="56" t="s">
        <v>32</v>
      </c>
      <c r="M28" s="58">
        <f t="shared" si="77"/>
        <v>7.6624297581886991E-2</v>
      </c>
      <c r="N28" s="56" t="s">
        <v>32</v>
      </c>
      <c r="R28" s="37">
        <f t="shared" ref="R28:S28" si="178">R17</f>
        <v>517.42129873293504</v>
      </c>
      <c r="S28" s="37">
        <f t="shared" si="178"/>
        <v>107.86523191251587</v>
      </c>
      <c r="T28" s="52">
        <f>'T2x. THg loads 2010-17'!C60</f>
        <v>223.33774325833082</v>
      </c>
      <c r="U28" s="52">
        <f>'T4x. THg SE 2010-17'!C60</f>
        <v>69.851960208421602</v>
      </c>
      <c r="V28" s="51">
        <f t="shared" ref="V28" si="179">((U28^2)*((1/R28)^2))</f>
        <v>1.8225044291706453E-2</v>
      </c>
      <c r="W28" s="51">
        <f t="shared" ref="W28" si="180">((S28*S28)*((-T28/(R28*R28))^2))</f>
        <v>8.0967364498143752E-3</v>
      </c>
      <c r="X28" s="51">
        <f t="shared" ref="X28" si="181">SQRT(V28+W28)</f>
        <v>0.16223988640750717</v>
      </c>
      <c r="AE28" s="35">
        <f t="shared" ref="AE28:AF28" si="182">AE17</f>
        <v>12.711914020298998</v>
      </c>
      <c r="AF28" s="35">
        <f t="shared" si="182"/>
        <v>2.0894654890386777</v>
      </c>
      <c r="AG28" s="35">
        <f>'T2x. THg loads 2010-17'!D60</f>
        <v>10.855217506806934</v>
      </c>
      <c r="AH28" s="35">
        <f>'T4x. THg SE 2010-17'!D60</f>
        <v>1.4235359210495619</v>
      </c>
      <c r="AI28">
        <f t="shared" ref="AI28" si="183">((AH28^2)*((1/AE28)^2))</f>
        <v>1.2540503317435722E-2</v>
      </c>
      <c r="AJ28">
        <f t="shared" ref="AJ28" si="184">((AF28*AF28)*((-AG28/(AE28*AE28))^2))</f>
        <v>1.9701698903819623E-2</v>
      </c>
      <c r="AK28">
        <f t="shared" ref="AK28" si="185">SQRT(AI28+AJ28)</f>
        <v>0.17956113783682523</v>
      </c>
      <c r="AM28" s="37">
        <f t="shared" ref="AM28:AN28" si="186">AM17</f>
        <v>530.13321275323403</v>
      </c>
      <c r="AN28" s="52">
        <f t="shared" si="186"/>
        <v>109.95469740155454</v>
      </c>
      <c r="AO28" s="52">
        <f>'T2x. THg loads 2010-17'!E60</f>
        <v>234.19296076513774</v>
      </c>
      <c r="AP28" s="52">
        <f>'T4x. THg SE 2010-17'!E60</f>
        <v>32.355496129471163</v>
      </c>
      <c r="AQ28">
        <f t="shared" ref="AQ28" si="187">((AP28^2)*((1/AM28)^2))</f>
        <v>3.724998481096772E-3</v>
      </c>
      <c r="AR28">
        <f t="shared" ref="AR28" si="188">((AN28*AN28)*((-AO28/(AM28*AM28))^2))</f>
        <v>8.3952801965649273E-3</v>
      </c>
      <c r="AS28">
        <f t="shared" ref="AS28" si="189">SQRT(AQ28+AR28)</f>
        <v>0.11009213721997452</v>
      </c>
      <c r="AU28" s="37">
        <f t="shared" ref="AU28:AV28" si="190">AU17</f>
        <v>535.09943571266035</v>
      </c>
      <c r="AV28" s="52">
        <f t="shared" si="190"/>
        <v>100.85027819104396</v>
      </c>
      <c r="AW28" s="37">
        <f>'T2x. THg loads 2010-17'!F60</f>
        <v>209.03930224486419</v>
      </c>
      <c r="AX28" s="37">
        <f>'T4x. THg SE 2010-17'!F60</f>
        <v>57.298172102846294</v>
      </c>
      <c r="AY28">
        <f t="shared" ref="AY28" si="191">((AX28^2)*((1/AU28)^2))</f>
        <v>1.1466016149065762E-2</v>
      </c>
      <c r="AZ28">
        <f t="shared" ref="AZ28" si="192">((AV28*AV28)*((-AW28/(AU28*AU28))^2))</f>
        <v>5.4209090794678887E-3</v>
      </c>
      <c r="BA28">
        <f t="shared" ref="BA28" si="193">SQRT(AY28+AZ28)</f>
        <v>0.1299497026873615</v>
      </c>
      <c r="BC28" s="37">
        <f>BC17</f>
        <v>2258.9923446849016</v>
      </c>
      <c r="BD28">
        <f>BD17</f>
        <v>461.37996725490893</v>
      </c>
      <c r="BE28" s="37">
        <f>'T2x. THg loads 2010-17'!J60</f>
        <v>800.30047800398347</v>
      </c>
      <c r="BF28" s="37">
        <f>'T4x. THg SE 2010-17'!J60</f>
        <v>237.28522055614161</v>
      </c>
      <c r="BG28">
        <f t="shared" ref="BG28" si="194">((BF28^2)*((1/BC28)^2))</f>
        <v>1.1033463412587298E-2</v>
      </c>
      <c r="BH28">
        <f t="shared" ref="BH28" si="195">((BD28*BD28)*((-BE28/(BC28*BC28))^2))</f>
        <v>5.2355773912369317E-3</v>
      </c>
      <c r="BI28">
        <f t="shared" ref="BI28" si="196">SQRT(BG28+BH28)</f>
        <v>0.1275501501521038</v>
      </c>
      <c r="BK28" s="37">
        <f>BK17</f>
        <v>544.59940324856984</v>
      </c>
      <c r="BL28">
        <f>BL17</f>
        <v>110.61174737536948</v>
      </c>
      <c r="BM28" s="37">
        <f>'T2x. THg loads 2010-17'!K60</f>
        <v>200.04298116586276</v>
      </c>
      <c r="BN28">
        <f>'T4x. THg SE 2010-17'!K60</f>
        <v>59.688914342816759</v>
      </c>
      <c r="BO28">
        <f t="shared" ref="BO28:BO29" si="197">((BN28^2)*((1/BK28)^2))</f>
        <v>1.201248994844575E-2</v>
      </c>
      <c r="BP28">
        <f t="shared" ref="BP28:BP29" si="198">((BL28*BL28)*((-BM28/(BK28*BK28))^2))</f>
        <v>5.5659653427015928E-3</v>
      </c>
      <c r="BQ28">
        <f t="shared" ref="BQ28:BQ29" si="199">SQRT(BO28+BP28)</f>
        <v>0.13258376707254679</v>
      </c>
      <c r="BT28" s="37">
        <f>BT17</f>
        <v>557.31131726886883</v>
      </c>
      <c r="BU28" s="37">
        <f>BU17</f>
        <v>112.70121286440815</v>
      </c>
      <c r="BV28" s="37">
        <f>'T2x. THg loads 2010-17'!O60</f>
        <v>210.89819867266968</v>
      </c>
      <c r="BW28" s="35">
        <f>'T6x. MeHg loads 2010-17'!D60+'T6x. MeHg loads 2010-17'!K60</f>
        <v>2.1687005010494258</v>
      </c>
      <c r="BX28">
        <f t="shared" si="136"/>
        <v>1.5142704064319554E-5</v>
      </c>
      <c r="BY28">
        <f t="shared" si="137"/>
        <v>5.8561402758532527E-3</v>
      </c>
      <c r="BZ28">
        <f t="shared" si="138"/>
        <v>7.6624297581886991E-2</v>
      </c>
    </row>
    <row r="29" spans="1:78" x14ac:dyDescent="0.2">
      <c r="A29" s="2" t="s">
        <v>152</v>
      </c>
      <c r="G29" s="3" t="s">
        <v>26</v>
      </c>
      <c r="I29" s="45">
        <f t="shared" ref="I29" si="200">BI29</f>
        <v>0.1275501501521038</v>
      </c>
      <c r="J29" s="56">
        <f t="shared" ref="J29" si="201">BQ29</f>
        <v>0.13181961124506122</v>
      </c>
      <c r="K29" s="45" t="s">
        <v>32</v>
      </c>
      <c r="L29" s="56" t="s">
        <v>32</v>
      </c>
      <c r="M29" s="58">
        <f t="shared" si="77"/>
        <v>7.5403486961414204E-2</v>
      </c>
      <c r="N29" s="56" t="s">
        <v>32</v>
      </c>
      <c r="R29" s="37"/>
      <c r="S29" s="37"/>
      <c r="AE29" s="35"/>
      <c r="AF29" s="35"/>
      <c r="AM29" s="37"/>
      <c r="AN29" s="52"/>
      <c r="AU29" s="37"/>
      <c r="AV29" s="52"/>
      <c r="BC29" s="37">
        <f>BC18</f>
        <v>2258.9923446849016</v>
      </c>
      <c r="BD29">
        <f>BD18</f>
        <v>461.37996725490893</v>
      </c>
      <c r="BE29" s="37">
        <f>'T2x. THg loads 2010-17'!J61</f>
        <v>800.30047800398347</v>
      </c>
      <c r="BF29" s="37">
        <f>'T4x. THg SE 2010-17'!J61</f>
        <v>237.28522055614161</v>
      </c>
      <c r="BG29">
        <f t="shared" ref="BG29" si="202">((BF29^2)*((1/BC29)^2))</f>
        <v>1.1033463412587298E-2</v>
      </c>
      <c r="BH29">
        <f t="shared" ref="BH29" si="203">((BD29*BD29)*((-BE29/(BC29*BC29))^2))</f>
        <v>5.2355773912369317E-3</v>
      </c>
      <c r="BI29">
        <f t="shared" ref="BI29" si="204">SQRT(BG29+BH29)</f>
        <v>0.1275501501521038</v>
      </c>
      <c r="BK29" s="37">
        <f>BK18</f>
        <v>539.89917037969155</v>
      </c>
      <c r="BL29">
        <f>BL18</f>
        <v>110.26981217392323</v>
      </c>
      <c r="BM29" s="37">
        <f>'T2x. THg loads 2010-17'!K61</f>
        <v>197.67421806698391</v>
      </c>
      <c r="BN29">
        <f>'T4x. THg SE 2010-17'!K61</f>
        <v>58.609449477366979</v>
      </c>
      <c r="BO29">
        <f t="shared" si="197"/>
        <v>1.1784467522251681E-2</v>
      </c>
      <c r="BP29">
        <f t="shared" si="198"/>
        <v>5.591942386547393E-3</v>
      </c>
      <c r="BQ29">
        <f t="shared" si="199"/>
        <v>0.13181961124506122</v>
      </c>
      <c r="BT29" s="37">
        <f>BT18</f>
        <v>552.61108439999055</v>
      </c>
      <c r="BU29" s="37">
        <f>BU18</f>
        <v>110.26981217392323</v>
      </c>
      <c r="BV29" s="37">
        <f>'T2x. THg loads 2010-17'!O61</f>
        <v>208.52943557379083</v>
      </c>
      <c r="BW29" s="35">
        <f>'T6x. MeHg loads 2010-17'!D61+'T6x. MeHg loads 2010-17'!K61</f>
        <v>2.2008263145109543</v>
      </c>
      <c r="BX29">
        <f t="shared" si="136"/>
        <v>1.5861065425222697E-5</v>
      </c>
      <c r="BY29">
        <f t="shared" si="137"/>
        <v>5.6698247805149404E-3</v>
      </c>
      <c r="BZ29">
        <f t="shared" si="138"/>
        <v>7.5403486961414204E-2</v>
      </c>
    </row>
    <row r="30" spans="1:78" x14ac:dyDescent="0.2">
      <c r="G30" s="69" t="s">
        <v>153</v>
      </c>
      <c r="L30" s="66" t="s">
        <v>139</v>
      </c>
    </row>
  </sheetData>
  <mergeCells count="2">
    <mergeCell ref="A2:N2"/>
    <mergeCell ref="A1:N1"/>
  </mergeCells>
  <hyperlinks>
    <hyperlink ref="V2" r:id="rId1" xr:uid="{00000000-0004-0000-0400-000000000000}"/>
  </hyperlinks>
  <pageMargins left="0.7" right="0.7" top="0.75" bottom="0.75" header="0.3" footer="0.3"/>
  <pageSetup scale="95" orientation="landscape" r:id="rId2"/>
  <headerFooter>
    <oddHeader>&amp;LDraft
&amp;RU.S. GEOLOGICAL SURVEY</oddHeader>
    <oddFooter>&amp;LPRELIMINARY - SUBJECT TO REVISION&amp;RDecember 8, 2018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  <pageSetUpPr fitToPage="1"/>
  </sheetPr>
  <dimension ref="A1:W65"/>
  <sheetViews>
    <sheetView view="pageLayout" topLeftCell="A34" zoomScaleNormal="100" workbookViewId="0">
      <selection activeCell="S55" sqref="S55"/>
    </sheetView>
  </sheetViews>
  <sheetFormatPr baseColWidth="10" defaultColWidth="8.83203125" defaultRowHeight="15" x14ac:dyDescent="0.2"/>
  <cols>
    <col min="1" max="1" width="18.5" customWidth="1"/>
    <col min="5" max="5" width="10" bestFit="1" customWidth="1"/>
    <col min="6" max="6" width="10.5" customWidth="1"/>
    <col min="7" max="7" width="2.1640625" customWidth="1"/>
    <col min="8" max="8" width="11" customWidth="1"/>
    <col min="9" max="9" width="4.5" customWidth="1"/>
    <col min="11" max="11" width="9.6640625" bestFit="1" customWidth="1"/>
    <col min="12" max="12" width="6.33203125" bestFit="1" customWidth="1"/>
    <col min="13" max="13" width="10.1640625" bestFit="1" customWidth="1"/>
    <col min="14" max="14" width="2.1640625" customWidth="1"/>
    <col min="15" max="15" width="17" bestFit="1" customWidth="1"/>
    <col min="16" max="16" width="17.6640625" bestFit="1" customWidth="1"/>
    <col min="17" max="17" width="8.6640625" customWidth="1"/>
    <col min="18" max="19" width="13.83203125" bestFit="1" customWidth="1"/>
    <col min="20" max="20" width="13.83203125" customWidth="1"/>
  </cols>
  <sheetData>
    <row r="1" spans="1:23" ht="16" x14ac:dyDescent="0.2">
      <c r="A1" s="217" t="s">
        <v>168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</row>
    <row r="2" spans="1:23" ht="54.75" customHeight="1" x14ac:dyDescent="0.2">
      <c r="A2" s="209" t="s">
        <v>145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</row>
    <row r="4" spans="1:23" x14ac:dyDescent="0.2">
      <c r="B4" s="42" t="s">
        <v>27</v>
      </c>
      <c r="C4" s="40" t="s">
        <v>63</v>
      </c>
      <c r="D4" s="40" t="s">
        <v>64</v>
      </c>
      <c r="E4" s="41" t="s">
        <v>65</v>
      </c>
      <c r="F4" s="41" t="s">
        <v>66</v>
      </c>
      <c r="G4" s="43"/>
      <c r="H4" s="40" t="s">
        <v>63</v>
      </c>
      <c r="I4" s="44"/>
      <c r="J4" s="40" t="s">
        <v>16</v>
      </c>
      <c r="K4" s="40" t="s">
        <v>67</v>
      </c>
      <c r="L4" s="40" t="s">
        <v>17</v>
      </c>
      <c r="M4" s="40" t="s">
        <v>68</v>
      </c>
      <c r="O4" s="40" t="s">
        <v>81</v>
      </c>
      <c r="P4" s="40" t="s">
        <v>82</v>
      </c>
      <c r="R4" s="41" t="s">
        <v>78</v>
      </c>
      <c r="S4" s="41" t="s">
        <v>78</v>
      </c>
      <c r="T4" s="40" t="s">
        <v>63</v>
      </c>
      <c r="U4" s="40" t="s">
        <v>64</v>
      </c>
      <c r="V4" s="168" t="s">
        <v>65</v>
      </c>
      <c r="W4" s="168" t="s">
        <v>66</v>
      </c>
    </row>
    <row r="5" spans="1:23" x14ac:dyDescent="0.2">
      <c r="B5" s="41" t="s">
        <v>30</v>
      </c>
      <c r="C5" s="41" t="s">
        <v>31</v>
      </c>
      <c r="D5" s="41" t="s">
        <v>31</v>
      </c>
      <c r="E5" s="41" t="s">
        <v>31</v>
      </c>
      <c r="F5" s="41" t="s">
        <v>31</v>
      </c>
      <c r="G5" s="43"/>
      <c r="H5" s="40" t="s">
        <v>29</v>
      </c>
      <c r="I5" s="44"/>
      <c r="J5" s="41" t="s">
        <v>31</v>
      </c>
      <c r="K5" s="41" t="s">
        <v>31</v>
      </c>
      <c r="L5" s="41" t="s">
        <v>31</v>
      </c>
      <c r="M5" s="41" t="s">
        <v>31</v>
      </c>
      <c r="O5" s="41" t="s">
        <v>31</v>
      </c>
      <c r="P5" s="41" t="s">
        <v>31</v>
      </c>
      <c r="R5" s="41" t="s">
        <v>83</v>
      </c>
      <c r="S5" s="41" t="s">
        <v>83</v>
      </c>
    </row>
    <row r="6" spans="1:23" ht="58.5" customHeight="1" x14ac:dyDescent="0.2">
      <c r="A6" s="17"/>
      <c r="B6" s="19" t="s">
        <v>28</v>
      </c>
      <c r="C6" s="18" t="s">
        <v>8</v>
      </c>
      <c r="D6" s="18" t="s">
        <v>8</v>
      </c>
      <c r="E6" s="19" t="s">
        <v>8</v>
      </c>
      <c r="F6" s="19" t="s">
        <v>8</v>
      </c>
      <c r="G6" s="20"/>
      <c r="H6" s="21" t="s">
        <v>143</v>
      </c>
      <c r="I6" s="22"/>
      <c r="J6" s="18" t="s">
        <v>13</v>
      </c>
      <c r="K6" s="18" t="s">
        <v>8</v>
      </c>
      <c r="L6" s="18" t="s">
        <v>13</v>
      </c>
      <c r="M6" s="18" t="s">
        <v>8</v>
      </c>
      <c r="O6" s="18" t="s">
        <v>8</v>
      </c>
      <c r="P6" s="18" t="s">
        <v>8</v>
      </c>
      <c r="R6" s="69" t="s">
        <v>101</v>
      </c>
      <c r="S6" s="3" t="s">
        <v>80</v>
      </c>
      <c r="T6" s="169" t="s">
        <v>161</v>
      </c>
      <c r="U6" s="169" t="s">
        <v>161</v>
      </c>
      <c r="V6" s="169" t="s">
        <v>161</v>
      </c>
      <c r="W6" s="169" t="s">
        <v>161</v>
      </c>
    </row>
    <row r="7" spans="1:23" ht="16" x14ac:dyDescent="0.2">
      <c r="A7" s="1" t="s">
        <v>0</v>
      </c>
      <c r="C7" s="6"/>
      <c r="D7" s="6"/>
      <c r="H7" s="10"/>
    </row>
    <row r="8" spans="1:23" x14ac:dyDescent="0.2">
      <c r="A8" s="2" t="s">
        <v>1</v>
      </c>
      <c r="B8" s="111">
        <v>204.980803196007</v>
      </c>
      <c r="C8" s="78">
        <v>0.17684095016655954</v>
      </c>
      <c r="D8" s="68">
        <v>2.2151809751659327E-2</v>
      </c>
      <c r="E8" s="84">
        <f>C8+D8</f>
        <v>0.19899275991821885</v>
      </c>
      <c r="F8" s="84">
        <v>9.8346143286066612E-2</v>
      </c>
      <c r="G8" s="26"/>
      <c r="H8" s="114">
        <v>3.73</v>
      </c>
      <c r="I8" s="10"/>
      <c r="J8" s="65">
        <v>128.98832071389089</v>
      </c>
      <c r="K8" s="78">
        <f>J8*H8/1000</f>
        <v>0.48112643626281298</v>
      </c>
      <c r="L8" s="111">
        <v>180.9888007335</v>
      </c>
      <c r="M8" s="78">
        <f>L8*H8/1000</f>
        <v>0.67508822673595503</v>
      </c>
      <c r="O8" s="84">
        <f>D8+K8</f>
        <v>0.50327824601447235</v>
      </c>
      <c r="P8" s="84">
        <f>D8+M8</f>
        <v>0.69724003648761435</v>
      </c>
      <c r="Q8" s="51"/>
      <c r="R8" s="51"/>
      <c r="S8" s="51"/>
      <c r="T8" s="9">
        <f>1000*C8/$B8</f>
        <v>0.86271956890255941</v>
      </c>
      <c r="U8" s="71">
        <f>1000*D8/$B8</f>
        <v>0.10806772832516073</v>
      </c>
      <c r="V8" s="71">
        <f>1000*E8/$B8</f>
        <v>0.97078729722772017</v>
      </c>
      <c r="W8" s="71">
        <f>1000*F8/$B8</f>
        <v>0.4797822125422444</v>
      </c>
    </row>
    <row r="9" spans="1:23" x14ac:dyDescent="0.2">
      <c r="A9" s="2" t="s">
        <v>2</v>
      </c>
      <c r="B9" s="111">
        <v>485</v>
      </c>
      <c r="C9" s="78">
        <v>0.69611565262046216</v>
      </c>
      <c r="D9" s="68">
        <v>4.0980642876022148E-2</v>
      </c>
      <c r="E9" s="84">
        <f t="shared" ref="E9:E15" si="0">C9+D9</f>
        <v>0.73709629549648426</v>
      </c>
      <c r="F9" s="84">
        <v>0.6812963897609744</v>
      </c>
      <c r="G9" s="26"/>
      <c r="H9" s="114">
        <v>3.38</v>
      </c>
      <c r="I9" s="10"/>
      <c r="J9" s="65">
        <v>474.80587923990203</v>
      </c>
      <c r="K9" s="81">
        <f t="shared" ref="K9:K17" si="1">J9*H9/1000</f>
        <v>1.6048438718308686</v>
      </c>
      <c r="L9" s="111">
        <v>377</v>
      </c>
      <c r="M9" s="78">
        <f t="shared" ref="M9:M15" si="2">L9*H9/1000</f>
        <v>1.2742599999999999</v>
      </c>
      <c r="O9" s="83">
        <f t="shared" ref="O9:O12" si="3">D9+K9</f>
        <v>1.6458245147068908</v>
      </c>
      <c r="P9" s="83">
        <f t="shared" ref="P9:P12" si="4">D9+M9</f>
        <v>1.3152406428760222</v>
      </c>
      <c r="R9" s="51"/>
      <c r="S9" s="51"/>
      <c r="T9" s="9">
        <f t="shared" ref="T9:W15" si="5">1000*C9/$B9</f>
        <v>1.4352900054030147</v>
      </c>
      <c r="U9" s="71">
        <f t="shared" si="5"/>
        <v>8.4496170878396171E-2</v>
      </c>
      <c r="V9" s="71">
        <f t="shared" si="5"/>
        <v>1.5197861762814109</v>
      </c>
      <c r="W9" s="71">
        <f t="shared" si="5"/>
        <v>1.4047348242494317</v>
      </c>
    </row>
    <row r="10" spans="1:23" x14ac:dyDescent="0.2">
      <c r="A10" s="2" t="s">
        <v>3</v>
      </c>
      <c r="B10" s="111">
        <v>36.921198227783513</v>
      </c>
      <c r="C10" s="97">
        <v>1.2535119030789441E-2</v>
      </c>
      <c r="D10" s="99">
        <v>4.3356196375294092E-3</v>
      </c>
      <c r="E10" s="84">
        <f t="shared" si="0"/>
        <v>1.6870738668318851E-2</v>
      </c>
      <c r="F10" s="98">
        <v>3.8886176747976557E-2</v>
      </c>
      <c r="G10" s="26"/>
      <c r="H10" s="114">
        <v>4.43</v>
      </c>
      <c r="I10" s="10"/>
      <c r="J10" s="80">
        <v>3.235526728183558</v>
      </c>
      <c r="K10" s="97">
        <f t="shared" si="1"/>
        <v>1.433338340585316E-2</v>
      </c>
      <c r="L10" s="114">
        <v>4.6901451574999999</v>
      </c>
      <c r="M10" s="97">
        <f t="shared" si="2"/>
        <v>2.0777343047724998E-2</v>
      </c>
      <c r="O10" s="98">
        <f t="shared" si="3"/>
        <v>1.8669003043382568E-2</v>
      </c>
      <c r="P10" s="98">
        <f t="shared" si="4"/>
        <v>2.5112962685254408E-2</v>
      </c>
      <c r="Q10" s="51"/>
      <c r="R10" s="51"/>
      <c r="S10" s="51"/>
      <c r="T10" s="9">
        <f t="shared" si="5"/>
        <v>0.33951008180868464</v>
      </c>
      <c r="U10" s="71">
        <f t="shared" si="5"/>
        <v>0.11742900679390245</v>
      </c>
      <c r="V10" s="71">
        <f t="shared" si="5"/>
        <v>0.45693908860258703</v>
      </c>
      <c r="W10" s="71">
        <f t="shared" si="5"/>
        <v>1.0532208762042392</v>
      </c>
    </row>
    <row r="11" spans="1:23" x14ac:dyDescent="0.2">
      <c r="A11" s="2" t="s">
        <v>4</v>
      </c>
      <c r="B11" s="111">
        <v>117.21609517589853</v>
      </c>
      <c r="C11" s="78">
        <v>0.12114707748900655</v>
      </c>
      <c r="D11" s="68">
        <v>1.0818024294775051E-2</v>
      </c>
      <c r="E11" s="84">
        <f t="shared" si="0"/>
        <v>0.1319651017837816</v>
      </c>
      <c r="F11" s="84">
        <v>0.16394973105843633</v>
      </c>
      <c r="G11" s="26"/>
      <c r="H11" s="114">
        <v>3.97</v>
      </c>
      <c r="I11" s="10"/>
      <c r="J11" s="65">
        <v>118.50815675827299</v>
      </c>
      <c r="K11" s="78">
        <f t="shared" si="1"/>
        <v>0.47047738233034381</v>
      </c>
      <c r="L11" s="111">
        <v>81.510549787499997</v>
      </c>
      <c r="M11" s="78">
        <f t="shared" si="2"/>
        <v>0.32359688265637498</v>
      </c>
      <c r="O11" s="84">
        <f t="shared" si="3"/>
        <v>0.48129540662511888</v>
      </c>
      <c r="P11" s="84">
        <f t="shared" si="4"/>
        <v>0.33441490695115006</v>
      </c>
      <c r="Q11" s="51"/>
      <c r="R11" s="51"/>
      <c r="S11" s="51"/>
      <c r="T11" s="9">
        <f t="shared" si="5"/>
        <v>1.0335361991645349</v>
      </c>
      <c r="U11" s="71">
        <f t="shared" si="5"/>
        <v>9.2291287118387189E-2</v>
      </c>
      <c r="V11" s="71">
        <f t="shared" si="5"/>
        <v>1.1258274862829221</v>
      </c>
      <c r="W11" s="71">
        <f t="shared" si="5"/>
        <v>1.3986964060900313</v>
      </c>
    </row>
    <row r="12" spans="1:23" x14ac:dyDescent="0.2">
      <c r="A12" s="2" t="s">
        <v>5</v>
      </c>
      <c r="B12" s="111">
        <v>3</v>
      </c>
      <c r="C12" s="101">
        <v>7.2601629123801895E-4</v>
      </c>
      <c r="D12" s="99">
        <v>3.5727729266528255E-4</v>
      </c>
      <c r="E12" s="105">
        <f t="shared" si="0"/>
        <v>1.0832935839033015E-3</v>
      </c>
      <c r="F12" s="105">
        <v>2.4255955436830023E-3</v>
      </c>
      <c r="G12" s="26"/>
      <c r="H12" s="114">
        <v>3.32</v>
      </c>
      <c r="I12" s="10"/>
      <c r="J12" s="80">
        <v>9.7446682078762212E-2</v>
      </c>
      <c r="K12" s="101">
        <f t="shared" si="1"/>
        <v>3.2352298450149055E-4</v>
      </c>
      <c r="L12" s="113">
        <v>0.12</v>
      </c>
      <c r="M12" s="101">
        <f t="shared" si="2"/>
        <v>3.9839999999999998E-4</v>
      </c>
      <c r="O12" s="129">
        <f t="shared" si="3"/>
        <v>6.8080027716677311E-4</v>
      </c>
      <c r="P12" s="105">
        <f t="shared" si="4"/>
        <v>7.5567729266528259E-4</v>
      </c>
      <c r="Q12" s="75" t="s">
        <v>93</v>
      </c>
      <c r="R12" s="51"/>
      <c r="S12" s="51"/>
      <c r="T12" s="9">
        <f t="shared" si="5"/>
        <v>0.24200543041267297</v>
      </c>
      <c r="U12" s="71">
        <f t="shared" si="5"/>
        <v>0.11909243088842753</v>
      </c>
      <c r="V12" s="71">
        <f t="shared" si="5"/>
        <v>0.3610978613011005</v>
      </c>
      <c r="W12" s="71">
        <f t="shared" si="5"/>
        <v>0.80853184789433408</v>
      </c>
    </row>
    <row r="13" spans="1:23" x14ac:dyDescent="0.2">
      <c r="A13" s="2" t="s">
        <v>97</v>
      </c>
      <c r="B13" s="111">
        <v>86</v>
      </c>
      <c r="C13" s="78">
        <v>0.12236080631585902</v>
      </c>
      <c r="D13" s="99">
        <v>6.3512283711167992E-3</v>
      </c>
      <c r="E13" s="84">
        <f t="shared" si="0"/>
        <v>0.12871203468697581</v>
      </c>
      <c r="F13" s="84">
        <v>0.10392052847115668</v>
      </c>
      <c r="G13" s="26"/>
      <c r="H13" s="114">
        <v>0.92</v>
      </c>
      <c r="I13" s="10"/>
      <c r="J13" s="65">
        <v>131.35701456257331</v>
      </c>
      <c r="K13" s="78">
        <f t="shared" si="1"/>
        <v>0.12084845339756746</v>
      </c>
      <c r="L13" s="111">
        <v>101</v>
      </c>
      <c r="M13" s="78">
        <f t="shared" si="2"/>
        <v>9.2920000000000003E-2</v>
      </c>
      <c r="O13" s="98">
        <f t="shared" ref="O13:O15" si="6">D13+K13</f>
        <v>0.12719968176868426</v>
      </c>
      <c r="P13" s="98">
        <f t="shared" ref="P13:P15" si="7">D13+M13</f>
        <v>9.9271228371116807E-2</v>
      </c>
      <c r="Q13" s="33"/>
      <c r="R13" s="51"/>
      <c r="S13" s="51"/>
      <c r="T13" s="9">
        <f t="shared" si="5"/>
        <v>1.4228000734402213</v>
      </c>
      <c r="U13" s="71">
        <f t="shared" si="5"/>
        <v>7.3851492687404638E-2</v>
      </c>
      <c r="V13" s="71">
        <f t="shared" si="5"/>
        <v>1.4966515661276256</v>
      </c>
      <c r="W13" s="71">
        <f t="shared" si="5"/>
        <v>1.2083782380367056</v>
      </c>
    </row>
    <row r="14" spans="1:23" x14ac:dyDescent="0.2">
      <c r="A14" s="156" t="s">
        <v>105</v>
      </c>
      <c r="B14" s="136">
        <v>140.84107579462102</v>
      </c>
      <c r="C14" s="78">
        <v>0.14882931191432991</v>
      </c>
      <c r="D14" s="99">
        <v>9.1410724943526683E-3</v>
      </c>
      <c r="E14" s="84">
        <f t="shared" si="0"/>
        <v>0.15797038440868258</v>
      </c>
      <c r="F14" s="84">
        <v>0.188</v>
      </c>
      <c r="G14" s="26"/>
      <c r="H14" s="114">
        <v>1.1000000000000001</v>
      </c>
      <c r="I14" s="10"/>
      <c r="J14" s="77">
        <v>180</v>
      </c>
      <c r="K14" s="78">
        <f t="shared" si="1"/>
        <v>0.19800000000000004</v>
      </c>
      <c r="L14" s="136">
        <v>151</v>
      </c>
      <c r="M14" s="78">
        <f t="shared" si="2"/>
        <v>0.16610000000000003</v>
      </c>
      <c r="O14" s="84">
        <f t="shared" si="6"/>
        <v>0.20714107249435271</v>
      </c>
      <c r="P14" s="84">
        <f t="shared" si="7"/>
        <v>0.1752410724943527</v>
      </c>
      <c r="Q14" s="33"/>
      <c r="R14" s="51"/>
      <c r="S14" s="51"/>
      <c r="T14" s="9">
        <f>1000*C14/$B14</f>
        <v>1.0567180850802189</v>
      </c>
      <c r="U14" s="71">
        <f t="shared" ref="U14:U15" si="8">1000*D14/$B14</f>
        <v>6.4903455492504716E-2</v>
      </c>
      <c r="V14" s="71">
        <f t="shared" ref="V14:V15" si="9">1000*E14/$B14</f>
        <v>1.1216215405727237</v>
      </c>
      <c r="W14" s="71">
        <f t="shared" si="5"/>
        <v>1.3348378584820499</v>
      </c>
    </row>
    <row r="15" spans="1:23" x14ac:dyDescent="0.2">
      <c r="A15" s="156" t="s">
        <v>151</v>
      </c>
      <c r="B15" s="136">
        <v>1044.0097799511002</v>
      </c>
      <c r="C15" s="78">
        <v>1.5949787587577671</v>
      </c>
      <c r="D15" s="68">
        <v>4.3475161035742518E-2</v>
      </c>
      <c r="E15" s="83">
        <f t="shared" si="0"/>
        <v>1.6384539197935095</v>
      </c>
      <c r="F15" s="83">
        <v>1.1399999999999999</v>
      </c>
      <c r="G15" s="26"/>
      <c r="H15" s="114">
        <v>1.5</v>
      </c>
      <c r="I15" s="10"/>
      <c r="J15" s="77">
        <v>1222</v>
      </c>
      <c r="K15" s="78">
        <f>J15*H15/1000</f>
        <v>1.833</v>
      </c>
      <c r="L15" s="136">
        <v>971</v>
      </c>
      <c r="M15" s="78">
        <f t="shared" si="2"/>
        <v>1.4564999999999999</v>
      </c>
      <c r="O15" s="100">
        <f t="shared" si="6"/>
        <v>1.8764751610357424</v>
      </c>
      <c r="P15" s="83">
        <f t="shared" si="7"/>
        <v>1.4999751610357424</v>
      </c>
      <c r="Q15" s="75" t="s">
        <v>94</v>
      </c>
      <c r="R15" s="51"/>
      <c r="S15" s="51"/>
      <c r="T15" s="9">
        <f t="shared" si="5"/>
        <v>1.5277431202152851</v>
      </c>
      <c r="U15" s="71">
        <f t="shared" si="8"/>
        <v>4.1642484458123394E-2</v>
      </c>
      <c r="V15" s="71">
        <f t="shared" si="9"/>
        <v>1.5693856046734085</v>
      </c>
      <c r="W15" s="71">
        <f t="shared" si="5"/>
        <v>1.091943793911007</v>
      </c>
    </row>
    <row r="16" spans="1:23" x14ac:dyDescent="0.2">
      <c r="A16" s="2" t="s">
        <v>152</v>
      </c>
      <c r="B16" s="155">
        <f>SUM(B8:B15)</f>
        <v>2117.9689523454099</v>
      </c>
      <c r="C16" s="15">
        <f>SUM(C8:C15)</f>
        <v>2.8735336925860118</v>
      </c>
      <c r="D16" s="68">
        <f>SUM(D8:D15)</f>
        <v>0.13761083575386318</v>
      </c>
      <c r="E16" s="88">
        <f>SUM(E8:E15)</f>
        <v>3.0111445283398748</v>
      </c>
      <c r="F16" s="88">
        <f>SUM(F8:F15)</f>
        <v>2.4168245648682936</v>
      </c>
      <c r="G16" s="26"/>
      <c r="H16" s="5"/>
      <c r="I16" s="10" t="s">
        <v>26</v>
      </c>
      <c r="J16" s="155">
        <f>SUM(J8:J15)</f>
        <v>2258.9923446849016</v>
      </c>
      <c r="K16" s="15">
        <f>SUM(K8:K15)</f>
        <v>4.722953050211947</v>
      </c>
      <c r="L16" s="155">
        <f>SUM(L8:L15)</f>
        <v>1867.3094956784998</v>
      </c>
      <c r="M16" s="15">
        <f>SUM(M8:M15)</f>
        <v>4.0096408524400546</v>
      </c>
      <c r="O16" s="88">
        <f>K16+$D$16</f>
        <v>4.86056388596581</v>
      </c>
      <c r="P16" s="88">
        <f>M16+$D$16</f>
        <v>4.1472516881939177</v>
      </c>
      <c r="Q16" s="51"/>
      <c r="U16" s="134">
        <f>D16/E16</f>
        <v>4.5700508381021403E-2</v>
      </c>
      <c r="V16" s="134">
        <f>D16/O16</f>
        <v>2.8311701889403199E-2</v>
      </c>
      <c r="W16" s="134">
        <f>D16/P16</f>
        <v>3.3181211582987188E-2</v>
      </c>
    </row>
    <row r="17" spans="1:23" x14ac:dyDescent="0.2">
      <c r="A17" s="2" t="s">
        <v>152</v>
      </c>
      <c r="C17" s="33"/>
      <c r="D17" s="33"/>
      <c r="E17" s="33"/>
      <c r="F17" s="33"/>
      <c r="G17" s="26"/>
      <c r="H17" s="114">
        <v>2.2999999999999998</v>
      </c>
      <c r="I17" s="87" t="s">
        <v>153</v>
      </c>
      <c r="J17" s="155">
        <f>SUM(J8:J15)</f>
        <v>2258.9923446849016</v>
      </c>
      <c r="K17" s="15">
        <f t="shared" si="1"/>
        <v>5.1956823927752733</v>
      </c>
      <c r="L17" s="155">
        <f>SUM(L8:L15)</f>
        <v>1867.3094956784998</v>
      </c>
      <c r="M17" s="15">
        <f>L17*H17/1000</f>
        <v>4.2948118400605493</v>
      </c>
      <c r="O17" s="88">
        <f>K17+$D$16</f>
        <v>5.3332932285291363</v>
      </c>
      <c r="P17" s="88">
        <f>M17+$D$16</f>
        <v>4.4324226758144123</v>
      </c>
      <c r="Q17" s="51"/>
      <c r="R17" s="71" t="s">
        <v>179</v>
      </c>
      <c r="S17" s="69" t="s">
        <v>154</v>
      </c>
    </row>
    <row r="18" spans="1:23" ht="16" x14ac:dyDescent="0.2">
      <c r="A18" s="12" t="s">
        <v>11</v>
      </c>
      <c r="C18" s="26"/>
      <c r="D18" s="26"/>
      <c r="E18" s="26"/>
      <c r="F18" s="26"/>
      <c r="G18" s="26"/>
      <c r="H18" s="27"/>
      <c r="I18" s="10"/>
      <c r="K18" s="26"/>
      <c r="M18" s="26"/>
      <c r="O18" s="35"/>
      <c r="P18" s="35"/>
      <c r="Q18" s="35"/>
      <c r="R18" s="88">
        <f>AVERAGE(E16,F16,O16,O17,P16,P17)</f>
        <v>4.0335834286185746</v>
      </c>
      <c r="S18" s="84">
        <f>R18/8</f>
        <v>0.50419792857732182</v>
      </c>
      <c r="U18" s="133"/>
    </row>
    <row r="19" spans="1:23" x14ac:dyDescent="0.2">
      <c r="A19" s="2" t="s">
        <v>1</v>
      </c>
      <c r="B19" s="111">
        <v>86.403555712866023</v>
      </c>
      <c r="C19" s="97">
        <v>4.7E-2</v>
      </c>
      <c r="D19" s="99">
        <v>3.7504690627131352E-3</v>
      </c>
      <c r="E19" s="98">
        <f>C19+D19</f>
        <v>5.0750469062713133E-2</v>
      </c>
      <c r="F19" s="98">
        <v>1.4369082188895098E-2</v>
      </c>
      <c r="G19" s="26"/>
      <c r="H19" s="114">
        <v>8.1</v>
      </c>
      <c r="I19" s="10"/>
      <c r="J19" s="65">
        <v>32.549919974291456</v>
      </c>
      <c r="K19" s="78">
        <f>J19*H19/1000</f>
        <v>0.26365435179176078</v>
      </c>
      <c r="L19" s="111">
        <v>36.182156569</v>
      </c>
      <c r="M19" s="78">
        <f>L19*H19/1000</f>
        <v>0.29307546820889996</v>
      </c>
      <c r="O19" s="35"/>
      <c r="P19" s="35"/>
      <c r="Q19" s="35"/>
      <c r="S19" s="35"/>
    </row>
    <row r="20" spans="1:23" x14ac:dyDescent="0.2">
      <c r="A20" s="2" t="s">
        <v>2</v>
      </c>
      <c r="B20" s="111">
        <v>360</v>
      </c>
      <c r="C20" s="78">
        <v>0.22957839431383661</v>
      </c>
      <c r="D20" s="68">
        <v>3.2418039402952625E-2</v>
      </c>
      <c r="E20" s="84">
        <f t="shared" ref="E20:E26" si="10">C20+D20</f>
        <v>0.26199643371678927</v>
      </c>
      <c r="F20" s="84">
        <v>0.3539747117026989</v>
      </c>
      <c r="G20" s="26"/>
      <c r="H20" s="114">
        <v>3.46</v>
      </c>
      <c r="I20" s="10"/>
      <c r="J20" s="65">
        <v>106.47350303880529</v>
      </c>
      <c r="K20" s="78">
        <f t="shared" ref="K20:K28" si="11">J20*H20/1000</f>
        <v>0.3683983205142663</v>
      </c>
      <c r="L20" s="111">
        <v>67</v>
      </c>
      <c r="M20" s="78">
        <f t="shared" ref="M20:M26" si="12">L20*H20/1000</f>
        <v>0.23182</v>
      </c>
      <c r="O20" s="35"/>
      <c r="P20" s="35"/>
      <c r="Q20" s="35"/>
      <c r="R20" s="35"/>
      <c r="S20" s="35"/>
    </row>
    <row r="21" spans="1:23" x14ac:dyDescent="0.2">
      <c r="A21" s="2" t="s">
        <v>3</v>
      </c>
      <c r="B21" s="111">
        <v>0</v>
      </c>
      <c r="C21" s="77">
        <v>0</v>
      </c>
      <c r="D21" s="65">
        <v>0</v>
      </c>
      <c r="E21" s="82">
        <f t="shared" si="10"/>
        <v>0</v>
      </c>
      <c r="F21" s="82">
        <v>0</v>
      </c>
      <c r="G21" s="26"/>
      <c r="H21" s="114" t="s">
        <v>19</v>
      </c>
      <c r="I21" s="10"/>
      <c r="J21" s="65">
        <v>0</v>
      </c>
      <c r="K21" s="77">
        <v>0</v>
      </c>
      <c r="L21" s="128">
        <v>0</v>
      </c>
      <c r="M21" s="77">
        <v>0</v>
      </c>
      <c r="O21" s="35"/>
      <c r="P21" s="35"/>
      <c r="Q21" s="35"/>
      <c r="R21" s="35"/>
      <c r="S21" s="35"/>
    </row>
    <row r="22" spans="1:23" x14ac:dyDescent="0.2">
      <c r="A22" s="2" t="s">
        <v>4</v>
      </c>
      <c r="B22" s="111">
        <v>63.341694194967005</v>
      </c>
      <c r="C22" s="97">
        <v>4.1886944029725627E-2</v>
      </c>
      <c r="D22" s="68">
        <v>1.4821521586139693E-2</v>
      </c>
      <c r="E22" s="98">
        <f t="shared" si="10"/>
        <v>5.6708465615865317E-2</v>
      </c>
      <c r="F22" s="98">
        <v>6.7000000000000004E-2</v>
      </c>
      <c r="G22" s="26"/>
      <c r="H22" s="114">
        <v>2.2200000000000002</v>
      </c>
      <c r="I22" s="10"/>
      <c r="J22" s="65">
        <v>26.955411214287164</v>
      </c>
      <c r="K22" s="97">
        <f t="shared" si="11"/>
        <v>5.9841012895717513E-2</v>
      </c>
      <c r="L22" s="128">
        <v>33.764509210249997</v>
      </c>
      <c r="M22" s="97">
        <f t="shared" si="12"/>
        <v>7.4957210446755004E-2</v>
      </c>
      <c r="O22" s="35"/>
      <c r="P22" s="35"/>
      <c r="Q22" s="35"/>
      <c r="R22" s="35"/>
      <c r="S22" s="35"/>
    </row>
    <row r="23" spans="1:23" x14ac:dyDescent="0.2">
      <c r="A23" s="2" t="s">
        <v>5</v>
      </c>
      <c r="B23" s="111">
        <v>0</v>
      </c>
      <c r="C23" s="77">
        <v>0</v>
      </c>
      <c r="D23" s="65">
        <v>0</v>
      </c>
      <c r="E23" s="82">
        <f t="shared" si="10"/>
        <v>0</v>
      </c>
      <c r="F23" s="82">
        <v>0</v>
      </c>
      <c r="G23" s="26"/>
      <c r="H23" s="114" t="s">
        <v>19</v>
      </c>
      <c r="I23" s="10"/>
      <c r="J23" s="65">
        <v>0</v>
      </c>
      <c r="K23" s="77">
        <v>0</v>
      </c>
      <c r="L23" s="111">
        <v>0</v>
      </c>
      <c r="M23" s="77">
        <v>0</v>
      </c>
      <c r="O23" s="35"/>
      <c r="P23" s="35"/>
      <c r="Q23" s="35"/>
      <c r="R23" s="35"/>
      <c r="S23" s="35"/>
    </row>
    <row r="24" spans="1:23" x14ac:dyDescent="0.2">
      <c r="A24" s="2" t="s">
        <v>97</v>
      </c>
      <c r="B24" s="111">
        <v>66.400000000000006</v>
      </c>
      <c r="C24" s="97">
        <v>3.3438405974063452E-2</v>
      </c>
      <c r="D24" s="99">
        <v>5.332376906407278E-3</v>
      </c>
      <c r="E24" s="98">
        <f t="shared" si="10"/>
        <v>3.8770782880470728E-2</v>
      </c>
      <c r="F24" s="98">
        <v>3.4293498024153692E-2</v>
      </c>
      <c r="G24" s="26"/>
      <c r="H24" s="114">
        <v>1</v>
      </c>
      <c r="I24" s="10"/>
      <c r="J24" s="65">
        <v>31.091611338211866</v>
      </c>
      <c r="K24" s="97">
        <f t="shared" si="11"/>
        <v>3.1091611338211866E-2</v>
      </c>
      <c r="L24" s="111">
        <v>23.2</v>
      </c>
      <c r="M24" s="97">
        <f t="shared" si="12"/>
        <v>2.3199999999999998E-2</v>
      </c>
      <c r="O24" s="35"/>
      <c r="P24" s="35"/>
      <c r="Q24" s="35"/>
      <c r="R24" s="35"/>
      <c r="S24" s="35"/>
    </row>
    <row r="25" spans="1:23" x14ac:dyDescent="0.2">
      <c r="A25" s="2" t="s">
        <v>105</v>
      </c>
      <c r="B25" s="111">
        <v>61.2</v>
      </c>
      <c r="C25" s="97">
        <v>1.7999999999999999E-2</v>
      </c>
      <c r="D25" s="99">
        <v>5.1999999999999998E-3</v>
      </c>
      <c r="E25" s="98">
        <f t="shared" si="10"/>
        <v>2.3199999999999998E-2</v>
      </c>
      <c r="F25" s="98">
        <v>2.4E-2</v>
      </c>
      <c r="G25" s="26"/>
      <c r="H25" s="114">
        <v>1</v>
      </c>
      <c r="I25" s="10"/>
      <c r="J25" s="65">
        <v>16</v>
      </c>
      <c r="K25" s="97">
        <f t="shared" si="11"/>
        <v>1.6E-2</v>
      </c>
      <c r="L25" s="154">
        <v>13.530664274999999</v>
      </c>
      <c r="M25" s="97">
        <f t="shared" si="12"/>
        <v>1.3530664275E-2</v>
      </c>
      <c r="O25" s="35"/>
      <c r="P25" s="35"/>
      <c r="Q25" s="35"/>
      <c r="R25" s="35"/>
      <c r="S25" s="35"/>
    </row>
    <row r="26" spans="1:23" x14ac:dyDescent="0.2">
      <c r="A26" s="2" t="s">
        <v>151</v>
      </c>
      <c r="B26" s="111">
        <v>1026.16425</v>
      </c>
      <c r="C26" s="78">
        <v>0.45</v>
      </c>
      <c r="D26" s="68">
        <v>5.5E-2</v>
      </c>
      <c r="E26" s="84">
        <f t="shared" si="10"/>
        <v>0.505</v>
      </c>
      <c r="F26" s="84">
        <v>0.52</v>
      </c>
      <c r="G26" s="26"/>
      <c r="H26" s="114">
        <v>1.7</v>
      </c>
      <c r="I26" s="10"/>
      <c r="J26" s="65">
        <v>287</v>
      </c>
      <c r="K26" s="78">
        <f t="shared" si="11"/>
        <v>0.4879</v>
      </c>
      <c r="L26" s="154">
        <v>277.52694238499998</v>
      </c>
      <c r="M26" s="78">
        <f t="shared" si="12"/>
        <v>0.47179580205449995</v>
      </c>
      <c r="O26" s="35"/>
      <c r="P26" s="35"/>
      <c r="Q26" s="35"/>
      <c r="R26" s="35"/>
      <c r="S26" s="35"/>
    </row>
    <row r="27" spans="1:23" x14ac:dyDescent="0.2">
      <c r="A27" s="2" t="s">
        <v>152</v>
      </c>
      <c r="B27" s="155">
        <f>SUM(B19:B26)</f>
        <v>1663.5094999078331</v>
      </c>
      <c r="C27" s="34">
        <f>SUM(C19:C26)</f>
        <v>0.8199037443176258</v>
      </c>
      <c r="D27" s="79">
        <f>SUM(D19:D26)</f>
        <v>0.11652240695821273</v>
      </c>
      <c r="E27" s="74">
        <f>SUM(E19:E26)</f>
        <v>0.9364261512758385</v>
      </c>
      <c r="F27" s="74">
        <f>SUM(F19:F26)</f>
        <v>1.0136372919157477</v>
      </c>
      <c r="G27" s="26"/>
      <c r="H27" s="4"/>
      <c r="I27" s="10" t="s">
        <v>26</v>
      </c>
      <c r="J27" s="155">
        <f>SUM(J19:J26)</f>
        <v>500.07044556559578</v>
      </c>
      <c r="K27" s="34">
        <f>SUM(K19:K26)</f>
        <v>1.2268852965399566</v>
      </c>
      <c r="L27" s="155">
        <f>SUM(L19:L26)</f>
        <v>451.20427243924996</v>
      </c>
      <c r="M27" s="34">
        <f>SUM(M19:M26)</f>
        <v>1.108379144985155</v>
      </c>
      <c r="O27" s="35"/>
      <c r="P27" s="35"/>
      <c r="Q27" s="35"/>
      <c r="R27" s="35"/>
      <c r="S27" s="35"/>
      <c r="U27" s="134">
        <f>D27/E27</f>
        <v>0.12443309790041232</v>
      </c>
      <c r="V27" s="134"/>
      <c r="W27" s="134"/>
    </row>
    <row r="28" spans="1:23" x14ac:dyDescent="0.2">
      <c r="A28" s="2" t="s">
        <v>152</v>
      </c>
      <c r="B28" s="37"/>
      <c r="C28" s="33"/>
      <c r="D28" s="33"/>
      <c r="E28" s="33"/>
      <c r="F28" s="33"/>
      <c r="G28" s="26"/>
      <c r="H28" s="114">
        <v>2.0499999999999998</v>
      </c>
      <c r="I28" s="87" t="s">
        <v>153</v>
      </c>
      <c r="J28" s="155">
        <f>SUM(J19:J26)</f>
        <v>500.07044556559578</v>
      </c>
      <c r="K28" s="34">
        <f t="shared" si="11"/>
        <v>1.0251444134094714</v>
      </c>
      <c r="L28" s="155">
        <f>SUM(L19:L26)</f>
        <v>451.20427243924996</v>
      </c>
      <c r="M28" s="34">
        <f>L28*H28/1000</f>
        <v>0.92496875850046234</v>
      </c>
      <c r="O28" s="35"/>
      <c r="P28" s="35"/>
      <c r="Q28" s="35"/>
      <c r="R28" s="35"/>
      <c r="S28" s="35"/>
    </row>
    <row r="29" spans="1:23" ht="16" x14ac:dyDescent="0.2">
      <c r="A29" s="12" t="s">
        <v>12</v>
      </c>
      <c r="B29" s="37"/>
      <c r="C29" s="26"/>
      <c r="D29" s="26"/>
      <c r="E29" s="26"/>
      <c r="F29" s="26"/>
      <c r="G29" s="26"/>
      <c r="H29" s="27"/>
      <c r="I29" s="10"/>
      <c r="J29" s="9"/>
      <c r="K29" s="26"/>
      <c r="M29" s="26"/>
      <c r="O29" s="35"/>
      <c r="P29" s="35"/>
      <c r="Q29" s="35"/>
      <c r="R29" s="35"/>
      <c r="S29" s="35"/>
    </row>
    <row r="30" spans="1:23" x14ac:dyDescent="0.2">
      <c r="A30" s="2" t="s">
        <v>1</v>
      </c>
      <c r="B30" s="111">
        <v>85</v>
      </c>
      <c r="C30" s="97">
        <v>5.1372707196267575E-2</v>
      </c>
      <c r="D30" s="68">
        <v>2.1234257220505749E-2</v>
      </c>
      <c r="E30" s="98">
        <f>C30+D30</f>
        <v>7.260696441677332E-2</v>
      </c>
      <c r="F30" s="98">
        <v>4.4999999999999998E-2</v>
      </c>
      <c r="G30" s="26"/>
      <c r="H30" s="114">
        <v>8.11</v>
      </c>
      <c r="I30" s="10"/>
      <c r="J30" s="80">
        <v>8.6366006431364646</v>
      </c>
      <c r="K30" s="97">
        <f>J30*H30/1000</f>
        <v>7.0042831215836723E-2</v>
      </c>
      <c r="L30" s="114">
        <v>6.0563653909999999</v>
      </c>
      <c r="M30" s="97">
        <f>L30*H30/1000</f>
        <v>4.9117123321009995E-2</v>
      </c>
      <c r="O30" s="35"/>
      <c r="P30" s="35"/>
      <c r="Q30" s="35"/>
      <c r="R30" s="35"/>
      <c r="S30" s="35"/>
    </row>
    <row r="31" spans="1:23" x14ac:dyDescent="0.2">
      <c r="A31" s="2" t="s">
        <v>2</v>
      </c>
      <c r="B31" s="111">
        <v>95.92362156151502</v>
      </c>
      <c r="C31" s="97">
        <v>5.5298787053724249E-2</v>
      </c>
      <c r="D31" s="68">
        <v>2.002881812348142E-2</v>
      </c>
      <c r="E31" s="98">
        <f t="shared" ref="E31:E37" si="13">C31+D31</f>
        <v>7.5327605177205673E-2</v>
      </c>
      <c r="F31" s="98">
        <v>7.0999999999999994E-2</v>
      </c>
      <c r="G31" s="26"/>
      <c r="H31" s="114">
        <v>4.22</v>
      </c>
      <c r="I31" s="10"/>
      <c r="J31" s="65">
        <v>10.90510901793011</v>
      </c>
      <c r="K31" s="97">
        <f t="shared" ref="K31:K39" si="14">J31*H31/1000</f>
        <v>4.6019560055665057E-2</v>
      </c>
      <c r="L31" s="111">
        <v>20.282836640500001</v>
      </c>
      <c r="M31" s="97">
        <f t="shared" ref="M31:M37" si="15">L31*H31/1000</f>
        <v>8.5593570622909995E-2</v>
      </c>
      <c r="O31" s="35"/>
      <c r="P31" s="35"/>
      <c r="Q31" s="35"/>
      <c r="R31" s="35"/>
      <c r="S31" s="35"/>
    </row>
    <row r="32" spans="1:23" x14ac:dyDescent="0.2">
      <c r="A32" s="2" t="s">
        <v>3</v>
      </c>
      <c r="B32" s="111">
        <v>22.120468177770004</v>
      </c>
      <c r="C32" s="101">
        <v>1.1539793932031167E-2</v>
      </c>
      <c r="D32" s="99">
        <v>4.5502908674993434E-3</v>
      </c>
      <c r="E32" s="98">
        <f t="shared" si="13"/>
        <v>1.6090084799530509E-2</v>
      </c>
      <c r="F32" s="98">
        <v>2.1999999999999999E-2</v>
      </c>
      <c r="G32" s="26"/>
      <c r="H32" s="114">
        <v>5.93</v>
      </c>
      <c r="I32" s="10"/>
      <c r="J32" s="80">
        <v>1.4993947187134875</v>
      </c>
      <c r="K32" s="101">
        <f t="shared" si="14"/>
        <v>8.8914106819709803E-3</v>
      </c>
      <c r="L32" s="114">
        <v>1.3417262452499998</v>
      </c>
      <c r="M32" s="78">
        <f t="shared" si="15"/>
        <v>7.9564366343324987E-3</v>
      </c>
      <c r="O32" s="35"/>
      <c r="P32" s="35"/>
      <c r="Q32" s="35"/>
      <c r="R32" s="35"/>
      <c r="S32" s="35"/>
    </row>
    <row r="33" spans="1:21" x14ac:dyDescent="0.2">
      <c r="A33" s="2" t="s">
        <v>4</v>
      </c>
      <c r="B33" s="111">
        <v>39</v>
      </c>
      <c r="C33" s="97">
        <v>1.901048110350732E-2</v>
      </c>
      <c r="D33" s="99">
        <v>7.2451237367822767E-3</v>
      </c>
      <c r="E33" s="98">
        <f t="shared" si="13"/>
        <v>2.6255604840289597E-2</v>
      </c>
      <c r="F33" s="98">
        <v>3.5999999999999997E-2</v>
      </c>
      <c r="G33" s="26"/>
      <c r="H33" s="114">
        <v>4.3600000000000003</v>
      </c>
      <c r="I33" s="10"/>
      <c r="J33" s="80">
        <v>6.8628830510398151</v>
      </c>
      <c r="K33" s="97">
        <f t="shared" si="14"/>
        <v>2.9922170102533594E-2</v>
      </c>
      <c r="L33" s="114">
        <v>9.1</v>
      </c>
      <c r="M33" s="97">
        <f t="shared" si="15"/>
        <v>3.9676000000000003E-2</v>
      </c>
      <c r="O33" s="35"/>
      <c r="P33" s="35"/>
      <c r="Q33" s="35"/>
      <c r="R33" s="35"/>
      <c r="S33" s="35"/>
    </row>
    <row r="34" spans="1:21" x14ac:dyDescent="0.2">
      <c r="A34" s="2" t="s">
        <v>5</v>
      </c>
      <c r="B34" s="113">
        <v>0.65</v>
      </c>
      <c r="C34" s="104">
        <v>4.5670731399127167E-4</v>
      </c>
      <c r="D34" s="102">
        <v>1.1808078051335029E-4</v>
      </c>
      <c r="E34" s="103">
        <f t="shared" si="13"/>
        <v>5.7478809450462191E-4</v>
      </c>
      <c r="F34" s="103">
        <v>8.0000000000000004E-4</v>
      </c>
      <c r="G34" s="26"/>
      <c r="H34" s="114" t="s">
        <v>19</v>
      </c>
      <c r="I34" s="10"/>
      <c r="J34" s="68">
        <v>7.9978643134320845E-3</v>
      </c>
      <c r="K34" s="77" t="s">
        <v>32</v>
      </c>
      <c r="L34" s="113">
        <v>1.0999999999999999E-2</v>
      </c>
      <c r="M34" s="77" t="s">
        <v>32</v>
      </c>
      <c r="O34" s="35"/>
      <c r="P34" s="35"/>
      <c r="Q34" s="35"/>
      <c r="R34" s="35"/>
      <c r="S34" s="35"/>
    </row>
    <row r="35" spans="1:21" x14ac:dyDescent="0.2">
      <c r="A35" s="2" t="s">
        <v>97</v>
      </c>
      <c r="B35" s="111">
        <v>17</v>
      </c>
      <c r="C35" s="101">
        <v>7.3936259083529215E-3</v>
      </c>
      <c r="D35" s="99">
        <v>2.1474010454256426E-3</v>
      </c>
      <c r="E35" s="98">
        <f t="shared" si="13"/>
        <v>9.5410269537785641E-3</v>
      </c>
      <c r="F35" s="98">
        <v>0.01</v>
      </c>
      <c r="G35" s="26"/>
      <c r="H35" s="114">
        <v>2.4700000000000002</v>
      </c>
      <c r="I35" s="10"/>
      <c r="J35" s="80">
        <v>2.0142125145273369</v>
      </c>
      <c r="K35" s="101">
        <f t="shared" si="14"/>
        <v>4.9751049108825223E-3</v>
      </c>
      <c r="L35" s="114">
        <v>3.8</v>
      </c>
      <c r="M35" s="101">
        <f t="shared" si="15"/>
        <v>9.3860000000000002E-3</v>
      </c>
      <c r="O35" s="35"/>
      <c r="P35" s="35"/>
      <c r="Q35" s="35"/>
      <c r="R35" s="35"/>
      <c r="S35" s="35"/>
    </row>
    <row r="36" spans="1:21" x14ac:dyDescent="0.2">
      <c r="A36" s="2" t="s">
        <v>105</v>
      </c>
      <c r="B36" s="111">
        <v>52.023969000000001</v>
      </c>
      <c r="C36" s="97">
        <v>1.9E-2</v>
      </c>
      <c r="D36" s="99">
        <v>5.3E-3</v>
      </c>
      <c r="E36" s="98">
        <f t="shared" si="13"/>
        <v>2.4299999999999999E-2</v>
      </c>
      <c r="F36" s="98">
        <v>2.4E-2</v>
      </c>
      <c r="G36" s="26"/>
      <c r="H36" s="114">
        <v>1.5</v>
      </c>
      <c r="I36" s="10"/>
      <c r="J36" s="80">
        <v>15.6</v>
      </c>
      <c r="K36" s="97">
        <f t="shared" si="14"/>
        <v>2.3399999999999997E-2</v>
      </c>
      <c r="L36" s="137">
        <v>8.7788292450000007</v>
      </c>
      <c r="M36" s="97">
        <f t="shared" si="15"/>
        <v>1.31682438675E-2</v>
      </c>
      <c r="O36" s="35"/>
      <c r="P36" s="35"/>
      <c r="Q36" s="35"/>
      <c r="R36" s="35"/>
      <c r="S36" s="35"/>
    </row>
    <row r="37" spans="1:21" x14ac:dyDescent="0.2">
      <c r="A37" s="2" t="s">
        <v>151</v>
      </c>
      <c r="B37" s="111">
        <v>31.800677832000002</v>
      </c>
      <c r="C37" s="101">
        <v>7.1999999999999998E-3</v>
      </c>
      <c r="D37" s="99">
        <v>3.3E-3</v>
      </c>
      <c r="E37" s="98">
        <f t="shared" si="13"/>
        <v>1.0499999999999999E-2</v>
      </c>
      <c r="F37" s="98">
        <v>1.0999999999999999E-2</v>
      </c>
      <c r="G37" s="26"/>
      <c r="H37" s="114">
        <v>2.6</v>
      </c>
      <c r="I37" s="10"/>
      <c r="J37" s="80">
        <v>1.7</v>
      </c>
      <c r="K37" s="101">
        <f t="shared" si="14"/>
        <v>4.4200000000000003E-3</v>
      </c>
      <c r="L37" s="137">
        <v>1.3108823250000001</v>
      </c>
      <c r="M37" s="101">
        <f t="shared" si="15"/>
        <v>3.4082940450000003E-3</v>
      </c>
      <c r="O37" s="35"/>
      <c r="P37" s="35"/>
      <c r="Q37" s="35"/>
      <c r="R37" s="35"/>
      <c r="S37" s="35"/>
    </row>
    <row r="38" spans="1:21" x14ac:dyDescent="0.2">
      <c r="A38" s="2" t="s">
        <v>152</v>
      </c>
      <c r="B38" s="155">
        <f>SUM(B30:B37)</f>
        <v>343.51873657128505</v>
      </c>
      <c r="C38" s="34">
        <f>SUM(C30:C35)</f>
        <v>0.1450721025078745</v>
      </c>
      <c r="D38" s="68">
        <f>SUM(D30:D37)</f>
        <v>6.3923971774207777E-2</v>
      </c>
      <c r="E38" s="74">
        <f>SUM(E30:E37)</f>
        <v>0.23519607428208228</v>
      </c>
      <c r="F38" s="74">
        <f>SUM(F30:F35)</f>
        <v>0.18479999999999999</v>
      </c>
      <c r="G38" s="26"/>
      <c r="H38" s="4"/>
      <c r="I38" s="10" t="s">
        <v>26</v>
      </c>
      <c r="J38" s="155">
        <f>SUM(J30:J37)</f>
        <v>47.226197809660654</v>
      </c>
      <c r="K38" s="34">
        <f>SUM(K30:K37)</f>
        <v>0.18767107696688889</v>
      </c>
      <c r="L38" s="155">
        <f>SUM(L30:L37)</f>
        <v>50.681639846750009</v>
      </c>
      <c r="M38" s="34">
        <f>SUM(M30:M37)</f>
        <v>0.20830566849075249</v>
      </c>
      <c r="O38" s="35"/>
      <c r="P38" s="35"/>
      <c r="Q38" s="35"/>
      <c r="R38" s="35"/>
      <c r="S38" s="35"/>
      <c r="U38" s="134">
        <f>D38/E38</f>
        <v>0.27179013072106212</v>
      </c>
    </row>
    <row r="39" spans="1:21" x14ac:dyDescent="0.2">
      <c r="A39" s="2" t="s">
        <v>152</v>
      </c>
      <c r="B39" s="37"/>
      <c r="C39" s="38"/>
      <c r="D39" s="33"/>
      <c r="E39" s="33"/>
      <c r="F39" s="33"/>
      <c r="G39" s="26"/>
      <c r="H39" s="114">
        <v>4.6500000000000004</v>
      </c>
      <c r="I39" s="87" t="s">
        <v>153</v>
      </c>
      <c r="J39" s="155">
        <f>SUM(J30:J37)</f>
        <v>47.226197809660654</v>
      </c>
      <c r="K39" s="34">
        <f t="shared" si="14"/>
        <v>0.21960181981492208</v>
      </c>
      <c r="L39" s="155">
        <f>SUM(L30:L37)</f>
        <v>50.681639846750009</v>
      </c>
      <c r="M39" s="34">
        <f>L39*H39/1000</f>
        <v>0.23566962528738755</v>
      </c>
      <c r="O39" s="35"/>
      <c r="P39" s="35"/>
      <c r="Q39" s="35"/>
      <c r="R39" s="35"/>
      <c r="S39" s="35"/>
    </row>
    <row r="40" spans="1:21" ht="16" x14ac:dyDescent="0.2">
      <c r="A40" s="14" t="s">
        <v>25</v>
      </c>
      <c r="B40" s="37"/>
      <c r="C40" s="26"/>
      <c r="D40" s="26"/>
      <c r="E40" s="28"/>
      <c r="F40" s="26"/>
      <c r="G40" s="26"/>
      <c r="H40" s="27"/>
      <c r="I40" s="10"/>
      <c r="K40" s="26"/>
      <c r="M40" s="26"/>
      <c r="O40" s="35"/>
      <c r="P40" s="35"/>
      <c r="Q40" s="35"/>
      <c r="R40" s="35"/>
      <c r="S40" s="35"/>
    </row>
    <row r="41" spans="1:21" x14ac:dyDescent="0.2">
      <c r="A41" s="2" t="s">
        <v>1</v>
      </c>
      <c r="B41" s="111">
        <f>SUM(B19,B30)</f>
        <v>171.40355571286602</v>
      </c>
      <c r="C41" s="78">
        <f t="shared" ref="C41" si="16">C19+C30</f>
        <v>9.8372707196267575E-2</v>
      </c>
      <c r="D41" s="68">
        <f t="shared" ref="D41:F48" si="17">D19+D30</f>
        <v>2.4984726283218885E-2</v>
      </c>
      <c r="E41" s="78">
        <f t="shared" ref="E41:F41" si="18">E19+E30</f>
        <v>0.12335743347948645</v>
      </c>
      <c r="F41" s="97">
        <f t="shared" si="18"/>
        <v>5.9369082188895098E-2</v>
      </c>
      <c r="G41" s="26"/>
      <c r="H41" s="8"/>
      <c r="I41" s="10"/>
      <c r="J41" s="65">
        <f>J19+J30</f>
        <v>41.186520617427917</v>
      </c>
      <c r="K41" s="78">
        <f>K19+K30</f>
        <v>0.33369718300759749</v>
      </c>
      <c r="L41" s="111">
        <f>L19+L30</f>
        <v>42.23852196</v>
      </c>
      <c r="M41" s="78">
        <f>M19+M30</f>
        <v>0.34219259152990994</v>
      </c>
      <c r="O41" s="34">
        <f>D41+K41</f>
        <v>0.35868190929081639</v>
      </c>
      <c r="P41" s="34">
        <f>D41+M41</f>
        <v>0.36717731781312885</v>
      </c>
      <c r="Q41" s="51"/>
      <c r="R41" s="51"/>
      <c r="S41" s="51"/>
    </row>
    <row r="42" spans="1:21" x14ac:dyDescent="0.2">
      <c r="A42" s="2" t="s">
        <v>2</v>
      </c>
      <c r="B42" s="111">
        <f>SUM(B20,B31)</f>
        <v>455.92362156151501</v>
      </c>
      <c r="C42" s="78">
        <f t="shared" ref="C42" si="19">C20+C31</f>
        <v>0.28487718136756085</v>
      </c>
      <c r="D42" s="68">
        <f t="shared" si="17"/>
        <v>5.2446857526434049E-2</v>
      </c>
      <c r="E42" s="78">
        <f t="shared" ref="E42:F46" si="20">E20+E31</f>
        <v>0.33732403889399493</v>
      </c>
      <c r="F42" s="78">
        <f t="shared" si="20"/>
        <v>0.4249747117026989</v>
      </c>
      <c r="G42" s="26"/>
      <c r="H42" s="4"/>
      <c r="I42" s="10"/>
      <c r="J42" s="65">
        <f t="shared" ref="J42:J45" si="21">J20+J31</f>
        <v>117.37861205673541</v>
      </c>
      <c r="K42" s="78">
        <f>K20+K31</f>
        <v>0.41441788056993134</v>
      </c>
      <c r="L42" s="111">
        <f t="shared" ref="L42:L45" si="22">L20+L31</f>
        <v>87.282836640499994</v>
      </c>
      <c r="M42" s="78">
        <f>M20+M31</f>
        <v>0.31741357062290998</v>
      </c>
      <c r="O42" s="34">
        <f t="shared" ref="O42:O45" si="23">D42+K42</f>
        <v>0.46686473809636542</v>
      </c>
      <c r="P42" s="30">
        <f t="shared" ref="P42:P45" si="24">D42+M42</f>
        <v>0.36986042814934406</v>
      </c>
      <c r="Q42" s="51"/>
      <c r="R42" s="51"/>
      <c r="S42" s="51"/>
    </row>
    <row r="43" spans="1:21" x14ac:dyDescent="0.2">
      <c r="A43" s="2" t="s">
        <v>3</v>
      </c>
      <c r="B43" s="111">
        <f>SUM(B21,B32)</f>
        <v>22.120468177770004</v>
      </c>
      <c r="C43" s="97">
        <f t="shared" ref="C43" si="25">C21+C32</f>
        <v>1.1539793932031167E-2</v>
      </c>
      <c r="D43" s="99">
        <f t="shared" si="17"/>
        <v>4.5502908674993434E-3</v>
      </c>
      <c r="E43" s="97">
        <f t="shared" si="20"/>
        <v>1.6090084799530509E-2</v>
      </c>
      <c r="F43" s="97">
        <f t="shared" si="20"/>
        <v>2.1999999999999999E-2</v>
      </c>
      <c r="G43" s="26"/>
      <c r="H43" s="4"/>
      <c r="I43" s="10"/>
      <c r="J43" s="80">
        <f t="shared" si="21"/>
        <v>1.4993947187134875</v>
      </c>
      <c r="K43" s="97">
        <f>K21+K32</f>
        <v>8.8914106819709803E-3</v>
      </c>
      <c r="L43" s="114">
        <f t="shared" si="22"/>
        <v>1.3417262452499998</v>
      </c>
      <c r="M43" s="78">
        <f>M21+M32</f>
        <v>7.9564366343324987E-3</v>
      </c>
      <c r="O43" s="30">
        <f t="shared" si="23"/>
        <v>1.3441701549470324E-2</v>
      </c>
      <c r="P43" s="30">
        <f t="shared" si="24"/>
        <v>1.2506727501831842E-2</v>
      </c>
      <c r="Q43" s="51"/>
      <c r="R43" s="51"/>
      <c r="S43" s="51"/>
    </row>
    <row r="44" spans="1:21" x14ac:dyDescent="0.2">
      <c r="A44" s="2" t="s">
        <v>4</v>
      </c>
      <c r="B44" s="111">
        <f>SUM(B22,B33)</f>
        <v>102.341694194967</v>
      </c>
      <c r="C44" s="97">
        <f t="shared" ref="C44" si="26">C22+C33</f>
        <v>6.0897425133232944E-2</v>
      </c>
      <c r="D44" s="68">
        <f t="shared" si="17"/>
        <v>2.206664532292197E-2</v>
      </c>
      <c r="E44" s="97">
        <f t="shared" si="20"/>
        <v>8.296407045615492E-2</v>
      </c>
      <c r="F44" s="78">
        <f t="shared" si="20"/>
        <v>0.10300000000000001</v>
      </c>
      <c r="G44" s="26"/>
      <c r="H44" s="4"/>
      <c r="I44" s="10"/>
      <c r="J44" s="65">
        <f t="shared" si="21"/>
        <v>33.818294265326976</v>
      </c>
      <c r="K44" s="97">
        <f>K22+K33</f>
        <v>8.9763182998251104E-2</v>
      </c>
      <c r="L44" s="111">
        <f t="shared" si="22"/>
        <v>42.864509210249999</v>
      </c>
      <c r="M44" s="78">
        <f>M22+M33</f>
        <v>0.11463321044675501</v>
      </c>
      <c r="O44" s="34">
        <f t="shared" si="23"/>
        <v>0.11182982832117308</v>
      </c>
      <c r="P44" s="34">
        <f t="shared" si="24"/>
        <v>0.13669985576967697</v>
      </c>
      <c r="Q44" s="51"/>
      <c r="R44" s="51"/>
      <c r="S44" s="51"/>
    </row>
    <row r="45" spans="1:21" x14ac:dyDescent="0.2">
      <c r="A45" s="2" t="s">
        <v>5</v>
      </c>
      <c r="B45" s="114">
        <f t="shared" ref="B45:B48" si="27">SUM(B23,B34)</f>
        <v>0.65</v>
      </c>
      <c r="C45" s="104">
        <f t="shared" ref="C45" si="28">C23+C34</f>
        <v>4.5670731399127167E-4</v>
      </c>
      <c r="D45" s="102">
        <f t="shared" si="17"/>
        <v>1.1808078051335029E-4</v>
      </c>
      <c r="E45" s="104">
        <f t="shared" si="20"/>
        <v>5.7478809450462191E-4</v>
      </c>
      <c r="F45" s="104">
        <f t="shared" si="20"/>
        <v>8.0000000000000004E-4</v>
      </c>
      <c r="G45" s="26"/>
      <c r="H45" s="4"/>
      <c r="I45" s="10"/>
      <c r="J45" s="68">
        <f t="shared" si="21"/>
        <v>7.9978643134320845E-3</v>
      </c>
      <c r="K45" s="77">
        <v>0</v>
      </c>
      <c r="L45" s="113">
        <f t="shared" si="22"/>
        <v>1.0999999999999999E-2</v>
      </c>
      <c r="M45" s="77">
        <f>0</f>
        <v>0</v>
      </c>
      <c r="O45" s="130">
        <f t="shared" si="23"/>
        <v>1.1808078051335029E-4</v>
      </c>
      <c r="P45" s="130">
        <f t="shared" si="24"/>
        <v>1.1808078051335029E-4</v>
      </c>
      <c r="Q45" s="51"/>
      <c r="R45" s="51"/>
      <c r="S45" s="51"/>
    </row>
    <row r="46" spans="1:21" x14ac:dyDescent="0.2">
      <c r="A46" s="2" t="s">
        <v>97</v>
      </c>
      <c r="B46" s="111">
        <f t="shared" si="27"/>
        <v>83.4</v>
      </c>
      <c r="C46" s="97">
        <f t="shared" ref="C46:C48" si="29">C24+C35</f>
        <v>4.0832031882416374E-2</v>
      </c>
      <c r="D46" s="99">
        <f t="shared" si="17"/>
        <v>7.4797779518329206E-3</v>
      </c>
      <c r="E46" s="97">
        <f t="shared" si="20"/>
        <v>4.8311809834249292E-2</v>
      </c>
      <c r="F46" s="97">
        <f t="shared" si="20"/>
        <v>4.4293498024153694E-2</v>
      </c>
      <c r="G46" s="26"/>
      <c r="H46" s="7"/>
      <c r="I46" s="10"/>
      <c r="J46" s="65">
        <f>J24+J35</f>
        <v>33.105823852739206</v>
      </c>
      <c r="K46" s="97">
        <f>K24+K35</f>
        <v>3.606671624909439E-2</v>
      </c>
      <c r="L46" s="111">
        <f>L24+L35</f>
        <v>27</v>
      </c>
      <c r="M46" s="78">
        <f>M24+M35</f>
        <v>3.2585999999999997E-2</v>
      </c>
      <c r="O46" s="30">
        <f t="shared" ref="O46" si="30">D46+K46</f>
        <v>4.3546494200927308E-2</v>
      </c>
      <c r="P46" s="30">
        <f t="shared" ref="P46" si="31">D46+M46</f>
        <v>4.0065777951832915E-2</v>
      </c>
      <c r="Q46" s="51"/>
      <c r="R46" s="51"/>
      <c r="S46" s="51"/>
    </row>
    <row r="47" spans="1:21" x14ac:dyDescent="0.2">
      <c r="A47" s="2" t="s">
        <v>105</v>
      </c>
      <c r="B47" s="136">
        <f t="shared" si="27"/>
        <v>113.22396900000001</v>
      </c>
      <c r="C47" s="97">
        <f t="shared" si="29"/>
        <v>3.6999999999999998E-2</v>
      </c>
      <c r="D47" s="99">
        <f t="shared" si="17"/>
        <v>1.0499999999999999E-2</v>
      </c>
      <c r="E47" s="97">
        <f t="shared" si="17"/>
        <v>4.7500000000000001E-2</v>
      </c>
      <c r="F47" s="97">
        <f t="shared" si="17"/>
        <v>4.8000000000000001E-2</v>
      </c>
      <c r="G47" s="26"/>
      <c r="H47" s="7"/>
      <c r="I47" s="10"/>
      <c r="J47" s="65">
        <f t="shared" ref="J47:K47" si="32">J25+J36</f>
        <v>31.6</v>
      </c>
      <c r="K47" s="97">
        <f t="shared" si="32"/>
        <v>3.9399999999999998E-2</v>
      </c>
      <c r="L47" s="136">
        <f t="shared" ref="L47:M48" si="33">L25+L36</f>
        <v>22.30949352</v>
      </c>
      <c r="M47" s="78">
        <f t="shared" si="33"/>
        <v>2.6698908142499998E-2</v>
      </c>
      <c r="O47" s="30">
        <f t="shared" ref="O47:O48" si="34">D47+K47</f>
        <v>4.99E-2</v>
      </c>
      <c r="P47" s="30">
        <f t="shared" ref="P47:P48" si="35">D47+M47</f>
        <v>3.7198908142500001E-2</v>
      </c>
      <c r="Q47" s="51"/>
      <c r="R47" s="51"/>
      <c r="S47" s="51"/>
    </row>
    <row r="48" spans="1:21" x14ac:dyDescent="0.2">
      <c r="A48" s="2" t="s">
        <v>151</v>
      </c>
      <c r="B48" s="136">
        <f t="shared" si="27"/>
        <v>1057.9649278320001</v>
      </c>
      <c r="C48" s="78">
        <f t="shared" si="29"/>
        <v>0.4572</v>
      </c>
      <c r="D48" s="176">
        <f t="shared" si="17"/>
        <v>5.8299999999999998E-2</v>
      </c>
      <c r="E48" s="78">
        <f t="shared" si="17"/>
        <v>0.51549999999999996</v>
      </c>
      <c r="F48" s="78">
        <f t="shared" si="17"/>
        <v>0.53100000000000003</v>
      </c>
      <c r="G48" s="26"/>
      <c r="H48" s="7"/>
      <c r="I48" s="10"/>
      <c r="J48" s="65">
        <f>J26+J37</f>
        <v>288.7</v>
      </c>
      <c r="K48" s="97">
        <f t="shared" ref="K48" si="36">K26+K37</f>
        <v>0.49231999999999998</v>
      </c>
      <c r="L48" s="136">
        <f t="shared" si="33"/>
        <v>278.83782471000001</v>
      </c>
      <c r="M48" s="78">
        <f t="shared" si="33"/>
        <v>0.47520409609949993</v>
      </c>
      <c r="O48" s="30">
        <f t="shared" si="34"/>
        <v>0.55062</v>
      </c>
      <c r="P48" s="30">
        <f t="shared" si="35"/>
        <v>0.53350409609949989</v>
      </c>
      <c r="Q48" s="51"/>
      <c r="R48" s="51"/>
      <c r="S48" s="51"/>
    </row>
    <row r="49" spans="1:23" x14ac:dyDescent="0.2">
      <c r="A49" s="2" t="s">
        <v>152</v>
      </c>
      <c r="B49" s="155">
        <f>SUM(B41:B48)</f>
        <v>2007.028236479118</v>
      </c>
      <c r="C49" s="34">
        <f>C27+C38</f>
        <v>0.96497584682550031</v>
      </c>
      <c r="D49" s="79">
        <f>D27+D38</f>
        <v>0.1804463787324205</v>
      </c>
      <c r="E49" s="88">
        <f>E27+E38</f>
        <v>1.1716222255579207</v>
      </c>
      <c r="F49" s="88">
        <f t="shared" ref="F49" si="37">F27+F38</f>
        <v>1.1984372919157478</v>
      </c>
      <c r="G49" s="26"/>
      <c r="H49" s="4"/>
      <c r="I49" s="10" t="s">
        <v>26</v>
      </c>
      <c r="J49" s="155">
        <f>SUM(J41:J48)</f>
        <v>547.29664337525651</v>
      </c>
      <c r="K49" s="15">
        <f>K27+K38</f>
        <v>1.4145563735068456</v>
      </c>
      <c r="L49" s="155">
        <f>SUM(L41:L48)</f>
        <v>501.88591228599995</v>
      </c>
      <c r="M49" s="15">
        <f>M27+M38</f>
        <v>1.3166848134759075</v>
      </c>
      <c r="O49" s="88">
        <f>K49+$D$49</f>
        <v>1.595002752239266</v>
      </c>
      <c r="P49" s="88">
        <f>M49+$D$49</f>
        <v>1.4971311922083279</v>
      </c>
      <c r="Q49" s="51"/>
      <c r="U49" s="134">
        <f>D49/E49</f>
        <v>0.15401413083171311</v>
      </c>
      <c r="V49" s="134">
        <f>D49/O49</f>
        <v>0.11313233063647515</v>
      </c>
      <c r="W49" s="134">
        <f>D49/P49</f>
        <v>0.12052810045741878</v>
      </c>
    </row>
    <row r="50" spans="1:23" x14ac:dyDescent="0.2">
      <c r="A50" s="2" t="s">
        <v>152</v>
      </c>
      <c r="B50" s="37"/>
      <c r="C50" s="33"/>
      <c r="D50" s="33"/>
      <c r="E50" s="33"/>
      <c r="F50" s="33"/>
      <c r="G50" s="26"/>
      <c r="H50" s="4"/>
      <c r="I50" s="87" t="s">
        <v>153</v>
      </c>
      <c r="J50" s="155">
        <f>J28+J39</f>
        <v>547.29664337525639</v>
      </c>
      <c r="K50" s="15">
        <f>K28+K39</f>
        <v>1.2447462332243935</v>
      </c>
      <c r="L50" s="155">
        <f t="shared" ref="L50" si="38">L28+L39</f>
        <v>501.88591228599995</v>
      </c>
      <c r="M50" s="15">
        <f>M28+M39</f>
        <v>1.16063838378785</v>
      </c>
      <c r="O50" s="88">
        <f>K50+$D$49</f>
        <v>1.4251926119568139</v>
      </c>
      <c r="P50" s="88">
        <f>M50+$D$49</f>
        <v>1.3410847625202704</v>
      </c>
      <c r="Q50" s="51"/>
      <c r="R50" s="71" t="s">
        <v>179</v>
      </c>
      <c r="S50" s="69" t="s">
        <v>154</v>
      </c>
    </row>
    <row r="51" spans="1:23" ht="16" x14ac:dyDescent="0.2">
      <c r="A51" s="14" t="s">
        <v>15</v>
      </c>
      <c r="B51" s="37"/>
      <c r="C51" s="26"/>
      <c r="D51" s="26"/>
      <c r="E51" s="28"/>
      <c r="F51" s="26"/>
      <c r="G51" s="26"/>
      <c r="H51" s="26"/>
      <c r="I51" s="10"/>
      <c r="K51" s="26"/>
      <c r="M51" s="26"/>
      <c r="O51" s="51"/>
      <c r="P51" s="51"/>
      <c r="Q51" s="51"/>
      <c r="R51" s="88">
        <f>AVERAGE(E49,F49,O49,O50,P49,P50)</f>
        <v>1.3714118060663913</v>
      </c>
      <c r="S51" s="79">
        <f>R51/8</f>
        <v>0.17142647575829892</v>
      </c>
    </row>
    <row r="52" spans="1:23" x14ac:dyDescent="0.2">
      <c r="A52" s="2" t="s">
        <v>1</v>
      </c>
      <c r="B52" s="111">
        <f t="shared" ref="B52:B59" si="39">B41</f>
        <v>171.40355571286602</v>
      </c>
      <c r="C52" s="78">
        <v>0.11</v>
      </c>
      <c r="D52" s="68">
        <v>2.8532955538074917E-2</v>
      </c>
      <c r="E52" s="78">
        <f>C52+D52</f>
        <v>0.13853295553807493</v>
      </c>
      <c r="F52" s="97">
        <v>6.9314226662910761E-2</v>
      </c>
      <c r="G52" s="26"/>
      <c r="H52" s="114">
        <v>8.11</v>
      </c>
      <c r="I52" s="10"/>
      <c r="J52" s="65">
        <v>37.788542354575959</v>
      </c>
      <c r="K52" s="78">
        <f>J52*H52/1000</f>
        <v>0.306465078495611</v>
      </c>
      <c r="L52" s="111">
        <v>42.23852196</v>
      </c>
      <c r="M52" s="78">
        <f>L52*H52/1000</f>
        <v>0.34255441309559997</v>
      </c>
      <c r="O52" s="34">
        <f>D52+K52</f>
        <v>0.33499803403368589</v>
      </c>
      <c r="P52" s="34">
        <f>D52+M52</f>
        <v>0.37108736863367486</v>
      </c>
      <c r="Q52" s="51"/>
      <c r="R52" s="51"/>
      <c r="S52" s="51"/>
    </row>
    <row r="53" spans="1:23" x14ac:dyDescent="0.2">
      <c r="A53" s="2" t="s">
        <v>2</v>
      </c>
      <c r="B53" s="111">
        <f t="shared" si="39"/>
        <v>455.92362156151501</v>
      </c>
      <c r="C53" s="78">
        <v>0.3781162931053651</v>
      </c>
      <c r="D53" s="68">
        <v>5.8376253993480579E-2</v>
      </c>
      <c r="E53" s="78">
        <f t="shared" ref="E53:E59" si="40">C53+D53</f>
        <v>0.43649254709884566</v>
      </c>
      <c r="F53" s="78">
        <v>0.366033995898083</v>
      </c>
      <c r="G53" s="26"/>
      <c r="H53" s="114">
        <v>3.62</v>
      </c>
      <c r="I53" s="10"/>
      <c r="J53" s="65">
        <v>170.55084068407692</v>
      </c>
      <c r="K53" s="78">
        <f t="shared" ref="K53:K59" si="41">J53*H53/1000</f>
        <v>0.6173940432763585</v>
      </c>
      <c r="L53" s="111">
        <v>87</v>
      </c>
      <c r="M53" s="78">
        <f t="shared" ref="M53:M59" si="42">L53*H53/1000</f>
        <v>0.31494</v>
      </c>
      <c r="O53" s="30">
        <f t="shared" ref="O53:O55" si="43">D53+K53</f>
        <v>0.67577029726983906</v>
      </c>
      <c r="P53" s="34">
        <f t="shared" ref="P53:P55" si="44">D53+M53</f>
        <v>0.37331625399348056</v>
      </c>
      <c r="R53" s="51"/>
      <c r="S53" s="51"/>
    </row>
    <row r="54" spans="1:23" x14ac:dyDescent="0.2">
      <c r="A54" s="2" t="s">
        <v>3</v>
      </c>
      <c r="B54" s="111">
        <f t="shared" si="39"/>
        <v>22.120468177770004</v>
      </c>
      <c r="C54" s="97">
        <v>1.0163464104815749E-2</v>
      </c>
      <c r="D54" s="99">
        <v>4.763475744807788E-3</v>
      </c>
      <c r="E54" s="78">
        <f t="shared" si="40"/>
        <v>1.4926939849623537E-2</v>
      </c>
      <c r="F54" s="97">
        <v>2.9326958883632709E-2</v>
      </c>
      <c r="G54" s="26"/>
      <c r="H54" s="114">
        <v>5.93</v>
      </c>
      <c r="I54" s="10"/>
      <c r="J54" s="80">
        <v>1.7329582552555267</v>
      </c>
      <c r="K54" s="97">
        <f t="shared" si="41"/>
        <v>1.0276442453665274E-2</v>
      </c>
      <c r="L54" s="114">
        <v>1.3417262452499998</v>
      </c>
      <c r="M54" s="101">
        <f t="shared" si="42"/>
        <v>7.9564366343324987E-3</v>
      </c>
      <c r="O54" s="30">
        <f t="shared" si="43"/>
        <v>1.5039918198473062E-2</v>
      </c>
      <c r="P54" s="30">
        <f t="shared" si="44"/>
        <v>1.2719912379140287E-2</v>
      </c>
      <c r="Q54" s="51"/>
      <c r="R54" s="51"/>
      <c r="S54" s="51"/>
    </row>
    <row r="55" spans="1:23" x14ac:dyDescent="0.2">
      <c r="A55" s="2" t="s">
        <v>4</v>
      </c>
      <c r="B55" s="111">
        <f t="shared" si="39"/>
        <v>102.341694194967</v>
      </c>
      <c r="C55" s="97">
        <v>8.6043820662332307E-2</v>
      </c>
      <c r="D55" s="68">
        <v>1.7677664554369716E-2</v>
      </c>
      <c r="E55" s="78">
        <f t="shared" si="40"/>
        <v>0.10372148521670202</v>
      </c>
      <c r="F55" s="78">
        <v>0.11273650092212716</v>
      </c>
      <c r="G55" s="26"/>
      <c r="H55" s="114">
        <v>3.03</v>
      </c>
      <c r="I55" s="10"/>
      <c r="J55" s="65">
        <v>63.869306764496514</v>
      </c>
      <c r="K55" s="78">
        <f t="shared" si="41"/>
        <v>0.19352399949642443</v>
      </c>
      <c r="L55" s="111">
        <v>42.919817707249997</v>
      </c>
      <c r="M55" s="78">
        <f t="shared" si="42"/>
        <v>0.13004704765296748</v>
      </c>
      <c r="O55" s="34">
        <f t="shared" si="43"/>
        <v>0.21120166405079416</v>
      </c>
      <c r="P55" s="34">
        <f t="shared" si="44"/>
        <v>0.14772471220733721</v>
      </c>
      <c r="Q55" s="51"/>
      <c r="R55" s="51"/>
      <c r="S55" s="51"/>
    </row>
    <row r="56" spans="1:23" x14ac:dyDescent="0.2">
      <c r="A56" s="2" t="s">
        <v>5</v>
      </c>
      <c r="B56" s="114">
        <f t="shared" si="39"/>
        <v>0.65</v>
      </c>
      <c r="C56" s="104">
        <v>4.2790070634839139E-4</v>
      </c>
      <c r="D56" s="102">
        <v>1.4266059498565424E-4</v>
      </c>
      <c r="E56" s="104">
        <f t="shared" si="40"/>
        <v>5.7056130133404563E-4</v>
      </c>
      <c r="F56" s="101">
        <v>1.1741013908939174E-3</v>
      </c>
      <c r="G56" s="26"/>
      <c r="H56" s="114" t="s">
        <v>19</v>
      </c>
      <c r="I56" s="10"/>
      <c r="J56" s="68">
        <v>1.0815216374602827E-2</v>
      </c>
      <c r="K56" s="106" t="s">
        <v>32</v>
      </c>
      <c r="L56" s="113">
        <v>1.2E-2</v>
      </c>
      <c r="M56" s="106" t="s">
        <v>32</v>
      </c>
      <c r="O56" s="75" t="s">
        <v>32</v>
      </c>
      <c r="P56" s="30" t="s">
        <v>32</v>
      </c>
      <c r="Q56" s="76" t="s">
        <v>93</v>
      </c>
      <c r="R56" s="51"/>
      <c r="S56" s="51"/>
    </row>
    <row r="57" spans="1:23" x14ac:dyDescent="0.2">
      <c r="A57" s="2" t="s">
        <v>97</v>
      </c>
      <c r="B57" s="111">
        <f t="shared" si="39"/>
        <v>83.4</v>
      </c>
      <c r="C57" s="97">
        <v>6.9903476356875799E-2</v>
      </c>
      <c r="D57" s="68">
        <v>1.3995507753683089E-2</v>
      </c>
      <c r="E57" s="97">
        <f t="shared" si="40"/>
        <v>8.3898984110558891E-2</v>
      </c>
      <c r="F57" s="97">
        <v>9.7794308477710118E-2</v>
      </c>
      <c r="G57" s="26"/>
      <c r="H57" s="114">
        <v>1.3</v>
      </c>
      <c r="I57" s="10"/>
      <c r="J57" s="65">
        <v>74.348014729203882</v>
      </c>
      <c r="K57" s="97">
        <f t="shared" si="41"/>
        <v>9.6652419147965046E-2</v>
      </c>
      <c r="L57" s="111">
        <v>27</v>
      </c>
      <c r="M57" s="78">
        <f t="shared" si="42"/>
        <v>3.5099999999999999E-2</v>
      </c>
      <c r="O57" s="34">
        <f t="shared" ref="O57:O59" si="45">D57+K57</f>
        <v>0.11064792690164814</v>
      </c>
      <c r="P57" s="30">
        <f t="shared" ref="P57:P59" si="46">D57+M57</f>
        <v>4.9095507753683085E-2</v>
      </c>
      <c r="Q57" s="33"/>
      <c r="R57" s="51"/>
      <c r="S57" s="51"/>
    </row>
    <row r="58" spans="1:23" x14ac:dyDescent="0.2">
      <c r="A58" s="2" t="s">
        <v>105</v>
      </c>
      <c r="B58" s="136">
        <f t="shared" si="39"/>
        <v>113.22396900000001</v>
      </c>
      <c r="C58" s="176">
        <v>4.6972712013818731E-2</v>
      </c>
      <c r="D58" s="68">
        <v>1.0999999999999999E-2</v>
      </c>
      <c r="E58" s="97">
        <f t="shared" si="40"/>
        <v>5.7972712013818734E-2</v>
      </c>
      <c r="F58" s="97">
        <v>5.8000000000000003E-2</v>
      </c>
      <c r="G58" s="26"/>
      <c r="H58" s="114">
        <v>1.2</v>
      </c>
      <c r="I58" s="10"/>
      <c r="J58" s="65">
        <v>45</v>
      </c>
      <c r="K58" s="97">
        <f t="shared" si="41"/>
        <v>5.3999999999999999E-2</v>
      </c>
      <c r="L58" s="136">
        <v>22.30949352</v>
      </c>
      <c r="M58" s="78">
        <f t="shared" si="42"/>
        <v>2.6771392224000001E-2</v>
      </c>
      <c r="O58" s="34">
        <f t="shared" si="45"/>
        <v>6.5000000000000002E-2</v>
      </c>
      <c r="P58" s="30">
        <f t="shared" si="46"/>
        <v>3.7771392224E-2</v>
      </c>
      <c r="Q58" s="33"/>
      <c r="R58" s="51"/>
      <c r="S58" s="51"/>
    </row>
    <row r="59" spans="1:23" x14ac:dyDescent="0.2">
      <c r="A59" s="2" t="s">
        <v>151</v>
      </c>
      <c r="B59" s="136">
        <f t="shared" si="39"/>
        <v>1057.9649278320001</v>
      </c>
      <c r="C59" s="79">
        <v>0.62</v>
      </c>
      <c r="D59" s="68">
        <v>6.4000000000000001E-2</v>
      </c>
      <c r="E59" s="78">
        <f t="shared" si="40"/>
        <v>0.68399999999999994</v>
      </c>
      <c r="F59" s="78">
        <v>0.67</v>
      </c>
      <c r="G59" s="26"/>
      <c r="H59" s="114">
        <v>1.7</v>
      </c>
      <c r="I59" s="10"/>
      <c r="J59" s="65">
        <v>407</v>
      </c>
      <c r="K59" s="78">
        <f t="shared" si="41"/>
        <v>0.69189999999999996</v>
      </c>
      <c r="L59" s="136">
        <v>278.83782471000001</v>
      </c>
      <c r="M59" s="78">
        <f t="shared" si="42"/>
        <v>0.47402430200700002</v>
      </c>
      <c r="O59" s="85">
        <f t="shared" si="45"/>
        <v>0.75590000000000002</v>
      </c>
      <c r="P59" s="34">
        <f t="shared" si="46"/>
        <v>0.53802430200700002</v>
      </c>
      <c r="Q59" s="76" t="s">
        <v>94</v>
      </c>
      <c r="R59" s="51"/>
      <c r="S59" s="51"/>
    </row>
    <row r="60" spans="1:23" x14ac:dyDescent="0.2">
      <c r="A60" s="2" t="s">
        <v>152</v>
      </c>
      <c r="B60" s="155">
        <f>SUM(B52:B59)</f>
        <v>2007.028236479118</v>
      </c>
      <c r="C60" s="15">
        <f>SUM(C52:C59)</f>
        <v>1.3216276669495559</v>
      </c>
      <c r="D60" s="79">
        <f>SUM(D52:D59)</f>
        <v>0.19848851817940175</v>
      </c>
      <c r="E60" s="15">
        <f>SUM(E52:E59)</f>
        <v>1.5201161851289577</v>
      </c>
      <c r="F60" s="88">
        <f>SUM(F52:F59)</f>
        <v>1.4043800922353578</v>
      </c>
      <c r="G60" s="26"/>
      <c r="H60" s="4"/>
      <c r="I60" s="10" t="s">
        <v>26</v>
      </c>
      <c r="J60" s="155">
        <f>SUM(J52:J59)</f>
        <v>800.30047800398347</v>
      </c>
      <c r="K60" s="15">
        <f>SUM(K52:K59)</f>
        <v>1.9702119828700242</v>
      </c>
      <c r="L60" s="155">
        <f>SUM(L52:L59)</f>
        <v>501.65938414250002</v>
      </c>
      <c r="M60" s="15">
        <f>SUM(M52:M59)</f>
        <v>1.3313935916139001</v>
      </c>
      <c r="O60" s="173">
        <f>K60+$D$60</f>
        <v>2.1687005010494258</v>
      </c>
      <c r="P60" s="88">
        <f>M60+$D$60</f>
        <v>1.529882109793302</v>
      </c>
      <c r="Q60" s="51"/>
      <c r="U60" s="134">
        <f>D60/E60</f>
        <v>0.13057457062899647</v>
      </c>
      <c r="V60" s="134">
        <f>D60/O60</f>
        <v>9.1524172232797435E-2</v>
      </c>
      <c r="W60" s="134">
        <f>D60/P60</f>
        <v>0.12974105449616569</v>
      </c>
    </row>
    <row r="61" spans="1:23" x14ac:dyDescent="0.2">
      <c r="A61" s="2" t="s">
        <v>152</v>
      </c>
      <c r="C61" s="33"/>
      <c r="D61" s="33"/>
      <c r="E61" s="33"/>
      <c r="F61" s="33"/>
      <c r="G61" s="26"/>
      <c r="H61" s="114">
        <v>2.75</v>
      </c>
      <c r="I61" s="87" t="s">
        <v>153</v>
      </c>
      <c r="J61" s="155">
        <f>SUM(J52:J59)</f>
        <v>800.30047800398347</v>
      </c>
      <c r="K61" s="15">
        <f>J61*H61/1000</f>
        <v>2.2008263145109543</v>
      </c>
      <c r="L61" s="155">
        <f>L60</f>
        <v>501.65938414250002</v>
      </c>
      <c r="M61" s="15">
        <f>L61*H61/1000</f>
        <v>1.3795633063918751</v>
      </c>
      <c r="O61" s="88">
        <f>K61+$D$60</f>
        <v>2.3993148326903562</v>
      </c>
      <c r="P61" s="88">
        <f>M61+$D$60</f>
        <v>1.5780518245712769</v>
      </c>
      <c r="Q61" s="51"/>
      <c r="R61" s="71" t="s">
        <v>179</v>
      </c>
      <c r="S61" s="69" t="s">
        <v>154</v>
      </c>
    </row>
    <row r="62" spans="1:23" x14ac:dyDescent="0.2">
      <c r="O62" s="51"/>
      <c r="P62" s="51"/>
      <c r="Q62" s="51"/>
      <c r="R62" s="88">
        <f>AVERAGE(E60,F60,O60,O61,P60,P61)</f>
        <v>1.7667409242447796</v>
      </c>
      <c r="S62" s="79">
        <f>R62/8</f>
        <v>0.22084261553059745</v>
      </c>
    </row>
    <row r="63" spans="1:23" x14ac:dyDescent="0.2">
      <c r="O63" s="51"/>
      <c r="P63" s="51"/>
      <c r="Q63" s="51"/>
      <c r="R63" s="51"/>
      <c r="S63" s="51"/>
    </row>
    <row r="64" spans="1:23" ht="32" x14ac:dyDescent="0.2">
      <c r="O64" s="35"/>
      <c r="P64" s="35"/>
      <c r="Q64" s="35"/>
      <c r="R64" s="67" t="s">
        <v>90</v>
      </c>
      <c r="S64" s="70" t="s">
        <v>155</v>
      </c>
    </row>
    <row r="65" spans="18:19" x14ac:dyDescent="0.2">
      <c r="R65" s="88">
        <f>AVERAGE(R51,R62)</f>
        <v>1.5690763651555855</v>
      </c>
      <c r="S65" s="79">
        <f>AVERAGE(S51,S62)</f>
        <v>0.19613454564444818</v>
      </c>
    </row>
  </sheetData>
  <mergeCells count="2">
    <mergeCell ref="A1:S1"/>
    <mergeCell ref="A2:S2"/>
  </mergeCells>
  <conditionalFormatting sqref="A25:A26">
    <cfRule type="duplicateValues" dxfId="6" priority="1"/>
  </conditionalFormatting>
  <pageMargins left="0.7" right="0.7" top="0.75" bottom="0.75" header="0.3" footer="0.3"/>
  <pageSetup scale="48" orientation="landscape" horizontalDpi="1200" verticalDpi="1200" r:id="rId1"/>
  <headerFooter>
    <oddHeader>&amp;LDraft&amp;RU.S. GEOLOGICAL SURVEY</oddHeader>
    <oddFooter>&amp;LPRELIMINARY - SUBJECT TO REVISION&amp;RDecember 8, 2018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FF99"/>
    <pageSetUpPr fitToPage="1"/>
  </sheetPr>
  <dimension ref="A1:Q52"/>
  <sheetViews>
    <sheetView view="pageLayout" topLeftCell="A7" zoomScaleNormal="100" workbookViewId="0">
      <selection activeCell="L31" sqref="L31"/>
    </sheetView>
  </sheetViews>
  <sheetFormatPr baseColWidth="10" defaultColWidth="8.83203125" defaultRowHeight="15" x14ac:dyDescent="0.2"/>
  <cols>
    <col min="1" max="1" width="17.1640625" customWidth="1"/>
    <col min="2" max="2" width="10.6640625" customWidth="1"/>
    <col min="5" max="5" width="10.1640625" bestFit="1" customWidth="1"/>
    <col min="6" max="6" width="11" bestFit="1" customWidth="1"/>
    <col min="7" max="7" width="2.1640625" customWidth="1"/>
    <col min="8" max="8" width="5.1640625" customWidth="1"/>
    <col min="9" max="9" width="2.33203125" customWidth="1"/>
    <col min="11" max="11" width="9.6640625" bestFit="1" customWidth="1"/>
    <col min="12" max="12" width="11" customWidth="1"/>
    <col min="13" max="13" width="10.33203125" bestFit="1" customWidth="1"/>
    <col min="14" max="14" width="17" bestFit="1" customWidth="1"/>
    <col min="15" max="15" width="17.6640625" bestFit="1" customWidth="1"/>
  </cols>
  <sheetData>
    <row r="1" spans="1:17" ht="16" x14ac:dyDescent="0.2">
      <c r="A1" s="217" t="s">
        <v>169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</row>
    <row r="2" spans="1:17" ht="56.25" customHeight="1" x14ac:dyDescent="0.2">
      <c r="A2" s="218" t="s">
        <v>144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</row>
    <row r="3" spans="1:17" x14ac:dyDescent="0.2">
      <c r="B3" s="42" t="s">
        <v>27</v>
      </c>
      <c r="C3" s="55" t="s">
        <v>63</v>
      </c>
      <c r="D3" s="40" t="s">
        <v>64</v>
      </c>
      <c r="E3" s="57" t="s">
        <v>65</v>
      </c>
      <c r="F3" s="57" t="s">
        <v>66</v>
      </c>
      <c r="G3" s="43"/>
      <c r="H3" s="44"/>
      <c r="I3" s="44"/>
      <c r="J3" s="40" t="s">
        <v>16</v>
      </c>
      <c r="K3" s="55" t="s">
        <v>67</v>
      </c>
      <c r="L3" s="40" t="s">
        <v>17</v>
      </c>
      <c r="M3" s="55" t="s">
        <v>68</v>
      </c>
      <c r="N3" s="40" t="s">
        <v>81</v>
      </c>
      <c r="O3" s="40" t="s">
        <v>82</v>
      </c>
      <c r="P3" s="44"/>
      <c r="Q3" s="44"/>
    </row>
    <row r="4" spans="1:17" x14ac:dyDescent="0.2">
      <c r="B4" s="41" t="s">
        <v>37</v>
      </c>
      <c r="C4" s="55" t="s">
        <v>37</v>
      </c>
      <c r="D4" s="41" t="s">
        <v>37</v>
      </c>
      <c r="E4" s="57" t="s">
        <v>37</v>
      </c>
      <c r="F4" s="57" t="s">
        <v>37</v>
      </c>
      <c r="G4" s="43"/>
      <c r="H4" s="44"/>
      <c r="I4" s="44"/>
      <c r="J4" s="41" t="s">
        <v>37</v>
      </c>
      <c r="K4" s="55" t="s">
        <v>37</v>
      </c>
      <c r="L4" s="41" t="s">
        <v>37</v>
      </c>
      <c r="M4" s="55" t="s">
        <v>37</v>
      </c>
      <c r="N4" s="115" t="s">
        <v>37</v>
      </c>
      <c r="O4" s="115" t="s">
        <v>37</v>
      </c>
      <c r="P4" s="132"/>
      <c r="Q4" s="132"/>
    </row>
    <row r="5" spans="1:17" ht="16" x14ac:dyDescent="0.2">
      <c r="A5" s="1" t="s">
        <v>36</v>
      </c>
      <c r="C5" s="6"/>
      <c r="D5" s="6"/>
      <c r="E5" s="26"/>
      <c r="F5" s="26"/>
      <c r="G5" s="26"/>
      <c r="H5" s="27"/>
      <c r="I5" s="26"/>
      <c r="K5" s="26"/>
      <c r="L5" s="26"/>
      <c r="M5" s="26"/>
    </row>
    <row r="6" spans="1:17" x14ac:dyDescent="0.2">
      <c r="A6" s="2" t="s">
        <v>1</v>
      </c>
      <c r="B6" s="45">
        <f>('T6x. MeHg loads 2010-17'!B8-'T6x. MeHg loads 2010-17'!B41)/'T6x. MeHg loads 2010-17'!B8</f>
        <v>0.16380679048775948</v>
      </c>
      <c r="C6" s="56">
        <f>('T6x. MeHg loads 2010-17'!C8-'T6x. MeHg loads 2010-17'!C41)/'T6x. MeHg loads 2010-17'!C8</f>
        <v>0.44372212938454475</v>
      </c>
      <c r="D6" s="45">
        <f>('T6x. MeHg loads 2010-17'!D8-'T6x. MeHg loads 2010-17'!D41)/'T6x. MeHg loads 2010-17'!D8</f>
        <v>-0.12788645999216172</v>
      </c>
      <c r="E6" s="58">
        <f>('T6x. MeHg loads 2010-17'!E8-'T6x. MeHg loads 2010-17'!E41)/'T6x. MeHg loads 2010-17'!E8</f>
        <v>0.3800908458670389</v>
      </c>
      <c r="F6" s="58">
        <f>('T6x. MeHg loads 2010-17'!F8-'T6x. MeHg loads 2010-17'!F41)/'T6x. MeHg loads 2010-17'!F8</f>
        <v>0.3963252629418938</v>
      </c>
      <c r="G6" s="45"/>
      <c r="H6" s="45"/>
      <c r="I6" s="45"/>
      <c r="J6" s="45">
        <f>('T6x. MeHg loads 2010-17'!J8-'T6x. MeHg loads 2010-17'!J41)/'T6x. MeHg loads 2010-17'!J8</f>
        <v>0.6806957374940652</v>
      </c>
      <c r="K6" s="56">
        <f>('T6x. MeHg loads 2010-17'!K8-'T6x. MeHg loads 2010-17'!K41)/'T6x. MeHg loads 2010-17'!K8</f>
        <v>0.30642517671733793</v>
      </c>
      <c r="L6" s="45">
        <f>('T6x. MeHg loads 2010-17'!L8-'T6x. MeHg loads 2010-17'!L41)/'T6x. MeHg loads 2010-17'!L8</f>
        <v>0.76662356019367828</v>
      </c>
      <c r="M6" s="56">
        <f>('T6x. MeHg loads 2010-17'!M8-'T6x. MeHg loads 2010-17'!M41)/'T6x. MeHg loads 2010-17'!M8</f>
        <v>0.49311426569471106</v>
      </c>
      <c r="N6" s="45">
        <f>('T6x. MeHg loads 2010-17'!O8-'T6x. MeHg loads 2010-17'!O41)/'T6x. MeHg loads 2010-17'!O8</f>
        <v>0.28730893470706048</v>
      </c>
      <c r="O6" s="45">
        <f>('T6x. MeHg loads 2010-17'!P8-'T6x. MeHg loads 2010-17'!P41)/'T6x. MeHg loads 2010-17'!P8</f>
        <v>0.47338463284064253</v>
      </c>
    </row>
    <row r="7" spans="1:17" x14ac:dyDescent="0.2">
      <c r="A7" s="2" t="s">
        <v>2</v>
      </c>
      <c r="B7" s="45">
        <f>('T6x. MeHg loads 2010-17'!B9-'T6x. MeHg loads 2010-17'!B42)/'T6x. MeHg loads 2010-17'!B9</f>
        <v>5.9951295749453598E-2</v>
      </c>
      <c r="C7" s="56">
        <f>('T6x. MeHg loads 2010-17'!C9-'T6x. MeHg loads 2010-17'!C42)/'T6x. MeHg loads 2010-17'!C9</f>
        <v>0.59076170705949882</v>
      </c>
      <c r="D7" s="45">
        <f>('T6x. MeHg loads 2010-17'!D9-'T6x. MeHg loads 2010-17'!D42)/'T6x. MeHg loads 2010-17'!D9</f>
        <v>-0.27979587057968786</v>
      </c>
      <c r="E7" s="58">
        <f>('T6x. MeHg loads 2010-17'!E9-'T6x. MeHg loads 2010-17'!E42)/'T6x. MeHg loads 2010-17'!E9</f>
        <v>0.54236096293662095</v>
      </c>
      <c r="F7" s="58">
        <f>('T6x. MeHg loads 2010-17'!F9-'T6x. MeHg loads 2010-17'!F42)/'T6x. MeHg loads 2010-17'!F9</f>
        <v>0.37622638533018388</v>
      </c>
      <c r="G7" s="45"/>
      <c r="H7" s="45"/>
      <c r="I7" s="45"/>
      <c r="J7" s="45">
        <f>('T6x. MeHg loads 2010-17'!J9-'T6x. MeHg loads 2010-17'!J42)/'T6x. MeHg loads 2010-17'!J9</f>
        <v>0.75278610230218257</v>
      </c>
      <c r="K7" s="56">
        <f>('T6x. MeHg loads 2010-17'!K9-'T6x. MeHg loads 2010-17'!K42)/'T6x. MeHg loads 2010-17'!K9</f>
        <v>0.74177059348636365</v>
      </c>
      <c r="L7" s="45">
        <f>('T6x. MeHg loads 2010-17'!L9-'T6x. MeHg loads 2010-17'!L42)/'T6x. MeHg loads 2010-17'!L9</f>
        <v>0.76848053941511929</v>
      </c>
      <c r="M7" s="56">
        <f>('T6x. MeHg loads 2010-17'!M9-'T6x. MeHg loads 2010-17'!M42)/'T6x. MeHg loads 2010-17'!M9</f>
        <v>0.75090360631039976</v>
      </c>
      <c r="N7" s="45">
        <f>('T6x. MeHg loads 2010-17'!O9-'T6x. MeHg loads 2010-17'!O42)/'T6x. MeHg loads 2010-17'!O9</f>
        <v>0.71633382907805909</v>
      </c>
      <c r="O7" s="45">
        <f>('T6x. MeHg loads 2010-17'!P9-'T6x. MeHg loads 2010-17'!P42)/'T6x. MeHg loads 2010-17'!P9</f>
        <v>0.71878877819607645</v>
      </c>
    </row>
    <row r="8" spans="1:17" x14ac:dyDescent="0.2">
      <c r="A8" s="2" t="s">
        <v>3</v>
      </c>
      <c r="B8" s="45">
        <f>('T6x. MeHg loads 2010-17'!B10-'T6x. MeHg loads 2010-17'!B43)/'T6x. MeHg loads 2010-17'!B10</f>
        <v>0.40087350249851411</v>
      </c>
      <c r="C8" s="56">
        <f>('T6x. MeHg loads 2010-17'!C10-'T6x. MeHg loads 2010-17'!C43)/'T6x. MeHg loads 2010-17'!C10</f>
        <v>7.9402923603158648E-2</v>
      </c>
      <c r="D8" s="45">
        <f>('T6x. MeHg loads 2010-17'!D10-'T6x. MeHg loads 2010-17'!D43)/'T6x. MeHg loads 2010-17'!D10</f>
        <v>-4.9513390914582518E-2</v>
      </c>
      <c r="E8" s="58">
        <f>('T6x. MeHg loads 2010-17'!E10-'T6x. MeHg loads 2010-17'!E43)/'T6x. MeHg loads 2010-17'!E10</f>
        <v>4.6272654928519133E-2</v>
      </c>
      <c r="F8" s="58">
        <f>('T6x. MeHg loads 2010-17'!F10-'T6x. MeHg loads 2010-17'!F43)/'T6x. MeHg loads 2010-17'!F10</f>
        <v>0.43424625818621343</v>
      </c>
      <c r="G8" s="45"/>
      <c r="H8" s="45"/>
      <c r="I8" s="45"/>
      <c r="J8" s="45">
        <f>('T6x. MeHg loads 2010-17'!J10-'T6x. MeHg loads 2010-17'!J43)/'T6x. MeHg loads 2010-17'!J10</f>
        <v>0.53658404189562803</v>
      </c>
      <c r="K8" s="56">
        <f>('T6x. MeHg loads 2010-17'!K10-'T6x. MeHg loads 2010-17'!K43)/'T6x. MeHg loads 2010-17'!K10</f>
        <v>0.37967118926435078</v>
      </c>
      <c r="L8" s="45">
        <f>('T6x. MeHg loads 2010-17'!L10-'T6x. MeHg loads 2010-17'!L43)/'T6x. MeHg loads 2010-17'!L10</f>
        <v>0.71392649903288208</v>
      </c>
      <c r="M8" s="56">
        <f>('T6x. MeHg loads 2010-17'!M10-'T6x. MeHg loads 2010-17'!M43)/'T6x. MeHg loads 2010-17'!M10</f>
        <v>0.61706188245259375</v>
      </c>
      <c r="N8" s="45">
        <f>('T6x. MeHg loads 2010-17'!O10-'T6x. MeHg loads 2010-17'!O43)/'T6x. MeHg loads 2010-17'!O10</f>
        <v>0.27999896308148703</v>
      </c>
      <c r="O8" s="45">
        <f>('T6x. MeHg loads 2010-17'!P10-'T6x. MeHg loads 2010-17'!P43)/'T6x. MeHg loads 2010-17'!P10</f>
        <v>0.50198120155789405</v>
      </c>
    </row>
    <row r="9" spans="1:17" x14ac:dyDescent="0.2">
      <c r="A9" s="2" t="s">
        <v>4</v>
      </c>
      <c r="B9" s="45">
        <f>('T6x. MeHg loads 2010-17'!B11-'T6x. MeHg loads 2010-17'!B44)/'T6x. MeHg loads 2010-17'!B11</f>
        <v>0.12689725722914147</v>
      </c>
      <c r="C9" s="56">
        <f>('T6x. MeHg loads 2010-17'!C11-'T6x. MeHg loads 2010-17'!C44)/'T6x. MeHg loads 2010-17'!C11</f>
        <v>0.49732650266566225</v>
      </c>
      <c r="D9" s="45">
        <f>('T6x. MeHg loads 2010-17'!D11-'T6x. MeHg loads 2010-17'!D44)/'T6x. MeHg loads 2010-17'!D11</f>
        <v>-1.0398036389675922</v>
      </c>
      <c r="E9" s="58">
        <f>('T6x. MeHg loads 2010-17'!E11-'T6x. MeHg loads 2010-17'!E44)/'T6x. MeHg loads 2010-17'!E11</f>
        <v>0.37131810353855887</v>
      </c>
      <c r="F9" s="58">
        <f>('T6x. MeHg loads 2010-17'!F11-'T6x. MeHg loads 2010-17'!F44)/'T6x. MeHg loads 2010-17'!F11</f>
        <v>0.37175865227075067</v>
      </c>
      <c r="G9" s="45"/>
      <c r="H9" s="45"/>
      <c r="I9" s="45"/>
      <c r="J9" s="45">
        <f>('T6x. MeHg loads 2010-17'!J11-'T6x. MeHg loads 2010-17'!J44)/'T6x. MeHg loads 2010-17'!J11</f>
        <v>0.71463319327202235</v>
      </c>
      <c r="K9" s="56">
        <f>('T6x. MeHg loads 2010-17'!K11-'T6x. MeHg loads 2010-17'!K44)/'T6x. MeHg loads 2010-17'!K11</f>
        <v>0.8092082927480152</v>
      </c>
      <c r="L9" s="45">
        <f>('T6x. MeHg loads 2010-17'!L11-'T6x. MeHg loads 2010-17'!L44)/'T6x. MeHg loads 2010-17'!L11</f>
        <v>0.47412317396951897</v>
      </c>
      <c r="M9" s="56">
        <f>('T6x. MeHg loads 2010-17'!M11-'T6x. MeHg loads 2010-17'!M44)/'T6x. MeHg loads 2010-17'!M11</f>
        <v>0.64575304463460137</v>
      </c>
      <c r="N9" s="45">
        <f>('T6x. MeHg loads 2010-17'!O11-'T6x. MeHg loads 2010-17'!O44)/'T6x. MeHg loads 2010-17'!O11</f>
        <v>0.76764825348047128</v>
      </c>
      <c r="O9" s="45">
        <f>('T6x. MeHg loads 2010-17'!P11-'T6x. MeHg loads 2010-17'!P44)/'T6x. MeHg loads 2010-17'!P11</f>
        <v>0.59122678765738901</v>
      </c>
    </row>
    <row r="10" spans="1:17" x14ac:dyDescent="0.2">
      <c r="A10" s="2" t="s">
        <v>5</v>
      </c>
      <c r="B10" s="45">
        <f>('T6x. MeHg loads 2010-17'!B12-'T6x. MeHg loads 2010-17'!B45)/'T6x. MeHg loads 2010-17'!B12</f>
        <v>0.78333333333333333</v>
      </c>
      <c r="C10" s="56">
        <f>('T6x. MeHg loads 2010-17'!C12-'T6x. MeHg loads 2010-17'!C45)/'T6x. MeHg loads 2010-17'!C12</f>
        <v>0.37094068066642927</v>
      </c>
      <c r="D10" s="45">
        <f>('T6x. MeHg loads 2010-17'!D12-'T6x. MeHg loads 2010-17'!D45)/'T6x. MeHg loads 2010-17'!D12</f>
        <v>0.66949822186439645</v>
      </c>
      <c r="E10" s="58">
        <f>('T6x. MeHg loads 2010-17'!E12-'T6x. MeHg loads 2010-17'!E45)/'T6x. MeHg loads 2010-17'!E12</f>
        <v>0.46940690589751571</v>
      </c>
      <c r="F10" s="58">
        <f>('T6x. MeHg loads 2010-17'!F12-'T6x. MeHg loads 2010-17'!F45)/'T6x. MeHg loads 2010-17'!F12</f>
        <v>0.67018409063149609</v>
      </c>
      <c r="G10" s="45"/>
      <c r="H10" s="45"/>
      <c r="I10" s="45"/>
      <c r="J10" s="45">
        <f>('T6x. MeHg loads 2010-17'!J12-'T6x. MeHg loads 2010-17'!J45)/'T6x. MeHg loads 2010-17'!J12</f>
        <v>0.91792574007837713</v>
      </c>
      <c r="K10" s="56">
        <f>('T6x. MeHg loads 2010-17'!K12-'T6x. MeHg loads 2010-17'!K45)/'T6x. MeHg loads 2010-17'!K12</f>
        <v>1</v>
      </c>
      <c r="L10" s="45">
        <f>('T6x. MeHg loads 2010-17'!L12-'T6x. MeHg loads 2010-17'!L45)/'T6x. MeHg loads 2010-17'!L12</f>
        <v>0.90833333333333333</v>
      </c>
      <c r="M10" s="56">
        <f>('T6x. MeHg loads 2010-17'!M12-'T6x. MeHg loads 2010-17'!M45)/'T6x. MeHg loads 2010-17'!M12</f>
        <v>1</v>
      </c>
      <c r="N10" s="45">
        <f>('T6x. MeHg loads 2010-17'!O12-'T6x. MeHg loads 2010-17'!O45)/'T6x. MeHg loads 2010-17'!O12</f>
        <v>0.8265559159218373</v>
      </c>
      <c r="O10" s="45">
        <f>('T6x. MeHg loads 2010-17'!P12-'T6x. MeHg loads 2010-17'!P45)/'T6x. MeHg loads 2010-17'!P12</f>
        <v>0.84374179076245903</v>
      </c>
    </row>
    <row r="11" spans="1:17" x14ac:dyDescent="0.2">
      <c r="A11" s="2" t="s">
        <v>97</v>
      </c>
      <c r="B11" s="45">
        <f>('T6x. MeHg loads 2010-17'!B13-'T6x. MeHg loads 2010-17'!B46)/'T6x. MeHg loads 2010-17'!B13</f>
        <v>3.0232558139534817E-2</v>
      </c>
      <c r="C11" s="56">
        <f>('T6x. MeHg loads 2010-17'!C13-'T6x. MeHg loads 2010-17'!C46)/'T6x. MeHg loads 2010-17'!C13</f>
        <v>0.66629811365402714</v>
      </c>
      <c r="D11" s="45">
        <f>('T6x. MeHg loads 2010-17'!D13-'T6x. MeHg loads 2010-17'!D46)/'T6x. MeHg loads 2010-17'!D13</f>
        <v>-0.17768997031320374</v>
      </c>
      <c r="E11" s="58">
        <f>('T6x. MeHg loads 2010-17'!E13-'T6x. MeHg loads 2010-17'!E46)/'T6x. MeHg loads 2010-17'!E13</f>
        <v>0.62465196085399233</v>
      </c>
      <c r="F11" s="58">
        <f>('T6x. MeHg loads 2010-17'!F13-'T6x. MeHg loads 2010-17'!F46)/'T6x. MeHg loads 2010-17'!F13</f>
        <v>0.57377528120974264</v>
      </c>
      <c r="G11" s="2"/>
      <c r="H11" s="2"/>
      <c r="I11" s="2"/>
      <c r="J11" s="45">
        <f>('T6x. MeHg loads 2010-17'!J13-'T6x. MeHg loads 2010-17'!J46)/'T6x. MeHg loads 2010-17'!J13</f>
        <v>0.74797064349411735</v>
      </c>
      <c r="K11" s="56">
        <f>('T6x. MeHg loads 2010-17'!K13-'T6x. MeHg loads 2010-17'!K46)/'T6x. MeHg loads 2010-17'!K13</f>
        <v>0.70155417603531878</v>
      </c>
      <c r="L11" s="45">
        <f>('T6x. MeHg loads 2010-17'!L13-'T6x. MeHg loads 2010-17'!L46)/'T6x. MeHg loads 2010-17'!L13</f>
        <v>0.73267326732673266</v>
      </c>
      <c r="M11" s="56">
        <f>('T6x. MeHg loads 2010-17'!M13-'T6x. MeHg loads 2010-17'!M46)/'T6x. MeHg loads 2010-17'!M13</f>
        <v>0.64931123547137326</v>
      </c>
      <c r="N11" s="45">
        <f>('T6x. MeHg loads 2010-17'!O13-'T6x. MeHg loads 2010-17'!O46)/'T6x. MeHg loads 2010-17'!O13</f>
        <v>0.65765249098564826</v>
      </c>
      <c r="O11" s="45">
        <f>('T6x. MeHg loads 2010-17'!P13-'T6x. MeHg loads 2010-17'!P46)/'T6x. MeHg loads 2010-17'!P13</f>
        <v>0.5964009047812876</v>
      </c>
    </row>
    <row r="12" spans="1:17" s="175" customFormat="1" x14ac:dyDescent="0.2">
      <c r="A12" s="2" t="s">
        <v>105</v>
      </c>
      <c r="B12" s="45">
        <f>('T6x. MeHg loads 2010-17'!B14-'T6x. MeHg loads 2010-17'!B47)/'T6x. MeHg loads 2010-17'!B14</f>
        <v>0.19608701963405306</v>
      </c>
      <c r="C12" s="56">
        <f>('T6x. MeHg loads 2010-17'!C14-'T6x. MeHg loads 2010-17'!C47)/'T6x. MeHg loads 2010-17'!C14</f>
        <v>0.75139305877260132</v>
      </c>
      <c r="D12" s="45">
        <f>('T6x. MeHg loads 2010-17'!D14-'T6x. MeHg loads 2010-17'!D47)/'T6x. MeHg loads 2010-17'!D14</f>
        <v>-0.14866171409174062</v>
      </c>
      <c r="E12" s="58">
        <f>('T6x. MeHg loads 2010-17'!E14-'T6x. MeHg loads 2010-17'!E47)/'T6x. MeHg loads 2010-17'!E14</f>
        <v>0.69931072727459131</v>
      </c>
      <c r="F12" s="58">
        <f>('T6x. MeHg loads 2010-17'!F14-'T6x. MeHg loads 2010-17'!F47)/'T6x. MeHg loads 2010-17'!F14</f>
        <v>0.74468085106382986</v>
      </c>
      <c r="G12" s="2"/>
      <c r="H12" s="2"/>
      <c r="I12" s="2"/>
      <c r="J12" s="45">
        <f>('T6x. MeHg loads 2010-17'!J14-'T6x. MeHg loads 2010-17'!J47)/'T6x. MeHg loads 2010-17'!J14</f>
        <v>0.82444444444444442</v>
      </c>
      <c r="K12" s="56">
        <f>('T6x. MeHg loads 2010-17'!K14-'T6x. MeHg loads 2010-17'!K47)/'T6x. MeHg loads 2010-17'!K14</f>
        <v>0.80101010101010106</v>
      </c>
      <c r="L12" s="45">
        <f>('T6x. MeHg loads 2010-17'!L14-'T6x. MeHg loads 2010-17'!L47)/'T6x. MeHg loads 2010-17'!L14</f>
        <v>0.85225500980132463</v>
      </c>
      <c r="M12" s="56">
        <f>('T6x. MeHg loads 2010-17'!M14-'T6x. MeHg loads 2010-17'!M47)/'T6x. MeHg loads 2010-17'!M14</f>
        <v>0.83926003526490067</v>
      </c>
      <c r="N12" s="45">
        <f>('T6x. MeHg loads 2010-17'!O14-'T6x. MeHg loads 2010-17'!O47)/'T6x. MeHg loads 2010-17'!O14</f>
        <v>0.75910137280301848</v>
      </c>
      <c r="O12" s="45">
        <f>('T6x. MeHg loads 2010-17'!P14-'T6x. MeHg loads 2010-17'!P47)/'T6x. MeHg loads 2010-17'!P14</f>
        <v>0.78772722848007692</v>
      </c>
    </row>
    <row r="13" spans="1:17" s="175" customFormat="1" x14ac:dyDescent="0.2">
      <c r="A13" s="2" t="s">
        <v>151</v>
      </c>
      <c r="B13" s="45">
        <f>('T6x. MeHg loads 2010-17'!B15-'T6x. MeHg loads 2010-17'!B48)/'T6x. MeHg loads 2010-17'!B15</f>
        <v>-1.3366874668121878E-2</v>
      </c>
      <c r="C13" s="56">
        <f>('T6x. MeHg loads 2010-17'!C15-'T6x. MeHg loads 2010-17'!C48)/'T6x. MeHg loads 2010-17'!C15</f>
        <v>0.7133504145496673</v>
      </c>
      <c r="D13" s="45">
        <f>('T6x. MeHg loads 2010-17'!D15-'T6x. MeHg loads 2010-17'!D48)/'T6x. MeHg loads 2010-17'!D15</f>
        <v>-0.34099560786145078</v>
      </c>
      <c r="E13" s="58">
        <f>('T6x. MeHg loads 2010-17'!E15-'T6x. MeHg loads 2010-17'!E48)/'T6x. MeHg loads 2010-17'!E15</f>
        <v>0.68537412387834074</v>
      </c>
      <c r="F13" s="58">
        <f>('T6x. MeHg loads 2010-17'!F15-'T6x. MeHg loads 2010-17'!F48)/'T6x. MeHg loads 2010-17'!F15</f>
        <v>0.53421052631578936</v>
      </c>
      <c r="G13" s="2"/>
      <c r="H13" s="2"/>
      <c r="I13" s="2"/>
      <c r="J13" s="45">
        <f>('T6x. MeHg loads 2010-17'!J15-'T6x. MeHg loads 2010-17'!J48)/'T6x. MeHg loads 2010-17'!J15</f>
        <v>0.76374795417348607</v>
      </c>
      <c r="K13" s="56">
        <f>('T6x. MeHg loads 2010-17'!K15-'T6x. MeHg loads 2010-17'!K48)/'T6x. MeHg loads 2010-17'!K15</f>
        <v>0.73141298417894152</v>
      </c>
      <c r="L13" s="45">
        <f>('T6x. MeHg loads 2010-17'!L15-'T6x. MeHg loads 2010-17'!L48)/'T6x. MeHg loads 2010-17'!L15</f>
        <v>0.71283437208032963</v>
      </c>
      <c r="M13" s="56">
        <f>('T6x. MeHg loads 2010-17'!M15-'T6x. MeHg loads 2010-17'!M48)/'T6x. MeHg loads 2010-17'!M15</f>
        <v>0.67373560171678692</v>
      </c>
      <c r="N13" s="45">
        <f>('T6x. MeHg loads 2010-17'!O15-'T6x. MeHg loads 2010-17'!O48)/'T6x. MeHg loads 2010-17'!O15</f>
        <v>0.70656685927242491</v>
      </c>
      <c r="O13" s="45">
        <f>('T6x. MeHg loads 2010-17'!P15-'T6x. MeHg loads 2010-17'!P48)/'T6x. MeHg loads 2010-17'!P15</f>
        <v>0.64432471286317039</v>
      </c>
    </row>
    <row r="14" spans="1:17" x14ac:dyDescent="0.2">
      <c r="A14" s="2" t="s">
        <v>152</v>
      </c>
      <c r="B14" s="45">
        <f>('T6x. MeHg loads 2010-17'!B16-'T6x. MeHg loads 2010-17'!B49)/'T6x. MeHg loads 2010-17'!B16</f>
        <v>5.2380709237232967E-2</v>
      </c>
      <c r="C14" s="116">
        <f>('T6x. MeHg loads 2010-17'!C16-'T6x. MeHg loads 2010-17'!C49)/'T6x. MeHg loads 2010-17'!C16</f>
        <v>0.66418495481183004</v>
      </c>
      <c r="D14" s="171">
        <f>('T6x. MeHg loads 2010-17'!D16-'T6x. MeHg loads 2010-17'!D49)/'T6x. MeHg loads 2010-17'!D16</f>
        <v>-0.31128030539088408</v>
      </c>
      <c r="E14" s="117">
        <f>('T6x. MeHg loads 2010-17'!E16-'T6x. MeHg loads 2010-17'!E49)/'T6x. MeHg loads 2010-17'!E16</f>
        <v>0.61090468606504666</v>
      </c>
      <c r="F14" s="117">
        <f>('T6x. MeHg loads 2010-17'!F16-'T6x. MeHg loads 2010-17'!F49)/'T6x. MeHg loads 2010-17'!F16</f>
        <v>0.50412731261647969</v>
      </c>
      <c r="G14" s="45"/>
      <c r="H14" s="45" t="s">
        <v>26</v>
      </c>
      <c r="I14" s="45"/>
      <c r="J14" s="118">
        <f>('T6x. MeHg loads 2010-17'!J16-'T6x. MeHg loads 2010-17'!J49)/'T6x. MeHg loads 2010-17'!J16</f>
        <v>0.75772532179537033</v>
      </c>
      <c r="K14" s="116">
        <f>('T6x. MeHg loads 2010-17'!K16-'T6x. MeHg loads 2010-17'!K49)/'T6x. MeHg loads 2010-17'!K16</f>
        <v>0.70049323834727384</v>
      </c>
      <c r="L14" s="118">
        <f>('T6x. MeHg loads 2010-17'!L16-'T6x. MeHg loads 2010-17'!L49)/'T6x. MeHg loads 2010-17'!L16</f>
        <v>0.73122510572162214</v>
      </c>
      <c r="M14" s="116">
        <f>('T6x. MeHg loads 2010-17'!M16-'T6x. MeHg loads 2010-17'!M49)/'T6x. MeHg loads 2010-17'!M16</f>
        <v>0.67162026178114109</v>
      </c>
      <c r="N14" s="117">
        <f>('T6x. MeHg loads 2010-17'!O16-'T6x. MeHg loads 2010-17'!O49)/'T6x. MeHg loads 2010-17'!O16</f>
        <v>0.67184820739737405</v>
      </c>
      <c r="O14" s="117">
        <f>('T6x. MeHg loads 2010-17'!P16-'T6x. MeHg loads 2010-17'!P49)/'T6x. MeHg loads 2010-17'!P16</f>
        <v>0.63900643009676805</v>
      </c>
    </row>
    <row r="15" spans="1:17" x14ac:dyDescent="0.2">
      <c r="A15" s="2" t="s">
        <v>152</v>
      </c>
      <c r="C15" s="26"/>
      <c r="D15" s="26"/>
      <c r="E15" s="26"/>
      <c r="F15" s="26"/>
      <c r="H15" s="69" t="s">
        <v>153</v>
      </c>
      <c r="I15" s="2"/>
      <c r="J15" s="118">
        <f>('T6x. MeHg loads 2010-17'!J17-'T6x. MeHg loads 2010-17'!J50)/'T6x. MeHg loads 2010-17'!J17</f>
        <v>0.75772532179537033</v>
      </c>
      <c r="K15" s="116">
        <f>('T6x. MeHg loads 2010-17'!K17-'T6x. MeHg loads 2010-17'!K50)/'T6x. MeHg loads 2010-17'!K17</f>
        <v>0.76042680458004042</v>
      </c>
      <c r="L15" s="118">
        <f>('T6x. MeHg loads 2010-17'!L17-'T6x. MeHg loads 2010-17'!L50)/'T6x. MeHg loads 2010-17'!L17</f>
        <v>0.73122510572162214</v>
      </c>
      <c r="M15" s="116">
        <f>('T6x. MeHg loads 2010-17'!M17-'T6x. MeHg loads 2010-17'!M50)/'T6x. MeHg loads 2010-17'!M17</f>
        <v>0.72975803667070849</v>
      </c>
      <c r="N15" s="117">
        <f>('T6x. MeHg loads 2010-17'!O17-'T6x. MeHg loads 2010-17'!O50)/'T6x. MeHg loads 2010-17'!O17</f>
        <v>0.73277437581472216</v>
      </c>
      <c r="O15" s="117">
        <f>('T6x. MeHg loads 2010-17'!P17-'T6x. MeHg loads 2010-17'!P50)/'T6x. MeHg loads 2010-17'!P17</f>
        <v>0.69743752782469925</v>
      </c>
    </row>
    <row r="16" spans="1:17" x14ac:dyDescent="0.2">
      <c r="C16" s="26"/>
      <c r="D16" s="26"/>
      <c r="E16" s="26"/>
      <c r="F16" s="26"/>
      <c r="H16" s="10"/>
      <c r="K16" s="26"/>
      <c r="L16" s="26"/>
      <c r="M16" s="26"/>
    </row>
    <row r="17" spans="1:15" ht="16" x14ac:dyDescent="0.2">
      <c r="A17" s="1" t="s">
        <v>38</v>
      </c>
      <c r="C17" s="6"/>
      <c r="D17" s="6"/>
      <c r="E17" s="26"/>
      <c r="F17" s="26"/>
      <c r="H17" s="10"/>
      <c r="K17" s="26"/>
      <c r="L17" s="26"/>
      <c r="M17" s="26"/>
    </row>
    <row r="18" spans="1:15" x14ac:dyDescent="0.2">
      <c r="A18" s="2" t="s">
        <v>1</v>
      </c>
      <c r="B18" s="45">
        <f>('T6x. MeHg loads 2010-17'!B8-'T6x. MeHg loads 2010-17'!B52)/'T6x. MeHg loads 2010-17'!B8</f>
        <v>0.16380679048775948</v>
      </c>
      <c r="C18" s="56">
        <f>('T6x. MeHg loads 2010-17'!C8-'T6x. MeHg loads 2010-17'!C52)/'T6x. MeHg loads 2010-17'!C8</f>
        <v>0.37797212751687137</v>
      </c>
      <c r="D18" s="45">
        <f>('T6x. MeHg loads 2010-17'!D8-'T6x. MeHg loads 2010-17'!D52)/'T6x. MeHg loads 2010-17'!D8</f>
        <v>-0.2880643097766582</v>
      </c>
      <c r="E18" s="58">
        <f>('T6x. MeHg loads 2010-17'!E8-'T6x. MeHg loads 2010-17'!E52)/'T6x. MeHg loads 2010-17'!E8</f>
        <v>0.30382916647314917</v>
      </c>
      <c r="F18" s="58">
        <f>('T6x. MeHg loads 2010-17'!F8-'T6x. MeHg loads 2010-17'!F52)/'T6x. MeHg loads 2010-17'!F8</f>
        <v>0.29520137397466206</v>
      </c>
      <c r="G18" s="2"/>
      <c r="H18" s="3"/>
      <c r="I18" s="2"/>
      <c r="J18" s="45">
        <f>('T6x. MeHg loads 2010-17'!J8-'T6x. MeHg loads 2010-17'!J52)/'T6x. MeHg loads 2010-17'!J8</f>
        <v>0.70703903930655276</v>
      </c>
      <c r="K18" s="56">
        <f>('T6x. MeHg loads 2010-17'!K8-'T6x. MeHg loads 2010-17'!K52)/'T6x. MeHg loads 2010-17'!K8</f>
        <v>0.36302590047617767</v>
      </c>
      <c r="L18" s="45">
        <f>('T6x. MeHg loads 2010-17'!L8-'T6x. MeHg loads 2010-17'!L52)/'T6x. MeHg loads 2010-17'!L8</f>
        <v>0.76662356019367828</v>
      </c>
      <c r="M18" s="56">
        <f>('T6x. MeHg loads 2010-17'!M8-'T6x. MeHg loads 2010-17'!M52)/'T6x. MeHg loads 2010-17'!M8</f>
        <v>0.49257830379912382</v>
      </c>
      <c r="N18" s="45">
        <f>('T6x. MeHg loads 2010-17'!O8-'T6x. MeHg loads 2010-17'!O52)/'T6x. MeHg loads 2010-17'!O8</f>
        <v>0.33436814190444342</v>
      </c>
      <c r="O18" s="45">
        <f>('T6x. MeHg loads 2010-17'!P8-'T6x. MeHg loads 2010-17'!P52)/'T6x. MeHg loads 2010-17'!P8</f>
        <v>0.4677767351068246</v>
      </c>
    </row>
    <row r="19" spans="1:15" x14ac:dyDescent="0.2">
      <c r="A19" s="2" t="s">
        <v>2</v>
      </c>
      <c r="B19" s="45">
        <f>('T6x. MeHg loads 2010-17'!B9-'T6x. MeHg loads 2010-17'!B53)/'T6x. MeHg loads 2010-17'!B9</f>
        <v>5.9951295749453598E-2</v>
      </c>
      <c r="C19" s="56">
        <f>('T6x. MeHg loads 2010-17'!C9-'T6x. MeHg loads 2010-17'!C53)/'T6x. MeHg loads 2010-17'!C9</f>
        <v>0.45681972286935119</v>
      </c>
      <c r="D19" s="45">
        <f>('T6x. MeHg loads 2010-17'!D9-'T6x. MeHg loads 2010-17'!D53)/'T6x. MeHg loads 2010-17'!D9</f>
        <v>-0.42448360729930462</v>
      </c>
      <c r="E19" s="58">
        <f>('T6x. MeHg loads 2010-17'!E9-'T6x. MeHg loads 2010-17'!E53)/'T6x. MeHg loads 2010-17'!E9</f>
        <v>0.40782154276757232</v>
      </c>
      <c r="F19" s="58">
        <f>('T6x. MeHg loads 2010-17'!F9-'T6x. MeHg loads 2010-17'!F53)/'T6x. MeHg loads 2010-17'!F9</f>
        <v>0.46273897616498139</v>
      </c>
      <c r="G19" s="2"/>
      <c r="H19" s="3"/>
      <c r="I19" s="2"/>
      <c r="J19" s="45">
        <f>('T6x. MeHg loads 2010-17'!J9-'T6x. MeHg loads 2010-17'!J53)/'T6x. MeHg loads 2010-17'!J9</f>
        <v>0.64079880190804495</v>
      </c>
      <c r="K19" s="56">
        <f>('T6x. MeHg loads 2010-17'!K9-'T6x. MeHg loads 2010-17'!K53)/'T6x. MeHg loads 2010-17'!K9</f>
        <v>0.61529339139263983</v>
      </c>
      <c r="L19" s="45">
        <f>('T6x. MeHg loads 2010-17'!L9-'T6x. MeHg loads 2010-17'!L53)/'T6x. MeHg loads 2010-17'!L9</f>
        <v>0.76923076923076927</v>
      </c>
      <c r="M19" s="56">
        <f>('T6x. MeHg loads 2010-17'!M9-'T6x. MeHg loads 2010-17'!M53)/'T6x. MeHg loads 2010-17'!M9</f>
        <v>0.75284478834774693</v>
      </c>
      <c r="N19" s="45">
        <f>('T6x. MeHg loads 2010-17'!O9-'T6x. MeHg loads 2010-17'!O53)/'T6x. MeHg loads 2010-17'!O9</f>
        <v>0.58940318896016153</v>
      </c>
      <c r="O19" s="45">
        <f>('T6x. MeHg loads 2010-17'!P9-'T6x. MeHg loads 2010-17'!P53)/'T6x. MeHg loads 2010-17'!P9</f>
        <v>0.71616125458444313</v>
      </c>
    </row>
    <row r="20" spans="1:15" x14ac:dyDescent="0.2">
      <c r="A20" s="2" t="s">
        <v>3</v>
      </c>
      <c r="B20" s="45">
        <f>('T6x. MeHg loads 2010-17'!B10-'T6x. MeHg loads 2010-17'!B54)/'T6x. MeHg loads 2010-17'!B10</f>
        <v>0.40087350249851411</v>
      </c>
      <c r="C20" s="56">
        <f>('T6x. MeHg loads 2010-17'!C10-'T6x. MeHg loads 2010-17'!C54)/'T6x. MeHg loads 2010-17'!C10</f>
        <v>0.18920083009569394</v>
      </c>
      <c r="D20" s="45">
        <f>('T6x. MeHg loads 2010-17'!D10-'T6x. MeHg loads 2010-17'!D54)/'T6x. MeHg loads 2010-17'!D10</f>
        <v>-9.8683958245513084E-2</v>
      </c>
      <c r="E20" s="58">
        <f>('T6x. MeHg loads 2010-17'!E10-'T6x. MeHg loads 2010-17'!E54)/'T6x. MeHg loads 2010-17'!E10</f>
        <v>0.11521717317247804</v>
      </c>
      <c r="F20" s="58">
        <f>('T6x. MeHg loads 2010-17'!F10-'T6x. MeHg loads 2010-17'!F54)/'T6x. MeHg loads 2010-17'!F10</f>
        <v>0.24582560343480572</v>
      </c>
      <c r="G20" s="2"/>
      <c r="H20" s="3"/>
      <c r="I20" s="2"/>
      <c r="J20" s="45">
        <f>('T6x. MeHg loads 2010-17'!J10-'T6x. MeHg loads 2010-17'!J54)/'T6x. MeHg loads 2010-17'!J10</f>
        <v>0.46439686615464348</v>
      </c>
      <c r="K20" s="56">
        <f>('T6x. MeHg loads 2010-17'!K10-'T6x. MeHg loads 2010-17'!K54)/'T6x. MeHg loads 2010-17'!K10</f>
        <v>0.28304140322732169</v>
      </c>
      <c r="L20" s="45">
        <f>('T6x. MeHg loads 2010-17'!L10-'T6x. MeHg loads 2010-17'!L54)/'T6x. MeHg loads 2010-17'!L10</f>
        <v>0.71392649903288208</v>
      </c>
      <c r="M20" s="56">
        <f>('T6x. MeHg loads 2010-17'!M10-'T6x. MeHg loads 2010-17'!M54)/'T6x. MeHg loads 2010-17'!M10</f>
        <v>0.61706188245259375</v>
      </c>
      <c r="N20" s="45">
        <f>('T6x. MeHg loads 2010-17'!O10-'T6x. MeHg loads 2010-17'!O54)/'T6x. MeHg loads 2010-17'!O10</f>
        <v>0.1943909289894232</v>
      </c>
      <c r="O20" s="45">
        <f>('T6x. MeHg loads 2010-17'!P10-'T6x. MeHg loads 2010-17'!P54)/'T6x. MeHg loads 2010-17'!P10</f>
        <v>0.49349216424356634</v>
      </c>
    </row>
    <row r="21" spans="1:15" x14ac:dyDescent="0.2">
      <c r="A21" s="2" t="s">
        <v>4</v>
      </c>
      <c r="B21" s="45">
        <f>('T6x. MeHg loads 2010-17'!B11-'T6x. MeHg loads 2010-17'!B55)/'T6x. MeHg loads 2010-17'!B11</f>
        <v>0.12689725722914147</v>
      </c>
      <c r="C21" s="56">
        <f>('T6x. MeHg loads 2010-17'!C11-'T6x. MeHg loads 2010-17'!C55)/'T6x. MeHg loads 2010-17'!C11</f>
        <v>0.28975735572209471</v>
      </c>
      <c r="D21" s="45">
        <f>('T6x. MeHg loads 2010-17'!D11-'T6x. MeHg loads 2010-17'!D55)/'T6x. MeHg loads 2010-17'!D11</f>
        <v>-0.63409362677321524</v>
      </c>
      <c r="E21" s="58">
        <f>('T6x. MeHg loads 2010-17'!E11-'T6x. MeHg loads 2010-17'!E55)/'T6x. MeHg loads 2010-17'!E11</f>
        <v>0.21402337576608224</v>
      </c>
      <c r="F21" s="58">
        <f>('T6x. MeHg loads 2010-17'!F11-'T6x. MeHg loads 2010-17'!F55)/'T6x. MeHg loads 2010-17'!F11</f>
        <v>0.31237154099420467</v>
      </c>
      <c r="G21" s="2"/>
      <c r="H21" s="3"/>
      <c r="I21" s="2"/>
      <c r="J21" s="45">
        <f>('T6x. MeHg loads 2010-17'!J11-'T6x. MeHg loads 2010-17'!J55)/'T6x. MeHg loads 2010-17'!J11</f>
        <v>0.46105560569325255</v>
      </c>
      <c r="K21" s="56">
        <f>('T6x. MeHg loads 2010-17'!K11-'T6x. MeHg loads 2010-17'!K55)/'T6x. MeHg loads 2010-17'!K11</f>
        <v>0.58866460585656299</v>
      </c>
      <c r="L21" s="45">
        <f>('T6x. MeHg loads 2010-17'!L11-'T6x. MeHg loads 2010-17'!L55)/'T6x. MeHg loads 2010-17'!L11</f>
        <v>0.47344462993878689</v>
      </c>
      <c r="M21" s="56">
        <f>('T6x. MeHg loads 2010-17'!M11-'T6x. MeHg loads 2010-17'!M55)/'T6x. MeHg loads 2010-17'!M11</f>
        <v>0.59812020874421268</v>
      </c>
      <c r="N21" s="45">
        <f>('T6x. MeHg loads 2010-17'!O11-'T6x. MeHg loads 2010-17'!O55)/'T6x. MeHg loads 2010-17'!O11</f>
        <v>0.56118080259324143</v>
      </c>
      <c r="O21" s="45">
        <f>('T6x. MeHg loads 2010-17'!P11-'T6x. MeHg loads 2010-17'!P55)/'T6x. MeHg loads 2010-17'!P11</f>
        <v>0.55825918899926241</v>
      </c>
    </row>
    <row r="22" spans="1:15" x14ac:dyDescent="0.2">
      <c r="A22" s="2" t="s">
        <v>5</v>
      </c>
      <c r="B22" s="45">
        <f>('T6x. MeHg loads 2010-17'!B12-'T6x. MeHg loads 2010-17'!B56)/'T6x. MeHg loads 2010-17'!B12</f>
        <v>0.78333333333333333</v>
      </c>
      <c r="C22" s="56">
        <f>('T6x. MeHg loads 2010-17'!C12-'T6x. MeHg loads 2010-17'!C56)/'T6x. MeHg loads 2010-17'!C12</f>
        <v>0.41061831323547066</v>
      </c>
      <c r="D22" s="45">
        <f>('T6x. MeHg loads 2010-17'!D12-'T6x. MeHg loads 2010-17'!D56)/'T6x. MeHg loads 2010-17'!D12</f>
        <v>0.60070063809147056</v>
      </c>
      <c r="E22" s="58">
        <f>('T6x. MeHg loads 2010-17'!E12-'T6x. MeHg loads 2010-17'!E56)/'T6x. MeHg loads 2010-17'!E12</f>
        <v>0.47330870429582839</v>
      </c>
      <c r="F22" s="58">
        <f>('T6x. MeHg loads 2010-17'!F12-'T6x. MeHg loads 2010-17'!F56)/'T6x. MeHg loads 2010-17'!F12</f>
        <v>0.51595335258937169</v>
      </c>
      <c r="G22" s="2"/>
      <c r="H22" s="3"/>
      <c r="I22" s="2"/>
      <c r="J22" s="45">
        <f>('T6x. MeHg loads 2010-17'!J12-'T6x. MeHg loads 2010-17'!J56)/'T6x. MeHg loads 2010-17'!J12</f>
        <v>0.88901401110956946</v>
      </c>
      <c r="K22" s="56" t="s">
        <v>32</v>
      </c>
      <c r="L22" s="45">
        <f>('T6x. MeHg loads 2010-17'!L12-'T6x. MeHg loads 2010-17'!L56)/'T6x. MeHg loads 2010-17'!L12</f>
        <v>0.9</v>
      </c>
      <c r="M22" s="56" t="s">
        <v>32</v>
      </c>
      <c r="N22" s="45" t="s">
        <v>32</v>
      </c>
      <c r="O22" s="45" t="s">
        <v>32</v>
      </c>
    </row>
    <row r="23" spans="1:15" x14ac:dyDescent="0.2">
      <c r="A23" s="2" t="s">
        <v>97</v>
      </c>
      <c r="B23" s="45">
        <f>('T6x. MeHg loads 2010-17'!B13-'T6x. MeHg loads 2010-17'!B57)/'T6x. MeHg loads 2010-17'!B13</f>
        <v>3.0232558139534817E-2</v>
      </c>
      <c r="C23" s="56">
        <f>('T6x. MeHg loads 2010-17'!C13-'T6x. MeHg loads 2010-17'!C57)/'T6x. MeHg loads 2010-17'!C13</f>
        <v>0.42871023441584089</v>
      </c>
      <c r="D23" s="45">
        <f>('T6x. MeHg loads 2010-17'!D13-'T6x. MeHg loads 2010-17'!D57)/'T6x. MeHg loads 2010-17'!D13</f>
        <v>-1.2035906970893759</v>
      </c>
      <c r="E23" s="58">
        <f>('T6x. MeHg loads 2010-17'!E13-'T6x. MeHg loads 2010-17'!E57)/'T6x. MeHg loads 2010-17'!E13</f>
        <v>0.34816519438451149</v>
      </c>
      <c r="F23" s="58">
        <f>('T6x. MeHg loads 2010-17'!F13-'T6x. MeHg loads 2010-17'!F57)/'T6x. MeHg loads 2010-17'!F13</f>
        <v>5.895100884852511E-2</v>
      </c>
      <c r="G23" s="54"/>
      <c r="H23" s="3"/>
      <c r="I23" s="2"/>
      <c r="J23" s="45">
        <f>('T6x. MeHg loads 2010-17'!J13-'T6x. MeHg loads 2010-17'!J57)/'T6x. MeHg loads 2010-17'!J13</f>
        <v>0.43400042261323307</v>
      </c>
      <c r="K23" s="56">
        <f>('T6x. MeHg loads 2010-17'!K13-'T6x. MeHg loads 2010-17'!K57)/'T6x. MeHg loads 2010-17'!K13</f>
        <v>0.20021798847522074</v>
      </c>
      <c r="L23" s="45">
        <f>('T6x. MeHg loads 2010-17'!L13-'T6x. MeHg loads 2010-17'!L57)/'T6x. MeHg loads 2010-17'!L13</f>
        <v>0.73267326732673266</v>
      </c>
      <c r="M23" s="56">
        <f>('T6x. MeHg loads 2010-17'!M13-'T6x. MeHg loads 2010-17'!M57)/'T6x. MeHg loads 2010-17'!M13</f>
        <v>0.62225570383125273</v>
      </c>
      <c r="N23" s="45">
        <f>('T6x. MeHg loads 2010-17'!O13-'T6x. MeHg loads 2010-17'!O57)/'T6x. MeHg loads 2010-17'!O13</f>
        <v>0.13012418456467445</v>
      </c>
      <c r="O23" s="45">
        <f>('T6x. MeHg loads 2010-17'!P13-'T6x. MeHg loads 2010-17'!P57)/'T6x. MeHg loads 2010-17'!P13</f>
        <v>0.50544071470392382</v>
      </c>
    </row>
    <row r="24" spans="1:15" s="175" customFormat="1" x14ac:dyDescent="0.2">
      <c r="A24" s="2" t="s">
        <v>105</v>
      </c>
      <c r="B24" s="45">
        <f>('T6x. MeHg loads 2010-17'!B14-'T6x. MeHg loads 2010-17'!B58)/'T6x. MeHg loads 2010-17'!B14</f>
        <v>0.19608701963405306</v>
      </c>
      <c r="C24" s="56">
        <f>('T6x. MeHg loads 2010-17'!C14-'T6x. MeHg loads 2010-17'!C58)/'T6x. MeHg loads 2010-17'!C14</f>
        <v>0.68438534446186605</v>
      </c>
      <c r="D24" s="45">
        <f>('T6x. MeHg loads 2010-17'!D14-'T6x. MeHg loads 2010-17'!D58)/'T6x. MeHg loads 2010-17'!D14</f>
        <v>-0.20335989095325213</v>
      </c>
      <c r="E24" s="58">
        <f>('T6x. MeHg loads 2010-17'!E14-'T6x. MeHg loads 2010-17'!E58)/'T6x. MeHg loads 2010-17'!E14</f>
        <v>0.63301531340305861</v>
      </c>
      <c r="F24" s="58">
        <f>('T6x. MeHg loads 2010-17'!F14-'T6x. MeHg loads 2010-17'!F58)/'T6x. MeHg loads 2010-17'!F14</f>
        <v>0.69148936170212771</v>
      </c>
      <c r="G24" s="54"/>
      <c r="H24" s="3"/>
      <c r="I24" s="2"/>
      <c r="J24" s="45">
        <f>('T6x. MeHg loads 2010-17'!J14-'T6x. MeHg loads 2010-17'!J58)/'T6x. MeHg loads 2010-17'!J14</f>
        <v>0.75</v>
      </c>
      <c r="K24" s="56">
        <f>('T6x. MeHg loads 2010-17'!K14-'T6x. MeHg loads 2010-17'!K58)/'T6x. MeHg loads 2010-17'!K14</f>
        <v>0.7272727272727274</v>
      </c>
      <c r="L24" s="45">
        <f>('T6x. MeHg loads 2010-17'!L14-'T6x. MeHg loads 2010-17'!L58)/'T6x. MeHg loads 2010-17'!L14</f>
        <v>0.85225500980132463</v>
      </c>
      <c r="M24" s="56">
        <f>('T6x. MeHg loads 2010-17'!M14-'T6x. MeHg loads 2010-17'!M58)/'T6x. MeHg loads 2010-17'!M14</f>
        <v>0.83882364705599044</v>
      </c>
      <c r="N24" s="45">
        <f>('T6x. MeHg loads 2010-17'!O14-'T6x. MeHg loads 2010-17'!O58)/'T6x. MeHg loads 2010-17'!O14</f>
        <v>0.68620419302998392</v>
      </c>
      <c r="O24" s="45">
        <f>('T6x. MeHg loads 2010-17'!P14-'T6x. MeHg loads 2010-17'!P58)/'T6x. MeHg loads 2010-17'!P14</f>
        <v>0.78446039112653099</v>
      </c>
    </row>
    <row r="25" spans="1:15" s="175" customFormat="1" x14ac:dyDescent="0.2">
      <c r="A25" s="2" t="s">
        <v>151</v>
      </c>
      <c r="B25" s="45">
        <f>('T6x. MeHg loads 2010-17'!B15-'T6x. MeHg loads 2010-17'!B59)/'T6x. MeHg loads 2010-17'!B15</f>
        <v>-1.3366874668121878E-2</v>
      </c>
      <c r="C25" s="56">
        <f>('T6x. MeHg loads 2010-17'!C15-'T6x. MeHg loads 2010-17'!C59)/'T6x. MeHg loads 2010-17'!C15</f>
        <v>0.61128008972177117</v>
      </c>
      <c r="D25" s="45">
        <f>('T6x. MeHg loads 2010-17'!D15-'T6x. MeHg loads 2010-17'!D59)/'T6x. MeHg loads 2010-17'!D15</f>
        <v>-0.47210495545682424</v>
      </c>
      <c r="E25" s="58">
        <f>('T6x. MeHg loads 2010-17'!E15-'T6x. MeHg loads 2010-17'!E59)/'T6x. MeHg loads 2010-17'!E15</f>
        <v>0.5825332700926964</v>
      </c>
      <c r="F25" s="58">
        <f>('T6x. MeHg loads 2010-17'!F15-'T6x. MeHg loads 2010-17'!F59)/'T6x. MeHg loads 2010-17'!F15</f>
        <v>0.41228070175438586</v>
      </c>
      <c r="G25" s="54"/>
      <c r="H25" s="3"/>
      <c r="I25" s="2"/>
      <c r="J25" s="45">
        <f>('T6x. MeHg loads 2010-17'!J15-'T6x. MeHg loads 2010-17'!J59)/'T6x. MeHg loads 2010-17'!J15</f>
        <v>0.66693944353518819</v>
      </c>
      <c r="K25" s="56">
        <f>('T6x. MeHg loads 2010-17'!K15-'T6x. MeHg loads 2010-17'!K59)/'T6x. MeHg loads 2010-17'!K15</f>
        <v>0.62253136933987996</v>
      </c>
      <c r="L25" s="45">
        <f>('T6x. MeHg loads 2010-17'!L15-'T6x. MeHg loads 2010-17'!L59)/'T6x. MeHg loads 2010-17'!L15</f>
        <v>0.71283437208032963</v>
      </c>
      <c r="M25" s="56">
        <f>('T6x. MeHg loads 2010-17'!M15-'T6x. MeHg loads 2010-17'!M59)/'T6x. MeHg loads 2010-17'!M15</f>
        <v>0.67454562169104004</v>
      </c>
      <c r="N25" s="45">
        <f>('T6x. MeHg loads 2010-17'!O15-'T6x. MeHg loads 2010-17'!O59)/'T6x. MeHg loads 2010-17'!O15</f>
        <v>0.59717026065894085</v>
      </c>
      <c r="O25" s="45">
        <f>('T6x. MeHg loads 2010-17'!P15-'T6x. MeHg loads 2010-17'!P59)/'T6x. MeHg loads 2010-17'!P15</f>
        <v>0.64131119235635148</v>
      </c>
    </row>
    <row r="26" spans="1:15" x14ac:dyDescent="0.2">
      <c r="A26" s="2" t="s">
        <v>152</v>
      </c>
      <c r="B26" s="45">
        <f>('T6x. MeHg loads 2010-17'!B16-'T6x. MeHg loads 2010-17'!B60)/'T6x. MeHg loads 2010-17'!B16</f>
        <v>5.2380709237232967E-2</v>
      </c>
      <c r="C26" s="116">
        <f>('T6x. MeHg loads 2010-17'!C16-'T6x. MeHg loads 2010-17'!C60)/'T6x. MeHg loads 2010-17'!C16</f>
        <v>0.54006884611811579</v>
      </c>
      <c r="D26" s="171">
        <f>('T6x. MeHg loads 2010-17'!D16-'T6x. MeHg loads 2010-17'!D60)/'T6x. MeHg loads 2010-17'!D16</f>
        <v>-0.44239018019211129</v>
      </c>
      <c r="E26" s="117">
        <f>('T6x. MeHg loads 2010-17'!E16-'T6x. MeHg loads 2010-17'!E60)/'T6x. MeHg loads 2010-17'!E16</f>
        <v>0.49516996915221506</v>
      </c>
      <c r="F26" s="117">
        <f>('T6x. MeHg loads 2010-17'!F16-'T6x. MeHg loads 2010-17'!F60)/'T6x. MeHg loads 2010-17'!F16</f>
        <v>0.41891516966110842</v>
      </c>
      <c r="G26" s="54"/>
      <c r="H26" s="3" t="s">
        <v>26</v>
      </c>
      <c r="I26" s="2"/>
      <c r="J26" s="118">
        <f>('T6x. MeHg loads 2010-17'!J16-'T6x. MeHg loads 2010-17'!J60)/'T6x. MeHg loads 2010-17'!J16</f>
        <v>0.64572678615446377</v>
      </c>
      <c r="K26" s="116">
        <f>('T6x. MeHg loads 2010-17'!K16-'T6x. MeHg loads 2010-17'!K60)/'T6x. MeHg loads 2010-17'!K16</f>
        <v>0.58284319959911324</v>
      </c>
      <c r="L26" s="118">
        <f>('T6x. MeHg loads 2010-17'!L16-'T6x. MeHg loads 2010-17'!L60)/'T6x. MeHg loads 2010-17'!L16</f>
        <v>0.73134641830747038</v>
      </c>
      <c r="M26" s="116">
        <f>('T6x. MeHg loads 2010-17'!M16-'T6x. MeHg loads 2010-17'!M60)/'T6x. MeHg loads 2010-17'!M16</f>
        <v>0.66795190875918853</v>
      </c>
      <c r="N26" s="117">
        <f>('T6x. MeHg loads 2010-17'!O16-'T6x. MeHg loads 2010-17'!O60)/'T6x. MeHg loads 2010-17'!O16</f>
        <v>0.55381709778339883</v>
      </c>
      <c r="O26" s="117">
        <f>('T6x. MeHg loads 2010-17'!P16-'T6x. MeHg loads 2010-17'!P60)/'T6x. MeHg loads 2010-17'!P16</f>
        <v>0.63110941297619938</v>
      </c>
    </row>
    <row r="27" spans="1:15" x14ac:dyDescent="0.2">
      <c r="A27" s="2" t="s">
        <v>152</v>
      </c>
      <c r="H27" s="69" t="s">
        <v>153</v>
      </c>
      <c r="I27" s="2"/>
      <c r="J27" s="131">
        <f>('T6x. MeHg loads 2010-17'!J17-'T6x. MeHg loads 2010-17'!J61)/'T6x. MeHg loads 2010-17'!J17</f>
        <v>0.64572678615446377</v>
      </c>
      <c r="K27" s="116">
        <f>('T6x. MeHg loads 2010-17'!K17-'T6x. MeHg loads 2010-17'!K61)/'T6x. MeHg loads 2010-17'!K17</f>
        <v>0.57641246170642402</v>
      </c>
      <c r="L27" s="118">
        <f>('T6x. MeHg loads 2010-17'!L17-'T6x. MeHg loads 2010-17'!L61)/'T6x. MeHg loads 2010-17'!L17</f>
        <v>0.73134641830747038</v>
      </c>
      <c r="M27" s="116">
        <f>('T6x. MeHg loads 2010-17'!M17-'T6x. MeHg loads 2010-17'!M61)/'T6x. MeHg loads 2010-17'!M17</f>
        <v>0.67878376101980153</v>
      </c>
      <c r="N27" s="117">
        <f>('T6x. MeHg loads 2010-17'!O17-'T6x. MeHg loads 2010-17'!O61)/'T6x. MeHg loads 2010-17'!O17</f>
        <v>0.55012508596830689</v>
      </c>
      <c r="O27" s="117">
        <f>('T6x. MeHg loads 2010-17'!P17-'T6x. MeHg loads 2010-17'!P61)/'T6x. MeHg loads 2010-17'!P17</f>
        <v>0.6439753290718544</v>
      </c>
    </row>
    <row r="28" spans="1:15" x14ac:dyDescent="0.2">
      <c r="A28" s="48"/>
      <c r="B28" s="49"/>
      <c r="C28" s="31"/>
      <c r="D28" s="32"/>
      <c r="E28" s="31"/>
      <c r="F28" s="31"/>
      <c r="G28" s="48"/>
      <c r="H28" s="46"/>
      <c r="I28" s="48"/>
      <c r="J28" s="46"/>
      <c r="K28" s="46"/>
      <c r="L28" s="46"/>
      <c r="M28" s="46"/>
    </row>
    <row r="29" spans="1:15" ht="16" x14ac:dyDescent="0.2">
      <c r="A29" s="47"/>
      <c r="B29" s="49"/>
      <c r="C29" s="48"/>
      <c r="D29" s="50"/>
      <c r="E29" s="48"/>
      <c r="F29" s="48"/>
      <c r="G29" s="48"/>
      <c r="H29" s="6"/>
      <c r="I29" s="48"/>
      <c r="J29" s="31"/>
      <c r="K29" s="48"/>
      <c r="L29" s="48"/>
      <c r="M29" s="48"/>
    </row>
    <row r="30" spans="1:15" x14ac:dyDescent="0.2">
      <c r="A30" s="48"/>
      <c r="B30" s="46"/>
      <c r="C30" s="31"/>
      <c r="D30" s="32"/>
      <c r="E30" s="2"/>
      <c r="F30" s="2"/>
      <c r="G30" s="2"/>
      <c r="H30" s="3" t="s">
        <v>34</v>
      </c>
      <c r="I30" s="2"/>
      <c r="J30" s="3" t="s">
        <v>100</v>
      </c>
      <c r="K30" s="3" t="s">
        <v>99</v>
      </c>
      <c r="L30" s="31"/>
      <c r="M30" s="31"/>
    </row>
    <row r="31" spans="1:15" x14ac:dyDescent="0.2">
      <c r="A31" s="48"/>
      <c r="B31" s="46"/>
      <c r="C31" s="31"/>
      <c r="D31" s="32"/>
      <c r="E31" s="210" t="s">
        <v>98</v>
      </c>
      <c r="F31" s="211"/>
      <c r="G31" s="119"/>
      <c r="H31" s="120">
        <v>8</v>
      </c>
      <c r="I31" s="119"/>
      <c r="J31" s="121">
        <f>AVERAGE(J14:J15,J26:J27,L14:L15,L26:L27)</f>
        <v>0.71650590799473168</v>
      </c>
      <c r="K31" s="118">
        <f>STDEV(J14,J15,J26,J27,L14:L15,L26:L27)</f>
        <v>4.5184130243810065E-2</v>
      </c>
      <c r="L31" s="46"/>
      <c r="M31" s="31"/>
    </row>
    <row r="32" spans="1:15" x14ac:dyDescent="0.2">
      <c r="A32" s="48"/>
      <c r="B32" s="46"/>
      <c r="C32" s="31"/>
      <c r="D32" s="32"/>
      <c r="E32" s="212" t="s">
        <v>103</v>
      </c>
      <c r="F32" s="213"/>
      <c r="G32" s="122"/>
      <c r="H32" s="123">
        <v>10</v>
      </c>
      <c r="I32" s="122"/>
      <c r="J32" s="124">
        <f>AVERAGE(C14,K14,M14,K15,M15,C26,K26,M26,K27,M27)</f>
        <v>0.65725434733936372</v>
      </c>
      <c r="K32" s="116">
        <f>STDEV(C14,K14,K15,M14,M15,C26,K26,K27,M26,M27)</f>
        <v>7.0244161452872933E-2</v>
      </c>
      <c r="L32" s="31"/>
      <c r="M32" s="31"/>
    </row>
    <row r="33" spans="1:13" x14ac:dyDescent="0.2">
      <c r="A33" s="48"/>
      <c r="B33" s="46"/>
      <c r="C33" s="31"/>
      <c r="D33" s="32"/>
      <c r="E33" s="214" t="s">
        <v>162</v>
      </c>
      <c r="F33" s="215"/>
      <c r="G33" s="125"/>
      <c r="H33" s="112">
        <v>12</v>
      </c>
      <c r="I33" s="125"/>
      <c r="J33" s="126">
        <f>AVERAGE(E14,F14,E26,F26,N14:O15,N26:O27)</f>
        <v>0.59576755036901441</v>
      </c>
      <c r="K33" s="117">
        <f>STDEV(E14,F14,E26,F26,N14:O15,N26:O27)</f>
        <v>9.2542539505004268E-2</v>
      </c>
      <c r="L33" s="31"/>
      <c r="M33" s="31"/>
    </row>
    <row r="34" spans="1:13" x14ac:dyDescent="0.2">
      <c r="A34" s="48"/>
      <c r="B34" s="46"/>
      <c r="C34" s="46"/>
      <c r="D34" s="46"/>
      <c r="E34" s="172" t="s">
        <v>163</v>
      </c>
      <c r="F34" s="172"/>
      <c r="G34" s="172"/>
      <c r="H34" s="170">
        <v>2</v>
      </c>
      <c r="I34" s="172"/>
      <c r="J34" s="174">
        <f>AVERAGE(D14,D26)</f>
        <v>-0.37683524279149772</v>
      </c>
      <c r="K34" s="171">
        <f>ABS(D14-D26)/2</f>
        <v>6.5554937400613605E-2</v>
      </c>
      <c r="L34" s="46"/>
      <c r="M34" s="6"/>
    </row>
    <row r="35" spans="1:13" x14ac:dyDescent="0.2">
      <c r="A35" s="48"/>
      <c r="B35" s="46"/>
      <c r="C35" s="46"/>
      <c r="D35" s="31"/>
      <c r="E35" s="46"/>
      <c r="F35" s="46"/>
      <c r="G35" s="48"/>
      <c r="H35" s="6"/>
      <c r="I35" s="48"/>
      <c r="J35" s="46"/>
      <c r="K35" s="46"/>
      <c r="L35" s="46"/>
      <c r="M35" s="46"/>
    </row>
    <row r="36" spans="1:13" x14ac:dyDescent="0.2">
      <c r="A36" s="48"/>
      <c r="B36" s="49"/>
      <c r="C36" s="31"/>
      <c r="D36" s="32"/>
      <c r="E36" s="31"/>
      <c r="F36" s="31"/>
      <c r="G36" s="48"/>
      <c r="H36" s="46"/>
      <c r="I36" s="48"/>
      <c r="J36" s="46"/>
      <c r="K36" s="46"/>
      <c r="L36" s="46"/>
      <c r="M36" s="46"/>
    </row>
    <row r="37" spans="1:13" ht="16" x14ac:dyDescent="0.2">
      <c r="A37" s="47"/>
      <c r="B37" s="49"/>
      <c r="C37" s="48"/>
      <c r="D37" s="50"/>
      <c r="E37" s="48"/>
      <c r="F37" s="48"/>
      <c r="G37" s="48"/>
      <c r="H37" s="6"/>
      <c r="I37" s="48"/>
      <c r="J37" s="48"/>
      <c r="K37" s="48"/>
      <c r="L37" s="48"/>
      <c r="M37" s="48"/>
    </row>
    <row r="38" spans="1:13" x14ac:dyDescent="0.2">
      <c r="A38" s="48"/>
      <c r="B38" s="46"/>
      <c r="C38" s="46"/>
      <c r="D38" s="32"/>
      <c r="E38" s="46"/>
      <c r="F38" s="46"/>
      <c r="G38" s="48"/>
      <c r="H38" s="46"/>
      <c r="I38" s="48"/>
      <c r="J38" s="46"/>
      <c r="K38" s="46"/>
      <c r="L38" s="46"/>
      <c r="M38" s="46"/>
    </row>
    <row r="39" spans="1:13" x14ac:dyDescent="0.2">
      <c r="A39" s="48"/>
      <c r="B39" s="46"/>
      <c r="C39" s="46"/>
      <c r="D39" s="31"/>
      <c r="E39" s="46"/>
      <c r="F39" s="46"/>
      <c r="G39" s="48"/>
      <c r="H39" s="46"/>
      <c r="I39" s="48"/>
      <c r="J39" s="46"/>
      <c r="K39" s="46"/>
      <c r="L39" s="46"/>
      <c r="M39" s="46"/>
    </row>
    <row r="40" spans="1:13" x14ac:dyDescent="0.2">
      <c r="A40" s="48"/>
      <c r="B40" s="46"/>
      <c r="C40" s="31"/>
      <c r="D40" s="32"/>
      <c r="E40" s="31"/>
      <c r="F40" s="31"/>
      <c r="G40" s="48"/>
      <c r="H40" s="46"/>
      <c r="I40" s="48"/>
      <c r="J40" s="31"/>
      <c r="K40" s="31"/>
      <c r="L40" s="31"/>
      <c r="M40" s="31"/>
    </row>
    <row r="41" spans="1:13" x14ac:dyDescent="0.2">
      <c r="A41" s="48"/>
      <c r="B41" s="46"/>
      <c r="C41" s="31"/>
      <c r="D41" s="32"/>
      <c r="E41" s="31"/>
      <c r="F41" s="46"/>
      <c r="G41" s="48"/>
      <c r="H41" s="46"/>
      <c r="I41" s="48"/>
      <c r="J41" s="46"/>
      <c r="K41" s="46"/>
      <c r="L41" s="46"/>
      <c r="M41" s="46"/>
    </row>
    <row r="42" spans="1:13" x14ac:dyDescent="0.2">
      <c r="A42" s="48"/>
      <c r="B42" s="46"/>
      <c r="C42" s="46"/>
      <c r="D42" s="46"/>
      <c r="E42" s="46"/>
      <c r="F42" s="46"/>
      <c r="G42" s="48"/>
      <c r="H42" s="6"/>
      <c r="I42" s="48"/>
      <c r="J42" s="46"/>
      <c r="K42" s="46"/>
      <c r="L42" s="46"/>
      <c r="M42" s="6"/>
    </row>
    <row r="43" spans="1:13" x14ac:dyDescent="0.2">
      <c r="A43" s="48"/>
      <c r="B43" s="46"/>
      <c r="C43" s="46"/>
      <c r="D43" s="32"/>
      <c r="E43" s="46"/>
      <c r="F43" s="46"/>
      <c r="G43" s="48"/>
      <c r="H43" s="6"/>
      <c r="I43" s="48"/>
      <c r="J43" s="46"/>
      <c r="K43" s="46"/>
      <c r="L43" s="46"/>
      <c r="M43" s="46"/>
    </row>
    <row r="44" spans="1:13" x14ac:dyDescent="0.2">
      <c r="A44" s="48"/>
      <c r="B44" s="49"/>
      <c r="C44" s="31"/>
      <c r="D44" s="32"/>
      <c r="E44" s="31"/>
      <c r="F44" s="31"/>
      <c r="G44" s="48"/>
      <c r="H44" s="46"/>
      <c r="I44" s="48"/>
      <c r="J44" s="46"/>
      <c r="K44" s="46"/>
      <c r="L44" s="46"/>
      <c r="M44" s="46"/>
    </row>
    <row r="45" spans="1:13" ht="16" x14ac:dyDescent="0.2">
      <c r="A45" s="47"/>
      <c r="B45" s="49"/>
      <c r="C45" s="48"/>
      <c r="D45" s="50"/>
      <c r="E45" s="48"/>
      <c r="F45" s="48"/>
      <c r="G45" s="48"/>
      <c r="H45" s="48"/>
      <c r="I45" s="48"/>
      <c r="J45" s="48"/>
      <c r="K45" s="48"/>
      <c r="L45" s="48"/>
      <c r="M45" s="48"/>
    </row>
    <row r="46" spans="1:13" x14ac:dyDescent="0.2">
      <c r="A46" s="48"/>
      <c r="B46" s="46"/>
      <c r="C46" s="31"/>
      <c r="D46" s="32"/>
      <c r="E46" s="46"/>
      <c r="F46" s="46"/>
      <c r="G46" s="48"/>
      <c r="H46" s="46"/>
      <c r="I46" s="48"/>
      <c r="J46" s="46"/>
      <c r="K46" s="46"/>
      <c r="L46" s="46"/>
      <c r="M46" s="46"/>
    </row>
    <row r="47" spans="1:13" x14ac:dyDescent="0.2">
      <c r="A47" s="48"/>
      <c r="B47" s="46"/>
      <c r="C47" s="46"/>
      <c r="D47" s="31"/>
      <c r="E47" s="46"/>
      <c r="F47" s="46"/>
      <c r="G47" s="48"/>
      <c r="H47" s="46"/>
      <c r="I47" s="48"/>
      <c r="J47" s="46"/>
      <c r="K47" s="46"/>
      <c r="L47" s="46"/>
      <c r="M47" s="46"/>
    </row>
    <row r="48" spans="1:13" x14ac:dyDescent="0.2">
      <c r="A48" s="48"/>
      <c r="B48" s="46"/>
      <c r="C48" s="31"/>
      <c r="D48" s="32"/>
      <c r="E48" s="31"/>
      <c r="F48" s="31"/>
      <c r="G48" s="48"/>
      <c r="H48" s="46"/>
      <c r="I48" s="48"/>
      <c r="J48" s="31"/>
      <c r="K48" s="31"/>
      <c r="L48" s="31"/>
      <c r="M48" s="31"/>
    </row>
    <row r="49" spans="1:13" x14ac:dyDescent="0.2">
      <c r="A49" s="48"/>
      <c r="B49" s="46"/>
      <c r="C49" s="31"/>
      <c r="D49" s="32"/>
      <c r="E49" s="31"/>
      <c r="F49" s="31"/>
      <c r="G49" s="48"/>
      <c r="H49" s="46"/>
      <c r="I49" s="48"/>
      <c r="J49" s="46"/>
      <c r="K49" s="46"/>
      <c r="L49" s="46"/>
      <c r="M49" s="46"/>
    </row>
    <row r="50" spans="1:13" x14ac:dyDescent="0.2">
      <c r="A50" s="48"/>
      <c r="B50" s="46"/>
      <c r="C50" s="46"/>
      <c r="D50" s="46"/>
      <c r="E50" s="46"/>
      <c r="F50" s="46"/>
      <c r="G50" s="48"/>
      <c r="H50" s="6"/>
      <c r="I50" s="48"/>
      <c r="J50" s="46"/>
      <c r="K50" s="46"/>
      <c r="L50" s="46"/>
      <c r="M50" s="6"/>
    </row>
    <row r="51" spans="1:13" x14ac:dyDescent="0.2">
      <c r="A51" s="48"/>
      <c r="B51" s="46"/>
      <c r="C51" s="46"/>
      <c r="D51" s="31"/>
      <c r="E51" s="46"/>
      <c r="F51" s="46"/>
      <c r="G51" s="48"/>
      <c r="H51" s="6"/>
      <c r="I51" s="48"/>
      <c r="J51" s="46"/>
      <c r="K51" s="46"/>
      <c r="L51" s="46"/>
      <c r="M51" s="46"/>
    </row>
    <row r="52" spans="1:13" x14ac:dyDescent="0.2">
      <c r="A52" s="48"/>
      <c r="B52" s="48"/>
      <c r="C52" s="31"/>
      <c r="D52" s="32"/>
      <c r="E52" s="31"/>
      <c r="F52" s="31"/>
      <c r="G52" s="48"/>
      <c r="H52" s="46"/>
      <c r="I52" s="48"/>
      <c r="J52" s="46"/>
      <c r="K52" s="46"/>
      <c r="L52" s="46"/>
      <c r="M52" s="46"/>
    </row>
  </sheetData>
  <mergeCells count="5">
    <mergeCell ref="A1:M1"/>
    <mergeCell ref="E31:F31"/>
    <mergeCell ref="E32:F32"/>
    <mergeCell ref="E33:F33"/>
    <mergeCell ref="A2:O2"/>
  </mergeCells>
  <pageMargins left="0.7" right="0.7" top="0.75" bottom="0.75" header="0.3" footer="0.3"/>
  <pageSetup scale="80" orientation="landscape" verticalDpi="1200" r:id="rId1"/>
  <headerFooter>
    <oddHeader>&amp;LDraft&amp;RU.S. GEOLOGICAL SURVEY</oddHeader>
    <oddFooter>&amp;LPRELIMINARY - SUBJECT TO REVISION&amp;RDecember 8, 2018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  <pageSetUpPr fitToPage="1"/>
  </sheetPr>
  <dimension ref="A1:P61"/>
  <sheetViews>
    <sheetView view="pageLayout" topLeftCell="A7" zoomScaleNormal="100" workbookViewId="0">
      <selection activeCell="H19" sqref="H19"/>
    </sheetView>
  </sheetViews>
  <sheetFormatPr baseColWidth="10" defaultColWidth="8.83203125" defaultRowHeight="15" x14ac:dyDescent="0.2"/>
  <cols>
    <col min="1" max="1" width="19" customWidth="1"/>
    <col min="3" max="3" width="10.5" customWidth="1"/>
    <col min="5" max="5" width="10" bestFit="1" customWidth="1"/>
    <col min="6" max="6" width="10.5" customWidth="1"/>
    <col min="7" max="7" width="2.1640625" customWidth="1"/>
    <col min="8" max="8" width="10.6640625" customWidth="1"/>
    <col min="9" max="9" width="4.5" customWidth="1"/>
    <col min="11" max="11" width="9.5" bestFit="1" customWidth="1"/>
    <col min="13" max="13" width="10" bestFit="1" customWidth="1"/>
  </cols>
  <sheetData>
    <row r="1" spans="1:13" ht="36.75" customHeight="1" x14ac:dyDescent="0.2">
      <c r="A1" s="208" t="s">
        <v>170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</row>
    <row r="2" spans="1:13" ht="89.5" customHeight="1" x14ac:dyDescent="0.2">
      <c r="A2" s="209" t="s">
        <v>142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</row>
    <row r="4" spans="1:13" x14ac:dyDescent="0.2">
      <c r="B4" s="42" t="s">
        <v>27</v>
      </c>
      <c r="C4" s="40" t="s">
        <v>63</v>
      </c>
      <c r="D4" s="40" t="s">
        <v>64</v>
      </c>
      <c r="E4" s="41" t="s">
        <v>65</v>
      </c>
      <c r="F4" s="41" t="s">
        <v>66</v>
      </c>
      <c r="G4" s="43"/>
      <c r="H4" s="40" t="s">
        <v>63</v>
      </c>
      <c r="I4" s="44"/>
      <c r="J4" s="40" t="s">
        <v>16</v>
      </c>
      <c r="K4" s="40" t="s">
        <v>67</v>
      </c>
      <c r="L4" s="40" t="s">
        <v>17</v>
      </c>
      <c r="M4" s="40" t="s">
        <v>68</v>
      </c>
    </row>
    <row r="5" spans="1:13" x14ac:dyDescent="0.2">
      <c r="B5" s="41" t="s">
        <v>30</v>
      </c>
      <c r="C5" s="41" t="s">
        <v>35</v>
      </c>
      <c r="D5" s="41" t="s">
        <v>35</v>
      </c>
      <c r="E5" s="41" t="s">
        <v>35</v>
      </c>
      <c r="F5" s="41" t="s">
        <v>35</v>
      </c>
      <c r="G5" s="43"/>
      <c r="H5" s="40" t="s">
        <v>29</v>
      </c>
      <c r="I5" s="44"/>
      <c r="J5" s="41" t="s">
        <v>35</v>
      </c>
      <c r="K5" s="41" t="s">
        <v>35</v>
      </c>
      <c r="L5" s="41" t="s">
        <v>35</v>
      </c>
      <c r="M5" s="41" t="s">
        <v>35</v>
      </c>
    </row>
    <row r="6" spans="1:13" ht="48" customHeight="1" x14ac:dyDescent="0.2">
      <c r="A6" s="17"/>
      <c r="B6" s="19" t="s">
        <v>28</v>
      </c>
      <c r="C6" s="18" t="s">
        <v>8</v>
      </c>
      <c r="D6" s="18" t="s">
        <v>8</v>
      </c>
      <c r="E6" s="19" t="s">
        <v>8</v>
      </c>
      <c r="F6" s="19" t="s">
        <v>8</v>
      </c>
      <c r="G6" s="20"/>
      <c r="H6" s="21" t="s">
        <v>143</v>
      </c>
      <c r="I6" s="22"/>
      <c r="J6" s="18" t="s">
        <v>13</v>
      </c>
      <c r="K6" s="18" t="s">
        <v>8</v>
      </c>
      <c r="L6" s="18" t="s">
        <v>13</v>
      </c>
      <c r="M6" s="18" t="s">
        <v>8</v>
      </c>
    </row>
    <row r="7" spans="1:13" ht="16" x14ac:dyDescent="0.2">
      <c r="A7" s="1" t="s">
        <v>0</v>
      </c>
      <c r="C7" s="6"/>
      <c r="D7" s="6"/>
      <c r="H7" s="10"/>
    </row>
    <row r="8" spans="1:13" x14ac:dyDescent="0.2">
      <c r="A8" s="2" t="s">
        <v>1</v>
      </c>
      <c r="B8" s="111">
        <v>204.980803196007</v>
      </c>
      <c r="C8" s="68">
        <v>3.8021033574781871E-2</v>
      </c>
      <c r="D8" s="99">
        <v>3.0139948964169106E-3</v>
      </c>
      <c r="E8" s="97">
        <f>SUM(C8:D8)</f>
        <v>4.1035028471198783E-2</v>
      </c>
      <c r="F8" s="98">
        <v>2.8542436963802886E-2</v>
      </c>
      <c r="G8" s="26"/>
      <c r="H8" s="114">
        <v>3.73</v>
      </c>
      <c r="I8" s="10"/>
      <c r="J8" s="80">
        <v>22.327058892311701</v>
      </c>
      <c r="K8" s="79">
        <f>J8*H8/1000</f>
        <v>8.327992966832265E-2</v>
      </c>
      <c r="L8" s="4" t="s">
        <v>32</v>
      </c>
      <c r="M8" s="36" t="s">
        <v>32</v>
      </c>
    </row>
    <row r="9" spans="1:13" x14ac:dyDescent="0.2">
      <c r="A9" s="2" t="s">
        <v>2</v>
      </c>
      <c r="B9" s="111">
        <v>485</v>
      </c>
      <c r="C9" s="79">
        <v>0.13631422510280944</v>
      </c>
      <c r="D9" s="99">
        <v>5.2219443521433649E-3</v>
      </c>
      <c r="E9" s="97">
        <f t="shared" ref="E9:E15" si="0">SUM(C9:D9)</f>
        <v>0.14153616945495281</v>
      </c>
      <c r="F9" s="84">
        <v>0.20743652721833258</v>
      </c>
      <c r="G9" s="26"/>
      <c r="H9" s="114">
        <v>3.38</v>
      </c>
      <c r="I9" s="10"/>
      <c r="J9" s="65">
        <v>107.27957389764838</v>
      </c>
      <c r="K9" s="79">
        <f t="shared" ref="K9:K17" si="1">J9*H9/1000</f>
        <v>0.36260495977405149</v>
      </c>
      <c r="L9" s="4" t="s">
        <v>32</v>
      </c>
      <c r="M9" s="36" t="s">
        <v>32</v>
      </c>
    </row>
    <row r="10" spans="1:13" x14ac:dyDescent="0.2">
      <c r="A10" s="2" t="s">
        <v>3</v>
      </c>
      <c r="B10" s="111">
        <v>36.921198227783513</v>
      </c>
      <c r="C10" s="99">
        <v>1.4165532631741475E-3</v>
      </c>
      <c r="D10" s="102">
        <v>3.8626072432682078E-4</v>
      </c>
      <c r="E10" s="97">
        <f t="shared" si="0"/>
        <v>1.8028139875009683E-3</v>
      </c>
      <c r="F10" s="105">
        <v>9.6858483279930983E-3</v>
      </c>
      <c r="G10" s="26"/>
      <c r="H10" s="114">
        <v>4.43</v>
      </c>
      <c r="I10" s="10"/>
      <c r="J10" s="79">
        <v>0.51232322347670534</v>
      </c>
      <c r="K10" s="99">
        <f t="shared" si="1"/>
        <v>2.2695918800018046E-3</v>
      </c>
      <c r="L10" s="4" t="s">
        <v>32</v>
      </c>
      <c r="M10" s="36" t="s">
        <v>32</v>
      </c>
    </row>
    <row r="11" spans="1:13" x14ac:dyDescent="0.2">
      <c r="A11" s="2" t="s">
        <v>4</v>
      </c>
      <c r="B11" s="111">
        <v>117.21609517589853</v>
      </c>
      <c r="C11" s="68">
        <v>1.8330857824502056E-2</v>
      </c>
      <c r="D11" s="99">
        <v>9.3414127601572881E-4</v>
      </c>
      <c r="E11" s="97">
        <f t="shared" si="0"/>
        <v>1.9264999100517786E-2</v>
      </c>
      <c r="F11" s="98">
        <v>4.8174294711777491E-2</v>
      </c>
      <c r="G11" s="26"/>
      <c r="H11" s="114">
        <v>3.97</v>
      </c>
      <c r="I11" s="10"/>
      <c r="J11" s="80">
        <v>25.351281027735499</v>
      </c>
      <c r="K11" s="68">
        <f t="shared" si="1"/>
        <v>0.10064458568010994</v>
      </c>
      <c r="L11" s="4" t="s">
        <v>32</v>
      </c>
      <c r="M11" s="36" t="s">
        <v>32</v>
      </c>
    </row>
    <row r="12" spans="1:13" x14ac:dyDescent="0.2">
      <c r="A12" s="2" t="s">
        <v>5</v>
      </c>
      <c r="B12" s="111">
        <v>3</v>
      </c>
      <c r="C12" s="102">
        <v>1.2747164778158403E-4</v>
      </c>
      <c r="D12" s="102">
        <v>4.6302081843963523E-5</v>
      </c>
      <c r="E12" s="104">
        <f t="shared" si="0"/>
        <v>1.7377372962554754E-4</v>
      </c>
      <c r="F12" s="103">
        <v>6.7708213131407471E-4</v>
      </c>
      <c r="G12" s="26"/>
      <c r="H12" s="114">
        <v>3.32</v>
      </c>
      <c r="I12" s="10"/>
      <c r="J12" s="65">
        <v>1.6954627062322425E-2</v>
      </c>
      <c r="K12" s="108" t="s">
        <v>19</v>
      </c>
      <c r="L12" s="13" t="s">
        <v>32</v>
      </c>
      <c r="M12" s="36" t="s">
        <v>32</v>
      </c>
    </row>
    <row r="13" spans="1:13" x14ac:dyDescent="0.2">
      <c r="A13" s="2" t="s">
        <v>97</v>
      </c>
      <c r="B13" s="111">
        <v>86</v>
      </c>
      <c r="C13" s="68">
        <v>2.8631728849142207E-2</v>
      </c>
      <c r="D13" s="102">
        <v>9.2746244865470127E-4</v>
      </c>
      <c r="E13" s="97">
        <f t="shared" si="0"/>
        <v>2.9559191297796907E-2</v>
      </c>
      <c r="F13" s="98">
        <v>3.6537785746638816E-2</v>
      </c>
      <c r="G13" s="26"/>
      <c r="H13" s="114">
        <v>0.92</v>
      </c>
      <c r="I13" s="10"/>
      <c r="J13" s="65">
        <v>31.892775586674372</v>
      </c>
      <c r="K13" s="68">
        <f>J13*H13/1000</f>
        <v>2.9341353539740423E-2</v>
      </c>
      <c r="L13" s="13" t="s">
        <v>32</v>
      </c>
      <c r="M13" s="36" t="s">
        <v>32</v>
      </c>
    </row>
    <row r="14" spans="1:13" s="175" customFormat="1" x14ac:dyDescent="0.2">
      <c r="A14" s="2" t="s">
        <v>105</v>
      </c>
      <c r="B14" s="136">
        <v>140.84107579462102</v>
      </c>
      <c r="C14" s="176">
        <v>7.0000000000000001E-3</v>
      </c>
      <c r="D14" s="102">
        <v>1.2999999999999999E-3</v>
      </c>
      <c r="E14" s="97">
        <f t="shared" si="0"/>
        <v>8.3000000000000001E-3</v>
      </c>
      <c r="F14" s="84">
        <v>0.158</v>
      </c>
      <c r="G14" s="26"/>
      <c r="H14" s="114">
        <v>1.1000000000000001</v>
      </c>
      <c r="I14" s="10"/>
      <c r="J14" s="65">
        <v>37</v>
      </c>
      <c r="K14" s="176">
        <f t="shared" ref="K14:K15" si="2">J14*H14/1000</f>
        <v>4.07E-2</v>
      </c>
      <c r="L14" s="13" t="s">
        <v>32</v>
      </c>
      <c r="M14" s="36" t="s">
        <v>32</v>
      </c>
    </row>
    <row r="15" spans="1:13" s="175" customFormat="1" x14ac:dyDescent="0.2">
      <c r="A15" s="2" t="s">
        <v>151</v>
      </c>
      <c r="B15" s="136">
        <v>1044.0097799511002</v>
      </c>
      <c r="C15" s="176">
        <v>1.9E-2</v>
      </c>
      <c r="D15" s="102">
        <v>8.0999999999999996E-3</v>
      </c>
      <c r="E15" s="97">
        <f t="shared" si="0"/>
        <v>2.7099999999999999E-2</v>
      </c>
      <c r="F15" s="84">
        <v>0.26400000000000001</v>
      </c>
      <c r="G15" s="26"/>
      <c r="H15" s="114">
        <v>1.5</v>
      </c>
      <c r="I15" s="10"/>
      <c r="J15" s="65">
        <v>237</v>
      </c>
      <c r="K15" s="176">
        <f t="shared" si="2"/>
        <v>0.35549999999999998</v>
      </c>
      <c r="L15" s="13" t="s">
        <v>32</v>
      </c>
      <c r="M15" s="36" t="s">
        <v>32</v>
      </c>
    </row>
    <row r="16" spans="1:13" x14ac:dyDescent="0.2">
      <c r="A16" s="2" t="s">
        <v>152</v>
      </c>
      <c r="B16" s="155">
        <f>SUM(B8:B15)</f>
        <v>2117.9689523454099</v>
      </c>
      <c r="C16" s="39">
        <f>SUM(C8:C15)</f>
        <v>0.24884187026219129</v>
      </c>
      <c r="D16" s="25">
        <f>SUM(D8:D15)</f>
        <v>1.9930105779401488E-2</v>
      </c>
      <c r="E16" s="34">
        <f>SUM(E8:E15)</f>
        <v>0.26877197604159281</v>
      </c>
      <c r="F16" s="34">
        <f>SUM(F8:F15)</f>
        <v>0.75305397509985894</v>
      </c>
      <c r="G16" s="26"/>
      <c r="H16" s="5"/>
      <c r="I16" s="10" t="s">
        <v>26</v>
      </c>
      <c r="J16" s="155">
        <f>SUM(J8:J15)</f>
        <v>461.37996725490893</v>
      </c>
      <c r="K16" s="36">
        <f>SUM(K8:K15)</f>
        <v>0.97434042054222636</v>
      </c>
      <c r="L16" s="11" t="s">
        <v>32</v>
      </c>
      <c r="M16" s="36" t="s">
        <v>32</v>
      </c>
    </row>
    <row r="17" spans="1:16" x14ac:dyDescent="0.2">
      <c r="A17" s="2" t="s">
        <v>152</v>
      </c>
      <c r="B17" s="175"/>
      <c r="C17" s="33"/>
      <c r="D17" s="33"/>
      <c r="E17" s="33"/>
      <c r="F17" s="33"/>
      <c r="G17" s="26"/>
      <c r="H17" s="114">
        <v>2.2999999999999998</v>
      </c>
      <c r="I17" s="87" t="s">
        <v>153</v>
      </c>
      <c r="J17" s="155">
        <f>SUM(J8:J15)</f>
        <v>461.37996725490893</v>
      </c>
      <c r="K17" s="36">
        <f t="shared" si="1"/>
        <v>1.0611739246862906</v>
      </c>
      <c r="L17" s="11" t="s">
        <v>32</v>
      </c>
      <c r="M17" s="36" t="s">
        <v>32</v>
      </c>
    </row>
    <row r="18" spans="1:16" ht="16" x14ac:dyDescent="0.2">
      <c r="A18" s="12" t="s">
        <v>11</v>
      </c>
      <c r="B18" s="175"/>
      <c r="C18" s="26"/>
      <c r="D18" s="26"/>
      <c r="E18" s="26"/>
      <c r="F18" s="26"/>
      <c r="G18" s="26"/>
      <c r="H18" s="27"/>
      <c r="I18" s="10"/>
      <c r="J18" s="175"/>
      <c r="K18" s="26"/>
    </row>
    <row r="19" spans="1:16" x14ac:dyDescent="0.2">
      <c r="A19" s="2" t="s">
        <v>1</v>
      </c>
      <c r="B19" s="111">
        <v>86.403555712866023</v>
      </c>
      <c r="C19" s="176">
        <v>4.7E-2</v>
      </c>
      <c r="D19" s="99">
        <v>2.1738060986388552E-3</v>
      </c>
      <c r="E19" s="78">
        <f>SUM(C19:D19)</f>
        <v>4.9173806098638854E-2</v>
      </c>
      <c r="F19" s="98">
        <v>2.6910334326256134E-2</v>
      </c>
      <c r="G19" s="26"/>
      <c r="H19" s="114">
        <v>8.1</v>
      </c>
      <c r="I19" s="10"/>
      <c r="J19" s="80">
        <v>14.051275877241876</v>
      </c>
      <c r="K19" s="79">
        <f>J19*H19/1000</f>
        <v>0.11381533460565919</v>
      </c>
      <c r="L19" s="4" t="s">
        <v>32</v>
      </c>
      <c r="M19" s="36" t="s">
        <v>32</v>
      </c>
      <c r="P19" s="175" t="s">
        <v>167</v>
      </c>
    </row>
    <row r="20" spans="1:16" x14ac:dyDescent="0.2">
      <c r="A20" s="2" t="s">
        <v>2</v>
      </c>
      <c r="B20" s="111">
        <v>360</v>
      </c>
      <c r="C20" s="79">
        <v>0.15086861381535091</v>
      </c>
      <c r="D20" s="99">
        <v>5.3767817310571304E-3</v>
      </c>
      <c r="E20" s="78">
        <f t="shared" ref="E20:E21" si="3">SUM(C20:D20)</f>
        <v>0.15624539554640804</v>
      </c>
      <c r="F20" s="84">
        <v>0.10444811599259206</v>
      </c>
      <c r="G20" s="26"/>
      <c r="H20" s="114">
        <v>3.46</v>
      </c>
      <c r="I20" s="10"/>
      <c r="J20" s="80">
        <v>36.269268256252296</v>
      </c>
      <c r="K20" s="79">
        <f t="shared" ref="K20:K26" si="4">J20*H20/1000</f>
        <v>0.12549166816663296</v>
      </c>
      <c r="L20" s="4" t="s">
        <v>32</v>
      </c>
      <c r="M20" s="36" t="s">
        <v>32</v>
      </c>
    </row>
    <row r="21" spans="1:16" x14ac:dyDescent="0.2">
      <c r="A21" s="2" t="s">
        <v>3</v>
      </c>
      <c r="B21" s="111">
        <v>0</v>
      </c>
      <c r="C21" s="65">
        <v>0</v>
      </c>
      <c r="D21" s="65">
        <v>0</v>
      </c>
      <c r="E21" s="77">
        <f t="shared" si="3"/>
        <v>0</v>
      </c>
      <c r="F21" s="82">
        <v>0</v>
      </c>
      <c r="G21" s="26"/>
      <c r="H21" s="114" t="s">
        <v>19</v>
      </c>
      <c r="I21" s="10"/>
      <c r="J21" s="65">
        <v>0</v>
      </c>
      <c r="K21" s="65">
        <v>0</v>
      </c>
      <c r="L21" s="4" t="s">
        <v>32</v>
      </c>
      <c r="M21" s="36" t="s">
        <v>32</v>
      </c>
    </row>
    <row r="22" spans="1:16" x14ac:dyDescent="0.2">
      <c r="A22" s="2" t="s">
        <v>4</v>
      </c>
      <c r="B22" s="111">
        <v>63.341694194967005</v>
      </c>
      <c r="C22" s="176">
        <v>4.2000000000000003E-2</v>
      </c>
      <c r="D22" s="99">
        <v>3.3596377111837351E-3</v>
      </c>
      <c r="E22" s="78">
        <f>SUM(C22:D22)</f>
        <v>4.5359637711183738E-2</v>
      </c>
      <c r="F22" s="98">
        <v>6.7000000000000004E-2</v>
      </c>
      <c r="G22" s="26"/>
      <c r="H22" s="114">
        <v>2.2200000000000002</v>
      </c>
      <c r="I22" s="10"/>
      <c r="J22" s="80">
        <v>10.175184401620006</v>
      </c>
      <c r="K22" s="68">
        <f t="shared" si="4"/>
        <v>2.2588909371596414E-2</v>
      </c>
      <c r="L22" s="4" t="s">
        <v>32</v>
      </c>
      <c r="M22" s="36" t="s">
        <v>32</v>
      </c>
      <c r="P22" t="s">
        <v>166</v>
      </c>
    </row>
    <row r="23" spans="1:16" x14ac:dyDescent="0.2">
      <c r="A23" s="2" t="s">
        <v>5</v>
      </c>
      <c r="B23" s="111">
        <v>0</v>
      </c>
      <c r="C23" s="65">
        <v>0</v>
      </c>
      <c r="D23" s="65">
        <v>0</v>
      </c>
      <c r="E23" s="77">
        <v>0</v>
      </c>
      <c r="F23" s="82">
        <v>0</v>
      </c>
      <c r="G23" s="26"/>
      <c r="H23" s="114" t="s">
        <v>19</v>
      </c>
      <c r="I23" s="10"/>
      <c r="J23" s="65">
        <v>0</v>
      </c>
      <c r="K23" s="65">
        <v>0</v>
      </c>
      <c r="L23" s="13" t="s">
        <v>32</v>
      </c>
      <c r="M23" s="36" t="s">
        <v>32</v>
      </c>
    </row>
    <row r="24" spans="1:16" x14ac:dyDescent="0.2">
      <c r="A24" s="2" t="s">
        <v>97</v>
      </c>
      <c r="B24" s="111">
        <v>66.400000000000006</v>
      </c>
      <c r="C24" s="68">
        <v>1.5470114272531268E-2</v>
      </c>
      <c r="D24" s="102">
        <v>9.1172784277235698E-4</v>
      </c>
      <c r="E24" s="97">
        <f>SUM(C24:D24)</f>
        <v>1.6381842115303625E-2</v>
      </c>
      <c r="F24" s="98">
        <v>1.4320724580840796E-2</v>
      </c>
      <c r="G24" s="26"/>
      <c r="H24" s="114">
        <v>1</v>
      </c>
      <c r="I24" s="10"/>
      <c r="J24" s="65">
        <v>10.129657064582796</v>
      </c>
      <c r="K24" s="99">
        <f t="shared" si="4"/>
        <v>1.0129657064582796E-2</v>
      </c>
      <c r="L24" s="13" t="s">
        <v>32</v>
      </c>
      <c r="M24" s="36" t="s">
        <v>32</v>
      </c>
    </row>
    <row r="25" spans="1:16" s="175" customFormat="1" x14ac:dyDescent="0.2">
      <c r="A25" s="2" t="s">
        <v>105</v>
      </c>
      <c r="B25" s="111">
        <v>61.2</v>
      </c>
      <c r="C25" s="176">
        <v>3.8999999999999998E-3</v>
      </c>
      <c r="D25" s="178">
        <v>5.9999999999999995E-4</v>
      </c>
      <c r="E25" s="97">
        <f t="shared" ref="E25:E26" si="5">SUM(C25:D25)</f>
        <v>4.4999999999999997E-3</v>
      </c>
      <c r="F25" s="98">
        <v>4.0000000000000001E-3</v>
      </c>
      <c r="G25" s="26"/>
      <c r="H25" s="114">
        <v>1</v>
      </c>
      <c r="I25" s="10"/>
      <c r="J25" s="80">
        <v>6</v>
      </c>
      <c r="K25" s="176">
        <f t="shared" si="4"/>
        <v>6.0000000000000001E-3</v>
      </c>
      <c r="L25" s="13" t="s">
        <v>32</v>
      </c>
      <c r="M25" s="36" t="s">
        <v>32</v>
      </c>
    </row>
    <row r="26" spans="1:16" s="175" customFormat="1" x14ac:dyDescent="0.2">
      <c r="A26" s="2" t="s">
        <v>151</v>
      </c>
      <c r="B26" s="111">
        <v>1026.16425</v>
      </c>
      <c r="C26" s="176">
        <v>7.1999999999999995E-2</v>
      </c>
      <c r="D26" s="178">
        <v>4.7000000000000002E-3</v>
      </c>
      <c r="E26" s="97">
        <f t="shared" si="5"/>
        <v>7.669999999999999E-2</v>
      </c>
      <c r="F26" s="98">
        <v>7.0000000000000007E-2</v>
      </c>
      <c r="G26" s="26"/>
      <c r="H26" s="114">
        <v>1.7</v>
      </c>
      <c r="I26" s="10"/>
      <c r="J26" s="65">
        <v>72.3</v>
      </c>
      <c r="K26" s="176">
        <f t="shared" si="4"/>
        <v>0.12290999999999999</v>
      </c>
      <c r="L26" s="13" t="s">
        <v>32</v>
      </c>
      <c r="M26" s="36" t="s">
        <v>32</v>
      </c>
    </row>
    <row r="27" spans="1:16" x14ac:dyDescent="0.2">
      <c r="A27" s="2" t="s">
        <v>152</v>
      </c>
      <c r="B27" s="155">
        <f>SUM(B19:B26)</f>
        <v>1663.5094999078331</v>
      </c>
      <c r="C27" s="39">
        <f>SUM(C19:C26)</f>
        <v>0.33123872808788224</v>
      </c>
      <c r="D27" s="23">
        <f>SUM(D19:D26)</f>
        <v>1.7121953383652078E-2</v>
      </c>
      <c r="E27" s="34">
        <f>SUM(E19:E26)</f>
        <v>0.34836068147153426</v>
      </c>
      <c r="F27" s="34">
        <f>SUM(F19:F26)</f>
        <v>0.28667917489968897</v>
      </c>
      <c r="G27" s="26"/>
      <c r="H27" s="4"/>
      <c r="I27" s="10" t="s">
        <v>26</v>
      </c>
      <c r="J27" s="155">
        <f>SUM(J19:J26)</f>
        <v>148.92538559969699</v>
      </c>
      <c r="K27" s="39">
        <f>SUM(K19:K26)</f>
        <v>0.4009355692084714</v>
      </c>
      <c r="L27" s="11" t="s">
        <v>32</v>
      </c>
      <c r="M27" s="36" t="s">
        <v>32</v>
      </c>
    </row>
    <row r="28" spans="1:16" x14ac:dyDescent="0.2">
      <c r="A28" s="2" t="s">
        <v>152</v>
      </c>
      <c r="B28" s="37"/>
      <c r="C28" s="33"/>
      <c r="D28" s="33"/>
      <c r="E28" s="33"/>
      <c r="F28" s="33"/>
      <c r="G28" s="26"/>
      <c r="H28" s="114">
        <v>2.0499999999999998</v>
      </c>
      <c r="I28" s="87" t="s">
        <v>153</v>
      </c>
      <c r="J28" s="155">
        <f>SUM(J19:J26)</f>
        <v>148.92538559969699</v>
      </c>
      <c r="K28" s="39">
        <f>J28*H28/1000</f>
        <v>0.30529704047937883</v>
      </c>
      <c r="L28" s="11" t="s">
        <v>32</v>
      </c>
      <c r="M28" s="36" t="s">
        <v>32</v>
      </c>
    </row>
    <row r="29" spans="1:16" ht="16" x14ac:dyDescent="0.2">
      <c r="A29" s="12" t="s">
        <v>12</v>
      </c>
      <c r="B29" s="37"/>
      <c r="C29" s="26"/>
      <c r="D29" s="26"/>
      <c r="E29" s="26"/>
      <c r="F29" s="26"/>
      <c r="G29" s="26"/>
      <c r="H29" s="27"/>
      <c r="I29" s="10"/>
      <c r="J29" s="9"/>
      <c r="K29" s="26"/>
      <c r="M29" s="26"/>
    </row>
    <row r="30" spans="1:16" x14ac:dyDescent="0.2">
      <c r="A30" s="2" t="s">
        <v>1</v>
      </c>
      <c r="B30" s="111">
        <v>85</v>
      </c>
      <c r="C30" s="68">
        <v>1.3343645977200468E-2</v>
      </c>
      <c r="D30" s="99">
        <v>3.1157800914460446E-3</v>
      </c>
      <c r="E30" s="97">
        <f>SUM(C30:D30)</f>
        <v>1.6459426068646511E-2</v>
      </c>
      <c r="F30" s="97">
        <v>1.3054819054216054E-2</v>
      </c>
      <c r="G30" s="26"/>
      <c r="H30" s="114">
        <v>8.11</v>
      </c>
      <c r="I30" s="10"/>
      <c r="J30" s="80">
        <v>1.818523719687591</v>
      </c>
      <c r="K30" s="68">
        <f>J30*H30/1000</f>
        <v>1.4748227366666361E-2</v>
      </c>
      <c r="L30" s="4" t="s">
        <v>32</v>
      </c>
      <c r="M30" s="36" t="s">
        <v>32</v>
      </c>
    </row>
    <row r="31" spans="1:16" x14ac:dyDescent="0.2">
      <c r="A31" s="2" t="s">
        <v>2</v>
      </c>
      <c r="B31" s="111">
        <v>95.92362156151502</v>
      </c>
      <c r="C31" s="68">
        <v>1.10618203148915E-2</v>
      </c>
      <c r="D31" s="99">
        <v>2.2233929735189593E-3</v>
      </c>
      <c r="E31" s="97">
        <f t="shared" ref="E31:E34" si="6">SUM(C31:D31)</f>
        <v>1.3285213288410459E-2</v>
      </c>
      <c r="F31" s="101">
        <v>1.4443991652821668E-2</v>
      </c>
      <c r="G31" s="26"/>
      <c r="H31" s="114">
        <v>4.22</v>
      </c>
      <c r="I31" s="10"/>
      <c r="J31" s="80">
        <v>2.071117691649818</v>
      </c>
      <c r="K31" s="68">
        <f t="shared" ref="K31:K39" si="7">J31*H31/1000</f>
        <v>8.7401166587622314E-3</v>
      </c>
      <c r="L31" s="4" t="s">
        <v>32</v>
      </c>
      <c r="M31" s="36" t="s">
        <v>32</v>
      </c>
    </row>
    <row r="32" spans="1:16" x14ac:dyDescent="0.2">
      <c r="A32" s="2" t="s">
        <v>3</v>
      </c>
      <c r="B32" s="111">
        <v>22.120468177770004</v>
      </c>
      <c r="C32" s="99">
        <v>2.1485516201959092E-3</v>
      </c>
      <c r="D32" s="102">
        <v>4.6729287381473158E-4</v>
      </c>
      <c r="E32" s="101">
        <f t="shared" si="6"/>
        <v>2.615844494010641E-3</v>
      </c>
      <c r="F32" s="101">
        <v>6.1147513278336698E-3</v>
      </c>
      <c r="G32" s="26"/>
      <c r="H32" s="114">
        <v>5.93</v>
      </c>
      <c r="I32" s="10"/>
      <c r="J32" s="79">
        <v>0.35399669545231066</v>
      </c>
      <c r="K32" s="99">
        <f t="shared" si="7"/>
        <v>2.0992004040322021E-3</v>
      </c>
      <c r="L32" s="4" t="s">
        <v>32</v>
      </c>
      <c r="M32" s="36" t="s">
        <v>32</v>
      </c>
    </row>
    <row r="33" spans="1:13" x14ac:dyDescent="0.2">
      <c r="A33" s="2" t="s">
        <v>4</v>
      </c>
      <c r="B33" s="111">
        <v>39</v>
      </c>
      <c r="C33" s="99">
        <v>3.8283241327420722E-3</v>
      </c>
      <c r="D33" s="102">
        <v>8.1520109013737629E-4</v>
      </c>
      <c r="E33" s="101">
        <f t="shared" si="6"/>
        <v>4.6435252228794483E-3</v>
      </c>
      <c r="F33" s="101">
        <v>9.9341026929181606E-3</v>
      </c>
      <c r="G33" s="26"/>
      <c r="H33" s="114">
        <v>4.3600000000000003</v>
      </c>
      <c r="I33" s="10"/>
      <c r="J33" s="80">
        <v>2.2543061810729563</v>
      </c>
      <c r="K33" s="99">
        <f t="shared" si="7"/>
        <v>9.8287749494780901E-3</v>
      </c>
      <c r="L33" s="4" t="s">
        <v>32</v>
      </c>
      <c r="M33" s="36" t="s">
        <v>32</v>
      </c>
    </row>
    <row r="34" spans="1:13" x14ac:dyDescent="0.2">
      <c r="A34" s="2" t="s">
        <v>5</v>
      </c>
      <c r="B34" s="113">
        <v>0.65</v>
      </c>
      <c r="C34" s="102">
        <v>2.7869277528697414E-4</v>
      </c>
      <c r="D34" s="107">
        <v>3.4135606430443559E-5</v>
      </c>
      <c r="E34" s="104">
        <f t="shared" si="6"/>
        <v>3.1282838171741768E-4</v>
      </c>
      <c r="F34" s="104">
        <v>5.1977498938719031E-4</v>
      </c>
      <c r="G34" s="26"/>
      <c r="H34" s="114" t="s">
        <v>19</v>
      </c>
      <c r="I34" s="10"/>
      <c r="J34" s="176">
        <v>3.3875363453196245E-3</v>
      </c>
      <c r="K34" s="65" t="s">
        <v>32</v>
      </c>
      <c r="L34" s="13" t="s">
        <v>32</v>
      </c>
      <c r="M34" s="36" t="s">
        <v>32</v>
      </c>
    </row>
    <row r="35" spans="1:13" x14ac:dyDescent="0.2">
      <c r="A35" s="2" t="s">
        <v>97</v>
      </c>
      <c r="B35" s="111">
        <v>17</v>
      </c>
      <c r="C35" s="99">
        <v>2.4716835894743106E-3</v>
      </c>
      <c r="D35" s="102">
        <v>4.0032550093196061E-4</v>
      </c>
      <c r="E35" s="101">
        <f>SUM(C35:D35)</f>
        <v>2.872009090406271E-3</v>
      </c>
      <c r="F35" s="101">
        <v>4.5456629329134086E-3</v>
      </c>
      <c r="G35" s="26"/>
      <c r="H35" s="114">
        <v>2.4700000000000002</v>
      </c>
      <c r="I35" s="10"/>
      <c r="J35" s="79">
        <v>0.4666478437036774</v>
      </c>
      <c r="K35" s="99">
        <f t="shared" si="7"/>
        <v>1.1526201739480832E-3</v>
      </c>
      <c r="L35" s="13" t="s">
        <v>32</v>
      </c>
      <c r="M35" s="36" t="s">
        <v>32</v>
      </c>
    </row>
    <row r="36" spans="1:13" s="175" customFormat="1" x14ac:dyDescent="0.2">
      <c r="A36" s="2" t="s">
        <v>105</v>
      </c>
      <c r="B36" s="111">
        <v>52.023969000000001</v>
      </c>
      <c r="C36" s="176">
        <v>0.02</v>
      </c>
      <c r="D36" s="178">
        <v>3.8999999999999998E-3</v>
      </c>
      <c r="E36" s="101">
        <f>SUM(C36:D36)</f>
        <v>2.3900000000000001E-2</v>
      </c>
      <c r="F36" s="101">
        <v>2.1000000000000001E-2</v>
      </c>
      <c r="G36" s="26"/>
      <c r="H36" s="114">
        <v>1.5</v>
      </c>
      <c r="I36" s="10"/>
      <c r="J36" s="80">
        <v>4.7</v>
      </c>
      <c r="K36" s="178">
        <f t="shared" si="7"/>
        <v>7.0500000000000007E-3</v>
      </c>
      <c r="L36" s="13" t="s">
        <v>32</v>
      </c>
      <c r="M36" s="36" t="s">
        <v>32</v>
      </c>
    </row>
    <row r="37" spans="1:13" s="175" customFormat="1" x14ac:dyDescent="0.2">
      <c r="A37" s="2" t="s">
        <v>151</v>
      </c>
      <c r="B37" s="111">
        <v>31.800677832000002</v>
      </c>
      <c r="C37" s="178">
        <v>4.0000000000000001E-3</v>
      </c>
      <c r="D37" s="178">
        <v>1.4E-3</v>
      </c>
      <c r="E37" s="101">
        <f>SUM(C37:D37)</f>
        <v>5.4000000000000003E-3</v>
      </c>
      <c r="F37" s="101">
        <v>5.1999999999999998E-3</v>
      </c>
      <c r="G37" s="26"/>
      <c r="H37" s="114">
        <v>2.6</v>
      </c>
      <c r="I37" s="10"/>
      <c r="J37" s="79">
        <v>0.9</v>
      </c>
      <c r="K37" s="178">
        <f t="shared" si="7"/>
        <v>2.3400000000000005E-3</v>
      </c>
      <c r="L37" s="13" t="s">
        <v>32</v>
      </c>
      <c r="M37" s="36" t="s">
        <v>32</v>
      </c>
    </row>
    <row r="38" spans="1:13" x14ac:dyDescent="0.2">
      <c r="A38" s="2" t="s">
        <v>152</v>
      </c>
      <c r="B38" s="155">
        <f>SUM(B30:B37)</f>
        <v>343.51873657128505</v>
      </c>
      <c r="C38" s="29">
        <f>SUM(C30:C36)</f>
        <v>5.3132718409791238E-2</v>
      </c>
      <c r="D38" s="177">
        <f>SUM(D30:D37)</f>
        <v>1.2356128136279516E-2</v>
      </c>
      <c r="E38" s="30">
        <f>SUM(E30:E37)</f>
        <v>6.9488846546070751E-2</v>
      </c>
      <c r="F38" s="30">
        <f>SUM(F30:F37)</f>
        <v>7.4813102650090155E-2</v>
      </c>
      <c r="G38" s="26"/>
      <c r="H38" s="4"/>
      <c r="I38" s="10" t="s">
        <v>26</v>
      </c>
      <c r="J38" s="155">
        <f>SUM(J30:J37)</f>
        <v>12.567979667911674</v>
      </c>
      <c r="K38" s="29">
        <f>SUM(K30:K35)</f>
        <v>3.6568939552886967E-2</v>
      </c>
      <c r="L38" s="11" t="s">
        <v>32</v>
      </c>
      <c r="M38" s="36" t="s">
        <v>32</v>
      </c>
    </row>
    <row r="39" spans="1:13" x14ac:dyDescent="0.2">
      <c r="A39" s="2" t="s">
        <v>152</v>
      </c>
      <c r="B39" s="37"/>
      <c r="C39" s="38"/>
      <c r="D39" s="33"/>
      <c r="E39" s="33"/>
      <c r="F39" s="33"/>
      <c r="G39" s="26"/>
      <c r="H39" s="114">
        <v>4.6500000000000004</v>
      </c>
      <c r="I39" s="87" t="s">
        <v>153</v>
      </c>
      <c r="J39" s="155">
        <f>SUM(J30:J37)</f>
        <v>12.567979667911674</v>
      </c>
      <c r="K39" s="29">
        <f t="shared" si="7"/>
        <v>5.8441105455789281E-2</v>
      </c>
      <c r="L39" s="11" t="s">
        <v>32</v>
      </c>
      <c r="M39" s="36" t="s">
        <v>32</v>
      </c>
    </row>
    <row r="40" spans="1:13" ht="16" x14ac:dyDescent="0.2">
      <c r="A40" s="14" t="s">
        <v>14</v>
      </c>
      <c r="B40" s="37"/>
      <c r="C40" s="26"/>
      <c r="D40" s="26"/>
      <c r="E40" s="28"/>
      <c r="F40" s="26"/>
      <c r="G40" s="26"/>
      <c r="H40" s="27"/>
      <c r="I40" s="10"/>
      <c r="J40" s="175"/>
      <c r="K40" s="26"/>
    </row>
    <row r="41" spans="1:13" x14ac:dyDescent="0.2">
      <c r="A41" s="2" t="s">
        <v>1</v>
      </c>
      <c r="B41" s="111">
        <f>SUM(B19,B30)</f>
        <v>171.40355571286602</v>
      </c>
      <c r="C41" s="79">
        <f>C19+C30</f>
        <v>6.0343645977200468E-2</v>
      </c>
      <c r="D41" s="99">
        <f t="shared" ref="D41" si="8">D19+D30</f>
        <v>5.2895861900848998E-3</v>
      </c>
      <c r="E41" s="78">
        <f>E19+E30</f>
        <v>6.5633232167285366E-2</v>
      </c>
      <c r="F41" s="97">
        <f>F19+F30</f>
        <v>3.9965153380472185E-2</v>
      </c>
      <c r="G41" s="26"/>
      <c r="H41" s="8"/>
      <c r="I41" s="10"/>
      <c r="J41" s="65">
        <f t="shared" ref="J41:K44" si="9">SUM(J19+J30)</f>
        <v>15.869799596929466</v>
      </c>
      <c r="K41" s="79">
        <f t="shared" si="9"/>
        <v>0.12856356197232555</v>
      </c>
      <c r="L41" s="4" t="s">
        <v>32</v>
      </c>
      <c r="M41" s="36" t="s">
        <v>32</v>
      </c>
    </row>
    <row r="42" spans="1:13" x14ac:dyDescent="0.2">
      <c r="A42" s="2" t="s">
        <v>2</v>
      </c>
      <c r="B42" s="111">
        <f>SUM(B20,B31)</f>
        <v>455.92362156151501</v>
      </c>
      <c r="C42" s="79">
        <f>C20+C31</f>
        <v>0.16193043413024241</v>
      </c>
      <c r="D42" s="99">
        <f>D20+D31</f>
        <v>7.6001747045760897E-3</v>
      </c>
      <c r="E42" s="78">
        <f>E20+E31</f>
        <v>0.16953060883481849</v>
      </c>
      <c r="F42" s="78">
        <f>F20+F31</f>
        <v>0.11889210764541372</v>
      </c>
      <c r="G42" s="26"/>
      <c r="H42" s="4"/>
      <c r="I42" s="10"/>
      <c r="J42" s="65">
        <f t="shared" si="9"/>
        <v>38.340385947902114</v>
      </c>
      <c r="K42" s="79">
        <f t="shared" si="9"/>
        <v>0.13423178482539519</v>
      </c>
      <c r="L42" s="4" t="s">
        <v>32</v>
      </c>
      <c r="M42" s="36" t="s">
        <v>32</v>
      </c>
    </row>
    <row r="43" spans="1:13" x14ac:dyDescent="0.2">
      <c r="A43" s="2" t="s">
        <v>3</v>
      </c>
      <c r="B43" s="111">
        <f>SUM(B21,B32)</f>
        <v>22.120468177770004</v>
      </c>
      <c r="C43" s="99">
        <f t="shared" ref="C43:F43" si="10">C21+C32</f>
        <v>2.1485516201959092E-3</v>
      </c>
      <c r="D43" s="102">
        <f t="shared" si="10"/>
        <v>4.6729287381473158E-4</v>
      </c>
      <c r="E43" s="101">
        <f t="shared" ref="E43:E48" si="11">E21+E32</f>
        <v>2.615844494010641E-3</v>
      </c>
      <c r="F43" s="101">
        <f t="shared" si="10"/>
        <v>6.1147513278336698E-3</v>
      </c>
      <c r="G43" s="26"/>
      <c r="H43" s="4"/>
      <c r="I43" s="10"/>
      <c r="J43" s="79">
        <f t="shared" si="9"/>
        <v>0.35399669545231066</v>
      </c>
      <c r="K43" s="99">
        <f t="shared" si="9"/>
        <v>2.0992004040322021E-3</v>
      </c>
      <c r="L43" s="4" t="s">
        <v>32</v>
      </c>
      <c r="M43" s="36" t="s">
        <v>32</v>
      </c>
    </row>
    <row r="44" spans="1:13" x14ac:dyDescent="0.2">
      <c r="A44" s="2" t="s">
        <v>4</v>
      </c>
      <c r="B44" s="111">
        <f>SUM(B22,B33)</f>
        <v>102.341694194967</v>
      </c>
      <c r="C44" s="79">
        <f>C22+C33</f>
        <v>4.5828324132742078E-2</v>
      </c>
      <c r="D44" s="99">
        <f t="shared" ref="D44:F44" si="12">D22+D33</f>
        <v>4.1748388013211112E-3</v>
      </c>
      <c r="E44" s="78">
        <f t="shared" si="11"/>
        <v>5.0003162934063185E-2</v>
      </c>
      <c r="F44" s="78">
        <f t="shared" si="12"/>
        <v>7.6934102692918171E-2</v>
      </c>
      <c r="G44" s="26"/>
      <c r="H44" s="4"/>
      <c r="I44" s="10"/>
      <c r="J44" s="65">
        <f t="shared" si="9"/>
        <v>12.429490582692964</v>
      </c>
      <c r="K44" s="68">
        <f t="shared" si="9"/>
        <v>3.2417684321074502E-2</v>
      </c>
      <c r="L44" s="4" t="s">
        <v>32</v>
      </c>
      <c r="M44" s="36" t="s">
        <v>32</v>
      </c>
    </row>
    <row r="45" spans="1:13" x14ac:dyDescent="0.2">
      <c r="A45" s="2" t="s">
        <v>5</v>
      </c>
      <c r="B45" s="114">
        <f t="shared" ref="B45:B48" si="13">SUM(B23,B34)</f>
        <v>0.65</v>
      </c>
      <c r="C45" s="102">
        <f>C23+C34</f>
        <v>2.7869277528697414E-4</v>
      </c>
      <c r="D45" s="102">
        <f>D23+D34</f>
        <v>3.4135606430443559E-5</v>
      </c>
      <c r="E45" s="104">
        <f t="shared" si="11"/>
        <v>3.1282838171741768E-4</v>
      </c>
      <c r="F45" s="104">
        <f t="shared" ref="F45" si="14">F23+F34</f>
        <v>5.1977498938719031E-4</v>
      </c>
      <c r="G45" s="26"/>
      <c r="H45" s="4"/>
      <c r="I45" s="10"/>
      <c r="J45" s="79">
        <f>SUM(J23+J34)</f>
        <v>3.3875363453196245E-3</v>
      </c>
      <c r="K45" s="79">
        <v>0</v>
      </c>
      <c r="L45" s="13" t="s">
        <v>32</v>
      </c>
      <c r="M45" s="36" t="s">
        <v>32</v>
      </c>
    </row>
    <row r="46" spans="1:13" x14ac:dyDescent="0.2">
      <c r="A46" s="2" t="s">
        <v>97</v>
      </c>
      <c r="B46" s="111">
        <f t="shared" si="13"/>
        <v>83.4</v>
      </c>
      <c r="C46" s="68">
        <f>C24+C35</f>
        <v>1.794179786200558E-2</v>
      </c>
      <c r="D46" s="99">
        <f>D24+D35</f>
        <v>1.3120533437043177E-3</v>
      </c>
      <c r="E46" s="97">
        <f t="shared" si="11"/>
        <v>1.9253851205709896E-2</v>
      </c>
      <c r="F46" s="97">
        <f t="shared" ref="F46" si="15">F24+F35</f>
        <v>1.8866387513754204E-2</v>
      </c>
      <c r="G46" s="26"/>
      <c r="H46" s="7"/>
      <c r="I46" s="10"/>
      <c r="J46" s="65">
        <f>SUM(J24+J35)</f>
        <v>10.596304908286474</v>
      </c>
      <c r="K46" s="68">
        <f>SUM(K24+K35)</f>
        <v>1.1282277238530879E-2</v>
      </c>
      <c r="L46" s="13" t="s">
        <v>32</v>
      </c>
      <c r="M46" s="36" t="s">
        <v>32</v>
      </c>
    </row>
    <row r="47" spans="1:13" s="175" customFormat="1" x14ac:dyDescent="0.2">
      <c r="A47" s="2" t="s">
        <v>105</v>
      </c>
      <c r="B47" s="136">
        <f t="shared" si="13"/>
        <v>113.22396900000001</v>
      </c>
      <c r="C47" s="176">
        <f t="shared" ref="C47:F47" si="16">C25+C36</f>
        <v>2.3900000000000001E-2</v>
      </c>
      <c r="D47" s="178">
        <f t="shared" si="16"/>
        <v>4.4999999999999997E-3</v>
      </c>
      <c r="E47" s="97">
        <f t="shared" si="11"/>
        <v>2.8400000000000002E-2</v>
      </c>
      <c r="F47" s="97">
        <f t="shared" si="16"/>
        <v>2.5000000000000001E-2</v>
      </c>
      <c r="G47" s="26"/>
      <c r="H47" s="7"/>
      <c r="I47" s="10"/>
      <c r="J47" s="65">
        <f t="shared" ref="J47:K48" si="17">SUM(J25+J36)</f>
        <v>10.7</v>
      </c>
      <c r="K47" s="176">
        <f t="shared" si="17"/>
        <v>1.3050000000000001E-2</v>
      </c>
      <c r="L47" s="13" t="s">
        <v>32</v>
      </c>
      <c r="M47" s="36" t="s">
        <v>32</v>
      </c>
    </row>
    <row r="48" spans="1:13" s="175" customFormat="1" x14ac:dyDescent="0.2">
      <c r="A48" s="2" t="s">
        <v>151</v>
      </c>
      <c r="B48" s="136">
        <f t="shared" si="13"/>
        <v>1057.9649278320001</v>
      </c>
      <c r="C48" s="176">
        <f t="shared" ref="C48:F48" si="18">C26+C37</f>
        <v>7.5999999999999998E-2</v>
      </c>
      <c r="D48" s="178">
        <f t="shared" si="18"/>
        <v>6.1000000000000004E-3</v>
      </c>
      <c r="E48" s="97">
        <f t="shared" si="11"/>
        <v>8.2099999999999992E-2</v>
      </c>
      <c r="F48" s="97">
        <f t="shared" si="18"/>
        <v>7.5200000000000003E-2</v>
      </c>
      <c r="G48" s="26"/>
      <c r="H48" s="7"/>
      <c r="I48" s="10"/>
      <c r="J48" s="65">
        <f t="shared" si="17"/>
        <v>73.2</v>
      </c>
      <c r="K48" s="176">
        <f t="shared" si="17"/>
        <v>0.12525</v>
      </c>
      <c r="L48" s="13" t="s">
        <v>32</v>
      </c>
      <c r="M48" s="36" t="s">
        <v>32</v>
      </c>
    </row>
    <row r="49" spans="1:13" x14ac:dyDescent="0.2">
      <c r="A49" s="2" t="s">
        <v>152</v>
      </c>
      <c r="B49" s="155">
        <f>SUM(B41:B48)</f>
        <v>2007.028236479118</v>
      </c>
      <c r="C49" s="39">
        <f>SUM(C41:C48)</f>
        <v>0.38837144649767341</v>
      </c>
      <c r="D49" s="23">
        <f>SUM(D41:D48)</f>
        <v>2.9478081519931598E-2</v>
      </c>
      <c r="E49" s="34">
        <f>SUM(E41:E48)</f>
        <v>0.417849528017605</v>
      </c>
      <c r="F49" s="34">
        <f>SUM(F41:F48)</f>
        <v>0.36149227754977914</v>
      </c>
      <c r="G49" s="26"/>
      <c r="H49" s="4"/>
      <c r="I49" s="10" t="s">
        <v>26</v>
      </c>
      <c r="J49" s="155">
        <f>SUM(J41:J48)</f>
        <v>161.49336526760865</v>
      </c>
      <c r="K49" s="39">
        <f>SUM(K41:K48)</f>
        <v>0.44689450876135839</v>
      </c>
      <c r="L49" s="11" t="s">
        <v>32</v>
      </c>
      <c r="M49" s="36" t="s">
        <v>32</v>
      </c>
    </row>
    <row r="50" spans="1:13" x14ac:dyDescent="0.2">
      <c r="A50" s="2" t="s">
        <v>152</v>
      </c>
      <c r="B50" s="37"/>
      <c r="C50" s="33"/>
      <c r="D50" s="33"/>
      <c r="E50" s="33"/>
      <c r="F50" s="33"/>
      <c r="G50" s="26"/>
      <c r="H50" s="4"/>
      <c r="I50" s="87" t="s">
        <v>153</v>
      </c>
      <c r="J50" s="155">
        <f>SUM(J41:J48)</f>
        <v>161.49336526760865</v>
      </c>
      <c r="K50" s="39">
        <f>SUM(K41:K48)</f>
        <v>0.44689450876135839</v>
      </c>
      <c r="L50" s="11" t="s">
        <v>32</v>
      </c>
      <c r="M50" s="36" t="s">
        <v>32</v>
      </c>
    </row>
    <row r="51" spans="1:13" ht="16" x14ac:dyDescent="0.2">
      <c r="A51" s="14" t="s">
        <v>15</v>
      </c>
      <c r="B51" s="37"/>
      <c r="C51" s="26"/>
      <c r="D51" s="26"/>
      <c r="E51" s="28"/>
      <c r="F51" s="26"/>
      <c r="G51" s="26"/>
      <c r="H51" s="26"/>
      <c r="I51" s="10"/>
      <c r="J51" s="175"/>
      <c r="K51" s="26"/>
    </row>
    <row r="52" spans="1:13" x14ac:dyDescent="0.2">
      <c r="A52" s="2" t="s">
        <v>1</v>
      </c>
      <c r="B52" s="111">
        <f t="shared" ref="B52:B59" si="19">B41</f>
        <v>171.40355571286602</v>
      </c>
      <c r="C52" s="68">
        <v>1.9331887387356191E-2</v>
      </c>
      <c r="D52" s="99">
        <v>3.0691229803808677E-3</v>
      </c>
      <c r="E52" s="97">
        <f>SUM(C52:D52)</f>
        <v>2.2401010367737059E-2</v>
      </c>
      <c r="F52" s="97">
        <v>1.8924265801085031E-2</v>
      </c>
      <c r="G52" s="26"/>
      <c r="H52" s="114">
        <v>8.11</v>
      </c>
      <c r="I52" s="10"/>
      <c r="J52" s="65">
        <v>10.277580973463635</v>
      </c>
      <c r="K52" s="79">
        <f>J52*H52/1000</f>
        <v>8.3351181694790069E-2</v>
      </c>
      <c r="L52" s="4" t="s">
        <v>32</v>
      </c>
      <c r="M52" s="36" t="s">
        <v>32</v>
      </c>
    </row>
    <row r="53" spans="1:13" x14ac:dyDescent="0.2">
      <c r="A53" s="2" t="s">
        <v>2</v>
      </c>
      <c r="B53" s="111">
        <f t="shared" si="19"/>
        <v>455.92362156151501</v>
      </c>
      <c r="C53" s="68">
        <v>9.934876542785448E-2</v>
      </c>
      <c r="D53" s="99">
        <v>8.3760778085426851E-3</v>
      </c>
      <c r="E53" s="97">
        <f t="shared" ref="E53:E59" si="20">SUM(C53:D53)</f>
        <v>0.10772484323639717</v>
      </c>
      <c r="F53" s="78">
        <v>0.10296434506036554</v>
      </c>
      <c r="G53" s="26"/>
      <c r="H53" s="114">
        <v>3.62</v>
      </c>
      <c r="I53" s="10"/>
      <c r="J53" s="65">
        <v>50.010898619829646</v>
      </c>
      <c r="K53" s="79">
        <f t="shared" ref="K53:K59" si="21">J53*H53/1000</f>
        <v>0.18103945300378332</v>
      </c>
      <c r="L53" s="4" t="s">
        <v>32</v>
      </c>
      <c r="M53" s="36" t="s">
        <v>32</v>
      </c>
    </row>
    <row r="54" spans="1:13" x14ac:dyDescent="0.2">
      <c r="A54" s="2" t="s">
        <v>3</v>
      </c>
      <c r="B54" s="111">
        <f t="shared" si="19"/>
        <v>22.120468177770004</v>
      </c>
      <c r="C54" s="99">
        <v>2.1850548131395085E-3</v>
      </c>
      <c r="D54" s="102">
        <v>6.7975860855003472E-4</v>
      </c>
      <c r="E54" s="101">
        <f t="shared" si="20"/>
        <v>2.8648134216895434E-3</v>
      </c>
      <c r="F54" s="101">
        <v>8.6220923256367342E-3</v>
      </c>
      <c r="G54" s="26"/>
      <c r="H54" s="114">
        <v>5.93</v>
      </c>
      <c r="I54" s="10"/>
      <c r="J54" s="79">
        <v>0.45651520037337995</v>
      </c>
      <c r="K54" s="99">
        <f t="shared" si="21"/>
        <v>2.7071351382141427E-3</v>
      </c>
      <c r="L54" s="4" t="s">
        <v>32</v>
      </c>
      <c r="M54" s="36" t="s">
        <v>32</v>
      </c>
    </row>
    <row r="55" spans="1:13" x14ac:dyDescent="0.2">
      <c r="A55" s="2" t="s">
        <v>4</v>
      </c>
      <c r="B55" s="111">
        <f t="shared" si="19"/>
        <v>102.341694194967</v>
      </c>
      <c r="C55" s="68">
        <v>1.7860631866083002E-2</v>
      </c>
      <c r="D55" s="99">
        <v>2.2214347340427198E-3</v>
      </c>
      <c r="E55" s="97">
        <f t="shared" si="20"/>
        <v>2.0082066600125723E-2</v>
      </c>
      <c r="F55" s="97">
        <v>3.2253097772085453E-2</v>
      </c>
      <c r="G55" s="26"/>
      <c r="H55" s="114">
        <v>3.03</v>
      </c>
      <c r="I55" s="10"/>
      <c r="J55" s="65">
        <v>18.242950242935695</v>
      </c>
      <c r="K55" s="68">
        <f t="shared" si="21"/>
        <v>5.5276139236095152E-2</v>
      </c>
      <c r="L55" s="4" t="s">
        <v>32</v>
      </c>
      <c r="M55" s="36" t="s">
        <v>32</v>
      </c>
    </row>
    <row r="56" spans="1:13" x14ac:dyDescent="0.2">
      <c r="A56" s="2" t="s">
        <v>5</v>
      </c>
      <c r="B56" s="114">
        <f t="shared" si="19"/>
        <v>0.65</v>
      </c>
      <c r="C56" s="102">
        <v>2.2847812377585949E-4</v>
      </c>
      <c r="D56" s="107">
        <v>4.3217834773290006E-5</v>
      </c>
      <c r="E56" s="104">
        <f t="shared" si="20"/>
        <v>2.7169595854914953E-4</v>
      </c>
      <c r="F56" s="104">
        <v>7.9097550512989914E-4</v>
      </c>
      <c r="G56" s="26"/>
      <c r="H56" s="114" t="s">
        <v>19</v>
      </c>
      <c r="I56" s="10"/>
      <c r="J56" s="176">
        <v>5.4624984876069024E-3</v>
      </c>
      <c r="K56" s="65">
        <v>0</v>
      </c>
      <c r="L56" s="13" t="s">
        <v>32</v>
      </c>
      <c r="M56" s="36" t="s">
        <v>32</v>
      </c>
    </row>
    <row r="57" spans="1:13" x14ac:dyDescent="0.2">
      <c r="A57" s="2" t="s">
        <v>97</v>
      </c>
      <c r="B57" s="111">
        <f t="shared" si="19"/>
        <v>83.4</v>
      </c>
      <c r="C57" s="68">
        <v>1.4542359077057901E-2</v>
      </c>
      <c r="D57" s="99">
        <v>1.7089574693117241E-3</v>
      </c>
      <c r="E57" s="97">
        <f t="shared" si="20"/>
        <v>1.6251316546369625E-2</v>
      </c>
      <c r="F57" s="97">
        <v>3.1888950901088384E-2</v>
      </c>
      <c r="G57" s="26"/>
      <c r="H57" s="114">
        <v>1.3</v>
      </c>
      <c r="I57" s="10"/>
      <c r="J57" s="65">
        <v>26.491813021051662</v>
      </c>
      <c r="K57" s="68">
        <f t="shared" si="21"/>
        <v>3.4439356927367167E-2</v>
      </c>
      <c r="L57" s="13" t="s">
        <v>32</v>
      </c>
      <c r="M57" s="36" t="s">
        <v>32</v>
      </c>
    </row>
    <row r="58" spans="1:13" s="175" customFormat="1" x14ac:dyDescent="0.2">
      <c r="A58" s="2" t="s">
        <v>105</v>
      </c>
      <c r="B58" s="136">
        <f t="shared" si="19"/>
        <v>113.22396900000001</v>
      </c>
      <c r="C58" s="176">
        <v>5.5E-2</v>
      </c>
      <c r="D58" s="178">
        <v>7.1999999999999998E-3</v>
      </c>
      <c r="E58" s="97">
        <f t="shared" si="20"/>
        <v>6.2199999999999998E-2</v>
      </c>
      <c r="F58" s="97">
        <v>5.0999999999999997E-2</v>
      </c>
      <c r="G58" s="26"/>
      <c r="H58" s="114">
        <v>1.2</v>
      </c>
      <c r="I58" s="10"/>
      <c r="J58" s="65">
        <v>13.8</v>
      </c>
      <c r="K58" s="176">
        <f t="shared" si="21"/>
        <v>1.6559999999999998E-2</v>
      </c>
      <c r="L58" s="13" t="s">
        <v>32</v>
      </c>
      <c r="M58" s="36" t="s">
        <v>32</v>
      </c>
    </row>
    <row r="59" spans="1:13" s="175" customFormat="1" x14ac:dyDescent="0.2">
      <c r="A59" s="2" t="s">
        <v>151</v>
      </c>
      <c r="B59" s="136">
        <f t="shared" si="19"/>
        <v>1057.9649278320001</v>
      </c>
      <c r="C59" s="176">
        <v>0.34</v>
      </c>
      <c r="D59" s="178">
        <v>1.9E-2</v>
      </c>
      <c r="E59" s="78">
        <f t="shared" si="20"/>
        <v>0.35900000000000004</v>
      </c>
      <c r="F59" s="78">
        <v>0.29099999999999998</v>
      </c>
      <c r="G59" s="26"/>
      <c r="H59" s="114">
        <v>1.7</v>
      </c>
      <c r="I59" s="10"/>
      <c r="J59" s="65">
        <v>118</v>
      </c>
      <c r="K59" s="79">
        <f t="shared" si="21"/>
        <v>0.2006</v>
      </c>
      <c r="L59" s="13" t="s">
        <v>32</v>
      </c>
      <c r="M59" s="36" t="s">
        <v>32</v>
      </c>
    </row>
    <row r="60" spans="1:13" x14ac:dyDescent="0.2">
      <c r="A60" s="2" t="s">
        <v>152</v>
      </c>
      <c r="B60" s="155">
        <f>SUM(B52:B59)</f>
        <v>2007.028236479118</v>
      </c>
      <c r="C60" s="39">
        <f>SUM(C52:C59)</f>
        <v>0.54849717669526699</v>
      </c>
      <c r="D60" s="23">
        <f>SUM(D52:D59)</f>
        <v>4.2298569435601327E-2</v>
      </c>
      <c r="E60" s="34">
        <f>SUM(E52:E59)</f>
        <v>0.59079574613086827</v>
      </c>
      <c r="F60" s="34">
        <f>SUM(F52:F59)</f>
        <v>0.53744372736539103</v>
      </c>
      <c r="G60" s="26"/>
      <c r="H60" s="4"/>
      <c r="I60" s="10" t="s">
        <v>26</v>
      </c>
      <c r="J60" s="155">
        <f>SUM(J52:J59)</f>
        <v>237.28522055614161</v>
      </c>
      <c r="K60" s="39">
        <f>SUM(K52:K59)</f>
        <v>0.57397326600024989</v>
      </c>
      <c r="L60" s="11" t="s">
        <v>32</v>
      </c>
      <c r="M60" s="36" t="s">
        <v>32</v>
      </c>
    </row>
    <row r="61" spans="1:13" x14ac:dyDescent="0.2">
      <c r="A61" s="2" t="s">
        <v>152</v>
      </c>
      <c r="C61" s="33"/>
      <c r="D61" s="33"/>
      <c r="E61" s="33"/>
      <c r="F61" s="33"/>
      <c r="G61" s="26"/>
      <c r="H61" s="114">
        <v>2.75</v>
      </c>
      <c r="I61" s="87" t="s">
        <v>153</v>
      </c>
      <c r="J61" s="155">
        <f>SUM(J52:J59)</f>
        <v>237.28522055614161</v>
      </c>
      <c r="K61" s="39">
        <f>J61*H61/1000</f>
        <v>0.65253435652938951</v>
      </c>
      <c r="L61" s="11" t="s">
        <v>32</v>
      </c>
      <c r="M61" s="36" t="s">
        <v>32</v>
      </c>
    </row>
  </sheetData>
  <mergeCells count="2">
    <mergeCell ref="A1:M1"/>
    <mergeCell ref="A2:M2"/>
  </mergeCells>
  <pageMargins left="0.7" right="0.7" top="0.75" bottom="0.75" header="0.3" footer="0.3"/>
  <pageSetup scale="67" orientation="portrait" verticalDpi="1200" r:id="rId1"/>
  <headerFooter>
    <oddHeader>&amp;LDraft&amp;RU.S. GEOLOGICAL SURVEY</oddHeader>
    <oddFooter>&amp;LPRELIMINARY - SUBJECT TO REVISION&amp;RDecebmer 6, 2018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  <pageSetUpPr fitToPage="1"/>
  </sheetPr>
  <dimension ref="A1:BZ29"/>
  <sheetViews>
    <sheetView view="pageLayout" topLeftCell="A19" zoomScaleNormal="100" workbookViewId="0">
      <selection activeCell="N28" sqref="N28"/>
    </sheetView>
  </sheetViews>
  <sheetFormatPr baseColWidth="10" defaultColWidth="8.83203125" defaultRowHeight="15" x14ac:dyDescent="0.2"/>
  <cols>
    <col min="2" max="2" width="10.1640625" customWidth="1"/>
    <col min="5" max="5" width="10.1640625" bestFit="1" customWidth="1"/>
    <col min="6" max="6" width="11" bestFit="1" customWidth="1"/>
    <col min="7" max="7" width="2.5" customWidth="1"/>
    <col min="8" max="8" width="4.5" customWidth="1"/>
    <col min="9" max="9" width="2.5" customWidth="1"/>
    <col min="13" max="13" width="10.5" customWidth="1"/>
    <col min="14" max="15" width="16.83203125" customWidth="1"/>
    <col min="16" max="16" width="1.5" customWidth="1"/>
    <col min="24" max="24" width="3" customWidth="1"/>
    <col min="29" max="29" width="2.5" customWidth="1"/>
  </cols>
  <sheetData>
    <row r="1" spans="1:78" ht="18.75" customHeight="1" x14ac:dyDescent="0.2">
      <c r="A1" s="208" t="s">
        <v>171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</row>
    <row r="2" spans="1:78" ht="63.75" customHeight="1" x14ac:dyDescent="0.2">
      <c r="A2" s="216" t="s">
        <v>141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U2" t="s">
        <v>50</v>
      </c>
    </row>
    <row r="3" spans="1:78" x14ac:dyDescent="0.2">
      <c r="U3" t="s">
        <v>51</v>
      </c>
    </row>
    <row r="4" spans="1:78" x14ac:dyDescent="0.2">
      <c r="Q4" t="s">
        <v>20</v>
      </c>
      <c r="AD4" t="s">
        <v>21</v>
      </c>
      <c r="AL4" t="s">
        <v>22</v>
      </c>
      <c r="AT4" t="s">
        <v>23</v>
      </c>
      <c r="BB4" t="s">
        <v>16</v>
      </c>
      <c r="BJ4" t="s">
        <v>24</v>
      </c>
      <c r="BT4" t="s">
        <v>104</v>
      </c>
    </row>
    <row r="5" spans="1:78" x14ac:dyDescent="0.2">
      <c r="U5" t="s">
        <v>46</v>
      </c>
      <c r="V5" t="s">
        <v>49</v>
      </c>
      <c r="W5" t="s">
        <v>47</v>
      </c>
      <c r="Y5" t="s">
        <v>52</v>
      </c>
      <c r="Z5" t="s">
        <v>53</v>
      </c>
      <c r="AA5" t="s">
        <v>54</v>
      </c>
      <c r="AB5" t="s">
        <v>55</v>
      </c>
      <c r="AH5" t="s">
        <v>46</v>
      </c>
      <c r="AI5" t="s">
        <v>49</v>
      </c>
      <c r="AJ5" t="s">
        <v>47</v>
      </c>
      <c r="AP5" t="s">
        <v>46</v>
      </c>
      <c r="AQ5" t="s">
        <v>49</v>
      </c>
      <c r="AR5" t="s">
        <v>47</v>
      </c>
      <c r="BF5" t="s">
        <v>46</v>
      </c>
      <c r="BG5" t="s">
        <v>49</v>
      </c>
      <c r="BH5" t="s">
        <v>47</v>
      </c>
      <c r="BN5" t="s">
        <v>46</v>
      </c>
      <c r="BO5" t="s">
        <v>49</v>
      </c>
      <c r="BP5" t="s">
        <v>47</v>
      </c>
      <c r="BX5" t="s">
        <v>46</v>
      </c>
      <c r="BY5" t="s">
        <v>49</v>
      </c>
      <c r="BZ5" t="s">
        <v>47</v>
      </c>
    </row>
    <row r="6" spans="1:78" x14ac:dyDescent="0.2">
      <c r="B6" s="42" t="s">
        <v>27</v>
      </c>
      <c r="C6" s="55" t="s">
        <v>63</v>
      </c>
      <c r="D6" s="40" t="s">
        <v>64</v>
      </c>
      <c r="E6" s="57" t="s">
        <v>65</v>
      </c>
      <c r="F6" s="57" t="s">
        <v>66</v>
      </c>
      <c r="G6" s="43"/>
      <c r="H6" s="44"/>
      <c r="I6" s="44"/>
      <c r="J6" s="40" t="s">
        <v>16</v>
      </c>
      <c r="K6" s="55" t="s">
        <v>67</v>
      </c>
      <c r="L6" s="40" t="s">
        <v>17</v>
      </c>
      <c r="M6" s="55" t="s">
        <v>68</v>
      </c>
      <c r="N6" s="40" t="s">
        <v>81</v>
      </c>
      <c r="O6" s="40" t="s">
        <v>82</v>
      </c>
      <c r="Q6" t="s">
        <v>40</v>
      </c>
      <c r="R6" t="s">
        <v>42</v>
      </c>
      <c r="S6" t="s">
        <v>41</v>
      </c>
      <c r="T6" t="s">
        <v>43</v>
      </c>
      <c r="U6" t="s">
        <v>44</v>
      </c>
      <c r="V6" t="s">
        <v>45</v>
      </c>
      <c r="W6" t="s">
        <v>48</v>
      </c>
      <c r="AD6" t="s">
        <v>40</v>
      </c>
      <c r="AE6" t="s">
        <v>42</v>
      </c>
      <c r="AF6" t="s">
        <v>41</v>
      </c>
      <c r="AG6" t="s">
        <v>43</v>
      </c>
      <c r="AH6" t="s">
        <v>44</v>
      </c>
      <c r="AI6" t="s">
        <v>45</v>
      </c>
      <c r="AJ6" t="s">
        <v>48</v>
      </c>
      <c r="AL6" t="s">
        <v>40</v>
      </c>
      <c r="AM6" t="s">
        <v>42</v>
      </c>
      <c r="AN6" t="s">
        <v>41</v>
      </c>
      <c r="AO6" t="s">
        <v>43</v>
      </c>
      <c r="AP6" t="s">
        <v>44</v>
      </c>
      <c r="AQ6" t="s">
        <v>45</v>
      </c>
      <c r="AR6" t="s">
        <v>48</v>
      </c>
      <c r="AT6" t="s">
        <v>40</v>
      </c>
      <c r="AU6" t="s">
        <v>42</v>
      </c>
      <c r="AV6" t="s">
        <v>41</v>
      </c>
      <c r="AW6" t="s">
        <v>43</v>
      </c>
      <c r="AX6" t="s">
        <v>44</v>
      </c>
      <c r="AY6" t="s">
        <v>45</v>
      </c>
      <c r="AZ6" t="s">
        <v>48</v>
      </c>
      <c r="BB6" t="s">
        <v>40</v>
      </c>
      <c r="BC6" t="s">
        <v>42</v>
      </c>
      <c r="BD6" t="s">
        <v>41</v>
      </c>
      <c r="BE6" t="s">
        <v>43</v>
      </c>
      <c r="BF6" t="s">
        <v>44</v>
      </c>
      <c r="BG6" t="s">
        <v>45</v>
      </c>
      <c r="BH6" t="s">
        <v>48</v>
      </c>
      <c r="BJ6" t="s">
        <v>40</v>
      </c>
      <c r="BK6" t="s">
        <v>42</v>
      </c>
      <c r="BL6" t="s">
        <v>41</v>
      </c>
      <c r="BM6" t="s">
        <v>43</v>
      </c>
      <c r="BN6" t="s">
        <v>44</v>
      </c>
      <c r="BO6" t="s">
        <v>45</v>
      </c>
      <c r="BP6" t="s">
        <v>48</v>
      </c>
      <c r="BT6" t="s">
        <v>40</v>
      </c>
      <c r="BU6" t="s">
        <v>42</v>
      </c>
      <c r="BV6" t="s">
        <v>41</v>
      </c>
      <c r="BW6" t="s">
        <v>43</v>
      </c>
      <c r="BX6" t="s">
        <v>44</v>
      </c>
      <c r="BY6" t="s">
        <v>45</v>
      </c>
      <c r="BZ6" t="s">
        <v>48</v>
      </c>
    </row>
    <row r="7" spans="1:78" x14ac:dyDescent="0.2">
      <c r="B7" s="41" t="s">
        <v>39</v>
      </c>
      <c r="C7" s="55" t="s">
        <v>39</v>
      </c>
      <c r="D7" s="41" t="s">
        <v>39</v>
      </c>
      <c r="E7" s="57" t="s">
        <v>39</v>
      </c>
      <c r="F7" s="57" t="s">
        <v>39</v>
      </c>
      <c r="G7" s="43"/>
      <c r="H7" s="44"/>
      <c r="I7" s="44"/>
      <c r="J7" s="41" t="s">
        <v>39</v>
      </c>
      <c r="K7" s="55" t="s">
        <v>39</v>
      </c>
      <c r="L7" s="41" t="s">
        <v>39</v>
      </c>
      <c r="M7" s="55" t="s">
        <v>39</v>
      </c>
      <c r="N7" s="115" t="s">
        <v>39</v>
      </c>
      <c r="O7" s="55" t="s">
        <v>39</v>
      </c>
      <c r="Q7">
        <v>1000</v>
      </c>
      <c r="R7">
        <v>200</v>
      </c>
      <c r="S7">
        <v>250</v>
      </c>
      <c r="T7">
        <v>50</v>
      </c>
      <c r="U7">
        <f>((T7^2)*((1/Q7)^2))</f>
        <v>2.5000000000000001E-3</v>
      </c>
      <c r="V7">
        <f>((R7*R7)*((-S7/(Q7*Q7))^2))</f>
        <v>2.5000000000000001E-3</v>
      </c>
      <c r="W7">
        <f>SQRT(U7+V7)</f>
        <v>7.0710678118654752E-2</v>
      </c>
      <c r="Y7">
        <f>(T7/S7)^2</f>
        <v>4.0000000000000008E-2</v>
      </c>
      <c r="Z7">
        <f>(R7/Q7)^2</f>
        <v>4.0000000000000008E-2</v>
      </c>
      <c r="AA7">
        <f>SQRT(Y7+Z7)</f>
        <v>0.28284271247461906</v>
      </c>
      <c r="AB7">
        <f>(S7/Q7)*AA7</f>
        <v>7.0710678118654766E-2</v>
      </c>
      <c r="AD7">
        <v>1000</v>
      </c>
      <c r="AE7">
        <v>200</v>
      </c>
      <c r="AF7">
        <v>250</v>
      </c>
      <c r="AG7">
        <v>50</v>
      </c>
      <c r="AH7">
        <f>((AG7^2)*((1/AD7)^2))</f>
        <v>2.5000000000000001E-3</v>
      </c>
      <c r="AI7">
        <f>((AE7*AE7)*((-AF7/(AD7*AD7))^2))</f>
        <v>2.5000000000000001E-3</v>
      </c>
      <c r="AJ7">
        <f>SQRT(AH7+AI7)</f>
        <v>7.0710678118654752E-2</v>
      </c>
      <c r="AL7">
        <v>1000</v>
      </c>
      <c r="AM7">
        <v>200</v>
      </c>
      <c r="AN7">
        <v>250</v>
      </c>
      <c r="AO7">
        <v>50</v>
      </c>
      <c r="AP7">
        <f>((AO7^2)*((1/AL7)^2))</f>
        <v>2.5000000000000001E-3</v>
      </c>
      <c r="AQ7">
        <f>((AM7*AM7)*((-AN7/(AL7*AL7))^2))</f>
        <v>2.5000000000000001E-3</v>
      </c>
      <c r="AR7">
        <f>SQRT(AP7+AQ7)</f>
        <v>7.0710678118654752E-2</v>
      </c>
      <c r="AT7">
        <v>1000</v>
      </c>
      <c r="AU7">
        <v>200</v>
      </c>
      <c r="AV7">
        <v>250</v>
      </c>
      <c r="AW7">
        <v>50</v>
      </c>
      <c r="AX7">
        <f>((AW7^2)*((1/AT7)^2))</f>
        <v>2.5000000000000001E-3</v>
      </c>
      <c r="AY7">
        <f>((AU7*AU7)*((-AV7/(AT7*AT7))^2))</f>
        <v>2.5000000000000001E-3</v>
      </c>
      <c r="AZ7">
        <f>SQRT(AX7+AY7)</f>
        <v>7.0710678118654752E-2</v>
      </c>
      <c r="BB7">
        <v>1000</v>
      </c>
      <c r="BC7">
        <v>200</v>
      </c>
      <c r="BD7">
        <v>250</v>
      </c>
      <c r="BE7">
        <v>50</v>
      </c>
      <c r="BF7">
        <f>((BE7^2)*((1/BB7)^2))</f>
        <v>2.5000000000000001E-3</v>
      </c>
      <c r="BG7">
        <f>((BC7*BC7)*((-BD7/(BB7*BB7))^2))</f>
        <v>2.5000000000000001E-3</v>
      </c>
      <c r="BH7">
        <f>SQRT(BF7+BG7)</f>
        <v>7.0710678118654752E-2</v>
      </c>
      <c r="BJ7">
        <v>1000</v>
      </c>
      <c r="BK7">
        <v>200</v>
      </c>
      <c r="BL7">
        <v>250</v>
      </c>
      <c r="BM7">
        <v>50</v>
      </c>
      <c r="BN7">
        <f>((BM7^2)*((1/BJ7)^2))</f>
        <v>2.5000000000000001E-3</v>
      </c>
      <c r="BO7">
        <f>((BK7*BK7)*((-BL7/(BJ7*BJ7))^2))</f>
        <v>2.5000000000000001E-3</v>
      </c>
      <c r="BP7">
        <f>SQRT(BN7+BO7)</f>
        <v>7.0710678118654752E-2</v>
      </c>
    </row>
    <row r="8" spans="1:78" ht="16" x14ac:dyDescent="0.2">
      <c r="A8" s="1" t="s">
        <v>36</v>
      </c>
      <c r="C8" s="6"/>
      <c r="D8" s="6"/>
      <c r="E8" s="26"/>
      <c r="F8" s="26"/>
      <c r="G8" s="26"/>
      <c r="H8" s="27"/>
      <c r="I8" s="26"/>
      <c r="J8" s="26"/>
      <c r="K8" s="26"/>
      <c r="L8" s="26"/>
      <c r="M8" s="26"/>
    </row>
    <row r="9" spans="1:78" x14ac:dyDescent="0.2">
      <c r="A9" s="2" t="s">
        <v>1</v>
      </c>
      <c r="B9" s="45"/>
      <c r="C9" s="56">
        <f>W9</f>
        <v>0.36158399936260105</v>
      </c>
      <c r="D9" s="53">
        <f t="shared" ref="D9:D14" si="0">AJ9</f>
        <v>0.28384864901322032</v>
      </c>
      <c r="E9" s="58">
        <f t="shared" ref="E9:E14" si="1">AR9</f>
        <v>0.35373361819536014</v>
      </c>
      <c r="F9" s="58" t="str">
        <f t="shared" ref="F9:F14" si="2">AZ9</f>
        <v>nd</v>
      </c>
      <c r="G9" s="26"/>
      <c r="H9" s="26"/>
      <c r="I9" s="26"/>
      <c r="J9" s="53">
        <f>BH9</f>
        <v>0.13487698852320743</v>
      </c>
      <c r="K9" s="56">
        <f>BP9</f>
        <v>0.29294362021730136</v>
      </c>
      <c r="L9" s="45" t="s">
        <v>32</v>
      </c>
      <c r="M9" s="56" t="s">
        <v>32</v>
      </c>
      <c r="N9" s="58">
        <f>BZ9</f>
        <v>0.39474444243782147</v>
      </c>
      <c r="O9" s="56" t="s">
        <v>32</v>
      </c>
      <c r="Q9" s="51">
        <f>'T6x. MeHg loads 2010-17'!C8</f>
        <v>0.17684095016655954</v>
      </c>
      <c r="R9" s="51">
        <f>'T8x. MeHg SE 2010-17'!C8</f>
        <v>3.8021033574781871E-2</v>
      </c>
      <c r="S9" s="51">
        <f>'T6x. MeHg loads 2010-17'!C41</f>
        <v>9.8372707196267575E-2</v>
      </c>
      <c r="T9" s="51">
        <f>'T8x. MeHg SE 2010-17'!C41</f>
        <v>6.0343645977200468E-2</v>
      </c>
      <c r="U9" s="51">
        <f>((T9^2)*((1/Q9)^2))</f>
        <v>0.11643871773933073</v>
      </c>
      <c r="V9" s="51">
        <f>((R9*R9)*((-S9/(Q9*Q9))^2))</f>
        <v>1.4304270855722756E-2</v>
      </c>
      <c r="W9" s="51">
        <f>SQRT(U9+V9)</f>
        <v>0.36158399936260105</v>
      </c>
      <c r="AD9" s="35">
        <f>'T6x. MeHg loads 2010-17'!D8</f>
        <v>2.2151809751659327E-2</v>
      </c>
      <c r="AE9" s="35">
        <f>'T8x. MeHg SE 2010-17'!D8</f>
        <v>3.0139948964169106E-3</v>
      </c>
      <c r="AF9" s="35">
        <f>'T6x. MeHg loads 2010-17'!D41</f>
        <v>2.4984726283218885E-2</v>
      </c>
      <c r="AG9" s="35">
        <f>'T8x. MeHg SE 2010-17'!D41</f>
        <v>5.2895861900848998E-3</v>
      </c>
      <c r="AH9">
        <f>((AG9^2)*((1/AD9)^2))</f>
        <v>5.7019705561478895E-2</v>
      </c>
      <c r="AI9">
        <f>((AE9*AE9)*((-AF9/(AD9*AD9))^2))</f>
        <v>2.3550349985151462E-2</v>
      </c>
      <c r="AJ9">
        <f>SQRT(AH9+AI9)</f>
        <v>0.28384864901322032</v>
      </c>
      <c r="AL9" s="51">
        <f>'T6x. MeHg loads 2010-17'!E8</f>
        <v>0.19899275991821885</v>
      </c>
      <c r="AM9" s="51">
        <f>'T8x. MeHg SE 2010-17'!E8</f>
        <v>4.1035028471198783E-2</v>
      </c>
      <c r="AN9" s="51">
        <f>'T6x. MeHg loads 2010-17'!E41</f>
        <v>0.12335743347948645</v>
      </c>
      <c r="AO9" s="51">
        <f>'T8x. MeHg SE 2010-17'!E41</f>
        <v>6.5633232167285366E-2</v>
      </c>
      <c r="AP9">
        <f>((AO9^2)*((1/AL9)^2))</f>
        <v>0.10878600620226281</v>
      </c>
      <c r="AQ9">
        <f>((AM9*AM9)*((-AN9/(AL9*AL9))^2))</f>
        <v>1.6341466439318018E-2</v>
      </c>
      <c r="AR9">
        <f>SQRT(AP9+AQ9)</f>
        <v>0.35373361819536014</v>
      </c>
      <c r="AT9" s="51">
        <f>'T6x. MeHg loads 2010-17'!F8</f>
        <v>9.8346143286066612E-2</v>
      </c>
      <c r="AU9" s="51">
        <f>'T8x. MeHg SE 2010-17'!F8</f>
        <v>2.8542436963802886E-2</v>
      </c>
      <c r="AV9" s="51">
        <f>'T6x. MeHg loads 2010-17'!F41</f>
        <v>5.9369082188895098E-2</v>
      </c>
      <c r="AW9" s="51">
        <f>'T8x. MeHg SE 2010-17'!F41</f>
        <v>3.9965153380472185E-2</v>
      </c>
      <c r="AX9" t="s">
        <v>32</v>
      </c>
      <c r="AY9">
        <f>((AU9*AU9)*((-AV9/(AT9*AT9))^2))</f>
        <v>3.0695409923307597E-2</v>
      </c>
      <c r="AZ9" t="s">
        <v>32</v>
      </c>
      <c r="BB9" s="37">
        <f>'T2x. THg loads 2010-17'!J8</f>
        <v>128.98832071389089</v>
      </c>
      <c r="BC9">
        <f>'T4x. THg SE 2010-17'!J8</f>
        <v>22.327058892311701</v>
      </c>
      <c r="BD9" s="37">
        <f>'T2x. THg loads 2010-17'!J41</f>
        <v>41.186520617427917</v>
      </c>
      <c r="BE9" s="37">
        <f>'T4x. THg SE 2010-17'!J41</f>
        <v>15.869799596929466</v>
      </c>
      <c r="BF9">
        <f>((BE9^2)*((1/BB9)^2))</f>
        <v>1.5137080047858426E-2</v>
      </c>
      <c r="BG9">
        <f>((BC9*BC9)*((-BD9/(BB9*BB9))^2))</f>
        <v>3.0547219852310034E-3</v>
      </c>
      <c r="BH9">
        <f>SQRT(BF9+BG9)</f>
        <v>0.13487698852320743</v>
      </c>
      <c r="BJ9" s="35">
        <f>'T6x. MeHg loads 2010-17'!K8</f>
        <v>0.48112643626281298</v>
      </c>
      <c r="BK9" s="35">
        <f>'T8x. MeHg SE 2010-17'!K8</f>
        <v>8.327992966832265E-2</v>
      </c>
      <c r="BL9" s="35">
        <f>'T6x. MeHg loads 2010-17'!K41</f>
        <v>0.33369718300759749</v>
      </c>
      <c r="BM9" s="35">
        <f>'T8x. MeHg SE 2010-17'!K41</f>
        <v>0.12856356197232555</v>
      </c>
      <c r="BN9">
        <f>((BM9^2)*((1/BJ9)^2))</f>
        <v>7.1403146772827955E-2</v>
      </c>
      <c r="BO9">
        <f>((BK9*BK9)*((-BL9/(BJ9*BJ9))^2))</f>
        <v>1.4412817853190521E-2</v>
      </c>
      <c r="BP9">
        <f>SQRT(BN9+BO9)</f>
        <v>0.29294362021730136</v>
      </c>
      <c r="BT9" s="35">
        <f>'T6x. MeHg loads 2010-17'!O8</f>
        <v>0.50327824601447235</v>
      </c>
      <c r="BU9" s="35">
        <f>'T8x. MeHg SE 2010-17'!D8+'T8x. MeHg SE 2010-17'!K8</f>
        <v>8.6293924564739555E-2</v>
      </c>
      <c r="BV9" s="35">
        <f>'T6x. MeHg loads 2010-17'!O41</f>
        <v>0.35868190929081639</v>
      </c>
      <c r="BW9" s="35">
        <f>'T8x. MeHg SE 2010-17'!C41+'T8x. MeHg SE 2010-17'!K41</f>
        <v>0.18890720794952601</v>
      </c>
      <c r="BX9">
        <f>((BW9^2)*((1/BT9)^2))</f>
        <v>0.14089018557457725</v>
      </c>
      <c r="BY9">
        <f>((BU9*BU9)*((-BV9/(BT9*BT9))^2))</f>
        <v>1.4932989260969304E-2</v>
      </c>
      <c r="BZ9">
        <f>SQRT(BX9+BY9)</f>
        <v>0.39474444243782147</v>
      </c>
    </row>
    <row r="10" spans="1:78" x14ac:dyDescent="0.2">
      <c r="A10" s="2" t="s">
        <v>2</v>
      </c>
      <c r="B10" s="45"/>
      <c r="C10" s="56">
        <f t="shared" ref="C10:C11" si="3">W10</f>
        <v>0.24603678219404246</v>
      </c>
      <c r="D10" s="53">
        <f t="shared" si="0"/>
        <v>0.24695917878273704</v>
      </c>
      <c r="E10" s="58">
        <f t="shared" si="1"/>
        <v>0.24621350151045707</v>
      </c>
      <c r="F10" s="58">
        <f t="shared" si="2"/>
        <v>0.25792203629658722</v>
      </c>
      <c r="G10" s="26"/>
      <c r="H10" s="26"/>
      <c r="I10" s="26"/>
      <c r="J10" s="53">
        <f t="shared" ref="J10:J18" si="4">BH10</f>
        <v>9.8185785752871652E-2</v>
      </c>
      <c r="K10" s="56">
        <f t="shared" ref="K10:K18" si="5">BP10</f>
        <v>0.10198093579811227</v>
      </c>
      <c r="L10" s="45" t="s">
        <v>32</v>
      </c>
      <c r="M10" s="56" t="s">
        <v>32</v>
      </c>
      <c r="N10" s="58">
        <f t="shared" ref="N10:N29" si="6">BZ10</f>
        <v>0.19078864382016933</v>
      </c>
      <c r="O10" s="56" t="s">
        <v>32</v>
      </c>
      <c r="Q10" s="51">
        <f>'T6x. MeHg loads 2010-17'!C9</f>
        <v>0.69611565262046216</v>
      </c>
      <c r="R10" s="51">
        <f>'T8x. MeHg SE 2010-17'!C9</f>
        <v>0.13631422510280944</v>
      </c>
      <c r="S10" s="51">
        <f>'T6x. MeHg loads 2010-17'!C42</f>
        <v>0.28487718136756085</v>
      </c>
      <c r="T10" s="51">
        <f>'T8x. MeHg SE 2010-17'!C42</f>
        <v>0.16193043413024241</v>
      </c>
      <c r="U10" s="51">
        <f t="shared" ref="U10:U11" si="7">((T10^2)*((1/Q10)^2))</f>
        <v>5.4112071763519516E-2</v>
      </c>
      <c r="V10" s="51">
        <f t="shared" ref="V10:V11" si="8">((R10*R10)*((-S10/(Q10*Q10))^2))</f>
        <v>6.4220264288791691E-3</v>
      </c>
      <c r="W10" s="51">
        <f t="shared" ref="W10:W11" si="9">SQRT(U10+V10)</f>
        <v>0.24603678219404246</v>
      </c>
      <c r="AD10" s="35">
        <f>'T6x. MeHg loads 2010-17'!D9</f>
        <v>4.0980642876022148E-2</v>
      </c>
      <c r="AE10" s="35">
        <f>'T8x. MeHg SE 2010-17'!D9</f>
        <v>5.2219443521433649E-3</v>
      </c>
      <c r="AF10" s="35">
        <f>'T6x. MeHg loads 2010-17'!D42</f>
        <v>5.2446857526434049E-2</v>
      </c>
      <c r="AG10" s="35">
        <f>'T8x. MeHg SE 2010-17'!D42</f>
        <v>7.6001747045760897E-3</v>
      </c>
      <c r="AH10">
        <f t="shared" ref="AH10:AH17" si="10">((AG10^2)*((1/AD10)^2))</f>
        <v>3.4394548825255444E-2</v>
      </c>
      <c r="AI10">
        <f t="shared" ref="AI10:AI17" si="11">((AE10*AE10)*((-AF10/(AD10*AD10))^2))</f>
        <v>2.6594287159788444E-2</v>
      </c>
      <c r="AJ10">
        <f t="shared" ref="AJ10:AJ17" si="12">SQRT(AH10+AI10)</f>
        <v>0.24695917878273704</v>
      </c>
      <c r="AL10" s="51">
        <f>'T6x. MeHg loads 2010-17'!E9</f>
        <v>0.73709629549648426</v>
      </c>
      <c r="AM10" s="51">
        <f>'T8x. MeHg SE 2010-17'!E9</f>
        <v>0.14153616945495281</v>
      </c>
      <c r="AN10" s="51">
        <f>'T6x. MeHg loads 2010-17'!E42</f>
        <v>0.33732403889399493</v>
      </c>
      <c r="AO10" s="51">
        <f>'T8x. MeHg SE 2010-17'!E42</f>
        <v>0.16953060883481849</v>
      </c>
      <c r="AP10">
        <f t="shared" ref="AP10:AP11" si="13">((AO10^2)*((1/AL10)^2))</f>
        <v>5.2899039479234938E-2</v>
      </c>
      <c r="AQ10">
        <f t="shared" ref="AQ10:AQ17" si="14">((AM10*AM10)*((-AN10/(AL10*AL10))^2))</f>
        <v>7.7220488468049053E-3</v>
      </c>
      <c r="AR10">
        <f t="shared" ref="AR10:AR11" si="15">SQRT(AP10+AQ10)</f>
        <v>0.24621350151045707</v>
      </c>
      <c r="AT10" s="51">
        <f>'T6x. MeHg loads 2010-17'!F9</f>
        <v>0.6812963897609744</v>
      </c>
      <c r="AU10" s="51">
        <f>'T8x. MeHg SE 2010-17'!F9</f>
        <v>0.20743652721833258</v>
      </c>
      <c r="AV10" s="51">
        <f>'T6x. MeHg loads 2010-17'!F42</f>
        <v>0.4249747117026989</v>
      </c>
      <c r="AW10" s="51">
        <f>'T8x. MeHg SE 2010-17'!F42</f>
        <v>0.11889210764541372</v>
      </c>
      <c r="AX10">
        <f t="shared" ref="AX10:AX12" si="16">((AW10^2)*((1/AT10)^2))</f>
        <v>3.0453266065433242E-2</v>
      </c>
      <c r="AY10">
        <f t="shared" ref="AY10:AY17" si="17">((AU10*AU10)*((-AV10/(AT10*AT10))^2))</f>
        <v>3.6070510741944811E-2</v>
      </c>
      <c r="AZ10">
        <f t="shared" ref="AZ10:AZ12" si="18">SQRT(AX10+AY10)</f>
        <v>0.25792203629658722</v>
      </c>
      <c r="BB10" s="37">
        <f>'T2x. THg loads 2010-17'!J9</f>
        <v>474.80587923990203</v>
      </c>
      <c r="BC10">
        <f>'T4x. THg SE 2010-17'!J9</f>
        <v>107.27957389764838</v>
      </c>
      <c r="BD10" s="37">
        <f>'T2x. THg loads 2010-17'!J42</f>
        <v>117.37861205673541</v>
      </c>
      <c r="BE10" s="37">
        <f>'T4x. THg SE 2010-17'!J42</f>
        <v>38.340385947902114</v>
      </c>
      <c r="BF10">
        <f t="shared" ref="BF10:BF18" si="19">((BE10^2)*((1/BB10)^2))</f>
        <v>6.5204982816688146E-3</v>
      </c>
      <c r="BG10">
        <f t="shared" ref="BG10:BG18" si="20">((BC10*BC10)*((-BD10/(BB10*BB10))^2))</f>
        <v>3.1199502422399983E-3</v>
      </c>
      <c r="BH10">
        <f t="shared" ref="BH10:BH18" si="21">SQRT(BF10+BG10)</f>
        <v>9.8185785752871652E-2</v>
      </c>
      <c r="BJ10" s="35">
        <f>'T6x. MeHg loads 2010-17'!K9</f>
        <v>1.6048438718308686</v>
      </c>
      <c r="BK10" s="35">
        <f>'T8x. MeHg SE 2010-17'!K9</f>
        <v>0.36260495977405149</v>
      </c>
      <c r="BL10" s="35">
        <f>'T6x. MeHg loads 2010-17'!K42</f>
        <v>0.41441788056993134</v>
      </c>
      <c r="BM10" s="35">
        <f>'T8x. MeHg SE 2010-17'!K42</f>
        <v>0.13423178482539519</v>
      </c>
      <c r="BN10">
        <f t="shared" ref="BN10:BN18" si="22">((BM10^2)*((1/BJ10)^2))</f>
        <v>6.9959251345125652E-3</v>
      </c>
      <c r="BO10">
        <f t="shared" ref="BO10:BO18" si="23">((BK10*BK10)*((-BL10/(BJ10*BJ10))^2))</f>
        <v>3.4041861317461296E-3</v>
      </c>
      <c r="BP10">
        <f t="shared" ref="BP10:BP18" si="24">SQRT(BN10+BO10)</f>
        <v>0.10198093579811227</v>
      </c>
      <c r="BT10" s="35">
        <f>'T6x. MeHg loads 2010-17'!O9</f>
        <v>1.6458245147068908</v>
      </c>
      <c r="BU10" s="35">
        <f>'T8x. MeHg SE 2010-17'!D9+'T8x. MeHg SE 2010-17'!K9</f>
        <v>0.36782690412619484</v>
      </c>
      <c r="BV10" s="35">
        <f>'T6x. MeHg loads 2010-17'!O42</f>
        <v>0.46686473809636542</v>
      </c>
      <c r="BW10" s="35">
        <f>'T8x. MeHg SE 2010-17'!C42+'T8x. MeHg SE 2010-17'!K42</f>
        <v>0.2961622189556376</v>
      </c>
      <c r="BX10">
        <f t="shared" ref="BX10:BX12" si="25">((BW10^2)*((1/BT10)^2))</f>
        <v>3.2381149135501011E-2</v>
      </c>
      <c r="BY10">
        <f t="shared" ref="BY10:BY12" si="26">((BU10*BU10)*((-BV10/(BT10*BT10))^2))</f>
        <v>4.019157475238423E-3</v>
      </c>
      <c r="BZ10">
        <f t="shared" ref="BZ10:BZ12" si="27">SQRT(BX10+BY10)</f>
        <v>0.19078864382016933</v>
      </c>
    </row>
    <row r="11" spans="1:78" x14ac:dyDescent="0.2">
      <c r="A11" s="2" t="s">
        <v>3</v>
      </c>
      <c r="B11" s="45"/>
      <c r="C11" s="56">
        <f t="shared" si="3"/>
        <v>0.20050399369796459</v>
      </c>
      <c r="D11" s="53">
        <f t="shared" si="0"/>
        <v>0.14268496552222373</v>
      </c>
      <c r="E11" s="58">
        <f t="shared" si="1"/>
        <v>0.18554778607477887</v>
      </c>
      <c r="F11" s="58">
        <f t="shared" si="2"/>
        <v>0.21115147658689537</v>
      </c>
      <c r="G11" s="26"/>
      <c r="H11" s="26"/>
      <c r="I11" s="26"/>
      <c r="J11" s="53">
        <f t="shared" si="4"/>
        <v>0.13173772358044578</v>
      </c>
      <c r="K11" s="56">
        <f t="shared" si="5"/>
        <v>0.17634417626005497</v>
      </c>
      <c r="L11" s="45" t="s">
        <v>32</v>
      </c>
      <c r="M11" s="56" t="s">
        <v>32</v>
      </c>
      <c r="N11" s="58">
        <f t="shared" si="6"/>
        <v>0.24952176696338046</v>
      </c>
      <c r="O11" s="56" t="s">
        <v>32</v>
      </c>
      <c r="Q11" s="51">
        <f>'T6x. MeHg loads 2010-17'!C10</f>
        <v>1.2535119030789441E-2</v>
      </c>
      <c r="R11" s="51">
        <f>'T8x. MeHg SE 2010-17'!C10</f>
        <v>1.4165532631741475E-3</v>
      </c>
      <c r="S11" s="51">
        <f>'T6x. MeHg loads 2010-17'!C43</f>
        <v>1.1539793932031167E-2</v>
      </c>
      <c r="T11" s="51">
        <f>'T8x. MeHg SE 2010-17'!C43</f>
        <v>2.1485516201959092E-3</v>
      </c>
      <c r="U11" s="51">
        <f t="shared" si="7"/>
        <v>2.9378841086362042E-2</v>
      </c>
      <c r="V11" s="51">
        <f t="shared" si="8"/>
        <v>1.0823010402471378E-2</v>
      </c>
      <c r="W11" s="51">
        <f t="shared" si="9"/>
        <v>0.20050399369796459</v>
      </c>
      <c r="AD11" s="35">
        <f>'T6x. MeHg loads 2010-17'!D10</f>
        <v>4.3356196375294092E-3</v>
      </c>
      <c r="AE11" s="35">
        <f>'T8x. MeHg SE 2010-17'!D10</f>
        <v>3.8626072432682078E-4</v>
      </c>
      <c r="AF11" s="35">
        <f>'T6x. MeHg loads 2010-17'!D43</f>
        <v>4.5502908674993434E-3</v>
      </c>
      <c r="AG11" s="35">
        <f>'T8x. MeHg SE 2010-17'!D43</f>
        <v>4.6729287381473158E-4</v>
      </c>
      <c r="AH11">
        <f t="shared" si="10"/>
        <v>1.1616517923434665E-2</v>
      </c>
      <c r="AI11">
        <f t="shared" si="11"/>
        <v>8.7424814626435154E-3</v>
      </c>
      <c r="AJ11">
        <f t="shared" si="12"/>
        <v>0.14268496552222373</v>
      </c>
      <c r="AL11" s="51">
        <f>'T6x. MeHg loads 2010-17'!E10</f>
        <v>1.6870738668318851E-2</v>
      </c>
      <c r="AM11" s="51">
        <f>'T8x. MeHg SE 2010-17'!E10</f>
        <v>1.8028139875009683E-3</v>
      </c>
      <c r="AN11" s="51">
        <f>'T6x. MeHg loads 2010-17'!E43</f>
        <v>1.6090084799530509E-2</v>
      </c>
      <c r="AO11" s="51">
        <f>'T8x. MeHg SE 2010-17'!E43</f>
        <v>2.615844494010641E-3</v>
      </c>
      <c r="AP11">
        <f t="shared" si="13"/>
        <v>2.4041172737776794E-2</v>
      </c>
      <c r="AQ11">
        <f t="shared" si="14"/>
        <v>1.0386808179475109E-2</v>
      </c>
      <c r="AR11">
        <f t="shared" si="15"/>
        <v>0.18554778607477887</v>
      </c>
      <c r="AT11" s="51">
        <f>'T6x. MeHg loads 2010-17'!F10</f>
        <v>3.8886176747976557E-2</v>
      </c>
      <c r="AU11" s="51">
        <f>'T8x. MeHg SE 2010-17'!F10</f>
        <v>9.6858483279930983E-3</v>
      </c>
      <c r="AV11" s="51">
        <f>'T6x. MeHg loads 2010-17'!F43</f>
        <v>2.1999999999999999E-2</v>
      </c>
      <c r="AW11" s="51">
        <f>'T8x. MeHg SE 2010-17'!F43</f>
        <v>6.1147513278336698E-3</v>
      </c>
      <c r="AX11">
        <f t="shared" si="16"/>
        <v>2.4726754012634328E-2</v>
      </c>
      <c r="AY11">
        <f t="shared" si="17"/>
        <v>1.9858192052191897E-2</v>
      </c>
      <c r="AZ11">
        <f t="shared" si="18"/>
        <v>0.21115147658689537</v>
      </c>
      <c r="BB11" s="37">
        <f>'T2x. THg loads 2010-17'!J10</f>
        <v>3.235526728183558</v>
      </c>
      <c r="BC11">
        <f>'T4x. THg SE 2010-17'!J10</f>
        <v>0.51232322347670534</v>
      </c>
      <c r="BD11" s="37">
        <f>'T2x. THg loads 2010-17'!J43</f>
        <v>1.4993947187134875</v>
      </c>
      <c r="BE11" s="37">
        <f>'T4x. THg SE 2010-17'!J43</f>
        <v>0.35399669545231066</v>
      </c>
      <c r="BF11">
        <f t="shared" si="19"/>
        <v>1.1970393640875088E-2</v>
      </c>
      <c r="BG11">
        <f t="shared" si="20"/>
        <v>5.3844341732828494E-3</v>
      </c>
      <c r="BH11">
        <f t="shared" si="21"/>
        <v>0.13173772358044578</v>
      </c>
      <c r="BJ11" s="35">
        <f>'T6x. MeHg loads 2010-17'!K10</f>
        <v>1.433338340585316E-2</v>
      </c>
      <c r="BK11" s="35">
        <f>'T8x. MeHg SE 2010-17'!K10</f>
        <v>2.2695918800018046E-3</v>
      </c>
      <c r="BL11" s="35">
        <f>'T6x. MeHg loads 2010-17'!K43</f>
        <v>8.8914106819709803E-3</v>
      </c>
      <c r="BM11" s="35">
        <f>'T8x. MeHg SE 2010-17'!K43</f>
        <v>2.0992004040322021E-3</v>
      </c>
      <c r="BN11">
        <f t="shared" si="22"/>
        <v>2.144916383482252E-2</v>
      </c>
      <c r="BO11">
        <f t="shared" si="23"/>
        <v>9.6481046660148138E-3</v>
      </c>
      <c r="BP11">
        <f t="shared" si="24"/>
        <v>0.17634417626005497</v>
      </c>
      <c r="BT11" s="35">
        <f>'T6x. MeHg loads 2010-17'!O10</f>
        <v>1.8669003043382568E-2</v>
      </c>
      <c r="BU11" s="35">
        <f>'T8x. MeHg SE 2010-17'!D10+'T8x. MeHg SE 2010-17'!K10</f>
        <v>2.6558526043286255E-3</v>
      </c>
      <c r="BV11" s="35">
        <f>'T6x. MeHg loads 2010-17'!O43</f>
        <v>1.3441701549470324E-2</v>
      </c>
      <c r="BW11" s="35">
        <f>'T8x. MeHg SE 2010-17'!C43+'T8x. MeHg SE 2010-17'!K43</f>
        <v>4.2477520242281113E-3</v>
      </c>
      <c r="BX11">
        <f t="shared" si="25"/>
        <v>5.1769748842169568E-2</v>
      </c>
      <c r="BY11">
        <f t="shared" si="26"/>
        <v>1.0491363346357972E-2</v>
      </c>
      <c r="BZ11">
        <f t="shared" si="27"/>
        <v>0.24952176696338046</v>
      </c>
    </row>
    <row r="12" spans="1:78" x14ac:dyDescent="0.2">
      <c r="A12" s="2" t="s">
        <v>4</v>
      </c>
      <c r="B12" s="45"/>
      <c r="C12" s="56">
        <f>W12</f>
        <v>0.3858573738095335</v>
      </c>
      <c r="D12" s="53">
        <f t="shared" si="0"/>
        <v>0.42421107691492105</v>
      </c>
      <c r="E12" s="58">
        <f t="shared" si="1"/>
        <v>0.38986870337584068</v>
      </c>
      <c r="F12" s="58">
        <f t="shared" si="2"/>
        <v>0.50425846352752923</v>
      </c>
      <c r="G12" s="26"/>
      <c r="H12" s="26"/>
      <c r="I12" s="26"/>
      <c r="J12" s="53">
        <f t="shared" si="4"/>
        <v>0.12135493883580982</v>
      </c>
      <c r="K12" s="56">
        <f t="shared" si="5"/>
        <v>8.0084536713344576E-2</v>
      </c>
      <c r="L12" s="45" t="s">
        <v>32</v>
      </c>
      <c r="M12" s="56" t="s">
        <v>32</v>
      </c>
      <c r="N12" s="58">
        <f t="shared" si="6"/>
        <v>0.16980872447337247</v>
      </c>
      <c r="O12" s="56" t="s">
        <v>32</v>
      </c>
      <c r="Q12" s="51">
        <f>'T6x. MeHg loads 2010-17'!C11</f>
        <v>0.12114707748900655</v>
      </c>
      <c r="R12" s="51">
        <f>'T8x. MeHg SE 2010-17'!C11</f>
        <v>1.8330857824502056E-2</v>
      </c>
      <c r="S12" s="51">
        <f>'T6x. MeHg loads 2010-17'!C44</f>
        <v>6.0897425133232944E-2</v>
      </c>
      <c r="T12" s="51">
        <f>'T8x. MeHg SE 2010-17'!C44</f>
        <v>4.5828324132742078E-2</v>
      </c>
      <c r="U12" s="51">
        <f t="shared" ref="U12" si="28">((T12^2)*((1/Q12)^2))</f>
        <v>0.14310080225907265</v>
      </c>
      <c r="V12" s="51">
        <f t="shared" ref="V12" si="29">((R12*R12)*((-S12/(Q12*Q12))^2))</f>
        <v>5.7851106641174498E-3</v>
      </c>
      <c r="W12" s="51">
        <f>SQRT(U12+V12)</f>
        <v>0.3858573738095335</v>
      </c>
      <c r="AD12" s="35">
        <f>'T6x. MeHg loads 2010-17'!D11</f>
        <v>1.0818024294775051E-2</v>
      </c>
      <c r="AE12" s="35">
        <f>'T8x. MeHg SE 2010-17'!D11</f>
        <v>9.3414127601572881E-4</v>
      </c>
      <c r="AF12" s="35">
        <f>'T6x. MeHg loads 2010-17'!D44</f>
        <v>2.206664532292197E-2</v>
      </c>
      <c r="AG12" s="35">
        <f>'T8x. MeHg SE 2010-17'!D44</f>
        <v>4.1748388013211112E-3</v>
      </c>
      <c r="AH12">
        <f t="shared" si="10"/>
        <v>0.14893045540409869</v>
      </c>
      <c r="AI12">
        <f t="shared" si="11"/>
        <v>3.1024582373218406E-2</v>
      </c>
      <c r="AJ12">
        <f t="shared" si="12"/>
        <v>0.42421107691492105</v>
      </c>
      <c r="AL12" s="51">
        <f>'T6x. MeHg loads 2010-17'!E11</f>
        <v>0.1319651017837816</v>
      </c>
      <c r="AM12" s="51">
        <f>'T8x. MeHg SE 2010-17'!E11</f>
        <v>1.9264999100517786E-2</v>
      </c>
      <c r="AN12" s="51">
        <f>'T6x. MeHg loads 2010-17'!E44</f>
        <v>8.296407045615492E-2</v>
      </c>
      <c r="AO12" s="51">
        <f>'T8x. MeHg SE 2010-17'!E44</f>
        <v>5.0003162934063185E-2</v>
      </c>
      <c r="AP12">
        <f t="shared" ref="AP12" si="30">((AO12^2)*((1/AL12)^2))</f>
        <v>0.14357431687715752</v>
      </c>
      <c r="AQ12">
        <f t="shared" ref="AQ12" si="31">((AM12*AM12)*((-AN12/(AL12*AL12))^2))</f>
        <v>8.4232889948017073E-3</v>
      </c>
      <c r="AR12">
        <f t="shared" ref="AR12" si="32">SQRT(AP12+AQ12)</f>
        <v>0.38986870337584068</v>
      </c>
      <c r="AT12" s="51">
        <f>'T6x. MeHg loads 2010-17'!F11</f>
        <v>0.16394973105843633</v>
      </c>
      <c r="AU12" s="51">
        <f>'T8x. MeHg SE 2010-17'!F11</f>
        <v>4.8174294711777491E-2</v>
      </c>
      <c r="AV12" s="51">
        <f>'T6x. MeHg loads 2010-17'!F44</f>
        <v>0.10300000000000001</v>
      </c>
      <c r="AW12" s="51">
        <f>'T8x. MeHg SE 2010-17'!F44</f>
        <v>7.6934102692918171E-2</v>
      </c>
      <c r="AX12">
        <f t="shared" si="16"/>
        <v>0.22019952027378212</v>
      </c>
      <c r="AY12">
        <f t="shared" si="17"/>
        <v>3.4077077765362396E-2</v>
      </c>
      <c r="AZ12">
        <f t="shared" si="18"/>
        <v>0.50425846352752923</v>
      </c>
      <c r="BB12" s="37">
        <f>'T2x. THg loads 2010-17'!J11</f>
        <v>118.50815675827299</v>
      </c>
      <c r="BC12">
        <f>'T4x. THg SE 2010-17'!J11</f>
        <v>25.351281027735499</v>
      </c>
      <c r="BD12" s="37">
        <f>'T2x. THg loads 2010-17'!J44</f>
        <v>33.818294265326976</v>
      </c>
      <c r="BE12" s="37">
        <f>'T4x. THg SE 2010-17'!J44</f>
        <v>12.429490582692964</v>
      </c>
      <c r="BF12">
        <f t="shared" si="19"/>
        <v>1.1000442941001193E-2</v>
      </c>
      <c r="BG12">
        <f t="shared" si="20"/>
        <v>3.7265782388419496E-3</v>
      </c>
      <c r="BH12">
        <f t="shared" si="21"/>
        <v>0.12135493883580982</v>
      </c>
      <c r="BJ12" s="35">
        <f>'T6x. MeHg loads 2010-17'!K11</f>
        <v>0.47047738233034381</v>
      </c>
      <c r="BK12" s="35">
        <f>'T8x. MeHg SE 2010-17'!K11</f>
        <v>0.10064458568010994</v>
      </c>
      <c r="BL12" s="35">
        <f>'T6x. MeHg loads 2010-17'!K44</f>
        <v>8.9763182998251104E-2</v>
      </c>
      <c r="BM12" s="35">
        <f>'T8x. MeHg SE 2010-17'!K44</f>
        <v>3.2417684321074502E-2</v>
      </c>
      <c r="BN12">
        <f t="shared" si="22"/>
        <v>4.7477350792900896E-3</v>
      </c>
      <c r="BO12">
        <f t="shared" si="23"/>
        <v>1.6657979413009455E-3</v>
      </c>
      <c r="BP12">
        <f t="shared" si="24"/>
        <v>8.0084536713344576E-2</v>
      </c>
      <c r="BT12" s="35">
        <f>'T6x. MeHg loads 2010-17'!O11</f>
        <v>0.48129540662511888</v>
      </c>
      <c r="BU12" s="35">
        <f>'T8x. MeHg SE 2010-17'!D11+'T8x. MeHg SE 2010-17'!K11</f>
        <v>0.10157872695612566</v>
      </c>
      <c r="BV12" s="35">
        <f>'T6x. MeHg loads 2010-17'!O44</f>
        <v>0.11182982832117308</v>
      </c>
      <c r="BW12" s="35">
        <f>'T8x. MeHg SE 2010-17'!C44+'T8x. MeHg SE 2010-17'!K44</f>
        <v>7.8246008453816573E-2</v>
      </c>
      <c r="BX12">
        <f t="shared" si="25"/>
        <v>2.6430230499535617E-2</v>
      </c>
      <c r="BY12">
        <f t="shared" si="26"/>
        <v>2.4047724077381066E-3</v>
      </c>
      <c r="BZ12">
        <f t="shared" si="27"/>
        <v>0.16980872447337247</v>
      </c>
    </row>
    <row r="13" spans="1:78" x14ac:dyDescent="0.2">
      <c r="A13" s="2" t="s">
        <v>5</v>
      </c>
      <c r="B13" s="45"/>
      <c r="C13" s="56">
        <f>W13</f>
        <v>0.39943925206709241</v>
      </c>
      <c r="D13" s="53">
        <f t="shared" si="0"/>
        <v>0.10470525239544529</v>
      </c>
      <c r="E13" s="58">
        <f t="shared" si="1"/>
        <v>0.30105729143145454</v>
      </c>
      <c r="F13" s="58">
        <f t="shared" si="2"/>
        <v>0.2332276352359513</v>
      </c>
      <c r="G13" s="26"/>
      <c r="H13" s="26"/>
      <c r="I13" s="26"/>
      <c r="J13" s="53">
        <f t="shared" ref="J13" si="33">BH13</f>
        <v>3.7581679366294016E-2</v>
      </c>
      <c r="K13" s="56" t="s">
        <v>32</v>
      </c>
      <c r="L13" s="45" t="s">
        <v>32</v>
      </c>
      <c r="M13" s="56" t="s">
        <v>32</v>
      </c>
      <c r="N13" s="58" t="s">
        <v>32</v>
      </c>
      <c r="O13" s="56" t="s">
        <v>32</v>
      </c>
      <c r="Q13" s="51">
        <f>'T6x. MeHg loads 2010-17'!C12</f>
        <v>7.2601629123801895E-4</v>
      </c>
      <c r="R13" s="51">
        <f>'T8x. MeHg SE 2010-17'!C12</f>
        <v>1.2747164778158403E-4</v>
      </c>
      <c r="S13" s="51">
        <f>'T6x. MeHg loads 2010-17'!C45</f>
        <v>4.5670731399127167E-4</v>
      </c>
      <c r="T13" s="51">
        <f>'T8x. MeHg SE 2010-17'!C45</f>
        <v>2.7869277528697414E-4</v>
      </c>
      <c r="U13" s="51">
        <f t="shared" ref="U13" si="34">((T13^2)*((1/Q13)^2))</f>
        <v>0.14735290042275448</v>
      </c>
      <c r="V13" s="51">
        <f t="shared" ref="V13" si="35">((R13*R13)*((-S13/(Q13*Q13))^2))</f>
        <v>1.2198815669163738E-2</v>
      </c>
      <c r="W13" s="51">
        <f>SQRT(U13+V13)</f>
        <v>0.39943925206709241</v>
      </c>
      <c r="X13" s="175"/>
      <c r="Y13" s="175"/>
      <c r="Z13" s="175"/>
      <c r="AA13" s="175"/>
      <c r="AB13" s="175"/>
      <c r="AC13" s="175"/>
      <c r="AD13" s="35">
        <f>'T6x. MeHg loads 2010-17'!D12</f>
        <v>3.5727729266528255E-4</v>
      </c>
      <c r="AE13" s="35">
        <f>'T8x. MeHg SE 2010-17'!D12</f>
        <v>4.6302081843963523E-5</v>
      </c>
      <c r="AF13" s="35">
        <f>'T6x. MeHg loads 2010-17'!D45</f>
        <v>1.1808078051335029E-4</v>
      </c>
      <c r="AG13" s="35">
        <f>'T8x. MeHg SE 2010-17'!D45</f>
        <v>3.4135606430443559E-5</v>
      </c>
      <c r="AH13" s="175">
        <f t="shared" ref="AH13" si="36">((AG13^2)*((1/AD13)^2))</f>
        <v>9.1286050081401011E-3</v>
      </c>
      <c r="AI13" s="175">
        <f t="shared" ref="AI13" si="37">((AE13*AE13)*((-AF13/(AD13*AD13))^2))</f>
        <v>1.8345848710537981E-3</v>
      </c>
      <c r="AJ13" s="175">
        <f t="shared" ref="AJ13" si="38">SQRT(AH13+AI13)</f>
        <v>0.10470525239544529</v>
      </c>
      <c r="AK13" s="175"/>
      <c r="AL13" s="51">
        <f>'T6x. MeHg loads 2010-17'!E12</f>
        <v>1.0832935839033015E-3</v>
      </c>
      <c r="AM13" s="51">
        <f>'T8x. MeHg SE 2010-17'!E12</f>
        <v>1.7377372962554754E-4</v>
      </c>
      <c r="AN13" s="51">
        <f>'T6x. MeHg loads 2010-17'!E45</f>
        <v>5.7478809450462191E-4</v>
      </c>
      <c r="AO13" s="51">
        <f>'T8x. MeHg SE 2010-17'!E45</f>
        <v>3.1282838171741768E-4</v>
      </c>
      <c r="AP13" s="175">
        <f t="shared" ref="AP13" si="39">((AO13^2)*((1/AL13)^2))</f>
        <v>8.3391148319300418E-2</v>
      </c>
      <c r="AQ13" s="175">
        <f t="shared" ref="AQ13" si="40">((AM13*AM13)*((-AN13/(AL13*AL13))^2))</f>
        <v>7.2443444047433471E-3</v>
      </c>
      <c r="AR13" s="175">
        <f t="shared" ref="AR13" si="41">SQRT(AP13+AQ13)</f>
        <v>0.30105729143145454</v>
      </c>
      <c r="AS13" s="175"/>
      <c r="AT13" s="51">
        <f>'T6x. MeHg loads 2010-17'!F12</f>
        <v>2.4255955436830023E-3</v>
      </c>
      <c r="AU13" s="51">
        <f>'T8x. MeHg SE 2010-17'!F12</f>
        <v>6.7708213131407471E-4</v>
      </c>
      <c r="AV13" s="51">
        <f>'T6x. MeHg loads 2010-17'!F45</f>
        <v>8.0000000000000004E-4</v>
      </c>
      <c r="AW13" s="51">
        <f>'T8x. MeHg SE 2010-17'!F45</f>
        <v>5.1977498938719031E-4</v>
      </c>
      <c r="AX13" s="175">
        <f t="shared" ref="AX13" si="42">((AW13^2)*((1/AT13)^2))</f>
        <v>4.591916522353108E-2</v>
      </c>
      <c r="AY13" s="175">
        <f t="shared" ref="AY13" si="43">((AU13*AU13)*((-AV13/(AT13*AT13))^2))</f>
        <v>8.475964614222866E-3</v>
      </c>
      <c r="AZ13" s="175">
        <f t="shared" ref="AZ13" si="44">SQRT(AX13+AY13)</f>
        <v>0.2332276352359513</v>
      </c>
      <c r="BA13" s="175"/>
      <c r="BB13" s="37">
        <f>'T2x. THg loads 2010-17'!J12</f>
        <v>9.7446682078762212E-2</v>
      </c>
      <c r="BC13" s="175">
        <f>'T4x. THg SE 2010-17'!J12</f>
        <v>1.6954627062322425E-2</v>
      </c>
      <c r="BD13" s="37">
        <f>'T2x. THg loads 2010-17'!J45</f>
        <v>7.9978643134320793E-3</v>
      </c>
      <c r="BE13" s="37">
        <f>'T4x. THg SE 2010-17'!J45</f>
        <v>3.3875363453196245E-3</v>
      </c>
      <c r="BF13" s="175">
        <f t="shared" ref="BF13" si="45">((BE13^2)*((1/BB13)^2))</f>
        <v>1.208464268450936E-3</v>
      </c>
      <c r="BG13" s="175">
        <f t="shared" ref="BG13" si="46">((BC13*BC13)*((-BD13/(BB13*BB13))^2))</f>
        <v>2.0391835553999323E-4</v>
      </c>
      <c r="BH13" s="175">
        <f t="shared" ref="BH13" si="47">SQRT(BF13+BG13)</f>
        <v>3.7581679366294016E-2</v>
      </c>
      <c r="BI13" s="175"/>
      <c r="BJ13" s="35">
        <f>'T6x. MeHg loads 2010-17'!K12</f>
        <v>3.2352298450149055E-4</v>
      </c>
      <c r="BK13" s="35" t="str">
        <f>'T8x. MeHg SE 2010-17'!K12</f>
        <v>na</v>
      </c>
      <c r="BL13" s="35">
        <f>'T6x. MeHg loads 2010-17'!K45</f>
        <v>0</v>
      </c>
      <c r="BM13" s="35">
        <f>'T8x. MeHg SE 2010-17'!K45</f>
        <v>0</v>
      </c>
      <c r="BN13" s="175">
        <f t="shared" ref="BN13" si="48">((BM13^2)*((1/BJ13)^2))</f>
        <v>0</v>
      </c>
      <c r="BO13" s="175" t="e">
        <f t="shared" ref="BO13" si="49">((BK13*BK13)*((-BL13/(BJ13*BJ13))^2))</f>
        <v>#VALUE!</v>
      </c>
      <c r="BP13" s="175" t="e">
        <f t="shared" ref="BP13" si="50">SQRT(BN13+BO13)</f>
        <v>#VALUE!</v>
      </c>
      <c r="BQ13" s="175"/>
      <c r="BR13" s="175"/>
      <c r="BS13" s="175"/>
      <c r="BT13" s="35">
        <f>'T6x. MeHg loads 2010-17'!O12</f>
        <v>6.8080027716677311E-4</v>
      </c>
      <c r="BU13" s="35" t="e">
        <f>'T8x. MeHg SE 2010-17'!D12+'T8x. MeHg SE 2010-17'!K12</f>
        <v>#VALUE!</v>
      </c>
      <c r="BV13" s="35">
        <f>'T6x. MeHg loads 2010-17'!O45</f>
        <v>1.1808078051335029E-4</v>
      </c>
      <c r="BW13" s="35">
        <f>'T8x. MeHg SE 2010-17'!C45+'T8x. MeHg SE 2010-17'!K45</f>
        <v>2.7869277528697414E-4</v>
      </c>
      <c r="BX13" s="175">
        <f t="shared" ref="BX13" si="51">((BW13^2)*((1/BT13)^2))</f>
        <v>0.16757605915771182</v>
      </c>
      <c r="BY13" s="175" t="e">
        <f t="shared" ref="BY13" si="52">((BU13*BU13)*((-BV13/(BT13*BT13))^2))</f>
        <v>#VALUE!</v>
      </c>
      <c r="BZ13" s="175" t="e">
        <f t="shared" ref="BZ13" si="53">SQRT(BX13+BY13)</f>
        <v>#VALUE!</v>
      </c>
    </row>
    <row r="14" spans="1:78" x14ac:dyDescent="0.2">
      <c r="A14" s="2" t="s">
        <v>97</v>
      </c>
      <c r="B14" s="45"/>
      <c r="C14" s="56">
        <f t="shared" ref="C14" si="54">W14</f>
        <v>0.16612524980266519</v>
      </c>
      <c r="D14" s="53">
        <f t="shared" si="0"/>
        <v>0.26879798515396192</v>
      </c>
      <c r="E14" s="58">
        <f t="shared" si="1"/>
        <v>0.17264760185154981</v>
      </c>
      <c r="F14" s="58">
        <f t="shared" si="2"/>
        <v>0.23540695809836687</v>
      </c>
      <c r="G14" s="26"/>
      <c r="H14" s="26"/>
      <c r="I14" s="26"/>
      <c r="J14" s="53">
        <f t="shared" ref="J14" si="55">BH14</f>
        <v>0.10125071182128455</v>
      </c>
      <c r="K14" s="56">
        <f t="shared" ref="K14" si="56">BP14</f>
        <v>0.11817988021577386</v>
      </c>
      <c r="L14" s="45" t="s">
        <v>32</v>
      </c>
      <c r="M14" s="56" t="s">
        <v>32</v>
      </c>
      <c r="N14" s="58">
        <f t="shared" si="6"/>
        <v>0.24376544119568114</v>
      </c>
      <c r="O14" s="56" t="s">
        <v>32</v>
      </c>
      <c r="Q14" s="51">
        <f>'T6x. MeHg loads 2010-17'!C13</f>
        <v>0.12236080631585902</v>
      </c>
      <c r="R14" s="51">
        <f>'T8x. MeHg SE 2010-17'!C13</f>
        <v>2.8631728849142207E-2</v>
      </c>
      <c r="S14" s="51">
        <f>'T6x. MeHg loads 2010-17'!C46</f>
        <v>4.0832031882416374E-2</v>
      </c>
      <c r="T14" s="51">
        <f>'T8x. MeHg SE 2010-17'!C46</f>
        <v>1.794179786200558E-2</v>
      </c>
      <c r="U14" s="51">
        <f t="shared" ref="U14:U17" si="57">((T14^2)*((1/Q14)^2))</f>
        <v>2.1500435587738089E-2</v>
      </c>
      <c r="V14" s="51">
        <f t="shared" ref="V14:V17" si="58">((R14*R14)*((-S14/(Q14*Q14))^2))</f>
        <v>6.0971630342598181E-3</v>
      </c>
      <c r="W14" s="51">
        <f t="shared" ref="W14" si="59">SQRT(U14+V14)</f>
        <v>0.16612524980266519</v>
      </c>
      <c r="AD14" s="35">
        <f>'T6x. MeHg loads 2010-17'!D13</f>
        <v>6.3512283711167992E-3</v>
      </c>
      <c r="AE14" s="35">
        <f>'T8x. MeHg SE 2010-17'!D13</f>
        <v>9.2746244865470127E-4</v>
      </c>
      <c r="AF14" s="35">
        <f>'T6x. MeHg loads 2010-17'!D46</f>
        <v>7.4797779518329206E-3</v>
      </c>
      <c r="AG14" s="35">
        <f>'T8x. MeHg SE 2010-17'!D46</f>
        <v>1.3120533437043177E-3</v>
      </c>
      <c r="AH14">
        <f t="shared" ref="AH14" si="60">((AG14^2)*((1/AD14)^2))</f>
        <v>4.267637541098751E-2</v>
      </c>
      <c r="AI14">
        <f t="shared" ref="AI14" si="61">((AE14*AE14)*((-AF14/(AD14*AD14))^2))</f>
        <v>2.9575981411842006E-2</v>
      </c>
      <c r="AJ14">
        <f t="shared" ref="AJ14" si="62">SQRT(AH14+AI14)</f>
        <v>0.26879798515396192</v>
      </c>
      <c r="AL14" s="51">
        <f>'T6x. MeHg loads 2010-17'!E13</f>
        <v>0.12871203468697581</v>
      </c>
      <c r="AM14" s="51">
        <f>'T8x. MeHg SE 2010-17'!E13</f>
        <v>2.9559191297796907E-2</v>
      </c>
      <c r="AN14" s="51">
        <f>'T6x. MeHg loads 2010-17'!E46</f>
        <v>4.8311809834249292E-2</v>
      </c>
      <c r="AO14" s="51">
        <f>'T8x. MeHg SE 2010-17'!E46</f>
        <v>1.9253851205709896E-2</v>
      </c>
      <c r="AP14">
        <f t="shared" ref="AP14" si="63">((AO14^2)*((1/AL14)^2))</f>
        <v>2.2376744912026202E-2</v>
      </c>
      <c r="AQ14">
        <f t="shared" ref="AQ14" si="64">((AM14*AM14)*((-AN14/(AL14*AL14))^2))</f>
        <v>7.4304495130650648E-3</v>
      </c>
      <c r="AR14">
        <f t="shared" ref="AR14" si="65">SQRT(AP14+AQ14)</f>
        <v>0.17264760185154981</v>
      </c>
      <c r="AT14" s="51">
        <f>'T6x. MeHg loads 2010-17'!F13</f>
        <v>0.10392052847115668</v>
      </c>
      <c r="AU14" s="51">
        <f>'T8x. MeHg SE 2010-17'!F13</f>
        <v>3.6537785746638816E-2</v>
      </c>
      <c r="AV14" s="51">
        <f>'T6x. MeHg loads 2010-17'!F46</f>
        <v>4.4293498024153694E-2</v>
      </c>
      <c r="AW14" s="51">
        <f>'T8x. MeHg SE 2010-17'!F46</f>
        <v>1.8866387513754204E-2</v>
      </c>
      <c r="AX14">
        <f t="shared" ref="AX14" si="66">((AW14^2)*((1/AT14)^2))</f>
        <v>3.2959059308429871E-2</v>
      </c>
      <c r="AY14">
        <f t="shared" ref="AY14" si="67">((AU14*AU14)*((-AV14/(AT14*AT14))^2))</f>
        <v>2.2457376612696381E-2</v>
      </c>
      <c r="AZ14">
        <f t="shared" ref="AZ14" si="68">SQRT(AX14+AY14)</f>
        <v>0.23540695809836687</v>
      </c>
      <c r="BB14" s="37">
        <f>'T2x. THg loads 2010-17'!J13</f>
        <v>131.35701456257331</v>
      </c>
      <c r="BC14">
        <f>'T4x. THg SE 2010-17'!J13</f>
        <v>31.892775586674372</v>
      </c>
      <c r="BD14" s="37">
        <f>'T2x. THg loads 2010-17'!J46</f>
        <v>33.105823852739206</v>
      </c>
      <c r="BE14" s="37">
        <f>'T4x. THg SE 2010-17'!J46</f>
        <v>10.596304908286474</v>
      </c>
      <c r="BF14">
        <f t="shared" ref="BF14" si="69">((BE14^2)*((1/BB14)^2))</f>
        <v>6.5073228556575937E-3</v>
      </c>
      <c r="BG14">
        <f t="shared" ref="BG14" si="70">((BC14*BC14)*((-BD14/(BB14*BB14))^2))</f>
        <v>3.7443837886592165E-3</v>
      </c>
      <c r="BH14">
        <f t="shared" ref="BH14" si="71">SQRT(BF14+BG14)</f>
        <v>0.10125071182128455</v>
      </c>
      <c r="BJ14" s="35">
        <f>'T6x. MeHg loads 2010-17'!K13</f>
        <v>0.12084845339756746</v>
      </c>
      <c r="BK14" s="35">
        <f>'T8x. MeHg SE 2010-17'!K13</f>
        <v>2.9341353539740423E-2</v>
      </c>
      <c r="BL14" s="35">
        <f>'T6x. MeHg loads 2010-17'!K46</f>
        <v>3.606671624909439E-2</v>
      </c>
      <c r="BM14" s="35">
        <f>'T8x. MeHg SE 2010-17'!K46</f>
        <v>1.1282277238530879E-2</v>
      </c>
      <c r="BN14">
        <f t="shared" ref="BN14" si="72">((BM14^2)*((1/BJ14)^2))</f>
        <v>8.7158819883951556E-3</v>
      </c>
      <c r="BO14">
        <f t="shared" ref="BO14" si="73">((BK14*BK14)*((-BL14/(BJ14*BJ14))^2))</f>
        <v>5.2506020994194996E-3</v>
      </c>
      <c r="BP14">
        <f t="shared" ref="BP14" si="74">SQRT(BN14+BO14)</f>
        <v>0.11817988021577386</v>
      </c>
      <c r="BT14" s="35">
        <f>'T6x. MeHg loads 2010-17'!O13</f>
        <v>0.12719968176868426</v>
      </c>
      <c r="BU14" s="35">
        <f>'T8x. MeHg SE 2010-17'!D13+'T8x. MeHg SE 2010-17'!K13</f>
        <v>3.0268815988395124E-2</v>
      </c>
      <c r="BV14" s="35">
        <f>'T6x. MeHg loads 2010-17'!O46</f>
        <v>4.3546494200927308E-2</v>
      </c>
      <c r="BW14" s="35">
        <f>'T8x. MeHg SE 2010-17'!C46+'T8x. MeHg SE 2010-17'!K46</f>
        <v>2.922407510053646E-2</v>
      </c>
      <c r="BX14">
        <f t="shared" ref="BX14:BX18" si="75">((BW14^2)*((1/BT14)^2))</f>
        <v>5.2784875427498705E-2</v>
      </c>
      <c r="BY14">
        <f t="shared" ref="BY14:BY18" si="76">((BU14*BU14)*((-BV14/(BT14*BT14))^2))</f>
        <v>6.6367148938263724E-3</v>
      </c>
      <c r="BZ14">
        <f t="shared" ref="BZ14:BZ18" si="77">SQRT(BX14+BY14)</f>
        <v>0.24376544119568114</v>
      </c>
    </row>
    <row r="15" spans="1:78" s="175" customFormat="1" x14ac:dyDescent="0.2">
      <c r="A15" s="2" t="s">
        <v>105</v>
      </c>
      <c r="B15" s="45"/>
      <c r="C15" s="56">
        <f t="shared" ref="C15:C16" si="78">W15</f>
        <v>0.16101178556794346</v>
      </c>
      <c r="D15" s="53">
        <f t="shared" ref="D15:D16" si="79">AJ15</f>
        <v>0.51867978309147034</v>
      </c>
      <c r="E15" s="58">
        <f t="shared" ref="E15:E16" si="80">AR15</f>
        <v>0.18047337207697473</v>
      </c>
      <c r="F15" s="58">
        <f t="shared" ref="F15:F16" si="81">AZ15</f>
        <v>0.2524411111568034</v>
      </c>
      <c r="G15" s="26"/>
      <c r="H15" s="26"/>
      <c r="I15" s="26"/>
      <c r="J15" s="53">
        <f t="shared" ref="J15:J16" si="82">BH15</f>
        <v>6.9540431878904713E-2</v>
      </c>
      <c r="K15" s="56">
        <f t="shared" ref="K15:K16" si="83">BP15</f>
        <v>7.7569986967506735E-2</v>
      </c>
      <c r="L15" s="45" t="s">
        <v>32</v>
      </c>
      <c r="M15" s="56" t="s">
        <v>32</v>
      </c>
      <c r="N15" s="58">
        <f t="shared" ref="N15:N16" si="84">BZ15</f>
        <v>0.1849473730464439</v>
      </c>
      <c r="O15" s="56" t="s">
        <v>32</v>
      </c>
      <c r="Q15" s="51">
        <f>'T6x. MeHg loads 2010-17'!C14</f>
        <v>0.14882931191432991</v>
      </c>
      <c r="R15" s="51">
        <f>'T8x. MeHg SE 2010-17'!C14</f>
        <v>7.0000000000000001E-3</v>
      </c>
      <c r="S15" s="51">
        <f>'T6x. MeHg loads 2010-17'!C47</f>
        <v>3.6999999999999998E-2</v>
      </c>
      <c r="T15" s="51">
        <f>'T8x. MeHg SE 2010-17'!C47</f>
        <v>2.3900000000000001E-2</v>
      </c>
      <c r="U15" s="51">
        <f t="shared" ref="U15:U16" si="85">((T15^2)*((1/Q15)^2))</f>
        <v>2.578807081567323E-2</v>
      </c>
      <c r="V15" s="51">
        <f t="shared" ref="V15:V16" si="86">((R15*R15)*((-S15/(Q15*Q15))^2))</f>
        <v>1.3672427610417686E-4</v>
      </c>
      <c r="W15" s="51">
        <f t="shared" ref="W15:W16" si="87">SQRT(U15+V15)</f>
        <v>0.16101178556794346</v>
      </c>
      <c r="AD15" s="35">
        <f>'T6x. MeHg loads 2010-17'!D14</f>
        <v>9.1410724943526683E-3</v>
      </c>
      <c r="AE15" s="35">
        <f>'T8x. MeHg SE 2010-17'!D14</f>
        <v>1.2999999999999999E-3</v>
      </c>
      <c r="AF15" s="35">
        <f>'T6x. MeHg loads 2010-17'!D47</f>
        <v>1.0499999999999999E-2</v>
      </c>
      <c r="AG15" s="35">
        <f>'T8x. MeHg SE 2010-17'!D47</f>
        <v>4.4999999999999997E-3</v>
      </c>
      <c r="AH15" s="175">
        <f t="shared" ref="AH15:AH16" si="88">((AG15^2)*((1/AD15)^2))</f>
        <v>0.24234313470982818</v>
      </c>
      <c r="AI15" s="175">
        <f t="shared" ref="AI15:AI16" si="89">((AE15*AE15)*((-AF15/(AD15*AD15))^2))</f>
        <v>2.6685582677986531E-2</v>
      </c>
      <c r="AJ15" s="175">
        <f t="shared" ref="AJ15:AJ16" si="90">SQRT(AH15+AI15)</f>
        <v>0.51867978309147034</v>
      </c>
      <c r="AL15" s="51">
        <f>'T6x. MeHg loads 2010-17'!E14</f>
        <v>0.15797038440868258</v>
      </c>
      <c r="AM15" s="51">
        <f>'T8x. MeHg SE 2010-17'!E14</f>
        <v>8.3000000000000001E-3</v>
      </c>
      <c r="AN15" s="51">
        <f>'T6x. MeHg loads 2010-17'!E47</f>
        <v>4.7500000000000001E-2</v>
      </c>
      <c r="AO15" s="51">
        <f>'T8x. MeHg SE 2010-17'!E47</f>
        <v>2.8400000000000002E-2</v>
      </c>
      <c r="AP15" s="175">
        <f t="shared" ref="AP15:AP16" si="91">((AO15^2)*((1/AL15)^2))</f>
        <v>3.2321040256971072E-2</v>
      </c>
      <c r="AQ15" s="175">
        <f t="shared" ref="AQ15:AQ16" si="92">((AM15*AM15)*((-AN15/(AL15*AL15))^2))</f>
        <v>2.4959777186308381E-4</v>
      </c>
      <c r="AR15" s="175">
        <f t="shared" ref="AR15:AR16" si="93">SQRT(AP15+AQ15)</f>
        <v>0.18047337207697473</v>
      </c>
      <c r="AT15" s="51">
        <f>'T6x. MeHg loads 2010-17'!F14</f>
        <v>0.188</v>
      </c>
      <c r="AU15" s="51">
        <f>'T8x. MeHg SE 2010-17'!F14</f>
        <v>0.158</v>
      </c>
      <c r="AV15" s="51">
        <f>'T6x. MeHg loads 2010-17'!F47</f>
        <v>4.8000000000000001E-2</v>
      </c>
      <c r="AW15" s="51">
        <f>'T8x. MeHg SE 2010-17'!F47</f>
        <v>2.5000000000000001E-2</v>
      </c>
      <c r="AX15" s="175">
        <f t="shared" ref="AX15:AX16" si="94">((AW15^2)*((1/AT15)^2))</f>
        <v>1.7683340878225443E-2</v>
      </c>
      <c r="AY15" s="175">
        <f t="shared" ref="AY15:AY16" si="95">((AU15*AU15)*((-AV15/(AT15*AT15))^2))</f>
        <v>4.6043173723856134E-2</v>
      </c>
      <c r="AZ15" s="175">
        <f t="shared" ref="AZ15:AZ16" si="96">SQRT(AX15+AY15)</f>
        <v>0.2524411111568034</v>
      </c>
      <c r="BB15" s="37">
        <f>'T2x. THg loads 2010-17'!J14</f>
        <v>180</v>
      </c>
      <c r="BC15" s="175">
        <f>'T4x. THg SE 2010-17'!J14</f>
        <v>37</v>
      </c>
      <c r="BD15" s="37">
        <f>'T2x. THg loads 2010-17'!J47</f>
        <v>31.6</v>
      </c>
      <c r="BE15" s="37">
        <f>'T4x. THg SE 2010-17'!J47</f>
        <v>10.7</v>
      </c>
      <c r="BF15" s="175">
        <f t="shared" ref="BF15:BF16" si="97">((BE15^2)*((1/BB15)^2))</f>
        <v>3.5336419753086413E-3</v>
      </c>
      <c r="BG15" s="175">
        <f t="shared" ref="BG15:BG16" si="98">((BC15*BC15)*((-BD15/(BB15*BB15))^2))</f>
        <v>1.3022296905959457E-3</v>
      </c>
      <c r="BH15" s="175">
        <f t="shared" ref="BH15:BH16" si="99">SQRT(BF15+BG15)</f>
        <v>6.9540431878904713E-2</v>
      </c>
      <c r="BJ15" s="35">
        <f>'T6x. MeHg loads 2010-17'!K14</f>
        <v>0.19800000000000004</v>
      </c>
      <c r="BK15" s="35">
        <f>'T8x. MeHg SE 2010-17'!K14</f>
        <v>4.07E-2</v>
      </c>
      <c r="BL15" s="35">
        <f>'T6x. MeHg loads 2010-17'!K47</f>
        <v>3.9399999999999998E-2</v>
      </c>
      <c r="BM15" s="35">
        <f>'T8x. MeHg SE 2010-17'!K47</f>
        <v>1.3050000000000001E-2</v>
      </c>
      <c r="BN15" s="175">
        <f t="shared" ref="BN15:BN16" si="100">((BM15^2)*((1/BJ15)^2))</f>
        <v>4.3440082644628092E-3</v>
      </c>
      <c r="BO15" s="175">
        <f t="shared" ref="BO15:BO16" si="101">((BK15*BK15)*((-BL15/(BJ15*BJ15))^2))</f>
        <v>1.6730946136763554E-3</v>
      </c>
      <c r="BP15" s="175">
        <f t="shared" ref="BP15:BP16" si="102">SQRT(BN15+BO15)</f>
        <v>7.7569986967506735E-2</v>
      </c>
      <c r="BT15" s="35">
        <f>'T6x. MeHg loads 2010-17'!O14</f>
        <v>0.20714107249435271</v>
      </c>
      <c r="BU15" s="35">
        <f>'T8x. MeHg SE 2010-17'!D14+'T8x. MeHg SE 2010-17'!K14</f>
        <v>4.2000000000000003E-2</v>
      </c>
      <c r="BV15" s="35">
        <f>'T6x. MeHg loads 2010-17'!O47</f>
        <v>4.99E-2</v>
      </c>
      <c r="BW15" s="35">
        <f>'T8x. MeHg SE 2010-17'!C47+'T8x. MeHg SE 2010-17'!K47</f>
        <v>3.6950000000000004E-2</v>
      </c>
      <c r="BX15" s="175">
        <f t="shared" ref="BX15:BX16" si="103">((BW15^2)*((1/BT15)^2))</f>
        <v>3.1819726645276457E-2</v>
      </c>
      <c r="BY15" s="175">
        <f t="shared" ref="BY15:BY16" si="104">((BU15*BU15)*((-BV15/(BT15*BT15))^2))</f>
        <v>2.3858041515040286E-3</v>
      </c>
      <c r="BZ15" s="175">
        <f t="shared" ref="BZ15:BZ16" si="105">SQRT(BX15+BY15)</f>
        <v>0.1849473730464439</v>
      </c>
    </row>
    <row r="16" spans="1:78" s="175" customFormat="1" x14ac:dyDescent="0.2">
      <c r="A16" s="2" t="s">
        <v>151</v>
      </c>
      <c r="B16" s="45"/>
      <c r="C16" s="56">
        <f t="shared" si="78"/>
        <v>4.7771732783319282E-2</v>
      </c>
      <c r="D16" s="53">
        <f t="shared" si="79"/>
        <v>0.28654767214944404</v>
      </c>
      <c r="E16" s="58">
        <f t="shared" si="80"/>
        <v>5.0377711108596748E-2</v>
      </c>
      <c r="F16" s="58">
        <f t="shared" si="81"/>
        <v>0.12643839254758177</v>
      </c>
      <c r="G16" s="26"/>
      <c r="H16" s="26"/>
      <c r="I16" s="26"/>
      <c r="J16" s="53">
        <f t="shared" si="82"/>
        <v>7.5416677197959775E-2</v>
      </c>
      <c r="K16" s="56">
        <f t="shared" si="83"/>
        <v>8.5921692146493478E-2</v>
      </c>
      <c r="L16" s="45" t="s">
        <v>32</v>
      </c>
      <c r="M16" s="56" t="s">
        <v>32</v>
      </c>
      <c r="N16" s="58">
        <f t="shared" si="84"/>
        <v>0.1213884270236978</v>
      </c>
      <c r="O16" s="56" t="s">
        <v>32</v>
      </c>
      <c r="Q16" s="51">
        <f>'T6x. MeHg loads 2010-17'!C15</f>
        <v>1.5949787587577671</v>
      </c>
      <c r="R16" s="51">
        <f>'T8x. MeHg SE 2010-17'!C15</f>
        <v>1.9E-2</v>
      </c>
      <c r="S16" s="51">
        <f>'T6x. MeHg loads 2010-17'!C48</f>
        <v>0.4572</v>
      </c>
      <c r="T16" s="51">
        <f>'T8x. MeHg SE 2010-17'!C48</f>
        <v>7.5999999999999998E-2</v>
      </c>
      <c r="U16" s="51">
        <f t="shared" si="85"/>
        <v>2.2704784133803892E-3</v>
      </c>
      <c r="V16" s="51">
        <f t="shared" si="86"/>
        <v>1.1660039740473153E-5</v>
      </c>
      <c r="W16" s="51">
        <f t="shared" si="87"/>
        <v>4.7771732783319282E-2</v>
      </c>
      <c r="AD16" s="35">
        <f>'T6x. MeHg loads 2010-17'!D15</f>
        <v>4.3475161035742518E-2</v>
      </c>
      <c r="AE16" s="35">
        <f>'T8x. MeHg SE 2010-17'!D15</f>
        <v>8.0999999999999996E-3</v>
      </c>
      <c r="AF16" s="35">
        <f>'T6x. MeHg loads 2010-17'!D48</f>
        <v>5.8299999999999998E-2</v>
      </c>
      <c r="AG16" s="35">
        <f>'T8x. MeHg SE 2010-17'!D48</f>
        <v>6.1000000000000004E-3</v>
      </c>
      <c r="AH16" s="175">
        <f t="shared" si="88"/>
        <v>1.9686897100965536E-2</v>
      </c>
      <c r="AI16" s="175">
        <f t="shared" si="89"/>
        <v>6.2422671313299746E-2</v>
      </c>
      <c r="AJ16" s="175">
        <f t="shared" si="90"/>
        <v>0.28654767214944404</v>
      </c>
      <c r="AL16" s="51">
        <f>'T6x. MeHg loads 2010-17'!E15</f>
        <v>1.6384539197935095</v>
      </c>
      <c r="AM16" s="51">
        <f>'T8x. MeHg SE 2010-17'!E15</f>
        <v>2.7099999999999999E-2</v>
      </c>
      <c r="AN16" s="51">
        <f>'T6x. MeHg loads 2010-17'!E48</f>
        <v>0.51549999999999996</v>
      </c>
      <c r="AO16" s="51">
        <f>'T8x. MeHg SE 2010-17'!E48</f>
        <v>8.2099999999999992E-2</v>
      </c>
      <c r="AP16" s="175">
        <f t="shared" si="91"/>
        <v>2.5108331321576538E-3</v>
      </c>
      <c r="AQ16" s="175">
        <f t="shared" si="92"/>
        <v>2.7080644383578328E-5</v>
      </c>
      <c r="AR16" s="175">
        <f t="shared" si="93"/>
        <v>5.0377711108596748E-2</v>
      </c>
      <c r="AT16" s="51">
        <f>'T6x. MeHg loads 2010-17'!F15</f>
        <v>1.1399999999999999</v>
      </c>
      <c r="AU16" s="51">
        <f>'T8x. MeHg SE 2010-17'!F15</f>
        <v>0.26400000000000001</v>
      </c>
      <c r="AV16" s="51">
        <f>'T6x. MeHg loads 2010-17'!F48</f>
        <v>0.53100000000000003</v>
      </c>
      <c r="AW16" s="51">
        <f>'T8x. MeHg SE 2010-17'!F48</f>
        <v>7.5200000000000003E-2</v>
      </c>
      <c r="AX16" s="175">
        <f t="shared" si="94"/>
        <v>4.3513696522006779E-3</v>
      </c>
      <c r="AY16" s="175">
        <f t="shared" si="95"/>
        <v>1.1635297457815705E-2</v>
      </c>
      <c r="AZ16" s="175">
        <f t="shared" si="96"/>
        <v>0.12643839254758177</v>
      </c>
      <c r="BB16" s="37">
        <f>'T2x. THg loads 2010-17'!J15</f>
        <v>1222</v>
      </c>
      <c r="BC16" s="175">
        <f>'T4x. THg SE 2010-17'!J15</f>
        <v>237</v>
      </c>
      <c r="BD16" s="37">
        <f>'T2x. THg loads 2010-17'!J48</f>
        <v>288.7</v>
      </c>
      <c r="BE16" s="37">
        <f>'T4x. THg SE 2010-17'!J48</f>
        <v>73.2</v>
      </c>
      <c r="BF16" s="175">
        <f t="shared" si="97"/>
        <v>3.5882256824555821E-3</v>
      </c>
      <c r="BG16" s="175">
        <f t="shared" si="98"/>
        <v>2.0994495171256836E-3</v>
      </c>
      <c r="BH16" s="175">
        <f t="shared" si="99"/>
        <v>7.5416677197959775E-2</v>
      </c>
      <c r="BJ16" s="35">
        <f>'T6x. MeHg loads 2010-17'!K15</f>
        <v>1.833</v>
      </c>
      <c r="BK16" s="35">
        <f>'T8x. MeHg SE 2010-17'!K15</f>
        <v>0.35549999999999998</v>
      </c>
      <c r="BL16" s="35">
        <f>'T6x. MeHg loads 2010-17'!K48</f>
        <v>0.49231999999999998</v>
      </c>
      <c r="BM16" s="35">
        <f>'T8x. MeHg SE 2010-17'!K48</f>
        <v>0.12525</v>
      </c>
      <c r="BN16" s="175">
        <f t="shared" si="100"/>
        <v>4.6690716568315201E-3</v>
      </c>
      <c r="BO16" s="175">
        <f t="shared" si="101"/>
        <v>2.7134655244852798E-3</v>
      </c>
      <c r="BP16" s="175">
        <f t="shared" si="102"/>
        <v>8.5921692146493478E-2</v>
      </c>
      <c r="BT16" s="35">
        <f>'T6x. MeHg loads 2010-17'!O15</f>
        <v>1.8764751610357424</v>
      </c>
      <c r="BU16" s="35">
        <f>'T8x. MeHg SE 2010-17'!D15+'T8x. MeHg SE 2010-17'!K15</f>
        <v>0.36359999999999998</v>
      </c>
      <c r="BV16" s="35">
        <f>'T6x. MeHg loads 2010-17'!O48</f>
        <v>0.55062</v>
      </c>
      <c r="BW16" s="35">
        <f>'T8x. MeHg SE 2010-17'!C48+'T8x. MeHg SE 2010-17'!K48</f>
        <v>0.20124999999999998</v>
      </c>
      <c r="BX16" s="175">
        <f t="shared" si="103"/>
        <v>1.1502338336642152E-2</v>
      </c>
      <c r="BY16" s="175">
        <f t="shared" si="104"/>
        <v>3.2328118786454558E-3</v>
      </c>
      <c r="BZ16" s="175">
        <f t="shared" si="105"/>
        <v>0.1213884270236978</v>
      </c>
    </row>
    <row r="17" spans="1:78" x14ac:dyDescent="0.2">
      <c r="A17" s="2" t="s">
        <v>152</v>
      </c>
      <c r="B17" s="45"/>
      <c r="C17" s="56">
        <f>W17</f>
        <v>0.13824788121864581</v>
      </c>
      <c r="D17" s="53">
        <f>AJ17</f>
        <v>0.28627601125693503</v>
      </c>
      <c r="E17" s="58" t="str">
        <f>AR17</f>
        <v>nd</v>
      </c>
      <c r="F17" s="58" t="str">
        <f>AZ17</f>
        <v>nd</v>
      </c>
      <c r="G17" s="26"/>
      <c r="H17" s="45" t="s">
        <v>26</v>
      </c>
      <c r="I17" s="26"/>
      <c r="J17" s="53">
        <f t="shared" si="4"/>
        <v>8.6943749725968994E-2</v>
      </c>
      <c r="K17" s="56">
        <f t="shared" si="5"/>
        <v>0.11300903630537275</v>
      </c>
      <c r="L17" s="45" t="s">
        <v>32</v>
      </c>
      <c r="M17" s="56" t="s">
        <v>32</v>
      </c>
      <c r="N17" s="58">
        <f t="shared" si="6"/>
        <v>0.18449067797551377</v>
      </c>
      <c r="O17" s="56" t="s">
        <v>32</v>
      </c>
      <c r="Q17" s="51">
        <f>'T6x. MeHg loads 2010-17'!C16</f>
        <v>2.8735336925860118</v>
      </c>
      <c r="R17" s="51">
        <f>'T8x. MeHg SE 2010-17'!C16</f>
        <v>0.24884187026219129</v>
      </c>
      <c r="S17" s="51">
        <f>'T6x. MeHg loads 2010-17'!C49</f>
        <v>0.96497584682550031</v>
      </c>
      <c r="T17" s="51">
        <f>'T8x. MeHg SE 2010-17'!C49</f>
        <v>0.38837144649767341</v>
      </c>
      <c r="U17" s="51">
        <f t="shared" si="57"/>
        <v>1.8266779982257335E-2</v>
      </c>
      <c r="V17" s="51">
        <f t="shared" si="58"/>
        <v>8.4569667918746598E-4</v>
      </c>
      <c r="W17" s="51">
        <f>SQRT(U17+V17)</f>
        <v>0.13824788121864581</v>
      </c>
      <c r="AD17" s="35">
        <f>'T6x. MeHg loads 2010-17'!D16</f>
        <v>0.13761083575386318</v>
      </c>
      <c r="AE17" s="35">
        <f>'T8x. MeHg SE 2010-17'!D16</f>
        <v>1.9930105779401488E-2</v>
      </c>
      <c r="AF17" s="35">
        <f>'T6x. MeHg loads 2010-17'!D49</f>
        <v>0.1804463787324205</v>
      </c>
      <c r="AG17" s="35">
        <f>'T8x. MeHg SE 2010-17'!D49</f>
        <v>2.9478081519931598E-2</v>
      </c>
      <c r="AH17">
        <f t="shared" si="10"/>
        <v>4.588736989354178E-2</v>
      </c>
      <c r="AI17">
        <f t="shared" si="11"/>
        <v>3.6066584727639003E-2</v>
      </c>
      <c r="AJ17">
        <f t="shared" si="12"/>
        <v>0.28627601125693503</v>
      </c>
      <c r="AL17" s="51">
        <f>'T6x. MeHg loads 2010-17'!E16</f>
        <v>3.0111445283398748</v>
      </c>
      <c r="AM17" s="51">
        <f>'T8x. MeHg SE 2010-17'!E16</f>
        <v>0.26877197604159281</v>
      </c>
      <c r="AN17" s="51">
        <f>'T6x. MeHg loads 2010-17'!E49</f>
        <v>1.1716222255579207</v>
      </c>
      <c r="AO17" s="51">
        <f>'T8x. MeHg SE 2010-17'!E49</f>
        <v>0.417849528017605</v>
      </c>
      <c r="AP17" t="s">
        <v>32</v>
      </c>
      <c r="AQ17">
        <f t="shared" si="14"/>
        <v>1.206192898010603E-3</v>
      </c>
      <c r="AR17" t="s">
        <v>32</v>
      </c>
      <c r="AT17" s="51">
        <f>'T6x. MeHg loads 2010-17'!F16</f>
        <v>2.4168245648682936</v>
      </c>
      <c r="AU17" s="51">
        <f>'T8x. MeHg SE 2010-17'!F16</f>
        <v>0.75305397509985894</v>
      </c>
      <c r="AV17" s="51">
        <f>'T6x. MeHg loads 2010-17'!F49</f>
        <v>1.1984372919157478</v>
      </c>
      <c r="AW17" s="51">
        <f>'T8x. MeHg SE 2010-17'!F49</f>
        <v>0.36149227754977914</v>
      </c>
      <c r="AX17" t="s">
        <v>32</v>
      </c>
      <c r="AY17">
        <f t="shared" si="17"/>
        <v>2.3872743609614396E-2</v>
      </c>
      <c r="AZ17" t="s">
        <v>32</v>
      </c>
      <c r="BB17" s="37">
        <f>'T2x. THg loads 2010-17'!J16</f>
        <v>2258.9923446849016</v>
      </c>
      <c r="BC17">
        <f>'T4x. THg SE 2010-17'!J16</f>
        <v>461.37996725490893</v>
      </c>
      <c r="BD17" s="37">
        <f>'T2x. THg loads 2010-17'!J49</f>
        <v>547.29664337525651</v>
      </c>
      <c r="BE17" s="37">
        <f>'T4x. THg SE 2010-17'!J49</f>
        <v>161.49336526760865</v>
      </c>
      <c r="BF17">
        <f t="shared" si="19"/>
        <v>5.1106936745186401E-3</v>
      </c>
      <c r="BG17">
        <f t="shared" si="20"/>
        <v>2.4485219418932933E-3</v>
      </c>
      <c r="BH17">
        <f t="shared" si="21"/>
        <v>8.6943749725968994E-2</v>
      </c>
      <c r="BJ17" s="35">
        <f>'T6x. MeHg loads 2010-17'!K16</f>
        <v>4.722953050211947</v>
      </c>
      <c r="BK17" s="35">
        <f>'T8x. MeHg SE 2010-17'!K16</f>
        <v>0.97434042054222636</v>
      </c>
      <c r="BL17" s="35">
        <f>'T6x. MeHg loads 2010-17'!K49</f>
        <v>1.4145563735068456</v>
      </c>
      <c r="BM17" s="35">
        <f>'T8x. MeHg SE 2010-17'!K49</f>
        <v>0.44689450876135839</v>
      </c>
      <c r="BN17">
        <f t="shared" si="22"/>
        <v>8.9532926417164507E-3</v>
      </c>
      <c r="BO17">
        <f t="shared" si="23"/>
        <v>3.8177496449526066E-3</v>
      </c>
      <c r="BP17">
        <f t="shared" si="24"/>
        <v>0.11300903630537275</v>
      </c>
      <c r="BT17" s="35">
        <f>'T6x. MeHg loads 2010-17'!O16</f>
        <v>4.86056388596581</v>
      </c>
      <c r="BU17" s="35">
        <f>'T8x. MeHg SE 2010-17'!D16+'T8x. MeHg SE 2010-17'!K16</f>
        <v>0.99427052632162782</v>
      </c>
      <c r="BV17" s="35">
        <f>'T6x. MeHg loads 2010-17'!O49</f>
        <v>1.595002752239266</v>
      </c>
      <c r="BW17" s="35">
        <f>'T8x. MeHg SE 2010-17'!C49+'T8x. MeHg SE 2010-17'!K49</f>
        <v>0.8352659552590318</v>
      </c>
      <c r="BX17">
        <f t="shared" si="75"/>
        <v>2.9530870495807826E-2</v>
      </c>
      <c r="BY17">
        <f t="shared" si="76"/>
        <v>4.5059397640568937E-3</v>
      </c>
      <c r="BZ17">
        <f t="shared" si="77"/>
        <v>0.18449067797551377</v>
      </c>
    </row>
    <row r="18" spans="1:78" x14ac:dyDescent="0.2">
      <c r="A18" s="2" t="s">
        <v>152</v>
      </c>
      <c r="B18" s="2"/>
      <c r="C18" s="26"/>
      <c r="D18" s="26"/>
      <c r="E18" s="26"/>
      <c r="F18" s="26"/>
      <c r="G18" s="26"/>
      <c r="H18" s="69" t="s">
        <v>153</v>
      </c>
      <c r="I18" s="26"/>
      <c r="J18" s="53">
        <f t="shared" si="4"/>
        <v>8.6943749725968994E-2</v>
      </c>
      <c r="K18" s="56">
        <f t="shared" si="5"/>
        <v>9.8956561679963445E-2</v>
      </c>
      <c r="L18" s="45" t="s">
        <v>32</v>
      </c>
      <c r="M18" s="56" t="s">
        <v>32</v>
      </c>
      <c r="N18" s="58">
        <f t="shared" si="6"/>
        <v>9.9239143755710357E-2</v>
      </c>
      <c r="O18" s="56" t="s">
        <v>32</v>
      </c>
      <c r="Q18" s="37"/>
      <c r="S18" s="37"/>
      <c r="BB18" s="37">
        <f>'T2x. THg loads 2010-17'!J17</f>
        <v>2258.9923446849016</v>
      </c>
      <c r="BC18">
        <f>'T4x. THg SE 2010-17'!J17</f>
        <v>461.37996725490893</v>
      </c>
      <c r="BD18" s="37">
        <f>'T2x. THg loads 2010-17'!J50</f>
        <v>547.29664337525639</v>
      </c>
      <c r="BE18" s="37">
        <f>'T4x. THg SE 2010-17'!J50</f>
        <v>161.49336526760865</v>
      </c>
      <c r="BF18">
        <f t="shared" si="19"/>
        <v>5.1106936745186401E-3</v>
      </c>
      <c r="BG18">
        <f t="shared" si="20"/>
        <v>2.4485219418932925E-3</v>
      </c>
      <c r="BH18">
        <f t="shared" si="21"/>
        <v>8.6943749725968994E-2</v>
      </c>
      <c r="BJ18" s="35">
        <f>'T6x. MeHg loads 2010-17'!K17</f>
        <v>5.1956823927752733</v>
      </c>
      <c r="BK18" s="35">
        <f>'T8x. MeHg SE 2010-17'!K17</f>
        <v>1.0611739246862906</v>
      </c>
      <c r="BL18" s="35">
        <f>'T6x. MeHg loads 2010-17'!K50</f>
        <v>1.2447462332243935</v>
      </c>
      <c r="BM18" s="35">
        <f>'T8x. MeHg SE 2010-17'!K50</f>
        <v>0.44689450876135839</v>
      </c>
      <c r="BN18">
        <f t="shared" si="22"/>
        <v>7.398179191502304E-3</v>
      </c>
      <c r="BO18">
        <f t="shared" si="23"/>
        <v>2.394221908018104E-3</v>
      </c>
      <c r="BP18">
        <f t="shared" si="24"/>
        <v>9.8956561679963445E-2</v>
      </c>
      <c r="BT18" s="35">
        <f>'T6x. MeHg loads 2010-17'!O17</f>
        <v>5.3332932285291363</v>
      </c>
      <c r="BU18" s="35">
        <f>'T8x. MeHg SE 2010-17'!D17+'T8x. MeHg SE 2010-17'!K17</f>
        <v>1.0611739246862906</v>
      </c>
      <c r="BV18" s="35">
        <f>'T6x. MeHg loads 2010-17'!O50</f>
        <v>1.4251926119568139</v>
      </c>
      <c r="BW18" s="35">
        <f>'T8x. MeHg SE 2010-17'!C50+'T8x. MeHg SE 2010-17'!K50</f>
        <v>0.44689450876135839</v>
      </c>
      <c r="BX18">
        <f t="shared" si="75"/>
        <v>7.0213255862542883E-3</v>
      </c>
      <c r="BY18">
        <f t="shared" si="76"/>
        <v>2.8270820671122561E-3</v>
      </c>
      <c r="BZ18">
        <f t="shared" si="77"/>
        <v>9.9239143755710357E-2</v>
      </c>
    </row>
    <row r="19" spans="1:78" ht="16" x14ac:dyDescent="0.2">
      <c r="A19" s="1" t="s">
        <v>38</v>
      </c>
      <c r="C19" s="6"/>
      <c r="D19" s="6"/>
      <c r="E19" s="26"/>
      <c r="F19" s="26"/>
      <c r="G19" s="26"/>
      <c r="H19" s="27"/>
      <c r="I19" s="26"/>
      <c r="J19" s="26"/>
      <c r="K19" s="26"/>
      <c r="L19" s="26"/>
      <c r="M19" s="26"/>
      <c r="N19" s="61"/>
      <c r="O19" s="26"/>
    </row>
    <row r="20" spans="1:78" x14ac:dyDescent="0.2">
      <c r="A20" s="2" t="s">
        <v>1</v>
      </c>
      <c r="B20" s="45"/>
      <c r="C20" s="56">
        <f>W20</f>
        <v>0.17273083746355772</v>
      </c>
      <c r="D20" s="53">
        <f t="shared" ref="D20:D25" si="106">AJ20</f>
        <v>0.22340624409353005</v>
      </c>
      <c r="E20" s="58">
        <f t="shared" ref="E20:E25" si="107">AR20</f>
        <v>0.18243330422174384</v>
      </c>
      <c r="F20" s="58">
        <f t="shared" ref="F20:F25" si="108">AZ20</f>
        <v>0.28083443648724216</v>
      </c>
      <c r="G20" s="26"/>
      <c r="H20" s="27"/>
      <c r="I20" s="26"/>
      <c r="J20" s="53">
        <f>BH20</f>
        <v>9.4446369303071057E-2</v>
      </c>
      <c r="K20" s="56">
        <f>BP20</f>
        <v>0.20535122119246813</v>
      </c>
      <c r="L20" s="45" t="s">
        <v>32</v>
      </c>
      <c r="M20" s="56" t="s">
        <v>32</v>
      </c>
      <c r="N20" s="58">
        <f t="shared" si="6"/>
        <v>0.67534569518143939</v>
      </c>
      <c r="O20" s="56" t="s">
        <v>32</v>
      </c>
      <c r="Q20" s="51">
        <f t="shared" ref="Q20:R24" si="109">Q9</f>
        <v>0.17684095016655954</v>
      </c>
      <c r="R20" s="51">
        <f t="shared" si="109"/>
        <v>3.8021033574781871E-2</v>
      </c>
      <c r="S20" s="51">
        <f>'T6x. MeHg loads 2010-17'!C52</f>
        <v>0.11</v>
      </c>
      <c r="T20" s="51">
        <f>'T8x. MeHg SE 2010-17'!C52</f>
        <v>1.9331887387356191E-2</v>
      </c>
      <c r="U20" s="51">
        <f>((T20^2)*((1/Q20)^2))</f>
        <v>1.195041077878076E-2</v>
      </c>
      <c r="V20" s="51">
        <f>((R20*R20)*((-S20/(Q20*Q20))^2))</f>
        <v>1.7885531432081238E-2</v>
      </c>
      <c r="W20" s="51">
        <f>SQRT(U20+V20)</f>
        <v>0.17273083746355772</v>
      </c>
      <c r="AD20" s="35">
        <f t="shared" ref="AD20:AE24" si="110">AD9</f>
        <v>2.2151809751659327E-2</v>
      </c>
      <c r="AE20" s="35">
        <f t="shared" si="110"/>
        <v>3.0139948964169106E-3</v>
      </c>
      <c r="AF20" s="35">
        <f>'T6x. MeHg loads 2010-17'!D52</f>
        <v>2.8532955538074917E-2</v>
      </c>
      <c r="AG20" s="35">
        <f>'T8x. MeHg SE 2010-17'!D52</f>
        <v>3.0691229803808677E-3</v>
      </c>
      <c r="AH20">
        <f>((AG20^2)*((1/AD20)^2))</f>
        <v>1.9195974147578929E-2</v>
      </c>
      <c r="AI20">
        <f>((AE20*AE20)*((-AF20/(AD20*AD20))^2))</f>
        <v>3.0714375752399003E-2</v>
      </c>
      <c r="AJ20">
        <f>SQRT(AH20+AI20)</f>
        <v>0.22340624409353005</v>
      </c>
      <c r="AL20" s="51">
        <f t="shared" ref="AL20:AM24" si="111">AL9</f>
        <v>0.19899275991821885</v>
      </c>
      <c r="AM20" s="51">
        <f t="shared" si="111"/>
        <v>4.1035028471198783E-2</v>
      </c>
      <c r="AN20" s="51">
        <f>'T6x. MeHg loads 2010-17'!E52</f>
        <v>0.13853295553807493</v>
      </c>
      <c r="AO20" s="51">
        <f>'T8x. MeHg SE 2010-17'!E52</f>
        <v>2.2401010367737059E-2</v>
      </c>
      <c r="AP20">
        <f>((AO20^2)*((1/AL20)^2))</f>
        <v>1.2672452240303087E-2</v>
      </c>
      <c r="AQ20">
        <f>((AM20*AM20)*((-AN20/(AL20*AL20))^2))</f>
        <v>2.0609458248960245E-2</v>
      </c>
      <c r="AR20">
        <f>SQRT(AP20+AQ20)</f>
        <v>0.18243330422174384</v>
      </c>
      <c r="AT20" s="35">
        <f t="shared" ref="AT20:AU24" si="112">AT9</f>
        <v>9.8346143286066612E-2</v>
      </c>
      <c r="AU20" s="35">
        <f t="shared" si="112"/>
        <v>2.8542436963802886E-2</v>
      </c>
      <c r="AV20" s="51">
        <f>'T6x. MeHg loads 2010-17'!F52</f>
        <v>6.9314226662910761E-2</v>
      </c>
      <c r="AW20" s="51">
        <f>'T8x. MeHg SE 2010-17'!F52</f>
        <v>1.8924265801085031E-2</v>
      </c>
      <c r="AX20">
        <f>((AW20^2)*((1/AT20)^2))</f>
        <v>3.7027416545478004E-2</v>
      </c>
      <c r="AY20">
        <f>((AU20*AU20)*((-AV20/(AT20*AT20))^2))</f>
        <v>4.1840564171628833E-2</v>
      </c>
      <c r="AZ20">
        <f>SQRT(AX20+AY20)</f>
        <v>0.28083443648724216</v>
      </c>
      <c r="BB20" s="37">
        <f t="shared" ref="BB20:BC24" si="113">BB9</f>
        <v>128.98832071389089</v>
      </c>
      <c r="BC20">
        <f t="shared" si="113"/>
        <v>22.327058892311701</v>
      </c>
      <c r="BD20" s="37">
        <f>'T2x. THg loads 2010-17'!J52</f>
        <v>37.788542354575959</v>
      </c>
      <c r="BE20" s="37">
        <f>'T4x. THg SE 2010-17'!J52</f>
        <v>10.277580973463635</v>
      </c>
      <c r="BF20">
        <f>((BE20^2)*((1/BB20)^2))</f>
        <v>6.3486449066342057E-3</v>
      </c>
      <c r="BG20">
        <f>((BC20*BC20)*((-BD20/(BB20*BB20))^2))</f>
        <v>2.5714717678978751E-3</v>
      </c>
      <c r="BH20">
        <f>SQRT(BF20+BG20)</f>
        <v>9.4446369303071057E-2</v>
      </c>
      <c r="BJ20" s="35">
        <f t="shared" ref="BJ20:BK24" si="114">BJ9</f>
        <v>0.48112643626281298</v>
      </c>
      <c r="BK20" s="35">
        <f t="shared" si="114"/>
        <v>8.327992966832265E-2</v>
      </c>
      <c r="BL20" s="35">
        <f>'T6x. MeHg loads 2010-17'!K52</f>
        <v>0.306465078495611</v>
      </c>
      <c r="BM20" s="35">
        <f>'T8x. MeHg SE 2010-17'!K52</f>
        <v>8.3351181694790069E-2</v>
      </c>
      <c r="BN20">
        <f>((BM20^2)*((1/BJ20)^2))</f>
        <v>3.0012700994302813E-2</v>
      </c>
      <c r="BO20">
        <f>((BK20*BK20)*((-BL20/(BJ20*BJ20))^2))</f>
        <v>1.215642305093516E-2</v>
      </c>
      <c r="BP20">
        <f>SQRT(BN20+BO20)</f>
        <v>0.20535122119246813</v>
      </c>
      <c r="BT20" s="35">
        <f t="shared" ref="BT20:BU24" si="115">BT9</f>
        <v>0.50327824601447235</v>
      </c>
      <c r="BU20" s="35">
        <f t="shared" si="115"/>
        <v>8.6293924564739555E-2</v>
      </c>
      <c r="BV20" s="35">
        <f>'T6x. MeHg loads 2010-17'!O52</f>
        <v>0.33499803403368589</v>
      </c>
      <c r="BW20" s="35">
        <f>'T6x. MeHg loads 2010-17'!D52+'T6x. MeHg loads 2010-17'!K52</f>
        <v>0.33499803403368589</v>
      </c>
      <c r="BX20">
        <f>((BW20^2)*((1/BT20)^2))</f>
        <v>0.44306577051174317</v>
      </c>
      <c r="BY20">
        <f>((BU20*BU20)*((-BV20/(BT20*BT20))^2))</f>
        <v>1.3026037488358387E-2</v>
      </c>
      <c r="BZ20">
        <f>SQRT(BX20+BY20)</f>
        <v>0.67534569518143939</v>
      </c>
    </row>
    <row r="21" spans="1:78" x14ac:dyDescent="0.2">
      <c r="A21" s="2" t="s">
        <v>2</v>
      </c>
      <c r="B21" s="45"/>
      <c r="C21" s="56">
        <f t="shared" ref="C21:C23" si="116">W21</f>
        <v>0.17799556378377521</v>
      </c>
      <c r="D21" s="53">
        <f t="shared" si="106"/>
        <v>0.27335538555547567</v>
      </c>
      <c r="E21" s="58">
        <f t="shared" si="107"/>
        <v>0.18517265219873885</v>
      </c>
      <c r="F21" s="58">
        <f t="shared" si="108"/>
        <v>0.2227088457345093</v>
      </c>
      <c r="G21" s="26"/>
      <c r="H21" s="27"/>
      <c r="I21" s="26"/>
      <c r="J21" s="53">
        <f t="shared" ref="J21:J23" si="117">BH21</f>
        <v>0.13297020181651598</v>
      </c>
      <c r="K21" s="56">
        <f t="shared" ref="K21:K23" si="118">BP21</f>
        <v>0.14241187295141655</v>
      </c>
      <c r="L21" s="45" t="s">
        <v>32</v>
      </c>
      <c r="M21" s="56" t="s">
        <v>32</v>
      </c>
      <c r="N21" s="58">
        <f t="shared" si="6"/>
        <v>0.42072615446827744</v>
      </c>
      <c r="O21" s="56" t="s">
        <v>32</v>
      </c>
      <c r="Q21" s="51">
        <f t="shared" si="109"/>
        <v>0.69611565262046216</v>
      </c>
      <c r="R21" s="51">
        <f t="shared" si="109"/>
        <v>0.13631422510280944</v>
      </c>
      <c r="S21" s="51">
        <f>'T6x. MeHg loads 2010-17'!C53</f>
        <v>0.3781162931053651</v>
      </c>
      <c r="T21" s="51">
        <f>'T8x. MeHg SE 2010-17'!C53</f>
        <v>9.934876542785448E-2</v>
      </c>
      <c r="U21" s="51">
        <f t="shared" ref="U21:U23" si="119">((T21^2)*((1/Q21)^2))</f>
        <v>2.0368645550454301E-2</v>
      </c>
      <c r="V21" s="51">
        <f t="shared" ref="V21:V23" si="120">((R21*R21)*((-S21/(Q21*Q21))^2))</f>
        <v>1.1313775176249692E-2</v>
      </c>
      <c r="W21" s="51">
        <f t="shared" ref="W21:W23" si="121">SQRT(U21+V21)</f>
        <v>0.17799556378377521</v>
      </c>
      <c r="AD21" s="35">
        <f t="shared" si="110"/>
        <v>4.0980642876022148E-2</v>
      </c>
      <c r="AE21" s="35">
        <f t="shared" si="110"/>
        <v>5.2219443521433649E-3</v>
      </c>
      <c r="AF21" s="35">
        <f>'T6x. MeHg loads 2010-17'!D53</f>
        <v>5.8376253993480579E-2</v>
      </c>
      <c r="AG21" s="35">
        <f>'T8x. MeHg SE 2010-17'!D53</f>
        <v>8.3760778085426851E-3</v>
      </c>
      <c r="AH21">
        <f t="shared" ref="AH21:AH23" si="122">((AG21^2)*((1/AD21)^2))</f>
        <v>4.1775713104947772E-2</v>
      </c>
      <c r="AI21">
        <f t="shared" ref="AI21:AI23" si="123">((AE21*AE21)*((-AF21/(AD21*AD21))^2))</f>
        <v>3.294745370723498E-2</v>
      </c>
      <c r="AJ21">
        <f t="shared" ref="AJ21:AJ23" si="124">SQRT(AH21+AI21)</f>
        <v>0.27335538555547567</v>
      </c>
      <c r="AL21" s="51">
        <f t="shared" si="111"/>
        <v>0.73709629549648426</v>
      </c>
      <c r="AM21" s="51">
        <f t="shared" si="111"/>
        <v>0.14153616945495281</v>
      </c>
      <c r="AN21" s="51">
        <f>'T6x. MeHg loads 2010-17'!E53</f>
        <v>0.43649254709884566</v>
      </c>
      <c r="AO21" s="51">
        <f>'T8x. MeHg SE 2010-17'!E53</f>
        <v>0.10772484323639717</v>
      </c>
      <c r="AP21">
        <f t="shared" ref="AP21:AP23" si="125">((AO21^2)*((1/AL21)^2))</f>
        <v>2.1359116497095071E-2</v>
      </c>
      <c r="AQ21">
        <f t="shared" ref="AQ21:AQ23" si="126">((AM21*AM21)*((-AN21/(AL21*AL21))^2))</f>
        <v>1.2929794625220032E-2</v>
      </c>
      <c r="AR21">
        <f t="shared" ref="AR21:AR23" si="127">SQRT(AP21+AQ21)</f>
        <v>0.18517265219873885</v>
      </c>
      <c r="AT21" s="35">
        <f t="shared" si="112"/>
        <v>0.6812963897609744</v>
      </c>
      <c r="AU21" s="35">
        <f t="shared" si="112"/>
        <v>0.20743652721833258</v>
      </c>
      <c r="AV21" s="51">
        <f>'T6x. MeHg loads 2010-17'!F53</f>
        <v>0.366033995898083</v>
      </c>
      <c r="AW21" s="51">
        <f>'T8x. MeHg SE 2010-17'!F53</f>
        <v>0.10296434506036554</v>
      </c>
      <c r="AX21">
        <f t="shared" ref="AX21:AX23" si="128">((AW21^2)*((1/AT21)^2))</f>
        <v>2.2840286516555904E-2</v>
      </c>
      <c r="AY21">
        <f t="shared" ref="AY21:AY23" si="129">((AU21*AU21)*((-AV21/(AT21*AT21))^2))</f>
        <v>2.6758943451841568E-2</v>
      </c>
      <c r="AZ21">
        <f t="shared" ref="AZ21:AZ23" si="130">SQRT(AX21+AY21)</f>
        <v>0.2227088457345093</v>
      </c>
      <c r="BB21" s="37">
        <f t="shared" si="113"/>
        <v>474.80587923990203</v>
      </c>
      <c r="BC21">
        <f t="shared" si="113"/>
        <v>107.27957389764838</v>
      </c>
      <c r="BD21" s="37">
        <f>'T2x. THg loads 2010-17'!J53</f>
        <v>170.55084068407692</v>
      </c>
      <c r="BE21" s="37">
        <f>'T4x. THg SE 2010-17'!J53</f>
        <v>50.010898619829646</v>
      </c>
      <c r="BF21">
        <f t="shared" ref="BF21:BF23" si="131">((BE21^2)*((1/BB21)^2))</f>
        <v>1.1094229371420936E-2</v>
      </c>
      <c r="BG21">
        <f t="shared" ref="BG21:BG23" si="132">((BC21*BC21)*((-BD21/(BB21*BB21))^2))</f>
        <v>6.5868451997040502E-3</v>
      </c>
      <c r="BH21">
        <f t="shared" ref="BH21:BH23" si="133">SQRT(BF21+BG21)</f>
        <v>0.13297020181651598</v>
      </c>
      <c r="BJ21" s="35">
        <f t="shared" si="114"/>
        <v>1.6048438718308686</v>
      </c>
      <c r="BK21" s="35">
        <f t="shared" si="114"/>
        <v>0.36260495977405149</v>
      </c>
      <c r="BL21" s="35">
        <f>'T6x. MeHg loads 2010-17'!K53</f>
        <v>0.6173940432763585</v>
      </c>
      <c r="BM21" s="35">
        <f>'T8x. MeHg SE 2010-17'!K53</f>
        <v>0.18103945300378332</v>
      </c>
      <c r="BN21">
        <f t="shared" ref="BN21:BN23" si="134">((BM21^2)*((1/BJ21)^2))</f>
        <v>1.2725676567246293E-2</v>
      </c>
      <c r="BO21">
        <f t="shared" ref="BO21:BO23" si="135">((BK21*BK21)*((-BL21/(BJ21*BJ21))^2))</f>
        <v>7.5554649902841147E-3</v>
      </c>
      <c r="BP21">
        <f t="shared" ref="BP21:BP23" si="136">SQRT(BN21+BO21)</f>
        <v>0.14241187295141655</v>
      </c>
      <c r="BT21" s="35">
        <f t="shared" si="115"/>
        <v>1.6458245147068908</v>
      </c>
      <c r="BU21" s="35">
        <f t="shared" si="115"/>
        <v>0.36782690412619484</v>
      </c>
      <c r="BV21" s="35">
        <f>'T6x. MeHg loads 2010-17'!O53</f>
        <v>0.67577029726983906</v>
      </c>
      <c r="BW21" s="35">
        <f>'T6x. MeHg loads 2010-17'!D53+'T6x. MeHg loads 2010-17'!K53</f>
        <v>0.67577029726983906</v>
      </c>
      <c r="BX21">
        <f t="shared" ref="BX21:BX23" si="137">((BW21^2)*((1/BT21)^2))</f>
        <v>0.16858974123608481</v>
      </c>
      <c r="BY21">
        <f t="shared" ref="BY21:BY23" si="138">((BU21*BU21)*((-BV21/(BT21*BT21))^2))</f>
        <v>8.4207558175800421E-3</v>
      </c>
      <c r="BZ21">
        <f t="shared" ref="BZ21:BZ23" si="139">SQRT(BX21+BY21)</f>
        <v>0.42072615446827744</v>
      </c>
    </row>
    <row r="22" spans="1:78" x14ac:dyDescent="0.2">
      <c r="A22" s="2" t="s">
        <v>3</v>
      </c>
      <c r="B22" s="45"/>
      <c r="C22" s="56">
        <f t="shared" si="116"/>
        <v>0.19692861888348928</v>
      </c>
      <c r="D22" s="53">
        <f t="shared" si="106"/>
        <v>0.18483041602794539</v>
      </c>
      <c r="E22" s="58">
        <f t="shared" si="107"/>
        <v>0.19435707603368121</v>
      </c>
      <c r="F22" s="58">
        <f t="shared" si="108"/>
        <v>0.29060404498202347</v>
      </c>
      <c r="G22" s="26"/>
      <c r="H22" s="27"/>
      <c r="I22" s="26"/>
      <c r="J22" s="53">
        <f t="shared" si="117"/>
        <v>0.1646215260677123</v>
      </c>
      <c r="K22" s="56">
        <f t="shared" si="118"/>
        <v>0.2203624491154704</v>
      </c>
      <c r="L22" s="45" t="s">
        <v>32</v>
      </c>
      <c r="M22" s="56" t="s">
        <v>32</v>
      </c>
      <c r="N22" s="58">
        <f t="shared" si="6"/>
        <v>0.81372016107684964</v>
      </c>
      <c r="O22" s="56" t="s">
        <v>32</v>
      </c>
      <c r="Q22" s="51">
        <f t="shared" si="109"/>
        <v>1.2535119030789441E-2</v>
      </c>
      <c r="R22" s="51">
        <f t="shared" si="109"/>
        <v>1.4165532631741475E-3</v>
      </c>
      <c r="S22" s="51">
        <f>'T6x. MeHg loads 2010-17'!C54</f>
        <v>1.0163464104815749E-2</v>
      </c>
      <c r="T22" s="51">
        <f>'T8x. MeHg SE 2010-17'!C54</f>
        <v>2.1850548131395085E-3</v>
      </c>
      <c r="U22" s="51">
        <f t="shared" si="119"/>
        <v>3.0385595162625623E-2</v>
      </c>
      <c r="V22" s="51">
        <f t="shared" si="120"/>
        <v>8.3952857727329529E-3</v>
      </c>
      <c r="W22" s="51">
        <f t="shared" si="121"/>
        <v>0.19692861888348928</v>
      </c>
      <c r="AD22" s="35">
        <f t="shared" si="110"/>
        <v>4.3356196375294092E-3</v>
      </c>
      <c r="AE22" s="35">
        <f t="shared" si="110"/>
        <v>3.8626072432682078E-4</v>
      </c>
      <c r="AF22" s="35">
        <f>'T6x. MeHg loads 2010-17'!D54</f>
        <v>4.763475744807788E-3</v>
      </c>
      <c r="AG22" s="35">
        <f>'T8x. MeHg SE 2010-17'!D54</f>
        <v>6.7975860855003472E-4</v>
      </c>
      <c r="AH22">
        <f t="shared" si="122"/>
        <v>2.4581426558567945E-2</v>
      </c>
      <c r="AI22">
        <f t="shared" si="123"/>
        <v>9.5808561304954326E-3</v>
      </c>
      <c r="AJ22">
        <f t="shared" si="124"/>
        <v>0.18483041602794539</v>
      </c>
      <c r="AL22" s="51">
        <f t="shared" si="111"/>
        <v>1.6870738668318851E-2</v>
      </c>
      <c r="AM22" s="51">
        <f t="shared" si="111"/>
        <v>1.8028139875009683E-3</v>
      </c>
      <c r="AN22" s="51">
        <f>'T6x. MeHg loads 2010-17'!E54</f>
        <v>1.4926939849623537E-2</v>
      </c>
      <c r="AO22" s="51">
        <f>'T8x. MeHg SE 2010-17'!E54</f>
        <v>2.8648134216895434E-3</v>
      </c>
      <c r="AP22">
        <f t="shared" si="125"/>
        <v>2.8835300991313494E-2</v>
      </c>
      <c r="AQ22">
        <f t="shared" si="126"/>
        <v>8.939372013048643E-3</v>
      </c>
      <c r="AR22">
        <f t="shared" si="127"/>
        <v>0.19435707603368121</v>
      </c>
      <c r="AT22" s="35">
        <f t="shared" si="112"/>
        <v>3.8886176747976557E-2</v>
      </c>
      <c r="AU22" s="35">
        <f t="shared" si="112"/>
        <v>9.6858483279930983E-3</v>
      </c>
      <c r="AV22" s="51">
        <f>'T6x. MeHg loads 2010-17'!F54</f>
        <v>2.9326958883632709E-2</v>
      </c>
      <c r="AW22" s="51">
        <f>'T8x. MeHg SE 2010-17'!F54</f>
        <v>8.6220923256367342E-3</v>
      </c>
      <c r="AX22">
        <f t="shared" si="128"/>
        <v>4.9162600397500124E-2</v>
      </c>
      <c r="AY22">
        <f t="shared" si="129"/>
        <v>3.5288110562413787E-2</v>
      </c>
      <c r="AZ22">
        <f t="shared" si="130"/>
        <v>0.29060404498202347</v>
      </c>
      <c r="BB22" s="37">
        <f t="shared" si="113"/>
        <v>3.235526728183558</v>
      </c>
      <c r="BC22">
        <f t="shared" si="113"/>
        <v>0.51232322347670534</v>
      </c>
      <c r="BD22" s="37">
        <f>'T2x. THg loads 2010-17'!J54</f>
        <v>1.7329582552555267</v>
      </c>
      <c r="BE22" s="37">
        <f>'T4x. THg SE 2010-17'!J54</f>
        <v>0.45651520037337995</v>
      </c>
      <c r="BF22">
        <f t="shared" si="131"/>
        <v>1.9907673142751318E-2</v>
      </c>
      <c r="BG22">
        <f t="shared" si="132"/>
        <v>7.1925737021111581E-3</v>
      </c>
      <c r="BH22">
        <f t="shared" si="133"/>
        <v>0.1646215260677123</v>
      </c>
      <c r="BJ22" s="35">
        <f t="shared" si="114"/>
        <v>1.433338340585316E-2</v>
      </c>
      <c r="BK22" s="35">
        <f t="shared" si="114"/>
        <v>2.2695918800018046E-3</v>
      </c>
      <c r="BL22" s="35">
        <f>'T6x. MeHg loads 2010-17'!K54</f>
        <v>1.0276442453665274E-2</v>
      </c>
      <c r="BM22" s="35">
        <f>'T8x. MeHg SE 2010-17'!K54</f>
        <v>2.7071351382141427E-3</v>
      </c>
      <c r="BN22">
        <f t="shared" si="134"/>
        <v>3.5671587386306977E-2</v>
      </c>
      <c r="BO22">
        <f t="shared" si="135"/>
        <v>1.2888021593861309E-2</v>
      </c>
      <c r="BP22">
        <f t="shared" si="136"/>
        <v>0.2203624491154704</v>
      </c>
      <c r="BT22" s="35">
        <f t="shared" si="115"/>
        <v>1.8669003043382568E-2</v>
      </c>
      <c r="BU22" s="35">
        <f t="shared" si="115"/>
        <v>2.6558526043286255E-3</v>
      </c>
      <c r="BV22" s="35">
        <f>'T6x. MeHg loads 2010-17'!O54</f>
        <v>1.5039918198473062E-2</v>
      </c>
      <c r="BW22" s="35">
        <f>'T6x. MeHg loads 2010-17'!D54+'T6x. MeHg loads 2010-17'!K54</f>
        <v>1.5039918198473062E-2</v>
      </c>
      <c r="BX22">
        <f t="shared" si="137"/>
        <v>0.64900597529452453</v>
      </c>
      <c r="BY22">
        <f t="shared" si="138"/>
        <v>1.3134525248409568E-2</v>
      </c>
      <c r="BZ22">
        <f t="shared" si="139"/>
        <v>0.81372016107684964</v>
      </c>
    </row>
    <row r="23" spans="1:78" x14ac:dyDescent="0.2">
      <c r="A23" s="2" t="s">
        <v>4</v>
      </c>
      <c r="B23" s="45"/>
      <c r="C23" s="56">
        <f t="shared" si="116"/>
        <v>0.18244078480450676</v>
      </c>
      <c r="D23" s="53">
        <f t="shared" si="106"/>
        <v>0.24915336146219716</v>
      </c>
      <c r="E23" s="58">
        <f t="shared" si="107"/>
        <v>0.19058704410260299</v>
      </c>
      <c r="F23" s="58">
        <f t="shared" si="108"/>
        <v>0.28200189695481376</v>
      </c>
      <c r="G23" s="26"/>
      <c r="H23" s="27"/>
      <c r="I23" s="26"/>
      <c r="J23" s="53">
        <f t="shared" si="117"/>
        <v>0.19232535984673452</v>
      </c>
      <c r="K23" s="56">
        <f t="shared" si="118"/>
        <v>0.1467873653238301</v>
      </c>
      <c r="L23" s="45" t="s">
        <v>32</v>
      </c>
      <c r="M23" s="56" t="s">
        <v>32</v>
      </c>
      <c r="N23" s="58">
        <f t="shared" si="6"/>
        <v>0.44848594406908276</v>
      </c>
      <c r="O23" s="56" t="s">
        <v>32</v>
      </c>
      <c r="Q23" s="51">
        <f t="shared" si="109"/>
        <v>0.12114707748900655</v>
      </c>
      <c r="R23" s="51">
        <f t="shared" si="109"/>
        <v>1.8330857824502056E-2</v>
      </c>
      <c r="S23" s="51">
        <f>'T6x. MeHg loads 2010-17'!C55</f>
        <v>8.6043820662332307E-2</v>
      </c>
      <c r="T23" s="51">
        <f>'T8x. MeHg SE 2010-17'!C55</f>
        <v>1.7860631866083002E-2</v>
      </c>
      <c r="U23" s="51">
        <f t="shared" si="119"/>
        <v>2.1735405884938826E-2</v>
      </c>
      <c r="V23" s="51">
        <f t="shared" si="120"/>
        <v>1.1549234075145527E-2</v>
      </c>
      <c r="W23" s="51">
        <f t="shared" si="121"/>
        <v>0.18244078480450676</v>
      </c>
      <c r="AD23" s="35">
        <f t="shared" si="110"/>
        <v>1.0818024294775051E-2</v>
      </c>
      <c r="AE23" s="35">
        <f t="shared" si="110"/>
        <v>9.3414127601572881E-4</v>
      </c>
      <c r="AF23" s="35">
        <f>'T6x. MeHg loads 2010-17'!D55</f>
        <v>1.7677664554369716E-2</v>
      </c>
      <c r="AG23" s="35">
        <f>'T8x. MeHg SE 2010-17'!D55</f>
        <v>2.2214347340427198E-3</v>
      </c>
      <c r="AH23">
        <f t="shared" si="122"/>
        <v>4.2166855089224915E-2</v>
      </c>
      <c r="AI23">
        <f t="shared" si="123"/>
        <v>1.9910542438687361E-2</v>
      </c>
      <c r="AJ23">
        <f t="shared" si="124"/>
        <v>0.24915336146219716</v>
      </c>
      <c r="AL23" s="51">
        <f t="shared" si="111"/>
        <v>0.1319651017837816</v>
      </c>
      <c r="AM23" s="51">
        <f t="shared" si="111"/>
        <v>1.9264999100517786E-2</v>
      </c>
      <c r="AN23" s="51">
        <f>'T6x. MeHg loads 2010-17'!E55</f>
        <v>0.10372148521670202</v>
      </c>
      <c r="AO23" s="51">
        <f>'T8x. MeHg SE 2010-17'!E55</f>
        <v>2.0082066600125723E-2</v>
      </c>
      <c r="AP23">
        <f t="shared" si="125"/>
        <v>2.315787001687172E-2</v>
      </c>
      <c r="AQ23">
        <f t="shared" si="126"/>
        <v>1.3165551362895819E-2</v>
      </c>
      <c r="AR23">
        <f t="shared" si="127"/>
        <v>0.19058704410260299</v>
      </c>
      <c r="AT23" s="35">
        <f t="shared" si="112"/>
        <v>0.16394973105843633</v>
      </c>
      <c r="AU23" s="35">
        <f t="shared" si="112"/>
        <v>4.8174294711777491E-2</v>
      </c>
      <c r="AV23" s="51">
        <f>'T6x. MeHg loads 2010-17'!F55</f>
        <v>0.11273650092212716</v>
      </c>
      <c r="AW23" s="51">
        <f>'T8x. MeHg SE 2010-17'!F55</f>
        <v>3.2253097772085453E-2</v>
      </c>
      <c r="AX23">
        <f t="shared" si="128"/>
        <v>3.8700934240791691E-2</v>
      </c>
      <c r="AY23">
        <f t="shared" si="129"/>
        <v>4.082413564532171E-2</v>
      </c>
      <c r="AZ23">
        <f t="shared" si="130"/>
        <v>0.28200189695481376</v>
      </c>
      <c r="BB23" s="37">
        <f t="shared" si="113"/>
        <v>118.50815675827299</v>
      </c>
      <c r="BC23">
        <f t="shared" si="113"/>
        <v>25.351281027735499</v>
      </c>
      <c r="BD23" s="37">
        <f>'T2x. THg loads 2010-17'!J55</f>
        <v>63.869306764496514</v>
      </c>
      <c r="BE23" s="37">
        <f>'T4x. THg SE 2010-17'!J55</f>
        <v>18.242950242935695</v>
      </c>
      <c r="BF23">
        <f t="shared" si="131"/>
        <v>2.3697015938521318E-2</v>
      </c>
      <c r="BG23">
        <f t="shared" si="132"/>
        <v>1.3292028101654595E-2</v>
      </c>
      <c r="BH23">
        <f t="shared" si="133"/>
        <v>0.19232535984673452</v>
      </c>
      <c r="BJ23" s="35">
        <f t="shared" si="114"/>
        <v>0.47047738233034381</v>
      </c>
      <c r="BK23" s="35">
        <f t="shared" si="114"/>
        <v>0.10064458568010994</v>
      </c>
      <c r="BL23" s="35">
        <f>'T6x. MeHg loads 2010-17'!K55</f>
        <v>0.19352399949642443</v>
      </c>
      <c r="BM23" s="35">
        <f>'T8x. MeHg SE 2010-17'!K55</f>
        <v>5.5276139236095152E-2</v>
      </c>
      <c r="BN23">
        <f t="shared" si="134"/>
        <v>1.3803776029920266E-2</v>
      </c>
      <c r="BO23">
        <f t="shared" si="135"/>
        <v>7.7427545887912919E-3</v>
      </c>
      <c r="BP23">
        <f t="shared" si="136"/>
        <v>0.1467873653238301</v>
      </c>
      <c r="BT23" s="35">
        <f t="shared" si="115"/>
        <v>0.48129540662511888</v>
      </c>
      <c r="BU23" s="35">
        <f t="shared" si="115"/>
        <v>0.10157872695612566</v>
      </c>
      <c r="BV23" s="35">
        <f>'T6x. MeHg loads 2010-17'!O55</f>
        <v>0.21120166405079416</v>
      </c>
      <c r="BW23" s="35">
        <f>'T6x. MeHg loads 2010-17'!D55+'T6x. MeHg loads 2010-17'!K55</f>
        <v>0.21120166405079416</v>
      </c>
      <c r="BX23">
        <f t="shared" si="137"/>
        <v>0.19256228801271166</v>
      </c>
      <c r="BY23">
        <f t="shared" si="138"/>
        <v>8.5773540148247791E-3</v>
      </c>
      <c r="BZ23">
        <f t="shared" si="139"/>
        <v>0.44848594406908276</v>
      </c>
    </row>
    <row r="24" spans="1:78" x14ac:dyDescent="0.2">
      <c r="A24" s="2" t="s">
        <v>5</v>
      </c>
      <c r="B24" s="45"/>
      <c r="C24" s="56">
        <f t="shared" ref="C24" si="140">W24</f>
        <v>0.33127821949426889</v>
      </c>
      <c r="D24" s="53">
        <f t="shared" si="106"/>
        <v>0.13156840195755304</v>
      </c>
      <c r="E24" s="58">
        <f t="shared" si="107"/>
        <v>0.26465369086211576</v>
      </c>
      <c r="F24" s="58">
        <f t="shared" si="108"/>
        <v>0.35297991113859412</v>
      </c>
      <c r="G24" s="26"/>
      <c r="H24" s="27"/>
      <c r="I24" s="26"/>
      <c r="J24" s="53">
        <f t="shared" ref="J24" si="141">BH24</f>
        <v>5.9289077859959155E-2</v>
      </c>
      <c r="K24" s="56" t="s">
        <v>32</v>
      </c>
      <c r="L24" s="45" t="s">
        <v>32</v>
      </c>
      <c r="M24" s="56" t="s">
        <v>32</v>
      </c>
      <c r="N24" s="58" t="s">
        <v>32</v>
      </c>
      <c r="O24" s="56" t="s">
        <v>32</v>
      </c>
      <c r="Q24" s="51">
        <f t="shared" si="109"/>
        <v>7.2601629123801895E-4</v>
      </c>
      <c r="R24" s="51">
        <f t="shared" si="109"/>
        <v>1.2747164778158403E-4</v>
      </c>
      <c r="S24" s="51">
        <f>'T6x. MeHg loads 2010-17'!C56</f>
        <v>4.2790070634839139E-4</v>
      </c>
      <c r="T24" s="51">
        <f>'T8x. MeHg SE 2010-17'!C56</f>
        <v>2.2847812377585949E-4</v>
      </c>
      <c r="U24" s="51">
        <f t="shared" ref="U24" si="142">((T24^2)*((1/Q24)^2))</f>
        <v>9.903678087206097E-2</v>
      </c>
      <c r="V24" s="51">
        <f t="shared" ref="V24" si="143">((R24*R24)*((-S24/(Q24*Q24))^2))</f>
        <v>1.0708477839232015E-2</v>
      </c>
      <c r="W24" s="51">
        <f t="shared" ref="W24" si="144">SQRT(U24+V24)</f>
        <v>0.33127821949426889</v>
      </c>
      <c r="X24" s="175"/>
      <c r="Y24" s="175"/>
      <c r="Z24" s="175"/>
      <c r="AA24" s="175"/>
      <c r="AB24" s="175"/>
      <c r="AC24" s="175"/>
      <c r="AD24" s="35">
        <f t="shared" si="110"/>
        <v>3.5727729266528255E-4</v>
      </c>
      <c r="AE24" s="35">
        <f t="shared" si="110"/>
        <v>4.6302081843963523E-5</v>
      </c>
      <c r="AF24" s="35">
        <f>'T6x. MeHg loads 2010-17'!D56</f>
        <v>1.4266059498565424E-4</v>
      </c>
      <c r="AG24" s="35">
        <f>'T8x. MeHg SE 2010-17'!D56</f>
        <v>4.3217834773290006E-5</v>
      </c>
      <c r="AH24" s="175">
        <f t="shared" ref="AH24" si="145">((AG24^2)*((1/AD24)^2))</f>
        <v>1.4632387037310155E-2</v>
      </c>
      <c r="AI24" s="175">
        <f t="shared" ref="AI24" si="146">((AE24*AE24)*((-AF24/(AD24*AD24))^2))</f>
        <v>2.6778573563540904E-3</v>
      </c>
      <c r="AJ24" s="175">
        <f t="shared" ref="AJ24" si="147">SQRT(AH24+AI24)</f>
        <v>0.13156840195755304</v>
      </c>
      <c r="AK24" s="175"/>
      <c r="AL24" s="51">
        <f t="shared" si="111"/>
        <v>1.0832935839033015E-3</v>
      </c>
      <c r="AM24" s="51">
        <f t="shared" si="111"/>
        <v>1.7377372962554754E-4</v>
      </c>
      <c r="AN24" s="51">
        <f>'T6x. MeHg loads 2010-17'!E56</f>
        <v>5.7056130133404563E-4</v>
      </c>
      <c r="AO24" s="51">
        <f>'T8x. MeHg SE 2010-17'!E56</f>
        <v>2.7169595854914953E-4</v>
      </c>
      <c r="AP24" s="175">
        <f t="shared" ref="AP24" si="148">((AO24^2)*((1/AL24)^2))</f>
        <v>6.2903384749817465E-2</v>
      </c>
      <c r="AQ24" s="175">
        <f t="shared" ref="AQ24" si="149">((AM24*AM24)*((-AN24/(AL24*AL24))^2))</f>
        <v>7.1381913371228924E-3</v>
      </c>
      <c r="AR24" s="175">
        <f t="shared" ref="AR24" si="150">SQRT(AP24+AQ24)</f>
        <v>0.26465369086211576</v>
      </c>
      <c r="AS24" s="175"/>
      <c r="AT24" s="35">
        <f t="shared" si="112"/>
        <v>2.4255955436830023E-3</v>
      </c>
      <c r="AU24" s="35">
        <f t="shared" si="112"/>
        <v>6.7708213131407471E-4</v>
      </c>
      <c r="AV24" s="51">
        <f>'T6x. MeHg loads 2010-17'!F56</f>
        <v>1.1741013908939174E-3</v>
      </c>
      <c r="AW24" s="51">
        <f>'T8x. MeHg SE 2010-17'!F56</f>
        <v>7.9097550512989914E-4</v>
      </c>
      <c r="AX24" s="175">
        <f t="shared" ref="AX24" si="151">((AW24^2)*((1/AT24)^2))</f>
        <v>0.10633819809049805</v>
      </c>
      <c r="AY24" s="175">
        <f t="shared" ref="AY24" si="152">((AU24*AU24)*((-AV24/(AT24*AT24))^2))</f>
        <v>1.8256619576911749E-2</v>
      </c>
      <c r="AZ24" s="175">
        <f t="shared" ref="AZ24" si="153">SQRT(AX24+AY24)</f>
        <v>0.35297991113859412</v>
      </c>
      <c r="BA24" s="175"/>
      <c r="BB24" s="37">
        <f t="shared" si="113"/>
        <v>9.7446682078762212E-2</v>
      </c>
      <c r="BC24" s="175">
        <f t="shared" si="113"/>
        <v>1.6954627062322425E-2</v>
      </c>
      <c r="BD24" s="37">
        <f>'T2x. THg loads 2010-17'!J56</f>
        <v>1.0815216374602827E-2</v>
      </c>
      <c r="BE24" s="37">
        <f>'T4x. THg SE 2010-17'!J56</f>
        <v>5.4624984876069024E-3</v>
      </c>
      <c r="BF24" s="175">
        <f t="shared" ref="BF24" si="154">((BE24^2)*((1/BB24)^2))</f>
        <v>3.1423065181525015E-3</v>
      </c>
      <c r="BG24" s="175">
        <f t="shared" ref="BG24" si="155">((BC24*BC24)*((-BD24/(BB24*BB24))^2))</f>
        <v>3.7288823533179689E-4</v>
      </c>
      <c r="BH24" s="175">
        <f t="shared" ref="BH24" si="156">SQRT(BF24+BG24)</f>
        <v>5.9289077859959155E-2</v>
      </c>
      <c r="BI24" s="175"/>
      <c r="BJ24" s="35">
        <f t="shared" si="114"/>
        <v>3.2352298450149055E-4</v>
      </c>
      <c r="BK24" s="35" t="str">
        <f t="shared" si="114"/>
        <v>na</v>
      </c>
      <c r="BL24" s="35" t="str">
        <f>'T6x. MeHg loads 2010-17'!K56</f>
        <v>nd</v>
      </c>
      <c r="BM24" s="35">
        <f>'T8x. MeHg SE 2010-17'!K56</f>
        <v>0</v>
      </c>
      <c r="BN24" s="175">
        <f t="shared" ref="BN24" si="157">((BM24^2)*((1/BJ24)^2))</f>
        <v>0</v>
      </c>
      <c r="BO24" s="175" t="e">
        <f t="shared" ref="BO24" si="158">((BK24*BK24)*((-BL24/(BJ24*BJ24))^2))</f>
        <v>#VALUE!</v>
      </c>
      <c r="BP24" s="175" t="e">
        <f t="shared" ref="BP24" si="159">SQRT(BN24+BO24)</f>
        <v>#VALUE!</v>
      </c>
      <c r="BQ24" s="175"/>
      <c r="BR24" s="175"/>
      <c r="BS24" s="175"/>
      <c r="BT24" s="35">
        <f t="shared" si="115"/>
        <v>6.8080027716677311E-4</v>
      </c>
      <c r="BU24" s="35" t="e">
        <f t="shared" si="115"/>
        <v>#VALUE!</v>
      </c>
      <c r="BV24" s="35" t="str">
        <f>'T6x. MeHg loads 2010-17'!O56</f>
        <v>nd</v>
      </c>
      <c r="BW24" s="35" t="e">
        <f>'T6x. MeHg loads 2010-17'!D56+'T6x. MeHg loads 2010-17'!K56</f>
        <v>#VALUE!</v>
      </c>
      <c r="BX24" s="175" t="e">
        <f t="shared" ref="BX24" si="160">((BW24^2)*((1/BT24)^2))</f>
        <v>#VALUE!</v>
      </c>
      <c r="BY24" s="175" t="e">
        <f t="shared" ref="BY24" si="161">((BU24*BU24)*((-BV24/(BT24*BT24))^2))</f>
        <v>#VALUE!</v>
      </c>
      <c r="BZ24" s="175" t="e">
        <f t="shared" ref="BZ24" si="162">SQRT(BX24+BY24)</f>
        <v>#VALUE!</v>
      </c>
    </row>
    <row r="25" spans="1:78" x14ac:dyDescent="0.2">
      <c r="A25" s="2" t="s">
        <v>97</v>
      </c>
      <c r="B25" s="45"/>
      <c r="C25" s="56">
        <f t="shared" ref="C25" si="163">W25</f>
        <v>0.17887101840600858</v>
      </c>
      <c r="D25" s="53">
        <f t="shared" si="106"/>
        <v>0.41946249465582552</v>
      </c>
      <c r="E25" s="58">
        <f t="shared" si="107"/>
        <v>0.19583365812288989</v>
      </c>
      <c r="F25" s="58">
        <f t="shared" si="108"/>
        <v>0.45125963007884379</v>
      </c>
      <c r="G25" s="26"/>
      <c r="H25" s="27"/>
      <c r="I25" s="26"/>
      <c r="J25" s="53">
        <f t="shared" ref="J25" si="164">BH25</f>
        <v>0.24404651979817274</v>
      </c>
      <c r="K25" s="56">
        <f t="shared" ref="K25" si="165">BP25</f>
        <v>0.34484834319307017</v>
      </c>
      <c r="L25" s="45" t="s">
        <v>32</v>
      </c>
      <c r="M25" s="56" t="s">
        <v>32</v>
      </c>
      <c r="N25" s="58">
        <f t="shared" si="6"/>
        <v>0.89416564910321028</v>
      </c>
      <c r="O25" s="56" t="s">
        <v>32</v>
      </c>
      <c r="Q25" s="51">
        <f>Q14</f>
        <v>0.12236080631585902</v>
      </c>
      <c r="R25" s="51">
        <f>R14</f>
        <v>2.8631728849142207E-2</v>
      </c>
      <c r="S25" s="51">
        <f>'T6x. MeHg loads 2010-17'!C57</f>
        <v>6.9903476356875799E-2</v>
      </c>
      <c r="T25" s="51">
        <f>'T8x. MeHg SE 2010-17'!C57</f>
        <v>1.4542359077057901E-2</v>
      </c>
      <c r="U25" s="51">
        <f t="shared" ref="U25" si="166">((T25^2)*((1/Q25)^2))</f>
        <v>1.4124889778751202E-2</v>
      </c>
      <c r="V25" s="51">
        <f t="shared" ref="V25" si="167">((R25*R25)*((-S25/(Q25*Q25))^2))</f>
        <v>1.7869951446851454E-2</v>
      </c>
      <c r="W25" s="51">
        <f t="shared" ref="W25" si="168">SQRT(U25+V25)</f>
        <v>0.17887101840600858</v>
      </c>
      <c r="AD25" s="35">
        <f>AD14</f>
        <v>6.3512283711167992E-3</v>
      </c>
      <c r="AE25" s="35">
        <f>AE14</f>
        <v>9.2746244865470127E-4</v>
      </c>
      <c r="AF25" s="35">
        <f>'T6x. MeHg loads 2010-17'!D57</f>
        <v>1.3995507753683089E-2</v>
      </c>
      <c r="AG25" s="35">
        <f>'T8x. MeHg SE 2010-17'!D57</f>
        <v>1.7089574693117241E-3</v>
      </c>
      <c r="AH25">
        <f t="shared" ref="AH25" si="169">((AG25^2)*((1/AD25)^2))</f>
        <v>7.2401414543452447E-2</v>
      </c>
      <c r="AI25">
        <f t="shared" ref="AI25" si="170">((AE25*AE25)*((-AF25/(AD25*AD25))^2))</f>
        <v>0.10354736987943601</v>
      </c>
      <c r="AJ25">
        <f t="shared" ref="AJ25" si="171">SQRT(AH25+AI25)</f>
        <v>0.41946249465582552</v>
      </c>
      <c r="AL25" s="51">
        <f>AL14</f>
        <v>0.12871203468697581</v>
      </c>
      <c r="AM25" s="51">
        <f>AM14</f>
        <v>2.9559191297796907E-2</v>
      </c>
      <c r="AN25" s="51">
        <f>'T6x. MeHg loads 2010-17'!E57</f>
        <v>8.3898984110558891E-2</v>
      </c>
      <c r="AO25" s="51">
        <f>'T8x. MeHg SE 2010-17'!E57</f>
        <v>1.6251316546369625E-2</v>
      </c>
      <c r="AP25">
        <f t="shared" ref="AP25" si="172">((AO25^2)*((1/AL25)^2))</f>
        <v>1.5941852549254412E-2</v>
      </c>
      <c r="AQ25">
        <f t="shared" ref="AQ25" si="173">((AM25*AM25)*((-AN25/(AL25*AL25))^2))</f>
        <v>2.24089691045385E-2</v>
      </c>
      <c r="AR25">
        <f t="shared" ref="AR25" si="174">SQRT(AP25+AQ25)</f>
        <v>0.19583365812288989</v>
      </c>
      <c r="AT25" s="35">
        <f>AT14</f>
        <v>0.10392052847115668</v>
      </c>
      <c r="AU25" s="35">
        <f>AU14</f>
        <v>3.6537785746638816E-2</v>
      </c>
      <c r="AV25" s="51">
        <f>'T6x. MeHg loads 2010-17'!F57</f>
        <v>9.7794308477710118E-2</v>
      </c>
      <c r="AW25" s="51">
        <f>'T8x. MeHg SE 2010-17'!F57</f>
        <v>3.1888950901088384E-2</v>
      </c>
      <c r="AX25">
        <f t="shared" ref="AX25" si="175">((AW25^2)*((1/AT25)^2))</f>
        <v>9.4162454473467452E-2</v>
      </c>
      <c r="AY25">
        <f t="shared" ref="AY25" si="176">((AU25*AU25)*((-AV25/(AT25*AT25))^2))</f>
        <v>0.1094727992654275</v>
      </c>
      <c r="AZ25">
        <f t="shared" ref="AZ25" si="177">SQRT(AX25+AY25)</f>
        <v>0.45125963007884379</v>
      </c>
      <c r="BB25" s="37">
        <f>BB14</f>
        <v>131.35701456257331</v>
      </c>
      <c r="BC25">
        <f>BC14</f>
        <v>31.892775586674372</v>
      </c>
      <c r="BD25" s="37">
        <f>'T2x. THg loads 2010-17'!J57</f>
        <v>74.348014729203882</v>
      </c>
      <c r="BE25" s="37">
        <f>'T4x. THg SE 2010-17'!J57</f>
        <v>26.491813021051662</v>
      </c>
      <c r="BF25">
        <f t="shared" ref="BF25" si="178">((BE25^2)*((1/BB25)^2))</f>
        <v>4.067399430620474E-2</v>
      </c>
      <c r="BG25">
        <f t="shared" ref="BG25" si="179">((BC25*BC25)*((-BD25/(BB25*BB25))^2))</f>
        <v>1.8884709519395179E-2</v>
      </c>
      <c r="BH25">
        <f t="shared" ref="BH25" si="180">SQRT(BF25+BG25)</f>
        <v>0.24404651979817274</v>
      </c>
      <c r="BJ25" s="35">
        <f>BJ14</f>
        <v>0.12084845339756746</v>
      </c>
      <c r="BK25" s="35">
        <f>BK14</f>
        <v>2.9341353539740423E-2</v>
      </c>
      <c r="BL25" s="35">
        <f>'T6x. MeHg loads 2010-17'!K57</f>
        <v>9.6652419147965046E-2</v>
      </c>
      <c r="BM25" s="35">
        <f>'T8x. MeHg SE 2010-17'!K57</f>
        <v>3.4439356927367167E-2</v>
      </c>
      <c r="BN25">
        <f t="shared" ref="BN25" si="181">((BM25^2)*((1/BJ25)^2))</f>
        <v>8.1213433810829433E-2</v>
      </c>
      <c r="BO25">
        <f t="shared" ref="BO25" si="182">((BK25*BK25)*((-BL25/(BJ25*BJ25))^2))</f>
        <v>3.7706945992176083E-2</v>
      </c>
      <c r="BP25">
        <f t="shared" ref="BP25" si="183">SQRT(BN25+BO25)</f>
        <v>0.34484834319307017</v>
      </c>
      <c r="BT25" s="35">
        <f>BT14</f>
        <v>0.12719968176868426</v>
      </c>
      <c r="BU25" s="35">
        <f>BU14</f>
        <v>3.0268815988395124E-2</v>
      </c>
      <c r="BV25" s="35">
        <f>'T6x. MeHg loads 2010-17'!O57</f>
        <v>0.11064792690164814</v>
      </c>
      <c r="BW25" s="35">
        <f>'T6x. MeHg loads 2010-17'!D57+'T6x. MeHg loads 2010-17'!K57</f>
        <v>0.11064792690164814</v>
      </c>
      <c r="BX25">
        <f t="shared" ref="BX25:BX29" si="184">((BW25^2)*((1/BT25)^2))</f>
        <v>0.75668393427927261</v>
      </c>
      <c r="BY25">
        <f t="shared" ref="BY25:BY29" si="185">((BU25*BU25)*((-BV25/(BT25*BT25))^2))</f>
        <v>4.2848273756892777E-2</v>
      </c>
      <c r="BZ25">
        <f t="shared" ref="BZ25:BZ29" si="186">SQRT(BX25+BY25)</f>
        <v>0.89416564910321028</v>
      </c>
    </row>
    <row r="26" spans="1:78" s="175" customFormat="1" x14ac:dyDescent="0.2">
      <c r="A26" s="2" t="s">
        <v>105</v>
      </c>
      <c r="B26" s="45"/>
      <c r="C26" s="56">
        <f t="shared" ref="C26:C27" si="187">W26</f>
        <v>0.3698488845852918</v>
      </c>
      <c r="D26" s="53">
        <f t="shared" ref="D26:D27" si="188">AJ26</f>
        <v>0.80603101871147853</v>
      </c>
      <c r="E26" s="58">
        <f t="shared" ref="E26:E27" si="189">AR26</f>
        <v>0.39421653097553533</v>
      </c>
      <c r="F26" s="58">
        <f t="shared" ref="F26:F27" si="190">AZ26</f>
        <v>0.3752562091135504</v>
      </c>
      <c r="G26" s="26"/>
      <c r="H26" s="27"/>
      <c r="I26" s="26"/>
      <c r="J26" s="53">
        <f t="shared" ref="J26:J27" si="191">BH26</f>
        <v>9.2296238704577482E-2</v>
      </c>
      <c r="K26" s="56">
        <f t="shared" ref="K26:K27" si="192">BP26</f>
        <v>0.10068680585953904</v>
      </c>
      <c r="L26" s="45" t="s">
        <v>32</v>
      </c>
      <c r="M26" s="56" t="s">
        <v>32</v>
      </c>
      <c r="N26" s="58">
        <f t="shared" ref="N26:N27" si="193">BZ26</f>
        <v>0.32018118938739254</v>
      </c>
      <c r="O26" s="56" t="s">
        <v>32</v>
      </c>
      <c r="Q26" s="51">
        <f t="shared" ref="Q26:R26" si="194">Q15</f>
        <v>0.14882931191432991</v>
      </c>
      <c r="R26" s="51">
        <f t="shared" si="194"/>
        <v>7.0000000000000001E-3</v>
      </c>
      <c r="S26" s="51">
        <f>'T6x. MeHg loads 2010-17'!C58</f>
        <v>4.6972712013818731E-2</v>
      </c>
      <c r="T26" s="51">
        <f>'T8x. MeHg SE 2010-17'!C58</f>
        <v>5.5E-2</v>
      </c>
      <c r="U26" s="51">
        <f t="shared" ref="U26:U27" si="195">((T26^2)*((1/Q26)^2))</f>
        <v>0.13656783707815254</v>
      </c>
      <c r="V26" s="51">
        <f t="shared" ref="V26:V27" si="196">((R26*R26)*((-S26/(Q26*Q26))^2))</f>
        <v>2.2036035083195155E-4</v>
      </c>
      <c r="W26" s="51">
        <f t="shared" ref="W26:W27" si="197">SQRT(U26+V26)</f>
        <v>0.3698488845852918</v>
      </c>
      <c r="AD26" s="35">
        <f t="shared" ref="AD26:AE26" si="198">AD15</f>
        <v>9.1410724943526683E-3</v>
      </c>
      <c r="AE26" s="35">
        <f t="shared" si="198"/>
        <v>1.2999999999999999E-3</v>
      </c>
      <c r="AF26" s="35">
        <f>'T6x. MeHg loads 2010-17'!D58</f>
        <v>1.0999999999999999E-2</v>
      </c>
      <c r="AG26" s="35">
        <f>'T8x. MeHg SE 2010-17'!D58</f>
        <v>7.1999999999999998E-3</v>
      </c>
      <c r="AH26" s="175">
        <f t="shared" ref="AH26:AH27" si="199">((AG26^2)*((1/AD26)^2))</f>
        <v>0.62039842485716024</v>
      </c>
      <c r="AI26" s="175">
        <f t="shared" ref="AI26:AI27" si="200">((AE26*AE26)*((-AF26/(AD26*AD26))^2))</f>
        <v>2.92875782679036E-2</v>
      </c>
      <c r="AJ26" s="175">
        <f t="shared" ref="AJ26:AJ27" si="201">SQRT(AH26+AI26)</f>
        <v>0.80603101871147853</v>
      </c>
      <c r="AL26" s="51">
        <f t="shared" ref="AL26:AM26" si="202">AL15</f>
        <v>0.15797038440868258</v>
      </c>
      <c r="AM26" s="51">
        <f t="shared" si="202"/>
        <v>8.3000000000000001E-3</v>
      </c>
      <c r="AN26" s="51">
        <f>'T6x. MeHg loads 2010-17'!E58</f>
        <v>5.7972712013818734E-2</v>
      </c>
      <c r="AO26" s="51">
        <f>'T8x. MeHg SE 2010-17'!E58</f>
        <v>6.2199999999999998E-2</v>
      </c>
      <c r="AP26" s="175">
        <f t="shared" ref="AP26:AP27" si="203">((AO26^2)*((1/AL26)^2))</f>
        <v>0.1550348807128793</v>
      </c>
      <c r="AQ26" s="175">
        <f t="shared" ref="AQ26:AQ27" si="204">((AM26*AM26)*((-AN26/(AL26*AL26))^2))</f>
        <v>3.7179258150590991E-4</v>
      </c>
      <c r="AR26" s="175">
        <f t="shared" ref="AR26:AR27" si="205">SQRT(AP26+AQ26)</f>
        <v>0.39421653097553533</v>
      </c>
      <c r="AT26" s="35">
        <f t="shared" ref="AT26:AU26" si="206">AT15</f>
        <v>0.188</v>
      </c>
      <c r="AU26" s="35">
        <f t="shared" si="206"/>
        <v>0.158</v>
      </c>
      <c r="AV26" s="51">
        <f>'T6x. MeHg loads 2010-17'!F58</f>
        <v>5.8000000000000003E-2</v>
      </c>
      <c r="AW26" s="51">
        <f>'T8x. MeHg SE 2010-17'!F58</f>
        <v>5.0999999999999997E-2</v>
      </c>
      <c r="AX26" s="175">
        <f t="shared" ref="AX26:AX27" si="207">((AW26^2)*((1/AT26)^2))</f>
        <v>7.3590991398822983E-2</v>
      </c>
      <c r="AY26" s="175">
        <f t="shared" ref="AY26:AY27" si="208">((AU26*AU26)*((-AV26/(AT26*AT26))^2))</f>
        <v>6.7226231079449666E-2</v>
      </c>
      <c r="AZ26" s="175">
        <f t="shared" ref="AZ26:AZ27" si="209">SQRT(AX26+AY26)</f>
        <v>0.3752562091135504</v>
      </c>
      <c r="BB26" s="37">
        <f t="shared" ref="BB26:BC26" si="210">BB15</f>
        <v>180</v>
      </c>
      <c r="BC26" s="175">
        <f t="shared" si="210"/>
        <v>37</v>
      </c>
      <c r="BD26" s="37">
        <f>'T2x. THg loads 2010-17'!J58</f>
        <v>45</v>
      </c>
      <c r="BE26" s="37">
        <f>'T4x. THg SE 2010-17'!J58</f>
        <v>13.8</v>
      </c>
      <c r="BF26" s="175">
        <f t="shared" ref="BF26:BF27" si="211">((BE26^2)*((1/BB26)^2))</f>
        <v>5.8777777777777786E-3</v>
      </c>
      <c r="BG26" s="175">
        <f t="shared" ref="BG26:BG27" si="212">((BC26*BC26)*((-BD26/(BB26*BB26))^2))</f>
        <v>2.640817901234568E-3</v>
      </c>
      <c r="BH26" s="175">
        <f t="shared" ref="BH26:BH27" si="213">SQRT(BF26+BG26)</f>
        <v>9.2296238704577482E-2</v>
      </c>
      <c r="BJ26" s="35">
        <f t="shared" ref="BJ26:BK26" si="214">BJ15</f>
        <v>0.19800000000000004</v>
      </c>
      <c r="BK26" s="35">
        <f t="shared" si="214"/>
        <v>4.07E-2</v>
      </c>
      <c r="BL26" s="35">
        <f>'T6x. MeHg loads 2010-17'!K58</f>
        <v>5.3999999999999999E-2</v>
      </c>
      <c r="BM26" s="35">
        <f>'T8x. MeHg SE 2010-17'!K58</f>
        <v>1.6559999999999998E-2</v>
      </c>
      <c r="BN26" s="175">
        <f t="shared" ref="BN26:BN27" si="215">((BM26^2)*((1/BJ26)^2))</f>
        <v>6.9950413223140457E-3</v>
      </c>
      <c r="BO26" s="175">
        <f t="shared" ref="BO26:BO27" si="216">((BK26*BK26)*((-BL26/(BJ26*BJ26))^2))</f>
        <v>3.1427915518824588E-3</v>
      </c>
      <c r="BP26" s="175">
        <f t="shared" ref="BP26:BP27" si="217">SQRT(BN26+BO26)</f>
        <v>0.10068680585953904</v>
      </c>
      <c r="BT26" s="35">
        <f t="shared" ref="BT26:BU26" si="218">BT15</f>
        <v>0.20714107249435271</v>
      </c>
      <c r="BU26" s="35">
        <f t="shared" si="218"/>
        <v>4.2000000000000003E-2</v>
      </c>
      <c r="BV26" s="35">
        <f>'T6x. MeHg loads 2010-17'!O58</f>
        <v>6.5000000000000002E-2</v>
      </c>
      <c r="BW26" s="35">
        <f>'T6x. MeHg loads 2010-17'!D58+'T6x. MeHg loads 2010-17'!K58</f>
        <v>6.5000000000000002E-2</v>
      </c>
      <c r="BX26" s="175">
        <f t="shared" ref="BX26:BX27" si="219">((BW26^2)*((1/BT26)^2))</f>
        <v>9.8467808471963555E-2</v>
      </c>
      <c r="BY26" s="175">
        <f t="shared" ref="BY26:BY27" si="220">((BU26*BU26)*((-BV26/(BT26*BT26))^2))</f>
        <v>4.0481855655617937E-3</v>
      </c>
      <c r="BZ26" s="175">
        <f t="shared" ref="BZ26:BZ27" si="221">SQRT(BX26+BY26)</f>
        <v>0.32018118938739254</v>
      </c>
    </row>
    <row r="27" spans="1:78" s="175" customFormat="1" x14ac:dyDescent="0.2">
      <c r="A27" s="2" t="s">
        <v>151</v>
      </c>
      <c r="B27" s="45"/>
      <c r="C27" s="56">
        <f t="shared" si="187"/>
        <v>0.21321927121441919</v>
      </c>
      <c r="D27" s="53">
        <f t="shared" si="188"/>
        <v>0.51596681276469403</v>
      </c>
      <c r="E27" s="58">
        <f t="shared" si="189"/>
        <v>0.21921777173995957</v>
      </c>
      <c r="F27" s="58">
        <f t="shared" si="190"/>
        <v>0.28928086653613533</v>
      </c>
      <c r="G27" s="26"/>
      <c r="H27" s="27"/>
      <c r="I27" s="26"/>
      <c r="J27" s="53">
        <f t="shared" si="191"/>
        <v>0.11617640419997159</v>
      </c>
      <c r="K27" s="56">
        <f t="shared" si="192"/>
        <v>0.13166659142663448</v>
      </c>
      <c r="L27" s="45" t="s">
        <v>32</v>
      </c>
      <c r="M27" s="56" t="s">
        <v>32</v>
      </c>
      <c r="N27" s="58">
        <f t="shared" si="193"/>
        <v>0.41032235361887709</v>
      </c>
      <c r="O27" s="56" t="s">
        <v>32</v>
      </c>
      <c r="Q27" s="51">
        <f t="shared" ref="Q27:R27" si="222">Q16</f>
        <v>1.5949787587577671</v>
      </c>
      <c r="R27" s="51">
        <f t="shared" si="222"/>
        <v>1.9E-2</v>
      </c>
      <c r="S27" s="51">
        <f>'T6x. MeHg loads 2010-17'!C59</f>
        <v>0.62</v>
      </c>
      <c r="T27" s="51">
        <f>'T8x. MeHg SE 2010-17'!C59</f>
        <v>0.34</v>
      </c>
      <c r="U27" s="51">
        <f t="shared" si="195"/>
        <v>4.5441015337045192E-2</v>
      </c>
      <c r="V27" s="51">
        <f t="shared" si="196"/>
        <v>2.144228016285883E-5</v>
      </c>
      <c r="W27" s="51">
        <f t="shared" si="197"/>
        <v>0.21321927121441919</v>
      </c>
      <c r="AD27" s="35">
        <f t="shared" ref="AD27:AE27" si="223">AD16</f>
        <v>4.3475161035742518E-2</v>
      </c>
      <c r="AE27" s="35">
        <f t="shared" si="223"/>
        <v>8.0999999999999996E-3</v>
      </c>
      <c r="AF27" s="35">
        <f>'T6x. MeHg loads 2010-17'!D59</f>
        <v>6.4000000000000001E-2</v>
      </c>
      <c r="AG27" s="35">
        <f>'T8x. MeHg SE 2010-17'!D59</f>
        <v>1.9E-2</v>
      </c>
      <c r="AH27" s="175">
        <f t="shared" si="199"/>
        <v>0.1909962336320494</v>
      </c>
      <c r="AI27" s="175">
        <f t="shared" si="200"/>
        <v>7.5225518242507339E-2</v>
      </c>
      <c r="AJ27" s="175">
        <f t="shared" si="201"/>
        <v>0.51596681276469403</v>
      </c>
      <c r="AL27" s="51">
        <f t="shared" ref="AL27:AM27" si="224">AL16</f>
        <v>1.6384539197935095</v>
      </c>
      <c r="AM27" s="51">
        <f t="shared" si="224"/>
        <v>2.7099999999999999E-2</v>
      </c>
      <c r="AN27" s="51">
        <f>'T6x. MeHg loads 2010-17'!E59</f>
        <v>0.68399999999999994</v>
      </c>
      <c r="AO27" s="51">
        <f>'T8x. MeHg SE 2010-17'!E59</f>
        <v>0.35900000000000004</v>
      </c>
      <c r="AP27" s="175">
        <f t="shared" si="203"/>
        <v>4.8008753904526684E-2</v>
      </c>
      <c r="AQ27" s="175">
        <f t="shared" si="204"/>
        <v>4.7677542106336618E-5</v>
      </c>
      <c r="AR27" s="175">
        <f t="shared" si="205"/>
        <v>0.21921777173995957</v>
      </c>
      <c r="AT27" s="35">
        <f t="shared" ref="AT27:AU27" si="225">AT16</f>
        <v>1.1399999999999999</v>
      </c>
      <c r="AU27" s="35">
        <f t="shared" si="225"/>
        <v>0.26400000000000001</v>
      </c>
      <c r="AV27" s="51">
        <f>'T6x. MeHg loads 2010-17'!F59</f>
        <v>0.67</v>
      </c>
      <c r="AW27" s="51">
        <f>'T8x. MeHg SE 2010-17'!F59</f>
        <v>0.29099999999999998</v>
      </c>
      <c r="AX27" s="175">
        <f t="shared" si="207"/>
        <v>6.515927977839335E-2</v>
      </c>
      <c r="AY27" s="175">
        <f t="shared" si="208"/>
        <v>1.8524139965503988E-2</v>
      </c>
      <c r="AZ27" s="175">
        <f t="shared" si="209"/>
        <v>0.28928086653613533</v>
      </c>
      <c r="BB27" s="37">
        <f t="shared" ref="BB27:BC27" si="226">BB16</f>
        <v>1222</v>
      </c>
      <c r="BC27" s="175">
        <f t="shared" si="226"/>
        <v>237</v>
      </c>
      <c r="BD27" s="37">
        <f>'T2x. THg loads 2010-17'!J59</f>
        <v>407</v>
      </c>
      <c r="BE27" s="37">
        <f>'T4x. THg SE 2010-17'!J59</f>
        <v>118</v>
      </c>
      <c r="BF27" s="175">
        <f t="shared" si="211"/>
        <v>9.3244151815729641E-3</v>
      </c>
      <c r="BG27" s="175">
        <f t="shared" si="212"/>
        <v>4.1725417112622124E-3</v>
      </c>
      <c r="BH27" s="175">
        <f t="shared" si="213"/>
        <v>0.11617640419997159</v>
      </c>
      <c r="BJ27" s="35">
        <f t="shared" ref="BJ27:BK27" si="227">BJ16</f>
        <v>1.833</v>
      </c>
      <c r="BK27" s="35">
        <f t="shared" si="227"/>
        <v>0.35549999999999998</v>
      </c>
      <c r="BL27" s="35">
        <f>'T6x. MeHg loads 2010-17'!K59</f>
        <v>0.69189999999999996</v>
      </c>
      <c r="BM27" s="35">
        <f>'T8x. MeHg SE 2010-17'!K59</f>
        <v>0.2006</v>
      </c>
      <c r="BN27" s="175">
        <f t="shared" si="215"/>
        <v>1.1976693277664829E-2</v>
      </c>
      <c r="BO27" s="175">
        <f t="shared" si="216"/>
        <v>5.3593980202434645E-3</v>
      </c>
      <c r="BP27" s="175">
        <f t="shared" si="217"/>
        <v>0.13166659142663448</v>
      </c>
      <c r="BT27" s="35">
        <f t="shared" ref="BT27:BU27" si="228">BT16</f>
        <v>1.8764751610357424</v>
      </c>
      <c r="BU27" s="35">
        <f t="shared" si="228"/>
        <v>0.36359999999999998</v>
      </c>
      <c r="BV27" s="35">
        <f>'T6x. MeHg loads 2010-17'!O59</f>
        <v>0.75590000000000002</v>
      </c>
      <c r="BW27" s="35">
        <f>'T6x. MeHg loads 2010-17'!D59+'T6x. MeHg loads 2010-17'!K59</f>
        <v>0.75590000000000002</v>
      </c>
      <c r="BX27" s="175">
        <f t="shared" si="219"/>
        <v>0.16227179889758561</v>
      </c>
      <c r="BY27" s="175">
        <f t="shared" si="220"/>
        <v>6.0926349817492119E-3</v>
      </c>
      <c r="BZ27" s="175">
        <f t="shared" si="221"/>
        <v>0.41032235361887709</v>
      </c>
    </row>
    <row r="28" spans="1:78" x14ac:dyDescent="0.2">
      <c r="A28" s="2" t="s">
        <v>152</v>
      </c>
      <c r="B28" s="45"/>
      <c r="C28" s="56">
        <f t="shared" ref="C28" si="229">W28</f>
        <v>0.19499009737791898</v>
      </c>
      <c r="D28" s="53">
        <f>AJ28</f>
        <v>0.371646094802562</v>
      </c>
      <c r="E28" s="58">
        <f>AR28</f>
        <v>0.20131095549761124</v>
      </c>
      <c r="F28" s="58">
        <f>AZ28</f>
        <v>0.28676383589466153</v>
      </c>
      <c r="G28" s="26"/>
      <c r="H28" s="45" t="s">
        <v>26</v>
      </c>
      <c r="I28" s="26"/>
      <c r="J28" s="53">
        <f t="shared" ref="J28:J29" si="230">BH28</f>
        <v>0.1275501501521038</v>
      </c>
      <c r="K28" s="56">
        <f t="shared" ref="K28:K29" si="231">BP28</f>
        <v>0.14891381779081661</v>
      </c>
      <c r="L28" s="45" t="s">
        <v>32</v>
      </c>
      <c r="M28" s="56" t="s">
        <v>32</v>
      </c>
      <c r="N28" s="58">
        <f t="shared" si="6"/>
        <v>0.45542233356103617</v>
      </c>
      <c r="O28" s="56" t="s">
        <v>32</v>
      </c>
      <c r="Q28" s="51">
        <f>Q17</f>
        <v>2.8735336925860118</v>
      </c>
      <c r="R28" s="51">
        <f t="shared" ref="R28" si="232">R17</f>
        <v>0.24884187026219129</v>
      </c>
      <c r="S28" s="51">
        <f>'T6x. MeHg loads 2010-17'!C60</f>
        <v>1.3216276669495559</v>
      </c>
      <c r="T28" s="51">
        <f>'T8x. MeHg SE 2010-17'!C60</f>
        <v>0.54849717669526699</v>
      </c>
      <c r="U28" s="51">
        <f t="shared" ref="U28" si="233">((T28^2)*((1/Q28)^2))</f>
        <v>3.6434784535382937E-2</v>
      </c>
      <c r="V28" s="51">
        <f t="shared" ref="V28" si="234">((R28*R28)*((-S28/(Q28*Q28))^2))</f>
        <v>1.5863535400673899E-3</v>
      </c>
      <c r="W28" s="51">
        <f t="shared" ref="W28" si="235">SQRT(U28+V28)</f>
        <v>0.19499009737791898</v>
      </c>
      <c r="AD28" s="35">
        <f t="shared" ref="AD28:AE28" si="236">AD17</f>
        <v>0.13761083575386318</v>
      </c>
      <c r="AE28" s="35">
        <f t="shared" si="236"/>
        <v>1.9930105779401488E-2</v>
      </c>
      <c r="AF28" s="35">
        <f>'T6x. MeHg loads 2010-17'!D60</f>
        <v>0.19848851817940175</v>
      </c>
      <c r="AG28" s="35">
        <f>'T8x. MeHg SE 2010-17'!D60</f>
        <v>4.2298569435601327E-2</v>
      </c>
      <c r="AH28">
        <f t="shared" ref="AH28" si="237">((AG28^2)*((1/AD28)^2))</f>
        <v>9.4481350871006092E-2</v>
      </c>
      <c r="AI28">
        <f t="shared" ref="AI28" si="238">((AE28*AE28)*((-AF28/(AD28*AD28))^2))</f>
        <v>4.363946891098882E-2</v>
      </c>
      <c r="AJ28">
        <f t="shared" ref="AJ28" si="239">SQRT(AH28+AI28)</f>
        <v>0.371646094802562</v>
      </c>
      <c r="AL28" s="51">
        <f t="shared" ref="AL28:AM28" si="240">AL17</f>
        <v>3.0111445283398748</v>
      </c>
      <c r="AM28" s="51">
        <f t="shared" si="240"/>
        <v>0.26877197604159281</v>
      </c>
      <c r="AN28" s="51">
        <f>'T6x. MeHg loads 2010-17'!E60</f>
        <v>1.5201161851289577</v>
      </c>
      <c r="AO28" s="51">
        <f>'T8x. MeHg SE 2010-17'!E60</f>
        <v>0.59079574613086827</v>
      </c>
      <c r="AP28">
        <f t="shared" ref="AP28" si="241">((AO28^2)*((1/AL28)^2))</f>
        <v>3.8495637569478776E-2</v>
      </c>
      <c r="AQ28">
        <f t="shared" ref="AQ28" si="242">((AM28*AM28)*((-AN28/(AL28*AL28))^2))</f>
        <v>2.0304632338824348E-3</v>
      </c>
      <c r="AR28">
        <f t="shared" ref="AR28" si="243">SQRT(AP28+AQ28)</f>
        <v>0.20131095549761124</v>
      </c>
      <c r="AT28" s="35">
        <f t="shared" ref="AT28:AU28" si="244">AT17</f>
        <v>2.4168245648682936</v>
      </c>
      <c r="AU28" s="35">
        <f t="shared" si="244"/>
        <v>0.75305397509985894</v>
      </c>
      <c r="AV28" s="51">
        <f>'T6x. MeHg loads 2010-17'!F60</f>
        <v>1.4043800922353578</v>
      </c>
      <c r="AW28" s="51">
        <f>'T8x. MeHg SE 2010-17'!F60</f>
        <v>0.53744372736539103</v>
      </c>
      <c r="AX28">
        <f t="shared" ref="AX28" si="245">((AW28^2)*((1/AT28)^2))</f>
        <v>4.9451075793583932E-2</v>
      </c>
      <c r="AY28">
        <f t="shared" ref="AY28" si="246">((AU28*AU28)*((-AV28/(AT28*AT28))^2))</f>
        <v>3.278242178343644E-2</v>
      </c>
      <c r="AZ28">
        <f t="shared" ref="AZ28" si="247">SQRT(AX28+AY28)</f>
        <v>0.28676383589466153</v>
      </c>
      <c r="BB28" s="37">
        <f>BB17</f>
        <v>2258.9923446849016</v>
      </c>
      <c r="BC28">
        <f>BC17</f>
        <v>461.37996725490893</v>
      </c>
      <c r="BD28" s="37">
        <f>'T2x. THg loads 2010-17'!J60</f>
        <v>800.30047800398347</v>
      </c>
      <c r="BE28" s="37">
        <f>'T4x. THg SE 2010-17'!J60</f>
        <v>237.28522055614161</v>
      </c>
      <c r="BF28">
        <f t="shared" ref="BF28:BF29" si="248">((BE28^2)*((1/BB28)^2))</f>
        <v>1.1033463412587298E-2</v>
      </c>
      <c r="BG28">
        <f t="shared" ref="BG28:BG29" si="249">((BC28*BC28)*((-BD28/(BB28*BB28))^2))</f>
        <v>5.2355773912369317E-3</v>
      </c>
      <c r="BH28">
        <f t="shared" ref="BH28:BH29" si="250">SQRT(BF28+BG28)</f>
        <v>0.1275501501521038</v>
      </c>
      <c r="BJ28" s="35">
        <f>BJ17</f>
        <v>4.722953050211947</v>
      </c>
      <c r="BK28" s="35">
        <f>BK17</f>
        <v>0.97434042054222636</v>
      </c>
      <c r="BL28" s="35">
        <f>'T6x. MeHg loads 2010-17'!K60</f>
        <v>1.9702119828700242</v>
      </c>
      <c r="BM28" s="35">
        <f>'T8x. MeHg SE 2010-17'!K60</f>
        <v>0.57397326600024989</v>
      </c>
      <c r="BN28">
        <f t="shared" ref="BN28:BN29" si="251">((BM28^2)*((1/BJ28)^2))</f>
        <v>1.4769169428444152E-2</v>
      </c>
      <c r="BO28">
        <f t="shared" ref="BO28:BO29" si="252">((BK28*BK28)*((-BL28/(BJ28*BJ28))^2))</f>
        <v>7.406155700592376E-3</v>
      </c>
      <c r="BP28">
        <f t="shared" ref="BP28:BP29" si="253">SQRT(BN28+BO28)</f>
        <v>0.14891381779081661</v>
      </c>
      <c r="BT28" s="35">
        <f>BT17</f>
        <v>4.86056388596581</v>
      </c>
      <c r="BU28" s="35">
        <f>BU17</f>
        <v>0.99427052632162782</v>
      </c>
      <c r="BV28" s="35">
        <f>'T6x. MeHg loads 2010-17'!O60</f>
        <v>2.1687005010494258</v>
      </c>
      <c r="BW28" s="35">
        <f>'T6x. MeHg loads 2010-17'!D60+'T6x. MeHg loads 2010-17'!K60</f>
        <v>2.1687005010494258</v>
      </c>
      <c r="BX28">
        <f t="shared" si="184"/>
        <v>0.19907918223042903</v>
      </c>
      <c r="BY28">
        <f t="shared" si="185"/>
        <v>8.3303196757506543E-3</v>
      </c>
      <c r="BZ28">
        <f t="shared" si="186"/>
        <v>0.45542233356103617</v>
      </c>
    </row>
    <row r="29" spans="1:78" x14ac:dyDescent="0.2">
      <c r="A29" s="2" t="s">
        <v>152</v>
      </c>
      <c r="B29" s="109"/>
      <c r="D29" s="26"/>
      <c r="E29" s="26"/>
      <c r="F29" s="26"/>
      <c r="G29" s="26"/>
      <c r="H29" s="69" t="s">
        <v>153</v>
      </c>
      <c r="I29" s="26"/>
      <c r="J29" s="53">
        <f t="shared" si="230"/>
        <v>0.1275501501521038</v>
      </c>
      <c r="K29" s="56">
        <f t="shared" si="231"/>
        <v>0.15250561431229806</v>
      </c>
      <c r="L29" s="45" t="s">
        <v>32</v>
      </c>
      <c r="M29" s="56" t="s">
        <v>32</v>
      </c>
      <c r="N29" s="58">
        <f t="shared" si="6"/>
        <v>0.42225479696946805</v>
      </c>
      <c r="O29" s="56" t="s">
        <v>32</v>
      </c>
      <c r="Q29" s="37"/>
      <c r="R29" s="37"/>
      <c r="AD29" s="35"/>
      <c r="AE29" s="35"/>
      <c r="AL29" s="37"/>
      <c r="AM29" s="52"/>
      <c r="AT29" s="37"/>
      <c r="AU29" s="52"/>
      <c r="BB29" s="37">
        <f>BB18</f>
        <v>2258.9923446849016</v>
      </c>
      <c r="BC29">
        <f>BC18</f>
        <v>461.37996725490893</v>
      </c>
      <c r="BD29" s="37">
        <f>'T2x. THg loads 2010-17'!J61</f>
        <v>800.30047800398347</v>
      </c>
      <c r="BE29" s="37">
        <f>'T4x. THg SE 2010-17'!J61</f>
        <v>237.28522055614161</v>
      </c>
      <c r="BF29">
        <f t="shared" si="248"/>
        <v>1.1033463412587298E-2</v>
      </c>
      <c r="BG29">
        <f t="shared" si="249"/>
        <v>5.2355773912369317E-3</v>
      </c>
      <c r="BH29">
        <f t="shared" si="250"/>
        <v>0.1275501501521038</v>
      </c>
      <c r="BJ29" s="35">
        <f>BJ18</f>
        <v>5.1956823927752733</v>
      </c>
      <c r="BK29" s="35">
        <f>BK18</f>
        <v>1.0611739246862906</v>
      </c>
      <c r="BL29" s="35">
        <f>'T6x. MeHg loads 2010-17'!K61</f>
        <v>2.2008263145109543</v>
      </c>
      <c r="BM29" s="35">
        <f>'T8x. MeHg SE 2010-17'!K61</f>
        <v>0.65253435652938951</v>
      </c>
      <c r="BN29">
        <f t="shared" si="251"/>
        <v>1.5773264094081561E-2</v>
      </c>
      <c r="BO29">
        <f t="shared" si="252"/>
        <v>7.4846983026898477E-3</v>
      </c>
      <c r="BP29">
        <f t="shared" si="253"/>
        <v>0.15250561431229806</v>
      </c>
      <c r="BT29" s="35">
        <f>BT18</f>
        <v>5.3332932285291363</v>
      </c>
      <c r="BU29" s="35">
        <f>BU18</f>
        <v>1.0611739246862906</v>
      </c>
      <c r="BV29" s="35">
        <f>'T6x. MeHg loads 2010-17'!O61</f>
        <v>2.3993148326903562</v>
      </c>
      <c r="BW29" s="35">
        <f>'T6x. MeHg loads 2010-17'!D61+'T6x. MeHg loads 2010-17'!K61</f>
        <v>2.2008263145109543</v>
      </c>
      <c r="BX29">
        <f t="shared" si="184"/>
        <v>0.17028665551318597</v>
      </c>
      <c r="BY29">
        <f t="shared" si="185"/>
        <v>8.0124580505407089E-3</v>
      </c>
      <c r="BZ29">
        <f t="shared" si="186"/>
        <v>0.42225479696946805</v>
      </c>
    </row>
  </sheetData>
  <mergeCells count="2">
    <mergeCell ref="A1:O1"/>
    <mergeCell ref="A2:O2"/>
  </mergeCells>
  <pageMargins left="0.7" right="0.7" top="0.75" bottom="0.75" header="0.3" footer="0.3"/>
  <pageSetup scale="87" orientation="landscape" verticalDpi="1200" r:id="rId1"/>
  <headerFooter>
    <oddHeader>&amp;LDraft&amp;RU.S. GEOLOGICAL SURVEY</oddHeader>
    <oddFooter>&amp;LPRELIMINARY - SUBJECT TO REVISION&amp;RDecember 8, 2018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T1. Sed Phases 1-3</vt:lpstr>
      <vt:lpstr>T2x. THg loads 2010-17</vt:lpstr>
      <vt:lpstr>T3x. THg trap eff 2010-17</vt:lpstr>
      <vt:lpstr>T4x. THg SE 2010-17</vt:lpstr>
      <vt:lpstr>T5x. THg TE SE 2010-17</vt:lpstr>
      <vt:lpstr>T6x. MeHg loads 2010-17</vt:lpstr>
      <vt:lpstr>T7x. MeHg trap eff 2010-17</vt:lpstr>
      <vt:lpstr>T8x. MeHg SE 2010-17</vt:lpstr>
      <vt:lpstr>T9x. MeHg TE SE 2010-17</vt:lpstr>
      <vt:lpstr>T10x. pTHg loads 2010-17</vt:lpstr>
      <vt:lpstr>T11. THg-SS loads 2017</vt:lpstr>
      <vt:lpstr>'T1. Sed Phases 1-3'!Print_Area</vt:lpstr>
      <vt:lpstr>'T10x. pTHg loads 2010-17'!Print_Area</vt:lpstr>
      <vt:lpstr>'T11. THg-SS loads 2017'!Print_Area</vt:lpstr>
      <vt:lpstr>'T2x. THg loads 2010-17'!Print_Area</vt:lpstr>
      <vt:lpstr>'T3x. THg trap eff 2010-17'!Print_Area</vt:lpstr>
      <vt:lpstr>'T4x. THg SE 2010-17'!Print_Area</vt:lpstr>
      <vt:lpstr>'T5x. THg TE SE 2010-17'!Print_Area</vt:lpstr>
      <vt:lpstr>'T6x. MeHg loads 2010-17'!Print_Area</vt:lpstr>
      <vt:lpstr>'T7x. MeHg trap eff 2010-17'!Print_Area</vt:lpstr>
      <vt:lpstr>'T8x. MeHg SE 2010-17'!Print_Area</vt:lpstr>
      <vt:lpstr>'T9x. MeHg TE SE 2010-17'!Print_Area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Alpers, Charles N.</dc:creator>
  <cp:lastModifiedBy>Microsoft Office User</cp:lastModifiedBy>
  <cp:lastPrinted>2018-12-08T19:55:12Z</cp:lastPrinted>
  <dcterms:created xsi:type="dcterms:W3CDTF">2015-06-25T22:12:21Z</dcterms:created>
  <dcterms:modified xsi:type="dcterms:W3CDTF">2018-12-09T16:15:25Z</dcterms:modified>
</cp:coreProperties>
</file>