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2019\"/>
    </mc:Choice>
  </mc:AlternateContent>
  <bookViews>
    <workbookView xWindow="0" yWindow="0" windowWidth="28800" windowHeight="11700"/>
  </bookViews>
  <sheets>
    <sheet name="Funding" sheetId="7" r:id="rId1"/>
    <sheet name="Expenses" sheetId="5" r:id="rId2"/>
    <sheet name="Pvt_Gross_Exp" sheetId="6" r:id="rId3"/>
    <sheet name="Pvt_Net_Exp" sheetId="9" r:id="rId4"/>
    <sheet name="Lookup" sheetId="4" r:id="rId5"/>
    <sheet name="Help" sheetId="8" r:id="rId6"/>
  </sheets>
  <definedNames>
    <definedName name="_xlnm._FilterDatabase" localSheetId="1" hidden="1">Expenses!$A$387:$N$533</definedName>
    <definedName name="_xlnm._FilterDatabase" localSheetId="4" hidden="1">Expenses!$A$1:$B$1</definedName>
  </definedName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B25" i="4" l="1"/>
  <c r="B24" i="4"/>
  <c r="C376" i="5" l="1"/>
  <c r="C377" i="5"/>
  <c r="C378" i="5"/>
  <c r="C379" i="5"/>
  <c r="C380" i="5"/>
  <c r="C381" i="5"/>
  <c r="C382" i="5"/>
  <c r="C383" i="5"/>
  <c r="C384" i="5"/>
  <c r="C385" i="5"/>
  <c r="C386" i="5"/>
  <c r="C375" i="5"/>
  <c r="M389" i="5" l="1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388" i="5"/>
  <c r="C343" i="5" l="1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42" i="5"/>
  <c r="H3" i="4" l="1"/>
  <c r="H4" i="4" s="1"/>
  <c r="H5" i="4" s="1"/>
  <c r="H6" i="4" s="1"/>
  <c r="B23" i="4" l="1"/>
  <c r="C16" i="7" l="1"/>
  <c r="C15" i="7"/>
  <c r="C12" i="7"/>
  <c r="C11" i="7"/>
  <c r="C13" i="7"/>
  <c r="H389" i="5" l="1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388" i="5"/>
  <c r="I389" i="5" l="1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J515" i="5" l="1"/>
  <c r="K515" i="5" s="1"/>
  <c r="J491" i="5"/>
  <c r="K491" i="5" s="1"/>
  <c r="J467" i="5"/>
  <c r="K467" i="5" s="1"/>
  <c r="J451" i="5"/>
  <c r="K451" i="5" s="1"/>
  <c r="J435" i="5"/>
  <c r="K435" i="5" s="1"/>
  <c r="J419" i="5"/>
  <c r="K419" i="5" s="1"/>
  <c r="J530" i="5"/>
  <c r="K530" i="5" s="1"/>
  <c r="J527" i="5"/>
  <c r="K527" i="5" s="1"/>
  <c r="J511" i="5"/>
  <c r="K511" i="5" s="1"/>
  <c r="J495" i="5"/>
  <c r="K495" i="5" s="1"/>
  <c r="J479" i="5"/>
  <c r="K479" i="5" s="1"/>
  <c r="J463" i="5"/>
  <c r="K463" i="5" s="1"/>
  <c r="J447" i="5"/>
  <c r="K447" i="5" s="1"/>
  <c r="J431" i="5"/>
  <c r="K431" i="5" s="1"/>
  <c r="J407" i="5"/>
  <c r="K407" i="5" s="1"/>
  <c r="J526" i="5"/>
  <c r="K526" i="5" s="1"/>
  <c r="J510" i="5"/>
  <c r="K510" i="5" s="1"/>
  <c r="J494" i="5"/>
  <c r="K494" i="5" s="1"/>
  <c r="J478" i="5"/>
  <c r="K478" i="5" s="1"/>
  <c r="J462" i="5"/>
  <c r="K462" i="5" s="1"/>
  <c r="J446" i="5"/>
  <c r="K446" i="5" s="1"/>
  <c r="J430" i="5"/>
  <c r="K430" i="5" s="1"/>
  <c r="J414" i="5"/>
  <c r="K414" i="5" s="1"/>
  <c r="J406" i="5"/>
  <c r="K406" i="5" s="1"/>
  <c r="J532" i="5"/>
  <c r="K532" i="5" s="1"/>
  <c r="J524" i="5"/>
  <c r="K524" i="5" s="1"/>
  <c r="J516" i="5"/>
  <c r="K516" i="5" s="1"/>
  <c r="J508" i="5"/>
  <c r="K508" i="5" s="1"/>
  <c r="J500" i="5"/>
  <c r="K500" i="5" s="1"/>
  <c r="J492" i="5"/>
  <c r="K492" i="5" s="1"/>
  <c r="J484" i="5"/>
  <c r="K484" i="5" s="1"/>
  <c r="J476" i="5"/>
  <c r="K476" i="5" s="1"/>
  <c r="J468" i="5"/>
  <c r="K468" i="5" s="1"/>
  <c r="J460" i="5"/>
  <c r="K460" i="5" s="1"/>
  <c r="J452" i="5"/>
  <c r="K452" i="5" s="1"/>
  <c r="J444" i="5"/>
  <c r="K444" i="5" s="1"/>
  <c r="J436" i="5"/>
  <c r="K436" i="5" s="1"/>
  <c r="J428" i="5"/>
  <c r="K428" i="5" s="1"/>
  <c r="J420" i="5"/>
  <c r="K420" i="5" s="1"/>
  <c r="J412" i="5"/>
  <c r="K412" i="5" s="1"/>
  <c r="J404" i="5"/>
  <c r="K404" i="5" s="1"/>
  <c r="J396" i="5"/>
  <c r="K396" i="5" s="1"/>
  <c r="J395" i="5"/>
  <c r="K395" i="5" s="1"/>
  <c r="J531" i="5"/>
  <c r="K531" i="5" s="1"/>
  <c r="J507" i="5"/>
  <c r="K507" i="5" s="1"/>
  <c r="J475" i="5"/>
  <c r="K475" i="5" s="1"/>
  <c r="J427" i="5"/>
  <c r="K427" i="5" s="1"/>
  <c r="J403" i="5"/>
  <c r="K403" i="5" s="1"/>
  <c r="J514" i="5"/>
  <c r="K514" i="5" s="1"/>
  <c r="J506" i="5"/>
  <c r="K506" i="5" s="1"/>
  <c r="J498" i="5"/>
  <c r="K498" i="5" s="1"/>
  <c r="J490" i="5"/>
  <c r="K490" i="5" s="1"/>
  <c r="J482" i="5"/>
  <c r="K482" i="5" s="1"/>
  <c r="J474" i="5"/>
  <c r="K474" i="5" s="1"/>
  <c r="J466" i="5"/>
  <c r="K466" i="5" s="1"/>
  <c r="J458" i="5"/>
  <c r="K458" i="5" s="1"/>
  <c r="J450" i="5"/>
  <c r="K450" i="5" s="1"/>
  <c r="J442" i="5"/>
  <c r="K442" i="5" s="1"/>
  <c r="J434" i="5"/>
  <c r="K434" i="5" s="1"/>
  <c r="J426" i="5"/>
  <c r="K426" i="5" s="1"/>
  <c r="J418" i="5"/>
  <c r="K418" i="5" s="1"/>
  <c r="J410" i="5"/>
  <c r="K410" i="5" s="1"/>
  <c r="J402" i="5"/>
  <c r="K402" i="5" s="1"/>
  <c r="J394" i="5"/>
  <c r="K394" i="5" s="1"/>
  <c r="J529" i="5"/>
  <c r="K529" i="5" s="1"/>
  <c r="J521" i="5"/>
  <c r="K521" i="5" s="1"/>
  <c r="J513" i="5"/>
  <c r="K513" i="5" s="1"/>
  <c r="J505" i="5"/>
  <c r="K505" i="5" s="1"/>
  <c r="J497" i="5"/>
  <c r="K497" i="5" s="1"/>
  <c r="J489" i="5"/>
  <c r="K489" i="5" s="1"/>
  <c r="J481" i="5"/>
  <c r="K481" i="5" s="1"/>
  <c r="J473" i="5"/>
  <c r="K473" i="5" s="1"/>
  <c r="J465" i="5"/>
  <c r="K465" i="5" s="1"/>
  <c r="J457" i="5"/>
  <c r="K457" i="5" s="1"/>
  <c r="J449" i="5"/>
  <c r="K449" i="5" s="1"/>
  <c r="J441" i="5"/>
  <c r="K441" i="5" s="1"/>
  <c r="J433" i="5"/>
  <c r="K433" i="5" s="1"/>
  <c r="J425" i="5"/>
  <c r="K425" i="5" s="1"/>
  <c r="J417" i="5"/>
  <c r="K417" i="5" s="1"/>
  <c r="J409" i="5"/>
  <c r="K409" i="5" s="1"/>
  <c r="J401" i="5"/>
  <c r="K401" i="5" s="1"/>
  <c r="J393" i="5"/>
  <c r="K393" i="5" s="1"/>
  <c r="J528" i="5"/>
  <c r="K528" i="5" s="1"/>
  <c r="J520" i="5"/>
  <c r="K520" i="5" s="1"/>
  <c r="J512" i="5"/>
  <c r="K512" i="5" s="1"/>
  <c r="J504" i="5"/>
  <c r="K504" i="5" s="1"/>
  <c r="J496" i="5"/>
  <c r="K496" i="5" s="1"/>
  <c r="J488" i="5"/>
  <c r="K488" i="5" s="1"/>
  <c r="J480" i="5"/>
  <c r="K480" i="5" s="1"/>
  <c r="J472" i="5"/>
  <c r="K472" i="5" s="1"/>
  <c r="J464" i="5"/>
  <c r="K464" i="5" s="1"/>
  <c r="J456" i="5"/>
  <c r="K456" i="5" s="1"/>
  <c r="J448" i="5"/>
  <c r="K448" i="5" s="1"/>
  <c r="J440" i="5"/>
  <c r="K440" i="5" s="1"/>
  <c r="J432" i="5"/>
  <c r="K432" i="5" s="1"/>
  <c r="J424" i="5"/>
  <c r="K424" i="5" s="1"/>
  <c r="J416" i="5"/>
  <c r="K416" i="5" s="1"/>
  <c r="J408" i="5"/>
  <c r="K408" i="5" s="1"/>
  <c r="J400" i="5"/>
  <c r="K400" i="5" s="1"/>
  <c r="J392" i="5"/>
  <c r="K392" i="5" s="1"/>
  <c r="J391" i="5"/>
  <c r="K391" i="5" s="1"/>
  <c r="J390" i="5"/>
  <c r="K390" i="5" s="1"/>
  <c r="J523" i="5"/>
  <c r="K523" i="5" s="1"/>
  <c r="J499" i="5"/>
  <c r="K499" i="5" s="1"/>
  <c r="J483" i="5"/>
  <c r="K483" i="5" s="1"/>
  <c r="J459" i="5"/>
  <c r="K459" i="5" s="1"/>
  <c r="J443" i="5"/>
  <c r="K443" i="5" s="1"/>
  <c r="J411" i="5"/>
  <c r="K411" i="5" s="1"/>
  <c r="J522" i="5"/>
  <c r="K522" i="5" s="1"/>
  <c r="J519" i="5"/>
  <c r="K519" i="5" s="1"/>
  <c r="J503" i="5"/>
  <c r="K503" i="5" s="1"/>
  <c r="J487" i="5"/>
  <c r="K487" i="5" s="1"/>
  <c r="J471" i="5"/>
  <c r="K471" i="5" s="1"/>
  <c r="J455" i="5"/>
  <c r="K455" i="5" s="1"/>
  <c r="J439" i="5"/>
  <c r="K439" i="5" s="1"/>
  <c r="J423" i="5"/>
  <c r="K423" i="5" s="1"/>
  <c r="J415" i="5"/>
  <c r="K415" i="5" s="1"/>
  <c r="J399" i="5"/>
  <c r="K399" i="5" s="1"/>
  <c r="J518" i="5"/>
  <c r="K518" i="5" s="1"/>
  <c r="J502" i="5"/>
  <c r="K502" i="5" s="1"/>
  <c r="J486" i="5"/>
  <c r="K486" i="5" s="1"/>
  <c r="J470" i="5"/>
  <c r="K470" i="5" s="1"/>
  <c r="J454" i="5"/>
  <c r="K454" i="5" s="1"/>
  <c r="J438" i="5"/>
  <c r="K438" i="5" s="1"/>
  <c r="J422" i="5"/>
  <c r="K422" i="5" s="1"/>
  <c r="J398" i="5"/>
  <c r="K398" i="5" s="1"/>
  <c r="J525" i="5"/>
  <c r="K525" i="5" s="1"/>
  <c r="J517" i="5"/>
  <c r="K517" i="5" s="1"/>
  <c r="J509" i="5"/>
  <c r="K509" i="5" s="1"/>
  <c r="J501" i="5"/>
  <c r="K501" i="5" s="1"/>
  <c r="J493" i="5"/>
  <c r="K493" i="5" s="1"/>
  <c r="J485" i="5"/>
  <c r="K485" i="5" s="1"/>
  <c r="J477" i="5"/>
  <c r="K477" i="5" s="1"/>
  <c r="J469" i="5"/>
  <c r="K469" i="5" s="1"/>
  <c r="J461" i="5"/>
  <c r="K461" i="5" s="1"/>
  <c r="J453" i="5"/>
  <c r="K453" i="5" s="1"/>
  <c r="J445" i="5"/>
  <c r="K445" i="5" s="1"/>
  <c r="J437" i="5"/>
  <c r="K437" i="5" s="1"/>
  <c r="J429" i="5"/>
  <c r="K429" i="5" s="1"/>
  <c r="J421" i="5"/>
  <c r="K421" i="5" s="1"/>
  <c r="J413" i="5"/>
  <c r="K413" i="5" s="1"/>
  <c r="J405" i="5"/>
  <c r="K405" i="5" s="1"/>
  <c r="J397" i="5"/>
  <c r="K397" i="5" s="1"/>
  <c r="J389" i="5"/>
  <c r="K389" i="5" s="1"/>
  <c r="I388" i="5"/>
  <c r="J388" i="5" l="1"/>
  <c r="K388" i="5" s="1"/>
  <c r="A32" i="4"/>
  <c r="A31" i="4"/>
  <c r="A30" i="4"/>
  <c r="A29" i="4"/>
  <c r="A28" i="4"/>
  <c r="L517" i="5" s="1"/>
  <c r="L498" i="5" l="1"/>
  <c r="L474" i="5"/>
  <c r="L509" i="5"/>
  <c r="L434" i="5"/>
  <c r="L525" i="5"/>
  <c r="L410" i="5"/>
  <c r="L524" i="5"/>
  <c r="L439" i="5"/>
  <c r="L436" i="5"/>
  <c r="L399" i="5"/>
  <c r="L445" i="5"/>
  <c r="L460" i="5"/>
  <c r="L454" i="5"/>
  <c r="L507" i="5"/>
  <c r="L398" i="5"/>
  <c r="L463" i="5"/>
  <c r="L391" i="5"/>
  <c r="L530" i="5"/>
  <c r="L472" i="5"/>
  <c r="L511" i="5"/>
  <c r="L408" i="5"/>
  <c r="L462" i="5"/>
  <c r="L522" i="5"/>
  <c r="L407" i="5"/>
  <c r="L529" i="5"/>
  <c r="L526" i="5"/>
  <c r="L441" i="5"/>
  <c r="L488" i="5"/>
  <c r="L481" i="5"/>
  <c r="L421" i="5"/>
  <c r="L515" i="5"/>
  <c r="L465" i="5"/>
  <c r="L487" i="5"/>
  <c r="L520" i="5"/>
  <c r="L453" i="5"/>
  <c r="L417" i="5"/>
  <c r="L401" i="5"/>
  <c r="L459" i="5"/>
  <c r="L513" i="5"/>
  <c r="L493" i="5"/>
  <c r="L508" i="5"/>
  <c r="L456" i="5"/>
  <c r="L406" i="5"/>
  <c r="L482" i="5"/>
  <c r="L415" i="5"/>
  <c r="L419" i="5"/>
  <c r="L489" i="5"/>
  <c r="L469" i="5"/>
  <c r="L414" i="5"/>
  <c r="L496" i="5"/>
  <c r="L532" i="5"/>
  <c r="L480" i="5"/>
  <c r="L394" i="5"/>
  <c r="L506" i="5"/>
  <c r="L455" i="5"/>
  <c r="L479" i="5"/>
  <c r="L449" i="5"/>
  <c r="L429" i="5"/>
  <c r="L444" i="5"/>
  <c r="L392" i="5"/>
  <c r="L499" i="5"/>
  <c r="L418" i="5"/>
  <c r="L422" i="5"/>
  <c r="L431" i="5"/>
  <c r="L425" i="5"/>
  <c r="L405" i="5"/>
  <c r="L484" i="5"/>
  <c r="L432" i="5"/>
  <c r="L510" i="5"/>
  <c r="L468" i="5"/>
  <c r="L416" i="5"/>
  <c r="L502" i="5"/>
  <c r="L442" i="5"/>
  <c r="L470" i="5"/>
  <c r="L478" i="5"/>
  <c r="L528" i="5"/>
  <c r="L518" i="5"/>
  <c r="L531" i="5"/>
  <c r="L411" i="5"/>
  <c r="L435" i="5"/>
  <c r="L497" i="5"/>
  <c r="L477" i="5"/>
  <c r="L430" i="5"/>
  <c r="L504" i="5"/>
  <c r="L503" i="5"/>
  <c r="L420" i="5"/>
  <c r="L523" i="5"/>
  <c r="L404" i="5"/>
  <c r="L483" i="5"/>
  <c r="L491" i="5"/>
  <c r="L521" i="5"/>
  <c r="L501" i="5"/>
  <c r="L516" i="5"/>
  <c r="L464" i="5"/>
  <c r="L476" i="5"/>
  <c r="L490" i="5"/>
  <c r="L423" i="5"/>
  <c r="L447" i="5"/>
  <c r="L433" i="5"/>
  <c r="L413" i="5"/>
  <c r="L492" i="5"/>
  <c r="L440" i="5"/>
  <c r="L412" i="5"/>
  <c r="L427" i="5"/>
  <c r="L403" i="5"/>
  <c r="L514" i="5"/>
  <c r="L471" i="5"/>
  <c r="L495" i="5"/>
  <c r="L457" i="5"/>
  <c r="L437" i="5"/>
  <c r="L452" i="5"/>
  <c r="L400" i="5"/>
  <c r="L424" i="5"/>
  <c r="L426" i="5"/>
  <c r="L438" i="5"/>
  <c r="L446" i="5"/>
  <c r="L512" i="5"/>
  <c r="L397" i="5"/>
  <c r="L428" i="5"/>
  <c r="L390" i="5"/>
  <c r="L409" i="5"/>
  <c r="L466" i="5"/>
  <c r="L473" i="5"/>
  <c r="L527" i="5"/>
  <c r="L396" i="5"/>
  <c r="L467" i="5"/>
  <c r="L450" i="5"/>
  <c r="L486" i="5"/>
  <c r="L494" i="5"/>
  <c r="L393" i="5"/>
  <c r="L461" i="5"/>
  <c r="L395" i="5"/>
  <c r="L443" i="5"/>
  <c r="L451" i="5"/>
  <c r="L505" i="5"/>
  <c r="L485" i="5"/>
  <c r="L500" i="5"/>
  <c r="L448" i="5"/>
  <c r="L458" i="5"/>
  <c r="L475" i="5"/>
  <c r="L519" i="5"/>
  <c r="L389" i="5"/>
  <c r="L402" i="5"/>
  <c r="B31" i="4"/>
  <c r="B32" i="4"/>
  <c r="B29" i="4"/>
  <c r="B30" i="4"/>
  <c r="A5" i="9"/>
  <c r="A4" i="9"/>
  <c r="I3" i="9"/>
  <c r="I3" i="6"/>
  <c r="A5" i="6"/>
  <c r="A4" i="6"/>
  <c r="I5" i="7" l="1"/>
  <c r="H10" i="7" l="1"/>
  <c r="H15" i="7" s="1"/>
  <c r="G10" i="7"/>
  <c r="G15" i="7" s="1"/>
  <c r="F10" i="7"/>
  <c r="F15" i="7" s="1"/>
  <c r="E10" i="7"/>
  <c r="E15" i="7" s="1"/>
  <c r="D10" i="7"/>
  <c r="D15" i="7" s="1"/>
  <c r="D18" i="7" l="1"/>
  <c r="B3" i="4"/>
  <c r="B6" i="4"/>
  <c r="D7" i="8" s="1"/>
  <c r="H18" i="7" l="1"/>
  <c r="G18" i="7"/>
  <c r="E18" i="7"/>
  <c r="C29" i="4" l="1"/>
  <c r="C30" i="4"/>
  <c r="B28" i="4"/>
  <c r="C28" i="4" s="1"/>
  <c r="C32" i="4"/>
  <c r="C31" i="4"/>
  <c r="F16" i="7"/>
  <c r="G16" i="7"/>
  <c r="E16" i="7"/>
  <c r="H16" i="7"/>
  <c r="D16" i="7"/>
  <c r="F34" i="4"/>
  <c r="F33" i="4"/>
  <c r="F35" i="4"/>
  <c r="F18" i="7" l="1"/>
  <c r="I18" i="7" s="1"/>
  <c r="I16" i="7"/>
  <c r="I15" i="7" l="1"/>
  <c r="E12" i="7"/>
  <c r="E22" i="7" s="1"/>
  <c r="F12" i="7"/>
  <c r="F22" i="7" s="1"/>
  <c r="G12" i="7"/>
  <c r="G22" i="7" s="1"/>
  <c r="D30" i="4" l="1"/>
  <c r="D29" i="4"/>
  <c r="D31" i="4"/>
  <c r="D12" i="7"/>
  <c r="D22" i="7" s="1"/>
  <c r="E29" i="4" l="1"/>
  <c r="F29" i="4" s="1"/>
  <c r="D28" i="4"/>
  <c r="E28" i="4" s="1"/>
  <c r="F28" i="4" s="1"/>
  <c r="L388" i="5" s="1"/>
  <c r="E31" i="4"/>
  <c r="E30" i="4"/>
  <c r="F11" i="7" l="1"/>
  <c r="F21" i="7" s="1"/>
  <c r="F30" i="4"/>
  <c r="G11" i="7"/>
  <c r="G21" i="7" s="1"/>
  <c r="F31" i="4"/>
  <c r="E11" i="7"/>
  <c r="E21" i="7" s="1"/>
  <c r="D11" i="7"/>
  <c r="D21" i="7" s="1"/>
  <c r="F23" i="7" l="1"/>
  <c r="G23" i="7"/>
  <c r="E23" i="7"/>
  <c r="D23" i="7"/>
  <c r="H12" i="7"/>
  <c r="H22" i="7" s="1"/>
  <c r="D32" i="4"/>
  <c r="H11" i="7" s="1"/>
  <c r="I11" i="7" l="1"/>
  <c r="I21" i="7" s="1"/>
  <c r="H21" i="7"/>
  <c r="H23" i="7" s="1"/>
  <c r="E32" i="4"/>
  <c r="F32" i="4" s="1"/>
  <c r="I12" i="7"/>
  <c r="I22" i="7" s="1"/>
  <c r="I23" i="7" l="1"/>
</calcChain>
</file>

<file path=xl/sharedStrings.xml><?xml version="1.0" encoding="utf-8"?>
<sst xmlns="http://schemas.openxmlformats.org/spreadsheetml/2006/main" count="639" uniqueCount="521">
  <si>
    <t>FMF</t>
  </si>
  <si>
    <t>Employee Name</t>
  </si>
  <si>
    <t>Sal &amp; Bnft/Hr</t>
  </si>
  <si>
    <t>Hourly Rate</t>
  </si>
  <si>
    <t>Leave Dist</t>
  </si>
  <si>
    <t>GS 01/01 estimated salary</t>
  </si>
  <si>
    <t>GS 01/05 estimated salary</t>
  </si>
  <si>
    <t>GS 01/10 estimated salary</t>
  </si>
  <si>
    <t>GS 02/01 estimated salary</t>
  </si>
  <si>
    <t>GS 02/05 estimated salary</t>
  </si>
  <si>
    <t>GS 02/10 estimated salary</t>
  </si>
  <si>
    <t>GS 03/01 estimated salary</t>
  </si>
  <si>
    <t>GS 03/05 estimated salary</t>
  </si>
  <si>
    <t>GS 03/10 estimated salary</t>
  </si>
  <si>
    <t>GS 04/01 estimated salary</t>
  </si>
  <si>
    <t>GS 04/05 estimated salary</t>
  </si>
  <si>
    <t>GS 04/10 estimated salary</t>
  </si>
  <si>
    <t>GS 05/01 estimated salary</t>
  </si>
  <si>
    <t>GS 05/05 estimated salary</t>
  </si>
  <si>
    <t>GS 05/10 estimated salary</t>
  </si>
  <si>
    <t>GS 06/01 estimated salary</t>
  </si>
  <si>
    <t>GS 06/05 estimated salary</t>
  </si>
  <si>
    <t>GS 06/10 estimated salary</t>
  </si>
  <si>
    <t>GS 07/01 estimated salary</t>
  </si>
  <si>
    <t>GS 07/05 estimated salary</t>
  </si>
  <si>
    <t>GS 07/10 estimated salary</t>
  </si>
  <si>
    <t>GS 08/01 estimated salary</t>
  </si>
  <si>
    <t>GS 08/05 estimated salary</t>
  </si>
  <si>
    <t>GS 08/10 estimated salary</t>
  </si>
  <si>
    <t>GS 09/01 estimated salary</t>
  </si>
  <si>
    <t>GS 09/05 estimated salary</t>
  </si>
  <si>
    <t>GS 09/10 estimated salary</t>
  </si>
  <si>
    <t>GS 10/01 estimated salary</t>
  </si>
  <si>
    <t>GS 10/05 estimated salary</t>
  </si>
  <si>
    <t>GS 10/10 estimated salary</t>
  </si>
  <si>
    <t>GS 11/01 estimated salary</t>
  </si>
  <si>
    <t>GS 11/05 estimated salary</t>
  </si>
  <si>
    <t>GS 11/10 estimated salary</t>
  </si>
  <si>
    <t>GS 12/01 estimated salary</t>
  </si>
  <si>
    <t>GS 12/05 estimated salary</t>
  </si>
  <si>
    <t>GS 12/10 estimated salary</t>
  </si>
  <si>
    <t>GS 13/01 estimated salary</t>
  </si>
  <si>
    <t>GS 13/05 estimated salary</t>
  </si>
  <si>
    <t>GS 13/10 estimated salary</t>
  </si>
  <si>
    <t>GS 14/01 estimated salary</t>
  </si>
  <si>
    <t>GS 14/05 estimated salary</t>
  </si>
  <si>
    <t>GS 14/10 estimated salary</t>
  </si>
  <si>
    <t>GS 15/01 estimated salary</t>
  </si>
  <si>
    <t>GS 15/05 estimated salary</t>
  </si>
  <si>
    <t>GS 15/10 estimated salary</t>
  </si>
  <si>
    <t>LV_Proj</t>
  </si>
  <si>
    <t>Hourly Total</t>
  </si>
  <si>
    <t>Task</t>
  </si>
  <si>
    <t>Reduced</t>
  </si>
  <si>
    <t>Type</t>
  </si>
  <si>
    <t>Rate</t>
  </si>
  <si>
    <t>ExpCategory</t>
  </si>
  <si>
    <t>Travel</t>
  </si>
  <si>
    <t>Shipping</t>
  </si>
  <si>
    <t>Communications</t>
  </si>
  <si>
    <t>Printing</t>
  </si>
  <si>
    <t>Supplies</t>
  </si>
  <si>
    <t>Equipment</t>
  </si>
  <si>
    <t>Contracts</t>
  </si>
  <si>
    <t>Training</t>
  </si>
  <si>
    <t>Utilities</t>
  </si>
  <si>
    <t>Total (Net)</t>
  </si>
  <si>
    <t>Coop Full</t>
  </si>
  <si>
    <t>Full</t>
  </si>
  <si>
    <t>Overtime</t>
  </si>
  <si>
    <t>Appropriated</t>
  </si>
  <si>
    <t>Reimbursable</t>
  </si>
  <si>
    <t>Coop G&amp;S</t>
  </si>
  <si>
    <t>Appropriated G&amp;S</t>
  </si>
  <si>
    <t>Fiscal Year</t>
  </si>
  <si>
    <t>Inflator</t>
  </si>
  <si>
    <t>Employee Name/Expense Category</t>
  </si>
  <si>
    <t>This is the End of this Sheet</t>
  </si>
  <si>
    <t>Column Labels</t>
  </si>
  <si>
    <t>(blank)</t>
  </si>
  <si>
    <t>Grand Total</t>
  </si>
  <si>
    <t>Row Labels</t>
  </si>
  <si>
    <t>Suballocation</t>
  </si>
  <si>
    <t>Total (Gross)</t>
  </si>
  <si>
    <t>Drilling (G&amp;S)</t>
  </si>
  <si>
    <t>HIF Rentals (G&amp;S)</t>
  </si>
  <si>
    <t>Hours</t>
  </si>
  <si>
    <t>Expense</t>
  </si>
  <si>
    <t>AppropriatedFull</t>
  </si>
  <si>
    <t>AppropriatedReduced</t>
  </si>
  <si>
    <t>Notes:</t>
  </si>
  <si>
    <t>Overhead</t>
  </si>
  <si>
    <t>Funding Source</t>
  </si>
  <si>
    <t>Coop Full (Match)</t>
  </si>
  <si>
    <t>Sum of Total (Gross)</t>
  </si>
  <si>
    <t>Coop Sub-Total</t>
  </si>
  <si>
    <t>USGS Sub-Total</t>
  </si>
  <si>
    <t xml:space="preserve">Project Type:  </t>
  </si>
  <si>
    <t xml:space="preserve">Budget Analyst:  </t>
  </si>
  <si>
    <t xml:space="preserve">Project Chief:  </t>
  </si>
  <si>
    <t>Funding by Fiscal Year:</t>
  </si>
  <si>
    <t>Funding Totals:</t>
  </si>
  <si>
    <t>Project Data:</t>
  </si>
  <si>
    <t>Totals</t>
  </si>
  <si>
    <t>Budget Analysts</t>
  </si>
  <si>
    <t>Irene Rios</t>
  </si>
  <si>
    <t>Nancy Mora</t>
  </si>
  <si>
    <t>Tamara Seubert</t>
  </si>
  <si>
    <t>Victoria Wu</t>
  </si>
  <si>
    <t>Janee Heitt</t>
  </si>
  <si>
    <t>New Coop</t>
  </si>
  <si>
    <t>New FMF</t>
  </si>
  <si>
    <t>Ratio</t>
  </si>
  <si>
    <t>JFA Funding</t>
  </si>
  <si>
    <t>New Rate</t>
  </si>
  <si>
    <t>Sum of Total (Net)</t>
  </si>
  <si>
    <t xml:space="preserve">Project Name:  </t>
  </si>
  <si>
    <t xml:space="preserve">Budget Date:  </t>
  </si>
  <si>
    <t>Comment</t>
  </si>
  <si>
    <t>Vehicles</t>
  </si>
  <si>
    <t>Fuel</t>
  </si>
  <si>
    <t>Marina Sediment Lab</t>
  </si>
  <si>
    <t>NWQL Lab Analyses (G&amp;S)</t>
  </si>
  <si>
    <t>NWQL Supplies (G&amp;S)</t>
  </si>
  <si>
    <t>Agozino, Joshua</t>
  </si>
  <si>
    <t>Alkayssi, Sarmad</t>
  </si>
  <si>
    <t>Alkayssi, Susan</t>
  </si>
  <si>
    <t>Alpers, Charles</t>
  </si>
  <si>
    <t>Anders, Robert</t>
  </si>
  <si>
    <t>Anderson, Frank</t>
  </si>
  <si>
    <t>Apo, Travis</t>
  </si>
  <si>
    <t>Avery, Robert</t>
  </si>
  <si>
    <t>Ayers, David</t>
  </si>
  <si>
    <t>Bardaro, Adam</t>
  </si>
  <si>
    <t>Barry, Zachary</t>
  </si>
  <si>
    <t>Bartley, Michael</t>
  </si>
  <si>
    <t>Baynham, Owen</t>
  </si>
  <si>
    <t>Bazar, Kevin</t>
  </si>
  <si>
    <t>Bennett, George</t>
  </si>
  <si>
    <t>Bennett, Peter</t>
  </si>
  <si>
    <t>Bergamaschi, Brian</t>
  </si>
  <si>
    <t>Blake, Aaron</t>
  </si>
  <si>
    <t>Boyce, Scott</t>
  </si>
  <si>
    <t>Brandt, Justin</t>
  </si>
  <si>
    <t>Brewster, Gregory</t>
  </si>
  <si>
    <t>Brockner, Susan</t>
  </si>
  <si>
    <t>Brown, Anthony</t>
  </si>
  <si>
    <t>Brown, Larry</t>
  </si>
  <si>
    <t>Brushchenko, Daniel</t>
  </si>
  <si>
    <t>Buchanan, Paul</t>
  </si>
  <si>
    <t>Burau, Jon</t>
  </si>
  <si>
    <t>Burow, Karen</t>
  </si>
  <si>
    <t>Burton, Carmen</t>
  </si>
  <si>
    <t>Caldwell, Louis</t>
  </si>
  <si>
    <t>Caledonis, Jonathan</t>
  </si>
  <si>
    <t>Cannarozzi, Louis</t>
  </si>
  <si>
    <t>Carlson, David</t>
  </si>
  <si>
    <t>Castro, Richard</t>
  </si>
  <si>
    <t>Christensen, Allen</t>
  </si>
  <si>
    <t>Clark, Dennis</t>
  </si>
  <si>
    <t>Clark, Jeremy</t>
  </si>
  <si>
    <t>Cliffe, Timothy</t>
  </si>
  <si>
    <t>Courtney, Tracy</t>
  </si>
  <si>
    <t>Crawford, Steven</t>
  </si>
  <si>
    <t>Crepeau, Kathryn</t>
  </si>
  <si>
    <t>Crilley, Dianne</t>
  </si>
  <si>
    <t>Cromwell, Geoffrey</t>
  </si>
  <si>
    <t>Curry, Debra</t>
  </si>
  <si>
    <t>Curtis, Jennifer</t>
  </si>
  <si>
    <t>Cyr, Bruce</t>
  </si>
  <si>
    <t>Danskin, Wesley</t>
  </si>
  <si>
    <t>Davault, Matthew</t>
  </si>
  <si>
    <t>Davidek, Karl</t>
  </si>
  <si>
    <t>Davis, Tracy</t>
  </si>
  <si>
    <t>Denn, Gregory</t>
  </si>
  <si>
    <t>Densmore-Judy, Jill</t>
  </si>
  <si>
    <t>Deparsia, Matthew</t>
  </si>
  <si>
    <t>Domagalski, Joseph</t>
  </si>
  <si>
    <t>Donovan, John</t>
  </si>
  <si>
    <t>Downing, Bryan</t>
  </si>
  <si>
    <t>Downing-Kunz, Maureen</t>
  </si>
  <si>
    <t>Drexler, Judith</t>
  </si>
  <si>
    <t>Eman, Jeffrey</t>
  </si>
  <si>
    <t>Everett, Rhett</t>
  </si>
  <si>
    <t>Faunt, Claudia</t>
  </si>
  <si>
    <t>Ferguson, Jon</t>
  </si>
  <si>
    <t>Feyrer, Frederick</t>
  </si>
  <si>
    <t>Fleck, Jacob</t>
  </si>
  <si>
    <t>Flint, Lorraine</t>
  </si>
  <si>
    <t>Foster, Joshua</t>
  </si>
  <si>
    <t>Fram, Miranda</t>
  </si>
  <si>
    <t>Fuller, D'An</t>
  </si>
  <si>
    <t>Gannon, Riley</t>
  </si>
  <si>
    <t>Goldrath, Dara</t>
  </si>
  <si>
    <t>Grant, Joseph</t>
  </si>
  <si>
    <t>Groover, Krishangi</t>
  </si>
  <si>
    <t>Guerriero, Tony</t>
  </si>
  <si>
    <t>Hamilton, Stephanie</t>
  </si>
  <si>
    <t>Hansen, Angela</t>
  </si>
  <si>
    <t>Hansen, Jeffrey</t>
  </si>
  <si>
    <t>Hart, John</t>
  </si>
  <si>
    <t>Hennagan, Jack</t>
  </si>
  <si>
    <t>Henz, Glenn</t>
  </si>
  <si>
    <t>Hevesi, Joseph</t>
  </si>
  <si>
    <t>Hiett, Janee</t>
  </si>
  <si>
    <t>Hiett, Travis</t>
  </si>
  <si>
    <t>Hladik, Michelle</t>
  </si>
  <si>
    <t>Honeywell, Paul</t>
  </si>
  <si>
    <t>House, Sally</t>
  </si>
  <si>
    <t>Houston, Ernest</t>
  </si>
  <si>
    <t>Howle, James</t>
  </si>
  <si>
    <t>Huddleston, Stephen</t>
  </si>
  <si>
    <t>Huddlestonadrianza, Chany</t>
  </si>
  <si>
    <t>Izbicki, John</t>
  </si>
  <si>
    <t>Jarvis, Jason</t>
  </si>
  <si>
    <t>Johnson, Joshua</t>
  </si>
  <si>
    <t>Johnson, Tyler</t>
  </si>
  <si>
    <t>Jurgens, Bryant</t>
  </si>
  <si>
    <t>Kent, Robert</t>
  </si>
  <si>
    <t>Kitchen, Jeffrey</t>
  </si>
  <si>
    <t>Kjos, Adam</t>
  </si>
  <si>
    <t>Koczot, Kathryn</t>
  </si>
  <si>
    <t>Kondratowicz, Derek</t>
  </si>
  <si>
    <t>Kordiak, Travis</t>
  </si>
  <si>
    <t>Kragenbrink, Derek</t>
  </si>
  <si>
    <t>Kraus, Tamara</t>
  </si>
  <si>
    <t>Kreun, Karen</t>
  </si>
  <si>
    <t>Kulongoski, Justin</t>
  </si>
  <si>
    <t>Kumar, Ronish</t>
  </si>
  <si>
    <t>Land, Michael</t>
  </si>
  <si>
    <t>Landon, Matthew</t>
  </si>
  <si>
    <t>Leininger, Robert</t>
  </si>
  <si>
    <t>Lindbloom, Eric</t>
  </si>
  <si>
    <t>Lopez, Joan</t>
  </si>
  <si>
    <t>Low, Stephen</t>
  </si>
  <si>
    <t>Lukas, William</t>
  </si>
  <si>
    <t>Lutwack, Gregory</t>
  </si>
  <si>
    <t>Manzi, Heather</t>
  </si>
  <si>
    <t>Marineau, Mathieu</t>
  </si>
  <si>
    <t>Martin, Donald</t>
  </si>
  <si>
    <t>Mathany, Timothy</t>
  </si>
  <si>
    <t>Matsukawa, Sheila</t>
  </si>
  <si>
    <t>May, Jason</t>
  </si>
  <si>
    <t>Mccomb, William</t>
  </si>
  <si>
    <t>Mcdowell, Taylor</t>
  </si>
  <si>
    <t>Mcghee, Douglas</t>
  </si>
  <si>
    <t>Mchugh, Jeremy</t>
  </si>
  <si>
    <t>Mcnamara, Bernard</t>
  </si>
  <si>
    <t>Mcpherson, Kelly</t>
  </si>
  <si>
    <t>Mendez, Gregory</t>
  </si>
  <si>
    <t>Metzger, Loren</t>
  </si>
  <si>
    <t>Mora, Nancy</t>
  </si>
  <si>
    <t>Morgan, Tara</t>
  </si>
  <si>
    <t>Morita, Andrew</t>
  </si>
  <si>
    <t>Mueller-Solger, Anke</t>
  </si>
  <si>
    <t>Muheim, Carl</t>
  </si>
  <si>
    <t>Munday, Cathy</t>
  </si>
  <si>
    <t>Nakamura, Tyler</t>
  </si>
  <si>
    <t>Nawikas, Joseph</t>
  </si>
  <si>
    <t>Nelson, James</t>
  </si>
  <si>
    <t>Newby, Jonathan</t>
  </si>
  <si>
    <t>Nishikawa, Tracy</t>
  </si>
  <si>
    <t>Norman, Julia</t>
  </si>
  <si>
    <t>Nowell, Lisa</t>
  </si>
  <si>
    <t>Obstaculo, Rodolfo</t>
  </si>
  <si>
    <t>O'Donnell, Katy</t>
  </si>
  <si>
    <t>Ohalloran, Denis</t>
  </si>
  <si>
    <t>O'Leary, David</t>
  </si>
  <si>
    <t>Oneil, Christine</t>
  </si>
  <si>
    <t>O'Neil, Trevor</t>
  </si>
  <si>
    <t>Orlando, James</t>
  </si>
  <si>
    <t>Orlando, Patricia</t>
  </si>
  <si>
    <t>Parker, David</t>
  </si>
  <si>
    <t>Parvin, Edmund</t>
  </si>
  <si>
    <t>Patterson, Robert</t>
  </si>
  <si>
    <t>Paulinski, Scott</t>
  </si>
  <si>
    <t>Pepin, Sean</t>
  </si>
  <si>
    <t>Peterson, Milissa</t>
  </si>
  <si>
    <t>Phillips, Steven</t>
  </si>
  <si>
    <t>Popkin, Cameron</t>
  </si>
  <si>
    <t>Pratt, David</t>
  </si>
  <si>
    <t>Predmore, Steven</t>
  </si>
  <si>
    <t>Price, Brett</t>
  </si>
  <si>
    <t>Reed, Timothy</t>
  </si>
  <si>
    <t>Reichard, Eric</t>
  </si>
  <si>
    <t>Rendon, Robert</t>
  </si>
  <si>
    <t>Richter-Mathany, Lolomi</t>
  </si>
  <si>
    <t>Rios, Irene</t>
  </si>
  <si>
    <t>Roberts, William</t>
  </si>
  <si>
    <t>Rogers, Laurel</t>
  </si>
  <si>
    <t>Rosecrans, Celia</t>
  </si>
  <si>
    <t>Rosenberg, Craig</t>
  </si>
  <si>
    <t>Ruhl, Catherine</t>
  </si>
  <si>
    <t>Runion, Michael</t>
  </si>
  <si>
    <t>Saleh, Dina</t>
  </si>
  <si>
    <t>Sanders, Corey</t>
  </si>
  <si>
    <t>Schmer, Megan</t>
  </si>
  <si>
    <t>Schmitt, Stephen</t>
  </si>
  <si>
    <t>Scott, Melissa</t>
  </si>
  <si>
    <t>Seubert, Tamara</t>
  </si>
  <si>
    <t>Seymour, Whitney</t>
  </si>
  <si>
    <t>Shelton, Jennifer</t>
  </si>
  <si>
    <t>Smith, Gregory</t>
  </si>
  <si>
    <t>Sneed, Michelle</t>
  </si>
  <si>
    <t>Soeder, Norman</t>
  </si>
  <si>
    <t>Stamos-Pfeiffer, Christina</t>
  </si>
  <si>
    <t>Stanko, Zachary</t>
  </si>
  <si>
    <t>Stern, Michelle</t>
  </si>
  <si>
    <t>Stork, Sylvia</t>
  </si>
  <si>
    <t>Stumpf, Kimball</t>
  </si>
  <si>
    <t>Stumpner, Elizabeth</t>
  </si>
  <si>
    <t>Tait, Richard</t>
  </si>
  <si>
    <t>Taylor, Kimberly</t>
  </si>
  <si>
    <t>Teague, Nicholas</t>
  </si>
  <si>
    <t>Traum, Jonathan</t>
  </si>
  <si>
    <t>Trent, Cory</t>
  </si>
  <si>
    <t>Vallee, Christopher</t>
  </si>
  <si>
    <t>Vandenbranden, Norbert</t>
  </si>
  <si>
    <t>Violette, Trevor</t>
  </si>
  <si>
    <t>Voss, Stefan</t>
  </si>
  <si>
    <t>Watson, Andrew</t>
  </si>
  <si>
    <t>West, Michael</t>
  </si>
  <si>
    <t>Wood, Jessica</t>
  </si>
  <si>
    <t>Woolfenden, Linda</t>
  </si>
  <si>
    <t>Work, Paul</t>
  </si>
  <si>
    <t>Wright, Michael</t>
  </si>
  <si>
    <t>Wright, Scott</t>
  </si>
  <si>
    <t>Wu, Victoria</t>
  </si>
  <si>
    <t>Wulff, Marissa</t>
  </si>
  <si>
    <t>Yancey, David</t>
  </si>
  <si>
    <t>OT/Hr</t>
  </si>
  <si>
    <t>OT Indicator</t>
  </si>
  <si>
    <t>Yes</t>
  </si>
  <si>
    <t>No</t>
  </si>
  <si>
    <t>OT Ind</t>
  </si>
  <si>
    <t>Bond, Sandra</t>
  </si>
  <si>
    <t>Davis, Thomas</t>
  </si>
  <si>
    <t>Dick, Meghan</t>
  </si>
  <si>
    <t>Holaway, Neil</t>
  </si>
  <si>
    <t>Johnston, Thomas</t>
  </si>
  <si>
    <t>Keller, Sierra</t>
  </si>
  <si>
    <t>Mccarlson, Anthony</t>
  </si>
  <si>
    <t>Seitz, Neil</t>
  </si>
  <si>
    <t>Wagner, Jennifer</t>
  </si>
  <si>
    <t>California Application for Science Budgeting (CASH)</t>
  </si>
  <si>
    <t>Max Annual FMF</t>
  </si>
  <si>
    <t>Max Pilot FMF</t>
  </si>
  <si>
    <t>Einhell, Darin</t>
  </si>
  <si>
    <t>Engott, John</t>
  </si>
  <si>
    <t>Etheridge, Alexandra</t>
  </si>
  <si>
    <t>Gosselink, Sharon</t>
  </si>
  <si>
    <t>Griggs, Amaryl</t>
  </si>
  <si>
    <t>Hartman, Matthew</t>
  </si>
  <si>
    <t>Henson, Wesley</t>
  </si>
  <si>
    <t>Johnson, Ryan</t>
  </si>
  <si>
    <t>Kammel, Leah</t>
  </si>
  <si>
    <t>Larsen, Joshua</t>
  </si>
  <si>
    <t>Lee, Michael</t>
  </si>
  <si>
    <t>Lopez, Gabriel</t>
  </si>
  <si>
    <t>Mesmer, Ryan</t>
  </si>
  <si>
    <t>Nakatsuka, Kyle</t>
  </si>
  <si>
    <t>Rose, Shanna</t>
  </si>
  <si>
    <t>•</t>
  </si>
  <si>
    <t>Report all bugs to Glenn Henz (ghenz@usgs.gov).</t>
  </si>
  <si>
    <t>Joint Funding Agreement (JFA) - This option calculates matching funds at the current default rate and applies the combined OH rate for reimbursable and appropriated funds.</t>
  </si>
  <si>
    <t>Pilot JFA - This option calculates matching funds at the current pilot rate and applies the combined OH rate for reimbursable and appropriated funds.</t>
  </si>
  <si>
    <t>Reimbursable - This option calculates the OH rate for reimbursable only funds.</t>
  </si>
  <si>
    <t>Appropriated - This option calculates the OH rate for appropriated only funds.</t>
  </si>
  <si>
    <t>Overhead - This option excludes OH and it net only.</t>
  </si>
  <si>
    <t>CAWSC Budget Form (CASH) Help</t>
  </si>
  <si>
    <t>CAWSC Budget Form (CASH) Changelog &amp; Planned Enhancements</t>
  </si>
  <si>
    <t>Continued Improvement of the Help documentation</t>
  </si>
  <si>
    <t>Reminder on pivot sheets to 'Refresh' data</t>
  </si>
  <si>
    <t>Change reference from FMF to CMF</t>
  </si>
  <si>
    <t>Update CMF rate to current policy</t>
  </si>
  <si>
    <t>Funding Sheet:</t>
  </si>
  <si>
    <r>
      <t xml:space="preserve">Update </t>
    </r>
    <r>
      <rPr>
        <b/>
        <sz val="11"/>
        <color theme="1"/>
        <rFont val="Calibri"/>
        <family val="2"/>
        <scheme val="minor"/>
      </rPr>
      <t xml:space="preserve">Project Type, </t>
    </r>
    <r>
      <rPr>
        <sz val="11"/>
        <color theme="1"/>
        <rFont val="Calibri"/>
        <family val="2"/>
        <scheme val="minor"/>
      </rPr>
      <t>which is used to determine the Overhead (OH) rate(s) to apply.</t>
    </r>
  </si>
  <si>
    <r>
      <t xml:space="preserve">If project is a JFA or Pilot JFA, application of matching funds is automatically set to the default rate, which can be overridden by typing a new figure into the applicable </t>
    </r>
    <r>
      <rPr>
        <b/>
        <sz val="11"/>
        <color theme="1"/>
        <rFont val="Microsoft Sans Serif"/>
        <family val="2"/>
      </rPr>
      <t>CMF (Manual)</t>
    </r>
    <r>
      <rPr>
        <sz val="11"/>
        <color theme="1"/>
        <rFont val="Microsoft Sans Serif"/>
        <family val="2"/>
      </rPr>
      <t xml:space="preserve"> cell</t>
    </r>
    <r>
      <rPr>
        <sz val="11"/>
        <color theme="1"/>
        <rFont val="Microsoft Sans Serif"/>
        <family val="2"/>
      </rPr>
      <t>.</t>
    </r>
  </si>
  <si>
    <t>Expenses Sheet:</t>
  </si>
  <si>
    <r>
      <rPr>
        <b/>
        <sz val="11"/>
        <color theme="1"/>
        <rFont val="Calibri"/>
        <family val="2"/>
        <scheme val="minor"/>
      </rPr>
      <t>Employee Name/Expenses Category</t>
    </r>
    <r>
      <rPr>
        <sz val="11"/>
        <color theme="1"/>
        <rFont val="Calibri"/>
        <family val="2"/>
        <scheme val="minor"/>
      </rPr>
      <t xml:space="preserve"> - a dropdown, which contains 1) CAWSC employee names, 2) Generic rates by Grade/Step, and 3) expenses categories</t>
    </r>
  </si>
  <si>
    <r>
      <rPr>
        <b/>
        <sz val="11"/>
        <color theme="1"/>
        <rFont val="Calibri"/>
        <family val="2"/>
        <scheme val="minor"/>
      </rPr>
      <t>Task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Task Name</t>
    </r>
    <r>
      <rPr>
        <sz val="11"/>
        <color theme="1"/>
        <rFont val="Calibri"/>
        <family val="2"/>
        <scheme val="minor"/>
      </rPr>
      <t>: Enter as uniformly as possible to allow for better grouping in the pivot tables.</t>
    </r>
  </si>
  <si>
    <t>Complete each cell with the applicable information, depending on the type of expenses certain cells will be unavailable for use.</t>
  </si>
  <si>
    <r>
      <rPr>
        <b/>
        <sz val="11"/>
        <color theme="1"/>
        <rFont val="Calibri"/>
        <family val="2"/>
        <scheme val="minor"/>
      </rPr>
      <t>Fiscal Year</t>
    </r>
    <r>
      <rPr>
        <sz val="11"/>
        <color theme="1"/>
        <rFont val="Calibri"/>
        <family val="2"/>
        <scheme val="minor"/>
      </rPr>
      <t xml:space="preserve"> - Select from the drop down.  Each future FY is inflated by 3%.</t>
    </r>
  </si>
  <si>
    <r>
      <rPr>
        <b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 - For labor only, enter the required project hours. </t>
    </r>
  </si>
  <si>
    <r>
      <rPr>
        <b/>
        <sz val="11"/>
        <color theme="1"/>
        <rFont val="Calibri"/>
        <family val="2"/>
        <scheme val="minor"/>
      </rPr>
      <t>OT Flag</t>
    </r>
    <r>
      <rPr>
        <sz val="11"/>
        <color theme="1"/>
        <rFont val="Calibri"/>
        <family val="2"/>
        <scheme val="minor"/>
      </rPr>
      <t xml:space="preserve"> - Select Yes if hours will be overtime (figures are estimates).</t>
    </r>
  </si>
  <si>
    <r>
      <rPr>
        <b/>
        <sz val="11"/>
        <color theme="1"/>
        <rFont val="Calibri"/>
        <family val="2"/>
        <scheme val="minor"/>
      </rPr>
      <t>Expenses</t>
    </r>
    <r>
      <rPr>
        <sz val="11"/>
        <color theme="1"/>
        <rFont val="Calibri"/>
        <family val="2"/>
        <scheme val="minor"/>
      </rPr>
      <t xml:space="preserve"> - Enter your estimated expenses for non-labor categories.</t>
    </r>
  </si>
  <si>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Hourly Total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Leave Dist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Total (Net)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Total (Gross)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are calculated fields.</t>
    </r>
  </si>
  <si>
    <r>
      <rPr>
        <b/>
        <sz val="11"/>
        <color theme="1"/>
        <rFont val="Calibri"/>
        <family val="2"/>
        <scheme val="minor"/>
      </rPr>
      <t>Comments</t>
    </r>
    <r>
      <rPr>
        <sz val="11"/>
        <color theme="1"/>
        <rFont val="Calibri"/>
        <family val="2"/>
        <scheme val="minor"/>
      </rPr>
      <t xml:space="preserve"> - Enter any specific notes not contained elsewhere.</t>
    </r>
  </si>
  <si>
    <t>This workbook is formula driven, be sure formulas are set to calculate automatically or you regularly calculate manually.</t>
  </si>
  <si>
    <r>
      <rPr>
        <b/>
        <sz val="11"/>
        <color theme="1"/>
        <rFont val="Microsoft Sans Serif"/>
        <family val="2"/>
      </rPr>
      <t>Pvt_Gross_Exp</t>
    </r>
    <r>
      <rPr>
        <sz val="11"/>
        <color theme="1"/>
        <rFont val="Microsoft Sans Serif"/>
        <family val="2"/>
      </rPr>
      <t xml:space="preserve"> and </t>
    </r>
    <r>
      <rPr>
        <b/>
        <sz val="11"/>
        <color theme="1"/>
        <rFont val="Microsoft Sans Serif"/>
        <family val="2"/>
      </rPr>
      <t>Pvt_Net_Exp</t>
    </r>
    <r>
      <rPr>
        <sz val="11"/>
        <color theme="1"/>
        <rFont val="Microsoft Sans Serif"/>
        <family val="2"/>
      </rPr>
      <t xml:space="preserve">: Pivot tables which are available to generat budget sheets from the data entered in the previous sections.  Be sure to </t>
    </r>
    <r>
      <rPr>
        <b/>
        <sz val="11"/>
        <color theme="1"/>
        <rFont val="Microsoft Sans Serif"/>
        <family val="2"/>
      </rPr>
      <t>Refresh</t>
    </r>
    <r>
      <rPr>
        <sz val="11"/>
        <color theme="1"/>
        <rFont val="Microsoft Sans Serif"/>
        <family val="2"/>
      </rPr>
      <t xml:space="preserve"> the pivot to ensure the tables are accurate.</t>
    </r>
  </si>
  <si>
    <t>Task Name</t>
  </si>
  <si>
    <t>CMF</t>
  </si>
  <si>
    <t>REFRESH PIVOT TABLE TO SHOW/UPDATE DATA</t>
  </si>
  <si>
    <t>Completed</t>
  </si>
  <si>
    <t>3.10.16</t>
  </si>
  <si>
    <t>Add Task Name to allow for enhanced data manipulation</t>
  </si>
  <si>
    <t>Pilot JFA (20%)</t>
  </si>
  <si>
    <t>JFA (10%)</t>
  </si>
  <si>
    <t>4.21.16</t>
  </si>
  <si>
    <t>Updated Labor Rates</t>
  </si>
  <si>
    <t>Added Archive CMF (30%) auto calc</t>
  </si>
  <si>
    <t>Egler, Amanda</t>
  </si>
  <si>
    <t>Patton, Oliver</t>
  </si>
  <si>
    <t>Ward, Alfred</t>
  </si>
  <si>
    <t>Clark, Ethan</t>
  </si>
  <si>
    <t>Gross, Michael</t>
  </si>
  <si>
    <t>7.13.16</t>
  </si>
  <si>
    <t>Updated rates and tables for FY17</t>
  </si>
  <si>
    <t>8.10.16</t>
  </si>
  <si>
    <t>Alzraiee, Ayman</t>
  </si>
  <si>
    <t>Barry, Peter</t>
  </si>
  <si>
    <t>Chivars, Toussaint</t>
  </si>
  <si>
    <t>Delascagigas, Ayelet</t>
  </si>
  <si>
    <t>Kohel, Christopher</t>
  </si>
  <si>
    <t>Livsey, Daniel</t>
  </si>
  <si>
    <t>Lor, Vong</t>
  </si>
  <si>
    <t>Mcgregor, Adelia</t>
  </si>
  <si>
    <t>Young, Matthew</t>
  </si>
  <si>
    <t>Zelt, Ronald</t>
  </si>
  <si>
    <t>Updated rates for FY17 and removed FY17 inflation value.</t>
  </si>
  <si>
    <t>10.27.16</t>
  </si>
  <si>
    <t>Griffiths, Brittany</t>
  </si>
  <si>
    <t>Gusto, Emerson</t>
  </si>
  <si>
    <t>Larwood, Veronica</t>
  </si>
  <si>
    <t>Steinke, Dennis</t>
  </si>
  <si>
    <t>OT Rate</t>
  </si>
  <si>
    <t>Updated rates to include 2017 COLA</t>
  </si>
  <si>
    <t>2.1.17</t>
  </si>
  <si>
    <t>HIF Special Orders (G&amp;S)</t>
  </si>
  <si>
    <t>2.10.17</t>
  </si>
  <si>
    <t>Updated to include category for HIF Special Orders (G&amp;S)</t>
  </si>
  <si>
    <t>Clause, Justin</t>
  </si>
  <si>
    <t>Conlen, Anna</t>
  </si>
  <si>
    <t>Davies, Gwendolyn</t>
  </si>
  <si>
    <t>Penisten, David</t>
  </si>
  <si>
    <t>Tinguely, Charles</t>
  </si>
  <si>
    <t>Warden, John</t>
  </si>
  <si>
    <t>Updated rates</t>
  </si>
  <si>
    <t>4.13.17</t>
  </si>
  <si>
    <t>Stephens, Michael</t>
  </si>
  <si>
    <t>7.10.17</t>
  </si>
  <si>
    <t>Updated rates and tables for FY18</t>
  </si>
  <si>
    <t>10.5.2017</t>
  </si>
  <si>
    <t>10.6.17</t>
  </si>
  <si>
    <t>Arroyo-Lopez, Jose</t>
  </si>
  <si>
    <t>Balkan, Mariia</t>
  </si>
  <si>
    <t>Burau, Dylan</t>
  </si>
  <si>
    <t>Enos, Ethan</t>
  </si>
  <si>
    <t>Jasper, Monica</t>
  </si>
  <si>
    <t>Koepke, James</t>
  </si>
  <si>
    <t>Mcvey, Connor</t>
  </si>
  <si>
    <t>Reeves, Edward</t>
  </si>
  <si>
    <t>Rodriguez, Olga</t>
  </si>
  <si>
    <t>Ackley, Harry</t>
  </si>
  <si>
    <t>Ancheta, Derick</t>
  </si>
  <si>
    <t>Berrios, Sydney</t>
  </si>
  <si>
    <t>Chabot, Curtis</t>
  </si>
  <si>
    <t>Deparsia, Erica</t>
  </si>
  <si>
    <t>Earll, Marisa</t>
  </si>
  <si>
    <t>Fenton, Nicole</t>
  </si>
  <si>
    <t>Gereghty, Kevin</t>
  </si>
  <si>
    <t>Gurule, Rikki</t>
  </si>
  <si>
    <t>Hitchen, Diana</t>
  </si>
  <si>
    <t>Kathan, Jessica</t>
  </si>
  <si>
    <t>Soldavini, Andrew</t>
  </si>
  <si>
    <t>Vigil, Christopher</t>
  </si>
  <si>
    <t>2.2.18</t>
  </si>
  <si>
    <t>Removed Archive JFA Match Rate of 30%</t>
  </si>
  <si>
    <t>4.2.18</t>
  </si>
  <si>
    <t>Chartier, Christopher</t>
  </si>
  <si>
    <t>Cortez, Rocio</t>
  </si>
  <si>
    <t>Dixon, Joseph</t>
  </si>
  <si>
    <t>Eikenbary, Steven</t>
  </si>
  <si>
    <t>Ely, Christopher</t>
  </si>
  <si>
    <t>Gelber, Alan</t>
  </si>
  <si>
    <t>Hatfield, Joseph</t>
  </si>
  <si>
    <t>Inc, Mark</t>
  </si>
  <si>
    <t>Jimenez, Angel</t>
  </si>
  <si>
    <t>Johnson, Brooke</t>
  </si>
  <si>
    <t>Johnson, Emily</t>
  </si>
  <si>
    <t>Ledbetter, Brandon</t>
  </si>
  <si>
    <t>Mattinglygilbert, Carrie</t>
  </si>
  <si>
    <t>Saleen, William</t>
  </si>
  <si>
    <t>Watne, Sean</t>
  </si>
  <si>
    <t>Watson, Elise</t>
  </si>
  <si>
    <t>5.14.18</t>
  </si>
  <si>
    <t>Updated CMF calculation to increase accuracy</t>
  </si>
  <si>
    <t>6.5.18</t>
  </si>
  <si>
    <t>Correct gross calculation on Expenses tab</t>
  </si>
  <si>
    <t>Ahmed, Quratulain</t>
  </si>
  <si>
    <t>Bernal, Johnpaul</t>
  </si>
  <si>
    <t>Bobbitt, Maryanne</t>
  </si>
  <si>
    <t>Borkovich, Joseph</t>
  </si>
  <si>
    <t>Burns, Daniel</t>
  </si>
  <si>
    <t>Deblock, Coleman</t>
  </si>
  <si>
    <t>Derose, James</t>
  </si>
  <si>
    <t>Duncan, Tosha</t>
  </si>
  <si>
    <t>Galloway, Devin</t>
  </si>
  <si>
    <t>Gao, Yinsong</t>
  </si>
  <si>
    <t>Glass, Ben</t>
  </si>
  <si>
    <t>Hart, David</t>
  </si>
  <si>
    <t>Hornbostel, Joseph</t>
  </si>
  <si>
    <t>Marcusa, Jessica</t>
  </si>
  <si>
    <t>Marvel, Jason</t>
  </si>
  <si>
    <t>Olds, Marc</t>
  </si>
  <si>
    <t>Oliphant, Edward</t>
  </si>
  <si>
    <t>Payne, Jason</t>
  </si>
  <si>
    <t>Porter, Michael</t>
  </si>
  <si>
    <t>Purdy, Jonathan</t>
  </si>
  <si>
    <t>Rabas, Henry</t>
  </si>
  <si>
    <t>Stumpner, Paul</t>
  </si>
  <si>
    <t>Thomas, Jonathan</t>
  </si>
  <si>
    <t>Wallace, David</t>
  </si>
  <si>
    <t>Ward, Laurel</t>
  </si>
  <si>
    <t>Watson, Kara</t>
  </si>
  <si>
    <t>Williams, Jacob</t>
  </si>
  <si>
    <t>9.14.18</t>
  </si>
  <si>
    <t>Updated employee rates</t>
  </si>
  <si>
    <t>Updated FY19 overhead</t>
  </si>
  <si>
    <t>Updated sheet to range FY19-FY23</t>
  </si>
  <si>
    <t>Dina Saleh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</si>
</sst>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0%"/>
    <numFmt numFmtId="166" formatCode="_(* #,##0.000000_);_(* \(#,##0.000000\);_(* &quot;-&quot;??_);_(@_)"/>
    <numFmt numFmtId="167" formatCode="0.000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2"/>
      <color theme="3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mediumGray"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Protection="1">
      <protection locked="0"/>
    </xf>
    <xf numFmtId="43" fontId="0" fillId="0" borderId="0" xfId="1" applyNumberFormat="1" applyFont="1" applyProtection="1">
      <protection locked="0"/>
    </xf>
    <xf numFmtId="43" fontId="0" fillId="0" borderId="0" xfId="0" applyNumberFormat="1" applyProtection="1">
      <protection locked="0"/>
    </xf>
    <xf numFmtId="0" fontId="0" fillId="0" borderId="0" xfId="0" applyProtection="1">
      <protection hidden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2" borderId="0" xfId="0" applyFont="1" applyFill="1" applyAlignment="1" applyProtection="1">
      <protection locked="0"/>
    </xf>
    <xf numFmtId="0" fontId="2" fillId="0" borderId="2" xfId="0" applyFont="1" applyBorder="1" applyProtection="1">
      <protection locked="0"/>
    </xf>
    <xf numFmtId="0" fontId="2" fillId="0" borderId="2" xfId="0" applyFont="1" applyFill="1" applyBorder="1" applyProtection="1">
      <protection locked="0"/>
    </xf>
    <xf numFmtId="4" fontId="0" fillId="3" borderId="0" xfId="0" applyNumberFormat="1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3" borderId="0" xfId="0" applyFill="1" applyBorder="1" applyAlignment="1" applyProtection="1">
      <alignment vertical="center"/>
      <protection locked="0"/>
    </xf>
    <xf numFmtId="0" fontId="0" fillId="3" borderId="5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1" xfId="0" applyFill="1" applyBorder="1" applyProtection="1">
      <protection locked="0"/>
    </xf>
    <xf numFmtId="3" fontId="0" fillId="0" borderId="0" xfId="0" applyNumberFormat="1"/>
    <xf numFmtId="1" fontId="6" fillId="11" borderId="1" xfId="0" applyNumberFormat="1" applyFont="1" applyFill="1" applyBorder="1" applyAlignment="1" applyProtection="1">
      <alignment horizontal="center"/>
      <protection hidden="1"/>
    </xf>
    <xf numFmtId="1" fontId="6" fillId="11" borderId="1" xfId="3" applyNumberFormat="1" applyFont="1" applyFill="1" applyBorder="1" applyAlignment="1" applyProtection="1">
      <alignment horizontal="center"/>
      <protection hidden="1"/>
    </xf>
    <xf numFmtId="44" fontId="4" fillId="11" borderId="0" xfId="3" applyFont="1" applyFill="1" applyBorder="1" applyAlignment="1" applyProtection="1">
      <alignment horizontal="right"/>
      <protection hidden="1"/>
    </xf>
    <xf numFmtId="44" fontId="4" fillId="11" borderId="0" xfId="3" applyFont="1" applyFill="1" applyBorder="1" applyAlignment="1" applyProtection="1">
      <protection hidden="1"/>
    </xf>
    <xf numFmtId="0" fontId="6" fillId="11" borderId="0" xfId="0" applyFont="1" applyFill="1" applyBorder="1" applyAlignment="1" applyProtection="1">
      <alignment horizontal="center"/>
      <protection hidden="1"/>
    </xf>
    <xf numFmtId="44" fontId="6" fillId="11" borderId="0" xfId="3" applyFont="1" applyFill="1" applyBorder="1" applyAlignment="1" applyProtection="1">
      <alignment horizontal="right"/>
      <protection hidden="1"/>
    </xf>
    <xf numFmtId="0" fontId="8" fillId="3" borderId="4" xfId="0" applyFont="1" applyFill="1" applyBorder="1" applyProtection="1">
      <protection locked="0"/>
    </xf>
    <xf numFmtId="43" fontId="0" fillId="3" borderId="9" xfId="0" applyNumberFormat="1" applyFill="1" applyBorder="1" applyProtection="1">
      <protection locked="0"/>
    </xf>
    <xf numFmtId="0" fontId="6" fillId="11" borderId="15" xfId="0" applyFont="1" applyFill="1" applyBorder="1" applyProtection="1">
      <protection hidden="1"/>
    </xf>
    <xf numFmtId="9" fontId="4" fillId="11" borderId="16" xfId="2" applyFont="1" applyFill="1" applyBorder="1" applyProtection="1">
      <protection hidden="1"/>
    </xf>
    <xf numFmtId="0" fontId="4" fillId="11" borderId="16" xfId="0" applyFont="1" applyFill="1" applyBorder="1" applyProtection="1">
      <protection hidden="1"/>
    </xf>
    <xf numFmtId="0" fontId="4" fillId="9" borderId="18" xfId="0" applyFont="1" applyFill="1" applyBorder="1" applyAlignment="1" applyProtection="1">
      <protection locked="0"/>
    </xf>
    <xf numFmtId="44" fontId="4" fillId="10" borderId="18" xfId="3" applyFont="1" applyFill="1" applyBorder="1" applyAlignment="1" applyProtection="1">
      <protection locked="0"/>
    </xf>
    <xf numFmtId="44" fontId="4" fillId="10" borderId="20" xfId="3" applyFont="1" applyFill="1" applyBorder="1" applyAlignment="1" applyProtection="1">
      <protection locked="0"/>
    </xf>
    <xf numFmtId="1" fontId="6" fillId="11" borderId="19" xfId="3" applyNumberFormat="1" applyFont="1" applyFill="1" applyBorder="1" applyAlignment="1" applyProtection="1">
      <alignment horizontal="center"/>
      <protection hidden="1"/>
    </xf>
    <xf numFmtId="44" fontId="4" fillId="11" borderId="21" xfId="3" applyNumberFormat="1" applyFont="1" applyFill="1" applyBorder="1" applyAlignment="1" applyProtection="1">
      <alignment horizontal="right"/>
      <protection hidden="1"/>
    </xf>
    <xf numFmtId="44" fontId="4" fillId="6" borderId="22" xfId="3" applyFont="1" applyFill="1" applyBorder="1" applyAlignment="1" applyProtection="1">
      <alignment horizontal="right"/>
      <protection hidden="1"/>
    </xf>
    <xf numFmtId="0" fontId="4" fillId="9" borderId="14" xfId="0" applyFont="1" applyFill="1" applyBorder="1" applyProtection="1">
      <protection hidden="1"/>
    </xf>
    <xf numFmtId="0" fontId="4" fillId="7" borderId="6" xfId="0" applyFont="1" applyFill="1" applyBorder="1" applyProtection="1">
      <protection hidden="1"/>
    </xf>
    <xf numFmtId="0" fontId="4" fillId="7" borderId="7" xfId="0" applyFont="1" applyFill="1" applyBorder="1" applyProtection="1">
      <protection hidden="1"/>
    </xf>
    <xf numFmtId="0" fontId="6" fillId="9" borderId="13" xfId="0" applyFont="1" applyFill="1" applyBorder="1" applyAlignment="1" applyProtection="1">
      <alignment horizontal="right" indent="1"/>
      <protection hidden="1"/>
    </xf>
    <xf numFmtId="0" fontId="4" fillId="7" borderId="0" xfId="0" applyFont="1" applyFill="1" applyBorder="1" applyAlignment="1" applyProtection="1">
      <alignment horizontal="right"/>
      <protection hidden="1"/>
    </xf>
    <xf numFmtId="0" fontId="10" fillId="7" borderId="9" xfId="0" applyFont="1" applyFill="1" applyBorder="1" applyProtection="1">
      <protection hidden="1"/>
    </xf>
    <xf numFmtId="0" fontId="4" fillId="9" borderId="13" xfId="0" applyFont="1" applyFill="1" applyBorder="1" applyProtection="1">
      <protection hidden="1"/>
    </xf>
    <xf numFmtId="0" fontId="4" fillId="7" borderId="0" xfId="0" applyFont="1" applyFill="1" applyBorder="1" applyAlignment="1" applyProtection="1">
      <protection hidden="1"/>
    </xf>
    <xf numFmtId="0" fontId="5" fillId="7" borderId="0" xfId="0" applyFont="1" applyFill="1" applyBorder="1" applyAlignment="1" applyProtection="1">
      <alignment horizontal="center"/>
      <protection hidden="1"/>
    </xf>
    <xf numFmtId="0" fontId="4" fillId="7" borderId="9" xfId="0" applyFont="1" applyFill="1" applyBorder="1" applyProtection="1">
      <protection hidden="1"/>
    </xf>
    <xf numFmtId="0" fontId="4" fillId="6" borderId="8" xfId="0" applyFont="1" applyFill="1" applyBorder="1" applyProtection="1">
      <protection hidden="1"/>
    </xf>
    <xf numFmtId="0" fontId="4" fillId="6" borderId="0" xfId="0" applyFont="1" applyFill="1" applyBorder="1" applyProtection="1">
      <protection hidden="1"/>
    </xf>
    <xf numFmtId="0" fontId="4" fillId="6" borderId="9" xfId="0" applyFont="1" applyFill="1" applyBorder="1" applyProtection="1">
      <protection hidden="1"/>
    </xf>
    <xf numFmtId="0" fontId="4" fillId="10" borderId="13" xfId="0" applyFont="1" applyFill="1" applyBorder="1" applyProtection="1">
      <protection hidden="1"/>
    </xf>
    <xf numFmtId="0" fontId="4" fillId="11" borderId="16" xfId="0" applyFont="1" applyFill="1" applyBorder="1" applyAlignment="1" applyProtection="1">
      <protection hidden="1"/>
    </xf>
    <xf numFmtId="0" fontId="5" fillId="11" borderId="0" xfId="0" applyFont="1" applyFill="1" applyBorder="1" applyAlignment="1" applyProtection="1">
      <alignment horizontal="center"/>
      <protection hidden="1"/>
    </xf>
    <xf numFmtId="0" fontId="4" fillId="11" borderId="21" xfId="0" applyFont="1" applyFill="1" applyBorder="1" applyProtection="1">
      <protection hidden="1"/>
    </xf>
    <xf numFmtId="0" fontId="4" fillId="8" borderId="8" xfId="0" applyFont="1" applyFill="1" applyBorder="1" applyProtection="1">
      <protection hidden="1"/>
    </xf>
    <xf numFmtId="0" fontId="4" fillId="8" borderId="16" xfId="0" applyFont="1" applyFill="1" applyBorder="1" applyProtection="1">
      <protection hidden="1"/>
    </xf>
    <xf numFmtId="0" fontId="4" fillId="8" borderId="0" xfId="0" applyFont="1" applyFill="1" applyBorder="1" applyProtection="1">
      <protection hidden="1"/>
    </xf>
    <xf numFmtId="0" fontId="4" fillId="8" borderId="21" xfId="0" applyFont="1" applyFill="1" applyBorder="1" applyProtection="1">
      <protection hidden="1"/>
    </xf>
    <xf numFmtId="44" fontId="4" fillId="11" borderId="0" xfId="3" applyFont="1" applyFill="1" applyBorder="1" applyProtection="1">
      <protection hidden="1"/>
    </xf>
    <xf numFmtId="44" fontId="4" fillId="11" borderId="21" xfId="3" applyFont="1" applyFill="1" applyBorder="1" applyProtection="1">
      <protection hidden="1"/>
    </xf>
    <xf numFmtId="0" fontId="6" fillId="10" borderId="13" xfId="0" applyFont="1" applyFill="1" applyBorder="1" applyAlignment="1" applyProtection="1">
      <alignment wrapText="1"/>
      <protection hidden="1"/>
    </xf>
    <xf numFmtId="0" fontId="6" fillId="11" borderId="17" xfId="0" applyFont="1" applyFill="1" applyBorder="1" applyAlignment="1" applyProtection="1">
      <protection hidden="1"/>
    </xf>
    <xf numFmtId="44" fontId="6" fillId="11" borderId="3" xfId="0" applyNumberFormat="1" applyFont="1" applyFill="1" applyBorder="1" applyAlignment="1" applyProtection="1">
      <alignment horizontal="center"/>
      <protection hidden="1"/>
    </xf>
    <xf numFmtId="44" fontId="6" fillId="11" borderId="23" xfId="0" applyNumberFormat="1" applyFont="1" applyFill="1" applyBorder="1" applyAlignment="1" applyProtection="1">
      <alignment horizontal="center"/>
      <protection hidden="1"/>
    </xf>
    <xf numFmtId="0" fontId="4" fillId="11" borderId="0" xfId="0" applyFont="1" applyFill="1" applyBorder="1" applyAlignment="1" applyProtection="1">
      <protection hidden="1"/>
    </xf>
    <xf numFmtId="0" fontId="4" fillId="11" borderId="24" xfId="0" applyFont="1" applyFill="1" applyBorder="1" applyProtection="1">
      <protection hidden="1"/>
    </xf>
    <xf numFmtId="0" fontId="4" fillId="8" borderId="9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right" indent="1"/>
      <protection hidden="1"/>
    </xf>
    <xf numFmtId="0" fontId="0" fillId="2" borderId="8" xfId="0" applyFill="1" applyBorder="1" applyProtection="1">
      <protection hidden="1"/>
    </xf>
    <xf numFmtId="0" fontId="0" fillId="4" borderId="12" xfId="0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0" fillId="4" borderId="10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2" xfId="0" applyFill="1" applyBorder="1" applyProtection="1">
      <protection hidden="1"/>
    </xf>
    <xf numFmtId="164" fontId="0" fillId="5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9" fontId="0" fillId="5" borderId="0" xfId="0" applyNumberFormat="1" applyFill="1" applyProtection="1">
      <protection hidden="1"/>
    </xf>
    <xf numFmtId="166" fontId="0" fillId="0" borderId="0" xfId="1" applyNumberFormat="1" applyFont="1" applyProtection="1">
      <protection hidden="1"/>
    </xf>
    <xf numFmtId="0" fontId="0" fillId="5" borderId="0" xfId="0" applyFill="1" applyProtection="1">
      <protection hidden="1"/>
    </xf>
    <xf numFmtId="44" fontId="0" fillId="0" borderId="0" xfId="3" applyFont="1" applyProtection="1">
      <protection hidden="1"/>
    </xf>
    <xf numFmtId="10" fontId="0" fillId="0" borderId="0" xfId="2" applyNumberFormat="1" applyFont="1" applyProtection="1">
      <protection hidden="1"/>
    </xf>
    <xf numFmtId="9" fontId="0" fillId="0" borderId="0" xfId="0" applyNumberFormat="1" applyProtection="1">
      <protection hidden="1"/>
    </xf>
    <xf numFmtId="9" fontId="0" fillId="0" borderId="0" xfId="2" applyFont="1" applyProtection="1">
      <protection hidden="1"/>
    </xf>
    <xf numFmtId="4" fontId="0" fillId="0" borderId="0" xfId="0" applyNumberFormat="1"/>
    <xf numFmtId="0" fontId="4" fillId="0" borderId="0" xfId="0" applyFont="1" applyAlignment="1" applyProtection="1">
      <alignment horizontal="center"/>
      <protection hidden="1"/>
    </xf>
    <xf numFmtId="44" fontId="0" fillId="2" borderId="0" xfId="0" applyNumberFormat="1" applyFill="1" applyProtection="1">
      <protection locked="0"/>
    </xf>
    <xf numFmtId="0" fontId="4" fillId="9" borderId="18" xfId="0" applyFont="1" applyFill="1" applyBorder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4" fillId="0" borderId="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165" fontId="4" fillId="0" borderId="0" xfId="0" applyNumberFormat="1" applyFont="1" applyProtection="1">
      <protection locked="0"/>
    </xf>
    <xf numFmtId="44" fontId="4" fillId="0" borderId="0" xfId="0" applyNumberFormat="1" applyFont="1" applyProtection="1">
      <protection locked="0"/>
    </xf>
    <xf numFmtId="0" fontId="0" fillId="0" borderId="0" xfId="0" quotePrefix="1" applyProtection="1">
      <protection locked="0"/>
    </xf>
    <xf numFmtId="44" fontId="0" fillId="0" borderId="0" xfId="0" applyNumberFormat="1" applyProtection="1">
      <protection hidden="1"/>
    </xf>
    <xf numFmtId="43" fontId="3" fillId="0" borderId="0" xfId="1" applyFont="1" applyProtection="1">
      <protection hidden="1"/>
    </xf>
    <xf numFmtId="0" fontId="0" fillId="0" borderId="0" xfId="0" applyBorder="1" applyProtection="1">
      <protection hidden="1"/>
    </xf>
    <xf numFmtId="0" fontId="11" fillId="0" borderId="2" xfId="0" applyFont="1" applyBorder="1" applyProtection="1">
      <protection hidden="1"/>
    </xf>
    <xf numFmtId="0" fontId="11" fillId="0" borderId="0" xfId="0" applyFont="1" applyProtection="1">
      <protection locked="0"/>
    </xf>
    <xf numFmtId="0" fontId="11" fillId="0" borderId="0" xfId="0" applyFont="1" applyProtection="1">
      <protection hidden="1"/>
    </xf>
    <xf numFmtId="0" fontId="12" fillId="0" borderId="2" xfId="0" applyFont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13" fillId="2" borderId="0" xfId="0" applyFont="1" applyFill="1" applyAlignment="1" applyProtection="1">
      <protection locked="0"/>
    </xf>
    <xf numFmtId="0" fontId="3" fillId="0" borderId="0" xfId="0" applyFont="1" applyProtection="1">
      <protection locked="0"/>
    </xf>
    <xf numFmtId="0" fontId="0" fillId="0" borderId="0" xfId="1" applyNumberFormat="1" applyFont="1" applyProtection="1">
      <protection hidden="1"/>
    </xf>
    <xf numFmtId="4" fontId="3" fillId="0" borderId="0" xfId="0" applyNumberFormat="1" applyFont="1"/>
    <xf numFmtId="44" fontId="11" fillId="0" borderId="0" xfId="0" applyNumberFormat="1" applyFont="1" applyProtection="1">
      <protection locked="0"/>
    </xf>
    <xf numFmtId="0" fontId="3" fillId="0" borderId="0" xfId="0" applyFont="1"/>
    <xf numFmtId="0" fontId="7" fillId="0" borderId="0" xfId="0" applyFont="1"/>
    <xf numFmtId="0" fontId="0" fillId="0" borderId="0" xfId="0" quotePrefix="1"/>
    <xf numFmtId="0" fontId="14" fillId="0" borderId="0" xfId="0" quotePrefix="1" applyFont="1"/>
    <xf numFmtId="0" fontId="14" fillId="0" borderId="0" xfId="0" applyFont="1"/>
    <xf numFmtId="0" fontId="2" fillId="0" borderId="0" xfId="0" applyFont="1"/>
    <xf numFmtId="0" fontId="16" fillId="0" borderId="0" xfId="0" applyFont="1"/>
    <xf numFmtId="0" fontId="0" fillId="0" borderId="0" xfId="0" quotePrefix="1" applyProtection="1">
      <protection hidden="1"/>
    </xf>
    <xf numFmtId="0" fontId="0" fillId="0" borderId="0" xfId="0" applyFill="1" applyProtection="1">
      <protection hidden="1"/>
    </xf>
    <xf numFmtId="0" fontId="0" fillId="0" borderId="0" xfId="0" applyFont="1"/>
    <xf numFmtId="167" fontId="0" fillId="0" borderId="0" xfId="0" applyNumberFormat="1" applyProtection="1">
      <protection hidden="1"/>
    </xf>
    <xf numFmtId="14" fontId="0" fillId="0" borderId="0" xfId="0" applyNumberFormat="1" applyFont="1"/>
    <xf numFmtId="0" fontId="11" fillId="0" borderId="0" xfId="0" applyNumberFormat="1" applyFont="1" applyFill="1" applyBorder="1" applyProtection="1">
      <protection locked="0"/>
    </xf>
    <xf numFmtId="0" fontId="11" fillId="0" borderId="0" xfId="0" applyNumberFormat="1" applyFont="1" applyAlignment="1" applyProtection="1">
      <alignment wrapText="1"/>
      <protection locked="0"/>
    </xf>
    <xf numFmtId="0" fontId="11" fillId="0" borderId="0" xfId="0" applyNumberFormat="1" applyFont="1" applyFill="1" applyBorder="1" applyAlignment="1" applyProtection="1">
      <alignment wrapText="1"/>
      <protection locked="0"/>
    </xf>
    <xf numFmtId="0" fontId="11" fillId="0" borderId="0" xfId="0" applyNumberFormat="1" applyFont="1" applyProtection="1">
      <protection locked="0"/>
    </xf>
    <xf numFmtId="168" fontId="11" fillId="0" borderId="0" xfId="0" applyNumberFormat="1" applyFont="1" applyProtection="1">
      <protection locked="0"/>
    </xf>
    <xf numFmtId="1" fontId="11" fillId="0" borderId="0" xfId="0" applyNumberFormat="1" applyFont="1" applyProtection="1">
      <protection locked="0"/>
    </xf>
    <xf numFmtId="1" fontId="11" fillId="0" borderId="0" xfId="0" applyNumberFormat="1" applyFont="1" applyFill="1" applyBorder="1" applyProtection="1">
      <protection locked="0"/>
    </xf>
    <xf numFmtId="168" fontId="11" fillId="0" borderId="0" xfId="1" applyNumberFormat="1" applyFont="1" applyProtection="1">
      <protection locked="0"/>
    </xf>
    <xf numFmtId="44" fontId="0" fillId="0" borderId="0" xfId="1" applyNumberFormat="1" applyFont="1" applyProtection="1">
      <protection locked="0"/>
    </xf>
    <xf numFmtId="44" fontId="0" fillId="0" borderId="0" xfId="1" applyNumberFormat="1" applyFont="1" applyFill="1" applyProtection="1">
      <protection locked="0"/>
    </xf>
    <xf numFmtId="44" fontId="0" fillId="0" borderId="0" xfId="0" applyNumberFormat="1" applyProtection="1">
      <protection locked="0"/>
    </xf>
    <xf numFmtId="44" fontId="0" fillId="3" borderId="0" xfId="0" applyNumberFormat="1" applyFill="1" applyBorder="1" applyAlignment="1" applyProtection="1">
      <alignment vertical="center"/>
      <protection locked="0"/>
    </xf>
    <xf numFmtId="44" fontId="0" fillId="3" borderId="0" xfId="0" applyNumberFormat="1" applyFill="1" applyBorder="1" applyProtection="1">
      <protection locked="0"/>
    </xf>
    <xf numFmtId="0" fontId="6" fillId="10" borderId="13" xfId="0" applyFont="1" applyFill="1" applyBorder="1" applyAlignment="1" applyProtection="1">
      <alignment horizontal="right" wrapText="1" indent="1"/>
      <protection hidden="1"/>
    </xf>
    <xf numFmtId="0" fontId="9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right"/>
      <protection hidden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z, Glenn A." refreshedDate="42279.354885532404" createdVersion="5" refreshedVersion="5" minRefreshableVersion="3" recordCount="145">
  <cacheSource type="worksheet">
    <worksheetSource ref="A387:M532" sheet="Expenses"/>
  </cacheSource>
  <cacheFields count="12">
    <cacheField name="Employee Name/Expense Category" numFmtId="0">
      <sharedItems containsNonDate="0" containsBlank="1" count="17">
        <m/>
        <s v="Equipment" u="1"/>
        <s v="==============================" u="1"/>
        <s v="Travel" u="1"/>
        <s v="Brown, Anthony A" u="1"/>
        <s v="Clark, Dennis A" u="1"/>
        <s v="Suballocation" u="1"/>
        <s v="Utilities" u="1"/>
        <s v="Henz, Glenn" u="1"/>
        <s v="Izbicki, John A" u="1"/>
        <s v="Wright, Michael T" u="1"/>
        <s v="Tunes, Samuel" u="1"/>
        <s v="Agozino, Joshua L" u="1"/>
        <s v="Smith, Gregory A" u="1"/>
        <s v="Lab Analyses (G&amp;S)" u="1"/>
        <s v="Supplies" u="1"/>
        <s v="Drilling (G&amp;S)" u="1"/>
      </sharedItems>
    </cacheField>
    <cacheField name="Task" numFmtId="0">
      <sharedItems containsNonDate="0" containsBlank="1" count="50">
        <m/>
        <s v="Task 3 Review and prep of addendum" u="1"/>
        <s v="Task 2 Fuel (250 mi/15 mi/gal) x $4" u="1"/>
        <s v="Task 4 NWQL Supplies chemetrics DO/Sulfide (331.34), preservative acid (2*109.58)+(2*62.90)" u="1"/>
        <s v="Task 4 Vehicles 6wks (36 days) = (36*150)+(0.31*2,400)[QW camper $150/d*3+0.31/mi*2,400 (400/trip)]" u="1"/>
        <s v="Task 1 Site meetings 4/yr x 3 yr x 8 hr" u="1"/>
        <s v="Task 5 fuel vehicles (900 mi/10 mpg)*3.00/gal + 10 gal gen " u="1"/>
        <s v="Task 7 publication preparation" u="1"/>
        <s v="Task 5 depth dependant wq" u="1"/>
        <s v="Task 4 purchase of meter and/or probes if broken or cannot borrwo" u="1"/>
        <s v="Task 5 5*($1,207) includes qc sample, perchlorate analysis not factored in " u="1"/>
        <s v="Task 1 Monthly conference call x 36 m x 2 hr" u="1"/>
        <s v="Task 5 flow log analysis and project management " u="1"/>
        <s v="Task 5 chemetrics DO/Sulfide (331.34), preservative acid (2*109.58)+(2*62.90)" u="1"/>
        <s v="Task 4 30 env + 3qc: 33*632" u="1"/>
        <s v="Task 4 Project management" u="1"/>
        <s v="Task 5 project management" u="1"/>
        <s v="Task 2 Kick off meeting and summary document prep" u="1"/>
        <s v="Task 5 Repairs misc equipment" u="1"/>
        <s v="Task 5 travel to and from site" u="1"/>
        <s v="Task 1 Vehicles 12 days x $32; 0.37/mi x 250mi x 12d" u="1"/>
        <s v="Task 5 ($200/d*2)*4 peeps" u="1"/>
        <s v="Task 5 site establishment, data tracking and spreadsheeting" u="1"/>
        <s v="Task 4 site establishment (30), data tracking and spreadsheeting move this task to sample validation" u="1"/>
        <s v="Task 1 Vehicles  12 days x $32; 0.37/mi x 250mi x 12d" u="1"/>
        <s v="Task 4 Vehicles 6wks (36 days) = (36*150)+(0.31*2,400) [QW Camper $150/d*3+0.31/mi*2,400 (400/trip)]" u="1"/>
        <s v="Task 4 fiedl prep/return x 6 wks" u="1"/>
        <s v="Task 4 NWQL 30 env + 3 qc: 33*2677" u="1"/>
        <s v="Task 1" u="1"/>
        <s v="Task 4  30 env + 3 qc: 33*632" u="1"/>
        <s v="Task 5 trip prep and return" u="1"/>
        <s v="Task 4 fuel (2,400 mi/ 10 mpg)*3.00/gal" u="1"/>
        <s v="Task 4 fuel (2,400 mi/10 mpg) *3.00/gal" u="1"/>
        <s v="Task 1 fuel (3,000 mi/15 mi/gal) x$4" u="1"/>
        <s v="Task 5 unpumped and pumped flow log" u="1"/>
        <s v="EM ($500/dx2) + Draw ($500/dx2)+ Bennett ($100/dx2)+ high cap pump and genny ($2,000)" u="1"/>
        <s v="Task 5 trip prep  " u="1"/>
        <s v="Task 1 Monthly conference call x 36 mo x 2 hr" u="1"/>
        <s v="Task 7 publication preparation and quarterly reporting" u="1"/>
        <s v="Task 4 Sample collection at 15 mon. wells. 1 well/d" u="1"/>
        <s v="Task 5 NWQL 5*($1,400.32) includes qc sample perchlorate analysis not factored in" u="1"/>
        <s v="Task 6 preliminary analysis and reporting" u="1"/>
        <s v="Task 4 1 person, 6 wks (30 days) = 30*$200/d" u="1"/>
        <s v="Task 5 trip prep" u="1"/>
        <s v="Task 2 1days x $32; 0.37/mi x 250mi" u="1"/>
        <s v="Task 1 Fuel  (3,00 mi/15 mi/gal) x $4" u="1"/>
        <s v="Task 1 Fuel (3,000 mi/15 mi/gal) x $4" u="1"/>
        <s v="Task 1 Site meeting 4/yr x 3 yr x 8 hr" u="1"/>
        <s v="Task 5 Vehicles QW camper ($150/d*2+0.31/mi*300) + Van ($30/d*2+0.35/mi*300) + Tahoe ($30/d*2+0.36/mi*300)" u="1"/>
        <s v="Task 4 Site establishment (30), data tracking and spreadsheeting move this task to sample validation " u="1"/>
      </sharedItems>
    </cacheField>
    <cacheField name="Fiscal Year" numFmtId="0">
      <sharedItems containsNonDate="0" containsString="0" containsBlank="1" containsNumber="1" containsInteger="1" minValue="2015" maxValue="2020" count="7">
        <m/>
        <n v="2015" u="1"/>
        <n v="2020" u="1"/>
        <n v="2018" u="1"/>
        <n v="2016" u="1"/>
        <n v="2019" u="1"/>
        <n v="2017" u="1"/>
      </sharedItems>
    </cacheField>
    <cacheField name="Hours" numFmtId="0">
      <sharedItems containsNonDate="0" containsString="0" containsBlank="1"/>
    </cacheField>
    <cacheField name="OT Indicator" numFmtId="0">
      <sharedItems containsNonDate="0" containsString="0" containsBlank="1"/>
    </cacheField>
    <cacheField name="Expense" numFmtId="43">
      <sharedItems containsNonDate="0" containsString="0" containsBlank="1"/>
    </cacheField>
    <cacheField name="Hourly Rate" numFmtId="44">
      <sharedItems/>
    </cacheField>
    <cacheField name="Hourly Total" numFmtId="44">
      <sharedItems/>
    </cacheField>
    <cacheField name="Leave Dist" numFmtId="44">
      <sharedItems/>
    </cacheField>
    <cacheField name="Total (Net)" numFmtId="44">
      <sharedItems containsSemiMixedTypes="0" containsString="0" containsNumber="1" containsInteger="1" minValue="0" maxValue="0"/>
    </cacheField>
    <cacheField name="Total (Gross)" numFmtId="44">
      <sharedItems containsSemiMixedTypes="0" containsString="0" containsNumber="1" containsInteger="1" minValue="0" maxValue="0"/>
    </cacheField>
    <cacheField name="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  <r>
    <x v="0"/>
    <x v="0"/>
    <x v="0"/>
    <m/>
    <m/>
    <m/>
    <s v=""/>
    <s v=""/>
    <s v=""/>
    <n v="0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11" firstHeaderRow="1" firstDataRow="2" firstDataCol="1"/>
  <pivotFields count="12">
    <pivotField axis="axisRow" showAll="0" sortType="ascending">
      <items count="18">
        <item m="1" x="2"/>
        <item m="1" x="12"/>
        <item m="1" x="4"/>
        <item m="1" x="5"/>
        <item m="1" x="16"/>
        <item m="1" x="1"/>
        <item m="1" x="8"/>
        <item m="1" x="9"/>
        <item m="1" x="14"/>
        <item m="1" x="13"/>
        <item m="1" x="6"/>
        <item m="1" x="15"/>
        <item m="1" x="3"/>
        <item m="1" x="11"/>
        <item m="1" x="7"/>
        <item m="1" x="10"/>
        <item x="0"/>
        <item t="default"/>
      </items>
    </pivotField>
    <pivotField axis="axisRow" showAll="0">
      <items count="51">
        <item m="1" x="35"/>
        <item m="1" x="28"/>
        <item m="1" x="45"/>
        <item m="1" x="46"/>
        <item m="1" x="33"/>
        <item m="1" x="11"/>
        <item m="1" x="37"/>
        <item m="1" x="47"/>
        <item m="1" x="5"/>
        <item m="1" x="24"/>
        <item m="1" x="20"/>
        <item m="1" x="44"/>
        <item m="1" x="2"/>
        <item m="1" x="17"/>
        <item m="1" x="1"/>
        <item m="1" x="29"/>
        <item m="1" x="42"/>
        <item m="1" x="14"/>
        <item m="1" x="26"/>
        <item m="1" x="31"/>
        <item m="1" x="32"/>
        <item m="1" x="27"/>
        <item m="1" x="3"/>
        <item m="1" x="15"/>
        <item m="1" x="9"/>
        <item m="1" x="39"/>
        <item m="1" x="23"/>
        <item m="1" x="49"/>
        <item m="1" x="25"/>
        <item m="1" x="4"/>
        <item m="1" x="21"/>
        <item m="1" x="10"/>
        <item m="1" x="13"/>
        <item m="1" x="8"/>
        <item m="1" x="12"/>
        <item m="1" x="6"/>
        <item m="1" x="40"/>
        <item m="1" x="16"/>
        <item m="1" x="18"/>
        <item m="1" x="22"/>
        <item m="1" x="19"/>
        <item m="1" x="43"/>
        <item m="1" x="36"/>
        <item m="1" x="30"/>
        <item m="1" x="34"/>
        <item m="1" x="48"/>
        <item m="1" x="41"/>
        <item m="1" x="7"/>
        <item m="1" x="38"/>
        <item x="0"/>
        <item t="default"/>
      </items>
    </pivotField>
    <pivotField axis="axisCol" showAll="0" sortType="ascending">
      <items count="8">
        <item m="1" x="1"/>
        <item m="1" x="4"/>
        <item m="1" x="6"/>
        <item m="1" x="3"/>
        <item m="1" x="5"/>
        <item m="1" x="2"/>
        <item x="0"/>
        <item t="default"/>
      </items>
    </pivotField>
    <pivotField showAll="0" defaultSubtotal="0"/>
    <pivotField showAll="0" defaultSubtotal="0"/>
    <pivotField showAll="0" defaultSubtotal="0"/>
    <pivotField showAll="0"/>
    <pivotField showAll="0"/>
    <pivotField showAll="0"/>
    <pivotField numFmtId="44" showAll="0"/>
    <pivotField dataField="1" numFmtId="44" showAll="0" defaultSubtotal="0"/>
    <pivotField showAll="0"/>
  </pivotFields>
  <rowFields count="2">
    <field x="1"/>
    <field x="0"/>
  </rowFields>
  <rowItems count="3">
    <i>
      <x v="49"/>
    </i>
    <i r="1">
      <x v="16"/>
    </i>
    <i t="grand">
      <x/>
    </i>
  </rowItems>
  <colFields count="1">
    <field x="2"/>
  </colFields>
  <colItems count="2">
    <i>
      <x v="6"/>
    </i>
    <i t="grand">
      <x/>
    </i>
  </colItems>
  <dataFields count="1">
    <dataField name="Sum of Total (Gross)" fld="10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C11" firstHeaderRow="1" firstDataRow="2" firstDataCol="1"/>
  <pivotFields count="12">
    <pivotField axis="axisRow" showAll="0" sortType="ascending">
      <items count="18">
        <item m="1" x="2"/>
        <item m="1" x="12"/>
        <item m="1" x="4"/>
        <item m="1" x="5"/>
        <item m="1" x="16"/>
        <item m="1" x="1"/>
        <item m="1" x="8"/>
        <item m="1" x="9"/>
        <item m="1" x="14"/>
        <item m="1" x="13"/>
        <item m="1" x="6"/>
        <item m="1" x="15"/>
        <item m="1" x="3"/>
        <item m="1" x="11"/>
        <item m="1" x="7"/>
        <item m="1" x="10"/>
        <item x="0"/>
        <item t="default"/>
      </items>
    </pivotField>
    <pivotField axis="axisRow" showAll="0">
      <items count="51">
        <item x="0"/>
        <item m="1" x="28"/>
        <item m="1" x="11"/>
        <item m="1" x="47"/>
        <item m="1" x="24"/>
        <item m="1" x="45"/>
        <item m="1" x="17"/>
        <item m="1" x="44"/>
        <item m="1" x="2"/>
        <item m="1" x="1"/>
        <item m="1" x="23"/>
        <item m="1" x="15"/>
        <item m="1" x="39"/>
        <item m="1" x="26"/>
        <item m="1" x="42"/>
        <item m="1" x="25"/>
        <item m="1" x="29"/>
        <item m="1" x="27"/>
        <item m="1" x="3"/>
        <item m="1" x="31"/>
        <item m="1" x="9"/>
        <item m="1" x="37"/>
        <item m="1" x="5"/>
        <item m="1" x="20"/>
        <item m="1" x="46"/>
        <item m="1" x="49"/>
        <item m="1" x="4"/>
        <item m="1" x="14"/>
        <item m="1" x="32"/>
        <item m="1" x="34"/>
        <item m="1" x="30"/>
        <item m="1" x="19"/>
        <item m="1" x="22"/>
        <item m="1" x="8"/>
        <item m="1" x="36"/>
        <item m="1" x="12"/>
        <item m="1" x="43"/>
        <item m="1" x="16"/>
        <item m="1" x="21"/>
        <item m="1" x="48"/>
        <item m="1" x="35"/>
        <item m="1" x="10"/>
        <item m="1" x="40"/>
        <item m="1" x="18"/>
        <item m="1" x="13"/>
        <item m="1" x="6"/>
        <item m="1" x="41"/>
        <item m="1" x="33"/>
        <item m="1" x="7"/>
        <item m="1" x="38"/>
        <item t="default"/>
      </items>
    </pivotField>
    <pivotField axis="axisCol" showAll="0" sortType="ascending">
      <items count="8">
        <item m="1" x="1"/>
        <item m="1" x="4"/>
        <item m="1" x="6"/>
        <item m="1" x="3"/>
        <item m="1" x="5"/>
        <item m="1" x="2"/>
        <item x="0"/>
        <item t="default"/>
      </items>
    </pivotField>
    <pivotField showAll="0" defaultSubtotal="0"/>
    <pivotField showAll="0" defaultSubtotal="0"/>
    <pivotField showAll="0" defaultSubtotal="0"/>
    <pivotField showAll="0"/>
    <pivotField showAll="0"/>
    <pivotField showAll="0"/>
    <pivotField dataField="1" numFmtId="44" showAll="0"/>
    <pivotField numFmtId="44" showAll="0" defaultSubtotal="0"/>
    <pivotField showAll="0"/>
  </pivotFields>
  <rowFields count="2">
    <field x="1"/>
    <field x="0"/>
  </rowFields>
  <rowItems count="3">
    <i>
      <x/>
    </i>
    <i r="1">
      <x v="16"/>
    </i>
    <i t="grand">
      <x/>
    </i>
  </rowItems>
  <colFields count="1">
    <field x="2"/>
  </colFields>
  <colItems count="2">
    <i>
      <x v="6"/>
    </i>
    <i t="grand">
      <x/>
    </i>
  </colItems>
  <dataFields count="1">
    <dataField name="Sum of Total (Net)" fld="9" baseField="0" baseItem="4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showGridLines="0" tabSelected="1" zoomScaleNormal="100" workbookViewId="0">
      <selection activeCell="K18" sqref="K18"/>
    </sheetView>
  </sheetViews>
  <sheetFormatPr defaultRowHeight="15" x14ac:dyDescent="0.25"/>
  <cols>
    <col min="1" max="1" width="0.85546875" style="1" customWidth="1"/>
    <col min="2" max="2" width="15.42578125" style="1" customWidth="1"/>
    <col min="3" max="9" width="20.7109375" style="1" customWidth="1"/>
    <col min="10" max="10" width="14" style="1" bestFit="1" customWidth="1"/>
    <col min="11" max="11" width="20.42578125" style="1" bestFit="1" customWidth="1"/>
    <col min="12" max="12" width="8.42578125" style="1" customWidth="1"/>
    <col min="13" max="13" width="11.140625" style="1" bestFit="1" customWidth="1"/>
    <col min="14" max="16384" width="9.140625" style="1"/>
  </cols>
  <sheetData>
    <row r="1" spans="2:13" ht="6" customHeight="1" x14ac:dyDescent="0.25"/>
    <row r="2" spans="2:13" ht="21" x14ac:dyDescent="0.35">
      <c r="C2" s="134" t="s">
        <v>344</v>
      </c>
      <c r="D2" s="134"/>
      <c r="E2" s="134"/>
      <c r="F2" s="134"/>
      <c r="G2" s="134"/>
      <c r="H2" s="134"/>
      <c r="I2" s="134"/>
    </row>
    <row r="3" spans="2:13" s="89" customFormat="1" ht="10.5" customHeight="1" thickBot="1" x14ac:dyDescent="0.3">
      <c r="C3" s="90"/>
      <c r="D3" s="91"/>
      <c r="E3" s="91"/>
      <c r="F3" s="91"/>
      <c r="G3" s="91"/>
      <c r="H3" s="91"/>
    </row>
    <row r="4" spans="2:13" s="89" customFormat="1" ht="3" customHeight="1" x14ac:dyDescent="0.25">
      <c r="B4" s="38"/>
      <c r="C4" s="39"/>
      <c r="D4" s="39"/>
      <c r="E4" s="39"/>
      <c r="F4" s="39"/>
      <c r="G4" s="39"/>
      <c r="H4" s="39"/>
      <c r="I4" s="40"/>
    </row>
    <row r="5" spans="2:13" s="89" customFormat="1" ht="15.75" x14ac:dyDescent="0.25">
      <c r="B5" s="41" t="s">
        <v>102</v>
      </c>
      <c r="C5" s="42" t="s">
        <v>99</v>
      </c>
      <c r="D5" s="32" t="s">
        <v>520</v>
      </c>
      <c r="E5" s="42" t="s">
        <v>98</v>
      </c>
      <c r="F5" s="32"/>
      <c r="G5" s="42" t="s">
        <v>97</v>
      </c>
      <c r="H5" s="32" t="s">
        <v>71</v>
      </c>
      <c r="I5" s="43" t="b">
        <f>IF(IFERROR(FIND("JFA",H5),0)&gt;0,FALSE,TRUE)</f>
        <v>1</v>
      </c>
    </row>
    <row r="6" spans="2:13" s="89" customFormat="1" ht="3" customHeight="1" x14ac:dyDescent="0.25">
      <c r="B6" s="44"/>
      <c r="C6" s="45"/>
      <c r="D6" s="46"/>
      <c r="E6" s="46"/>
      <c r="F6" s="46"/>
      <c r="G6" s="46"/>
      <c r="H6" s="46"/>
      <c r="I6" s="47"/>
    </row>
    <row r="7" spans="2:13" s="89" customFormat="1" ht="15.75" x14ac:dyDescent="0.25">
      <c r="B7" s="41"/>
      <c r="C7" s="42"/>
      <c r="D7" s="42" t="s">
        <v>116</v>
      </c>
      <c r="E7" s="88"/>
      <c r="F7" s="42" t="s">
        <v>117</v>
      </c>
      <c r="G7" s="88"/>
      <c r="H7" s="45"/>
      <c r="I7" s="43"/>
    </row>
    <row r="8" spans="2:13" s="89" customFormat="1" ht="3" customHeight="1" x14ac:dyDescent="0.25">
      <c r="B8" s="44"/>
      <c r="C8" s="45"/>
      <c r="D8" s="46"/>
      <c r="E8" s="46"/>
      <c r="F8" s="46"/>
      <c r="G8" s="46"/>
      <c r="H8" s="46"/>
      <c r="I8" s="47"/>
    </row>
    <row r="9" spans="2:13" s="89" customFormat="1" ht="6" customHeight="1" thickBot="1" x14ac:dyDescent="0.3">
      <c r="B9" s="48"/>
      <c r="C9" s="49"/>
      <c r="D9" s="49"/>
      <c r="E9" s="49"/>
      <c r="F9" s="49"/>
      <c r="G9" s="49"/>
      <c r="H9" s="49"/>
      <c r="I9" s="50"/>
    </row>
    <row r="10" spans="2:13" s="89" customFormat="1" ht="16.5" thickBot="1" x14ac:dyDescent="0.3">
      <c r="B10" s="133" t="s">
        <v>100</v>
      </c>
      <c r="C10" s="29" t="s">
        <v>92</v>
      </c>
      <c r="D10" s="21">
        <f>Lookup!$G$2</f>
        <v>2019</v>
      </c>
      <c r="E10" s="21">
        <f>Lookup!$G$3</f>
        <v>2020</v>
      </c>
      <c r="F10" s="22">
        <f>Lookup!$G$4</f>
        <v>2021</v>
      </c>
      <c r="G10" s="22">
        <f>Lookup!$G$5</f>
        <v>2022</v>
      </c>
      <c r="H10" s="22">
        <f>Lookup!$G$6</f>
        <v>2023</v>
      </c>
      <c r="I10" s="35" t="s">
        <v>103</v>
      </c>
      <c r="M10" s="92"/>
    </row>
    <row r="11" spans="2:13" s="89" customFormat="1" ht="15.75" x14ac:dyDescent="0.25">
      <c r="B11" s="133"/>
      <c r="C11" s="30" t="str">
        <f>IF(Lookup!$B$23&lt;&gt;1, Lookup!$A$3,"")</f>
        <v/>
      </c>
      <c r="D11" s="23">
        <f>IF(D$13&gt;0,Lookup!$D$28,Lookup!$D$28)</f>
        <v>0</v>
      </c>
      <c r="E11" s="23">
        <f>IF(E$13&gt;0,Lookup!$D$29,Lookup!$D$29)</f>
        <v>0</v>
      </c>
      <c r="F11" s="23">
        <f>IF(F$13&gt;0,Lookup!$D$30,Lookup!$D$30)</f>
        <v>0</v>
      </c>
      <c r="G11" s="23">
        <f>IF(G$13&gt;0,Lookup!$D$31,Lookup!$D$31)</f>
        <v>0</v>
      </c>
      <c r="H11" s="23">
        <f>IF(H$13&gt;0,Lookup!$D$32,Lookup!$D$32)</f>
        <v>0</v>
      </c>
      <c r="I11" s="36">
        <f>SUM(D11:H11)</f>
        <v>0</v>
      </c>
      <c r="M11" s="92"/>
    </row>
    <row r="12" spans="2:13" s="89" customFormat="1" ht="15.75" x14ac:dyDescent="0.25">
      <c r="B12" s="51"/>
      <c r="C12" s="31" t="str">
        <f>IF(Lookup!$B$23&lt;&gt;1, Lookup!$A$5,"")</f>
        <v/>
      </c>
      <c r="D12" s="24">
        <f>IF(D$13&lt;&gt;"",D$13,Lookup!$C$28)</f>
        <v>0</v>
      </c>
      <c r="E12" s="24">
        <f>IF(E$13&lt;&gt;"",E$13,Lookup!$C$29)</f>
        <v>0</v>
      </c>
      <c r="F12" s="24">
        <f>IF(F$13&lt;&gt;"",F$13,Lookup!$C$30)</f>
        <v>0</v>
      </c>
      <c r="G12" s="24">
        <f>IF(G$13&lt;&gt;"",G$13,Lookup!$C$31)</f>
        <v>0</v>
      </c>
      <c r="H12" s="24">
        <f>IF(H$13&lt;&gt;"",H$13,Lookup!$C$32)</f>
        <v>0</v>
      </c>
      <c r="I12" s="36">
        <f t="shared" ref="I12:I18" si="0">SUM(D12:H12)</f>
        <v>0</v>
      </c>
      <c r="J12" s="93"/>
      <c r="M12" s="92"/>
    </row>
    <row r="13" spans="2:13" s="89" customFormat="1" ht="15.75" x14ac:dyDescent="0.25">
      <c r="B13" s="51"/>
      <c r="C13" s="31" t="str">
        <f>IF(Lookup!$B$23&lt;&gt;1, "CMF (Manual)","")</f>
        <v/>
      </c>
      <c r="D13" s="33"/>
      <c r="E13" s="33"/>
      <c r="F13" s="33"/>
      <c r="G13" s="33"/>
      <c r="H13" s="34"/>
      <c r="I13" s="37"/>
      <c r="M13" s="92"/>
    </row>
    <row r="14" spans="2:13" s="89" customFormat="1" ht="6" customHeight="1" x14ac:dyDescent="0.25">
      <c r="B14" s="51"/>
      <c r="C14" s="31"/>
      <c r="D14" s="25"/>
      <c r="E14" s="25"/>
      <c r="F14" s="26"/>
      <c r="G14" s="26"/>
      <c r="H14" s="26"/>
      <c r="I14" s="36"/>
      <c r="M14" s="92"/>
    </row>
    <row r="15" spans="2:13" s="89" customFormat="1" ht="15.75" x14ac:dyDescent="0.25">
      <c r="B15" s="51"/>
      <c r="C15" s="31" t="str">
        <f>IF(OR(Lookup!$B$23&lt;&gt;1,$H$5=Lookup!$A$18),Lookup!$A$2,IF($H$5=Lookup!$A$19,Lookup!$A$6,IF($H$5=Lookup!$A$20,"Overhead","")))</f>
        <v>Coop Full</v>
      </c>
      <c r="D15" s="24">
        <f>IF(Lookup!$B$23&lt;&gt;1,(SUMIFS(Expenses!$K$388:$K$532,Expenses!$M$388:$M$532,"Full", Expenses!$A$388:$A$532,"&lt;&gt;Suballocation",Expenses!$D$388:$D$532, Funding!D$10)+SUMIFS(Expenses!$K$388:$K$532,Expenses!$M$388:$M$532,"Full", Expenses!$A$388:$A$532,"&lt;&gt;Suballocation",Expenses!$D$388:$D$532,"")),(SUMIFS(Expenses!$K$388:$K$532,Expenses!$M$388:$M$532,"&lt;&gt;Reduced", Expenses!$A$388:$A$532,"&lt;&gt;Suballocation",Expenses!$D$388:$D$532, Funding!D$10)+SUMIFS(Expenses!$K$388:$K$532,Expenses!$M$388:$M$532,"&lt;&gt;Reduced", Expenses!$A$388:$A$532,"&lt;&gt;Suballocation",Expenses!$D$388:$D$532, "")))*(1+IFERROR(VLOOKUP($C$15,Lookup!$A$2:$B$7,2,FALSE),0))</f>
        <v>47663.070651692309</v>
      </c>
      <c r="E15" s="24">
        <f>IF(Lookup!$B$23&lt;&gt;1,(SUMIFS(Expenses!$K$388:$K$532,Expenses!$M$388:$M$532,"Full", Expenses!$A$388:$A$532,"&lt;&gt;Suballocation",Expenses!$D$388:$D$532, Funding!E$10)),(SUMIFS(Expenses!$K$388:$K$532,Expenses!$M$388:$M$532,"&lt;&gt;Reduced", Expenses!$A$388:$A$532,"&lt;&gt;Suballocation",Expenses!$D$388:$D$532, Funding!E$10)))*(1+IFERROR(VLOOKUP($C$15,Lookup!$A$2:$B$7,2,FALSE),0))</f>
        <v>0</v>
      </c>
      <c r="F15" s="24">
        <f>IF(Lookup!$B$23&lt;&gt;1,(SUMIFS(Expenses!$K$388:$K$532,Expenses!$M$388:$M$532,"Full", Expenses!$A$388:$A$532,"&lt;&gt;Suballocation",Expenses!$D$388:$D$532, Funding!F$10)),(SUMIFS(Expenses!$K$388:$K$532,Expenses!$M$388:$M$532,"&lt;&gt;Reduced", Expenses!$A$388:$A$532,"&lt;&gt;Suballocation",Expenses!$D$388:$D$532, Funding!F$10)))*(1+IFERROR(VLOOKUP($C$15,Lookup!$A$2:$B$7,2,FALSE),0))</f>
        <v>0</v>
      </c>
      <c r="G15" s="24">
        <f>IF(Lookup!$B$23&lt;&gt;1,(SUMIFS(Expenses!$K$388:$K$532,Expenses!$M$388:$M$532,"Full", Expenses!$A$388:$A$532,"&lt;&gt;Suballocation",Expenses!$D$388:$D$532, Funding!G$10)),(SUMIFS(Expenses!$K$388:$K$532,Expenses!$M$388:$M$532,"&lt;&gt;Reduced", Expenses!$A$388:$A$532,"&lt;&gt;Suballocation",Expenses!$D$388:$D$532, Funding!G$10)))*(1+IFERROR(VLOOKUP($C$15,Lookup!$A$2:$B$7,2,FALSE),0))</f>
        <v>0</v>
      </c>
      <c r="H15" s="24">
        <f>IF(Lookup!$B$23&lt;&gt;1,(SUMIFS(Expenses!$K$388:$K$532,Expenses!$M$388:$M$532,"Full", Expenses!$A$388:$A$532,"&lt;&gt;Suballocation",Expenses!$D$388:$D$532, Funding!H$10)),(SUMIFS(Expenses!$K$388:$K$532,Expenses!$M$388:$M$532,"&lt;&gt;Reduced", Expenses!$A$388:$A$532,"&lt;&gt;Suballocation",Expenses!$D$388:$D$532, Funding!H$10)))*(1+IFERROR(VLOOKUP($C$15,Lookup!$A$2:$B$7,2,FALSE),0))</f>
        <v>0</v>
      </c>
      <c r="I15" s="36">
        <f t="shared" si="0"/>
        <v>47663.070651692309</v>
      </c>
      <c r="M15" s="92"/>
    </row>
    <row r="16" spans="2:13" s="89" customFormat="1" ht="15.75" x14ac:dyDescent="0.25">
      <c r="B16" s="51"/>
      <c r="C16" s="31" t="str">
        <f>IF(OR(Lookup!$B$23&lt;&gt;1,$H$5=Lookup!$A$18),Lookup!$A$4,IF($H$5=Lookup!$A$19,Lookup!$A$7,IF($H$5=Lookup!$A$20,"Overhead (G&amp;S)","")))</f>
        <v>Coop G&amp;S</v>
      </c>
      <c r="D16" s="24">
        <f>(SUMIFS(Expenses!$K$388:$K$532,Expenses!$M$388:$M$532,"Reduced",Expenses!$D$388:$D$532, Funding!D$10)+SUMIFS(Expenses!$K$388:$K$532,Expenses!$M$388:$M$532,"Reduced",Expenses!$D$388:$D$532, ""))*(1+IFERROR(VLOOKUP($C$16,Lookup!$A$2:$B$7,2,FALSE),0))</f>
        <v>0</v>
      </c>
      <c r="E16" s="24">
        <f>(SUMIFS(Expenses!$K$388:$K$532,Expenses!$M$388:$M$532,"Reduced",Expenses!$D$388:$D$532, Funding!E$10))*(1+IFERROR(VLOOKUP($C$16,Lookup!$A$2:$B$7,2,FALSE),0))</f>
        <v>0</v>
      </c>
      <c r="F16" s="24">
        <f>(SUMIFS(Expenses!$K$388:$K$532,Expenses!$M$388:$M$532,"Reduced",Expenses!$D$388:$D$532, Funding!F$10))*(1+IFERROR(VLOOKUP($C$16,Lookup!$A$2:$B$7,2,FALSE),0))</f>
        <v>0</v>
      </c>
      <c r="G16" s="24">
        <f>(SUMIFS(Expenses!$K$388:$K$532,Expenses!$M$388:$M$532,"Reduced",Expenses!$D$388:$D$532, Funding!G$10))*(1+IFERROR(VLOOKUP($C$16,Lookup!$A$2:$B$7,2,FALSE),0))</f>
        <v>0</v>
      </c>
      <c r="H16" s="24">
        <f>(SUMIFS(Expenses!$K$388:$K$532,Expenses!$M$388:$M$532,"Reduced",Expenses!$D$388:$D$532, Funding!H$10))*(1+IFERROR(VLOOKUP($C$16,Lookup!$A$2:$B$7,2,FALSE),0))</f>
        <v>0</v>
      </c>
      <c r="I16" s="36">
        <f t="shared" si="0"/>
        <v>0</v>
      </c>
      <c r="M16" s="92"/>
    </row>
    <row r="17" spans="2:13" s="89" customFormat="1" ht="6" customHeight="1" x14ac:dyDescent="0.25">
      <c r="B17" s="51"/>
      <c r="C17" s="31"/>
      <c r="D17" s="25"/>
      <c r="E17" s="25"/>
      <c r="F17" s="26"/>
      <c r="G17" s="26"/>
      <c r="H17" s="26"/>
      <c r="I17" s="36"/>
      <c r="M17" s="92"/>
    </row>
    <row r="18" spans="2:13" s="89" customFormat="1" ht="15.75" x14ac:dyDescent="0.25">
      <c r="B18" s="51"/>
      <c r="C18" s="31" t="s">
        <v>82</v>
      </c>
      <c r="D18" s="24">
        <f>SUMIFS(Expenses!$K$388:$K$532,Expenses!$A$388:$A$532,"Suballocation",Expenses!$D$388:$D$532, Funding!D$10)+SUMIFS(Expenses!$K$388:$K$532,Expenses!$A$388:$A$532,"Suballocation",Expenses!$D$388:$D$532, "")</f>
        <v>0</v>
      </c>
      <c r="E18" s="24">
        <f>SUMIFS(Expenses!$K$388:$K$532,Expenses!$A$388:$A$532,"Suballocation",Expenses!$D$388:$D$532, Funding!E$10)</f>
        <v>0</v>
      </c>
      <c r="F18" s="24">
        <f>SUMIFS(Expenses!$K$388:$K$532,Expenses!$A$388:$A$532,"Suballocation",Expenses!$D$388:$D$532, Funding!F$10)</f>
        <v>0</v>
      </c>
      <c r="G18" s="24">
        <f>SUMIFS(Expenses!$K$388:$K$532,Expenses!$A$388:$A$532,"Suballocation",Expenses!$D$388:$D$532, Funding!G$10)</f>
        <v>0</v>
      </c>
      <c r="H18" s="24">
        <f>SUMIFS(Expenses!$K$388:$K$532,Expenses!$A$388:$A$532,"Suballocation",Expenses!$D$388:$D$532, Funding!H$10)</f>
        <v>0</v>
      </c>
      <c r="I18" s="36">
        <f t="shared" si="0"/>
        <v>0</v>
      </c>
      <c r="M18" s="92"/>
    </row>
    <row r="19" spans="2:13" s="89" customFormat="1" ht="3" customHeight="1" x14ac:dyDescent="0.25">
      <c r="B19" s="51"/>
      <c r="C19" s="52"/>
      <c r="D19" s="53"/>
      <c r="E19" s="53"/>
      <c r="F19" s="53"/>
      <c r="G19" s="53"/>
      <c r="H19" s="53"/>
      <c r="I19" s="54"/>
    </row>
    <row r="20" spans="2:13" s="89" customFormat="1" ht="6" customHeight="1" x14ac:dyDescent="0.25">
      <c r="B20" s="55"/>
      <c r="C20" s="56"/>
      <c r="D20" s="57"/>
      <c r="E20" s="57"/>
      <c r="F20" s="57"/>
      <c r="G20" s="57"/>
      <c r="H20" s="57"/>
      <c r="I20" s="58"/>
    </row>
    <row r="21" spans="2:13" s="89" customFormat="1" ht="16.5" customHeight="1" x14ac:dyDescent="0.25">
      <c r="B21" s="133" t="s">
        <v>101</v>
      </c>
      <c r="C21" s="52" t="s">
        <v>95</v>
      </c>
      <c r="D21" s="59">
        <f>IF(Lookup!$B$23&lt;&gt;1,SUM(D11,D15,D16,D18),IF($H$5=Lookup!$A$18,SUM(D15,D16,D18),0))</f>
        <v>47663.070651692309</v>
      </c>
      <c r="E21" s="59">
        <f>IF(Lookup!$B$23&lt;&gt;1,SUM(E11,E15,E16,E18),IF($H$5=Lookup!$A$18,SUM(E15,E16,E18),0))</f>
        <v>0</v>
      </c>
      <c r="F21" s="59">
        <f>IF(Lookup!$B$23&lt;&gt;1,SUM(F11,F15,F16,F18),IF($H$5=Lookup!$A$18,SUM(F15,F16,F18),0))</f>
        <v>0</v>
      </c>
      <c r="G21" s="59">
        <f>IF(Lookup!$B$23&lt;&gt;1,SUM(G11,G15,G16,G18),IF($H$5=Lookup!$A$18,SUM(G15,G16,G18),0))</f>
        <v>0</v>
      </c>
      <c r="H21" s="59">
        <f>IF(Lookup!$B$23&lt;&gt;1,SUM(H11,H15,H16,H18),IF($H$5=Lookup!$A$18,SUM(H15,H16,H18),0))</f>
        <v>0</v>
      </c>
      <c r="I21" s="60">
        <f>IF(Lookup!$B$23&lt;&gt;1,SUM(I11,I15,I16,I18),IF($H$5=Lookup!$A$18,SUM(I15,I16,I18),0))</f>
        <v>47663.070651692309</v>
      </c>
    </row>
    <row r="22" spans="2:13" s="89" customFormat="1" ht="15.75" customHeight="1" x14ac:dyDescent="0.25">
      <c r="B22" s="133"/>
      <c r="C22" s="52" t="s">
        <v>96</v>
      </c>
      <c r="D22" s="59">
        <f>IF(Lookup!$B$23&lt;&gt;1,SUM(D12),IF($H$5=Lookup!$A$18,0,IF(OR($H$5=Lookup!$A$19,$H$5=Lookup!$A$20),SUM(D15,D16,D18),0)))</f>
        <v>0</v>
      </c>
      <c r="E22" s="59">
        <f>IF(Lookup!$B$23&lt;&gt;1,SUM(E12),IF($H$5=Lookup!$A$18,0,IF(OR($H$5=Lookup!$A$19,$H$5=Lookup!$A$20),SUM(E15,E16,E18),0)))</f>
        <v>0</v>
      </c>
      <c r="F22" s="59">
        <f>IF(Lookup!$B$23&lt;&gt;1,SUM(F12),IF($H$5=Lookup!$A$18,0,IF(OR($H$5=Lookup!$A$19,$H$5=Lookup!$A$20),SUM(F15,F16,F18),0)))</f>
        <v>0</v>
      </c>
      <c r="G22" s="59">
        <f>IF(Lookup!$B$23&lt;&gt;1,SUM(G12),IF($H$5=Lookup!$A$18,0,IF(OR($H$5=Lookup!$A$19,$H$5=Lookup!$A$20),SUM(G15,G16,G18),0)))</f>
        <v>0</v>
      </c>
      <c r="H22" s="59">
        <f>IF(Lookup!$B$23&lt;&gt;1,SUM(H12),IF($H$5=Lookup!$A$18,0,IF(OR($H$5=Lookup!$A$19,$H$5=Lookup!$A$20),SUM(H15,H16,H18),0)))</f>
        <v>0</v>
      </c>
      <c r="I22" s="60">
        <f>IF(Lookup!$B$23&lt;&gt;1,SUM(I12),IF($H$5=Lookup!$A$18,0,IF(OR($H$5=Lookup!$A$19,$H$5=Lookup!$A$20),SUM(I15,I16,I18),0)))</f>
        <v>0</v>
      </c>
    </row>
    <row r="23" spans="2:13" s="89" customFormat="1" ht="16.5" thickBot="1" x14ac:dyDescent="0.3">
      <c r="B23" s="61"/>
      <c r="C23" s="62" t="s">
        <v>80</v>
      </c>
      <c r="D23" s="63">
        <f>SUM(D21:D22)</f>
        <v>47663.070651692309</v>
      </c>
      <c r="E23" s="63">
        <f t="shared" ref="E23:I23" si="1">SUM(E21:E22)</f>
        <v>0</v>
      </c>
      <c r="F23" s="63">
        <f t="shared" si="1"/>
        <v>0</v>
      </c>
      <c r="G23" s="63">
        <f t="shared" si="1"/>
        <v>0</v>
      </c>
      <c r="H23" s="63">
        <f t="shared" si="1"/>
        <v>0</v>
      </c>
      <c r="I23" s="64">
        <f t="shared" si="1"/>
        <v>47663.070651692309</v>
      </c>
    </row>
    <row r="24" spans="2:13" s="89" customFormat="1" ht="3" customHeight="1" thickTop="1" thickBot="1" x14ac:dyDescent="0.3">
      <c r="B24" s="51"/>
      <c r="C24" s="65"/>
      <c r="D24" s="53"/>
      <c r="E24" s="53"/>
      <c r="F24" s="53"/>
      <c r="G24" s="53"/>
      <c r="H24" s="53"/>
      <c r="I24" s="66"/>
    </row>
    <row r="25" spans="2:13" s="89" customFormat="1" ht="6" customHeight="1" x14ac:dyDescent="0.25">
      <c r="B25" s="48"/>
      <c r="C25" s="57"/>
      <c r="D25" s="57"/>
      <c r="E25" s="57"/>
      <c r="F25" s="57"/>
      <c r="G25" s="57"/>
      <c r="H25" s="57"/>
      <c r="I25" s="67"/>
    </row>
    <row r="26" spans="2:13" s="89" customFormat="1" ht="15.75" x14ac:dyDescent="0.25">
      <c r="B26" s="68" t="s">
        <v>90</v>
      </c>
      <c r="C26" s="27"/>
      <c r="D26" s="13"/>
      <c r="E26" s="13"/>
      <c r="F26" s="13"/>
      <c r="G26" s="11"/>
      <c r="H26" s="11"/>
      <c r="I26" s="28"/>
    </row>
    <row r="27" spans="2:13" x14ac:dyDescent="0.25">
      <c r="B27" s="69"/>
      <c r="C27" s="12"/>
      <c r="D27" s="13"/>
      <c r="E27" s="13"/>
      <c r="F27" s="13"/>
      <c r="G27" s="11"/>
      <c r="H27" s="11"/>
      <c r="I27" s="18"/>
    </row>
    <row r="28" spans="2:13" x14ac:dyDescent="0.25">
      <c r="B28" s="69"/>
      <c r="C28" s="14"/>
      <c r="D28" s="131"/>
      <c r="E28" s="15"/>
      <c r="F28" s="15"/>
      <c r="G28" s="11"/>
      <c r="H28" s="11"/>
      <c r="I28" s="18"/>
    </row>
    <row r="29" spans="2:13" x14ac:dyDescent="0.25">
      <c r="B29" s="69"/>
      <c r="C29" s="14"/>
      <c r="D29" s="131"/>
      <c r="E29" s="15"/>
      <c r="F29" s="15"/>
      <c r="G29" s="11"/>
      <c r="H29" s="11"/>
      <c r="I29" s="18"/>
    </row>
    <row r="30" spans="2:13" x14ac:dyDescent="0.25">
      <c r="B30" s="69"/>
      <c r="C30" s="12"/>
      <c r="D30" s="132"/>
      <c r="E30" s="13"/>
      <c r="F30" s="13"/>
      <c r="G30" s="11"/>
      <c r="H30" s="11"/>
      <c r="I30" s="18"/>
    </row>
    <row r="31" spans="2:13" x14ac:dyDescent="0.25">
      <c r="B31" s="69"/>
      <c r="C31" s="12"/>
      <c r="D31" s="13"/>
      <c r="E31" s="13"/>
      <c r="F31" s="13"/>
      <c r="G31" s="11"/>
      <c r="H31" s="11"/>
      <c r="I31" s="18"/>
    </row>
    <row r="32" spans="2:13" x14ac:dyDescent="0.25">
      <c r="B32" s="69"/>
      <c r="C32" s="12"/>
      <c r="D32" s="13"/>
      <c r="E32" s="13"/>
      <c r="F32" s="13"/>
      <c r="G32" s="11"/>
      <c r="H32" s="11"/>
      <c r="I32" s="18"/>
    </row>
    <row r="33" spans="2:9" x14ac:dyDescent="0.25">
      <c r="B33" s="69"/>
      <c r="C33" s="12"/>
      <c r="D33" s="13"/>
      <c r="E33" s="13"/>
      <c r="F33" s="13"/>
      <c r="G33" s="11"/>
      <c r="H33" s="11"/>
      <c r="I33" s="18"/>
    </row>
    <row r="34" spans="2:9" x14ac:dyDescent="0.25">
      <c r="B34" s="69"/>
      <c r="C34" s="12"/>
      <c r="D34" s="13"/>
      <c r="E34" s="13"/>
      <c r="F34" s="13"/>
      <c r="G34" s="11"/>
      <c r="H34" s="11"/>
      <c r="I34" s="18"/>
    </row>
    <row r="35" spans="2:9" x14ac:dyDescent="0.25">
      <c r="B35" s="69"/>
      <c r="C35" s="12"/>
      <c r="D35" s="13"/>
      <c r="E35" s="13"/>
      <c r="F35" s="13"/>
      <c r="G35" s="13"/>
      <c r="H35" s="13"/>
      <c r="I35" s="18"/>
    </row>
    <row r="36" spans="2:9" x14ac:dyDescent="0.25">
      <c r="B36" s="69"/>
      <c r="C36" s="12"/>
      <c r="D36" s="13"/>
      <c r="E36" s="13"/>
      <c r="F36" s="13"/>
      <c r="G36" s="13"/>
      <c r="H36" s="13"/>
      <c r="I36" s="18"/>
    </row>
    <row r="37" spans="2:9" x14ac:dyDescent="0.25">
      <c r="B37" s="69"/>
      <c r="C37" s="12"/>
      <c r="D37" s="13"/>
      <c r="E37" s="13"/>
      <c r="F37" s="13"/>
      <c r="G37" s="13"/>
      <c r="H37" s="13"/>
      <c r="I37" s="18"/>
    </row>
    <row r="38" spans="2:9" x14ac:dyDescent="0.25">
      <c r="B38" s="69"/>
      <c r="C38" s="12"/>
      <c r="D38" s="13"/>
      <c r="E38" s="13"/>
      <c r="F38" s="13"/>
      <c r="G38" s="13"/>
      <c r="H38" s="13"/>
      <c r="I38" s="18"/>
    </row>
    <row r="39" spans="2:9" x14ac:dyDescent="0.25">
      <c r="B39" s="69"/>
      <c r="C39" s="12"/>
      <c r="D39" s="13"/>
      <c r="E39" s="13"/>
      <c r="F39" s="13"/>
      <c r="G39" s="13"/>
      <c r="H39" s="13"/>
      <c r="I39" s="18"/>
    </row>
    <row r="40" spans="2:9" x14ac:dyDescent="0.25">
      <c r="B40" s="69"/>
      <c r="C40" s="12"/>
      <c r="D40" s="13"/>
      <c r="E40" s="13"/>
      <c r="F40" s="13"/>
      <c r="G40" s="13"/>
      <c r="H40" s="13"/>
      <c r="I40" s="18"/>
    </row>
    <row r="41" spans="2:9" x14ac:dyDescent="0.25">
      <c r="B41" s="69"/>
      <c r="C41" s="12"/>
      <c r="D41" s="13"/>
      <c r="E41" s="13"/>
      <c r="F41" s="13"/>
      <c r="G41" s="13"/>
      <c r="H41" s="13"/>
      <c r="I41" s="18"/>
    </row>
    <row r="42" spans="2:9" x14ac:dyDescent="0.25">
      <c r="B42" s="69"/>
      <c r="C42" s="12"/>
      <c r="D42" s="13"/>
      <c r="E42" s="13"/>
      <c r="F42" s="13"/>
      <c r="G42" s="13"/>
      <c r="H42" s="13"/>
      <c r="I42" s="18"/>
    </row>
    <row r="43" spans="2:9" x14ac:dyDescent="0.25">
      <c r="B43" s="69"/>
      <c r="C43" s="16"/>
      <c r="D43" s="17"/>
      <c r="E43" s="17"/>
      <c r="F43" s="17"/>
      <c r="G43" s="17"/>
      <c r="H43" s="17"/>
      <c r="I43" s="19"/>
    </row>
    <row r="44" spans="2:9" ht="3" customHeight="1" thickBot="1" x14ac:dyDescent="0.3">
      <c r="B44" s="70"/>
      <c r="C44" s="71"/>
      <c r="D44" s="71"/>
      <c r="E44" s="71"/>
      <c r="F44" s="71"/>
      <c r="G44" s="71"/>
      <c r="H44" s="71"/>
      <c r="I44" s="72"/>
    </row>
    <row r="46" spans="2:9" x14ac:dyDescent="0.25">
      <c r="G46" s="94"/>
      <c r="H46" s="94"/>
    </row>
    <row r="49" spans="7:8" x14ac:dyDescent="0.25">
      <c r="G49" s="94"/>
      <c r="H49" s="94"/>
    </row>
  </sheetData>
  <sheetProtection algorithmName="SHA-512" hashValue="nLKsraJaH4BMe4pWw5rtKBnGLyRN4tMw+oS675JydIAR9XC0pDXvGlloRQbCkClfcEV7fZTAWnZtm2Q7Yoy7tg==" saltValue="lTZZNPmbc1CppaNhzuPigw==" spinCount="100000" sheet="1" objects="1" scenarios="1"/>
  <mergeCells count="3">
    <mergeCell ref="B10:B11"/>
    <mergeCell ref="B21:B22"/>
    <mergeCell ref="C2:I2"/>
  </mergeCells>
  <conditionalFormatting sqref="C11:I13">
    <cfRule type="expression" dxfId="2" priority="1">
      <formula>$I$5</formula>
    </cfRule>
  </conditionalFormatting>
  <dataValidations count="1">
    <dataValidation type="list" allowBlank="1" showInputMessage="1" showErrorMessage="1" sqref="C24 C6 C3 C19">
      <formula1>$A$14:$A$18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Lookup!$J$2:$J$6</xm:f>
          </x14:formula1>
          <xm:sqref>F5</xm:sqref>
        </x14:dataValidation>
        <x14:dataValidation type="list" allowBlank="1" showInputMessage="1" showErrorMessage="1">
          <x14:formula1>
            <xm:f>Lookup!$A$16:$A$20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33"/>
  <sheetViews>
    <sheetView topLeftCell="A387" zoomScaleNormal="100" workbookViewId="0">
      <pane ySplit="1" topLeftCell="A388" activePane="bottomLeft" state="frozen"/>
      <selection activeCell="A387" sqref="A387"/>
      <selection pane="bottomLeft" activeCell="F403" sqref="F403"/>
    </sheetView>
  </sheetViews>
  <sheetFormatPr defaultRowHeight="15" x14ac:dyDescent="0.25"/>
  <cols>
    <col min="1" max="1" width="32.85546875" style="99" customWidth="1"/>
    <col min="2" max="2" width="13" style="99" customWidth="1"/>
    <col min="3" max="3" width="24.7109375" style="99" customWidth="1"/>
    <col min="4" max="4" width="12.85546875" style="99" customWidth="1"/>
    <col min="5" max="5" width="13.28515625" style="1" bestFit="1" customWidth="1"/>
    <col min="6" max="9" width="12.7109375" style="1" customWidth="1"/>
    <col min="10" max="10" width="13.85546875" style="1" customWidth="1"/>
    <col min="11" max="11" width="14.85546875" style="1" customWidth="1"/>
    <col min="12" max="12" width="19" style="1" customWidth="1"/>
    <col min="13" max="13" width="41.140625" style="1" customWidth="1"/>
    <col min="14" max="14" width="11.42578125" style="1" customWidth="1"/>
    <col min="15" max="15" width="9" style="1" bestFit="1" customWidth="1"/>
    <col min="16" max="16" width="26.85546875" style="1" bestFit="1" customWidth="1"/>
    <col min="17" max="17" width="12.42578125" style="1" bestFit="1" customWidth="1"/>
    <col min="18" max="16384" width="9.140625" style="1"/>
  </cols>
  <sheetData>
    <row r="1" spans="1:6" hidden="1" x14ac:dyDescent="0.25">
      <c r="A1" s="98" t="s">
        <v>1</v>
      </c>
      <c r="B1" s="98" t="s">
        <v>2</v>
      </c>
      <c r="C1" s="99" t="s">
        <v>330</v>
      </c>
      <c r="E1" s="1" t="s">
        <v>425</v>
      </c>
      <c r="F1" s="1">
        <v>44.39</v>
      </c>
    </row>
    <row r="2" spans="1:6" hidden="1" x14ac:dyDescent="0.25">
      <c r="A2" s="100" t="s">
        <v>59</v>
      </c>
      <c r="B2" s="96"/>
      <c r="C2" s="104"/>
    </row>
    <row r="3" spans="1:6" hidden="1" x14ac:dyDescent="0.25">
      <c r="A3" s="100" t="s">
        <v>63</v>
      </c>
      <c r="B3" s="96"/>
      <c r="C3" s="104"/>
    </row>
    <row r="4" spans="1:6" hidden="1" x14ac:dyDescent="0.25">
      <c r="A4" s="100" t="s">
        <v>62</v>
      </c>
      <c r="B4" s="96"/>
      <c r="C4" s="104"/>
    </row>
    <row r="5" spans="1:6" hidden="1" x14ac:dyDescent="0.25">
      <c r="A5" s="100" t="s">
        <v>120</v>
      </c>
      <c r="B5" s="96"/>
      <c r="C5" s="104"/>
    </row>
    <row r="6" spans="1:6" hidden="1" x14ac:dyDescent="0.25">
      <c r="A6" s="100" t="s">
        <v>121</v>
      </c>
      <c r="B6" s="96"/>
      <c r="C6" s="104"/>
    </row>
    <row r="7" spans="1:6" hidden="1" x14ac:dyDescent="0.25">
      <c r="A7" s="100" t="s">
        <v>69</v>
      </c>
      <c r="B7" s="96"/>
      <c r="C7" s="104"/>
    </row>
    <row r="8" spans="1:6" hidden="1" x14ac:dyDescent="0.25">
      <c r="A8" s="100" t="s">
        <v>60</v>
      </c>
      <c r="B8" s="96"/>
      <c r="C8" s="104"/>
    </row>
    <row r="9" spans="1:6" hidden="1" x14ac:dyDescent="0.25">
      <c r="A9" s="100" t="s">
        <v>58</v>
      </c>
      <c r="B9" s="96"/>
      <c r="C9" s="104"/>
    </row>
    <row r="10" spans="1:6" hidden="1" x14ac:dyDescent="0.25">
      <c r="A10" s="100" t="s">
        <v>61</v>
      </c>
      <c r="B10" s="96"/>
      <c r="C10" s="104"/>
    </row>
    <row r="11" spans="1:6" hidden="1" x14ac:dyDescent="0.25">
      <c r="A11" s="100" t="s">
        <v>64</v>
      </c>
      <c r="B11" s="96"/>
      <c r="C11" s="104"/>
    </row>
    <row r="12" spans="1:6" hidden="1" x14ac:dyDescent="0.25">
      <c r="A12" s="100" t="s">
        <v>57</v>
      </c>
      <c r="B12" s="96"/>
      <c r="C12" s="104"/>
    </row>
    <row r="13" spans="1:6" hidden="1" x14ac:dyDescent="0.25">
      <c r="A13" s="100" t="s">
        <v>65</v>
      </c>
      <c r="B13" s="96"/>
      <c r="C13" s="104"/>
    </row>
    <row r="14" spans="1:6" hidden="1" x14ac:dyDescent="0.25">
      <c r="A14" s="100" t="s">
        <v>119</v>
      </c>
      <c r="B14" s="96"/>
      <c r="C14" s="104"/>
    </row>
    <row r="15" spans="1:6" hidden="1" x14ac:dyDescent="0.25">
      <c r="A15" s="100" t="s">
        <v>82</v>
      </c>
      <c r="B15" s="96"/>
      <c r="C15" s="104"/>
    </row>
    <row r="16" spans="1:6" hidden="1" x14ac:dyDescent="0.25">
      <c r="A16" s="100" t="s">
        <v>84</v>
      </c>
      <c r="B16" s="96"/>
      <c r="C16" s="104"/>
    </row>
    <row r="17" spans="1:3" hidden="1" x14ac:dyDescent="0.25">
      <c r="A17" s="100" t="s">
        <v>85</v>
      </c>
      <c r="B17" s="96"/>
      <c r="C17" s="104"/>
    </row>
    <row r="18" spans="1:3" hidden="1" x14ac:dyDescent="0.25">
      <c r="A18" s="100" t="s">
        <v>428</v>
      </c>
      <c r="B18" s="96"/>
      <c r="C18" s="104"/>
    </row>
    <row r="19" spans="1:3" hidden="1" x14ac:dyDescent="0.25">
      <c r="A19" s="100" t="s">
        <v>122</v>
      </c>
      <c r="B19" s="96"/>
      <c r="C19" s="104"/>
    </row>
    <row r="20" spans="1:3" hidden="1" x14ac:dyDescent="0.25">
      <c r="A20" s="100" t="s">
        <v>123</v>
      </c>
      <c r="B20" s="96"/>
      <c r="C20" s="104"/>
    </row>
    <row r="21" spans="1:3" hidden="1" x14ac:dyDescent="0.25">
      <c r="A21" s="6" t="s">
        <v>453</v>
      </c>
      <c r="B21" s="106">
        <v>42.315624999999997</v>
      </c>
      <c r="C21" s="106">
        <v>52.387500000000003</v>
      </c>
    </row>
    <row r="22" spans="1:3" hidden="1" x14ac:dyDescent="0.25">
      <c r="A22" s="6" t="s">
        <v>124</v>
      </c>
      <c r="B22" s="106">
        <v>54.671818181818182</v>
      </c>
      <c r="C22" s="106">
        <v>67.947000000000003</v>
      </c>
    </row>
    <row r="23" spans="1:3" hidden="1" x14ac:dyDescent="0.25">
      <c r="A23" s="6" t="s">
        <v>489</v>
      </c>
      <c r="B23" s="106">
        <v>21.435625000000002</v>
      </c>
      <c r="C23" s="106">
        <v>28.578000000000003</v>
      </c>
    </row>
    <row r="24" spans="1:3" hidden="1" x14ac:dyDescent="0.25">
      <c r="A24" s="6" t="s">
        <v>125</v>
      </c>
      <c r="B24" s="106">
        <v>27.995000000000001</v>
      </c>
      <c r="C24" s="106">
        <v>36.580500000000008</v>
      </c>
    </row>
    <row r="25" spans="1:3" hidden="1" x14ac:dyDescent="0.25">
      <c r="A25" s="6" t="s">
        <v>126</v>
      </c>
      <c r="B25" s="106">
        <v>30.936999999999998</v>
      </c>
      <c r="C25" s="106">
        <v>37.752000000000002</v>
      </c>
    </row>
    <row r="26" spans="1:3" hidden="1" x14ac:dyDescent="0.25">
      <c r="A26" s="6" t="s">
        <v>127</v>
      </c>
      <c r="B26" s="106">
        <v>99.021625</v>
      </c>
      <c r="C26" s="106">
        <v>80.707000000000008</v>
      </c>
    </row>
    <row r="27" spans="1:3" hidden="1" x14ac:dyDescent="0.25">
      <c r="A27" s="6" t="s">
        <v>409</v>
      </c>
      <c r="B27" s="106">
        <v>67.444125</v>
      </c>
      <c r="C27" s="106">
        <v>54.417000000000002</v>
      </c>
    </row>
    <row r="28" spans="1:3" hidden="1" x14ac:dyDescent="0.25">
      <c r="A28" s="6" t="s">
        <v>454</v>
      </c>
      <c r="B28" s="106">
        <v>17.96</v>
      </c>
      <c r="C28" s="106">
        <v>23.792999999999999</v>
      </c>
    </row>
    <row r="29" spans="1:3" hidden="1" x14ac:dyDescent="0.25">
      <c r="A29" s="6" t="s">
        <v>128</v>
      </c>
      <c r="B29" s="106">
        <v>66.42025000000001</v>
      </c>
      <c r="C29" s="106">
        <v>52.866000000000007</v>
      </c>
    </row>
    <row r="30" spans="1:3" hidden="1" x14ac:dyDescent="0.25">
      <c r="A30" s="6" t="s">
        <v>129</v>
      </c>
      <c r="B30" s="106">
        <v>48.904250000000005</v>
      </c>
      <c r="C30" s="106">
        <v>57.618000000000009</v>
      </c>
    </row>
    <row r="31" spans="1:3" hidden="1" x14ac:dyDescent="0.25">
      <c r="A31" s="6" t="s">
        <v>130</v>
      </c>
      <c r="B31" s="106">
        <v>41.061999999999998</v>
      </c>
      <c r="C31" s="106">
        <v>50.011706250000003</v>
      </c>
    </row>
    <row r="32" spans="1:3" hidden="1" x14ac:dyDescent="0.25">
      <c r="A32" s="6" t="s">
        <v>444</v>
      </c>
      <c r="B32" s="106">
        <v>19.167301587301587</v>
      </c>
      <c r="C32" s="106">
        <v>25.542000000000002</v>
      </c>
    </row>
    <row r="33" spans="1:3" hidden="1" x14ac:dyDescent="0.25">
      <c r="A33" s="6" t="s">
        <v>131</v>
      </c>
      <c r="B33" s="106">
        <v>68.550624999999997</v>
      </c>
      <c r="C33" s="106">
        <v>54.417000000000002</v>
      </c>
    </row>
    <row r="34" spans="1:3" hidden="1" x14ac:dyDescent="0.25">
      <c r="A34" s="6" t="s">
        <v>132</v>
      </c>
      <c r="B34" s="106">
        <v>37.592124999999996</v>
      </c>
      <c r="C34" s="106">
        <v>46.183500000000002</v>
      </c>
    </row>
    <row r="35" spans="1:3" hidden="1" x14ac:dyDescent="0.25">
      <c r="A35" s="6" t="s">
        <v>445</v>
      </c>
      <c r="B35" s="106">
        <v>19.954927536231885</v>
      </c>
      <c r="C35" s="106">
        <v>26.383739130434783</v>
      </c>
    </row>
    <row r="36" spans="1:3" hidden="1" x14ac:dyDescent="0.25">
      <c r="A36" s="6" t="s">
        <v>133</v>
      </c>
      <c r="B36" s="106">
        <v>30.400874999999999</v>
      </c>
      <c r="C36" s="106">
        <v>36.580500000000008</v>
      </c>
    </row>
    <row r="37" spans="1:3" hidden="1" x14ac:dyDescent="0.25">
      <c r="A37" s="6" t="s">
        <v>410</v>
      </c>
      <c r="B37" s="106">
        <v>56.723875</v>
      </c>
      <c r="C37" s="106">
        <v>50.017000000000003</v>
      </c>
    </row>
    <row r="38" spans="1:3" hidden="1" x14ac:dyDescent="0.25">
      <c r="A38" s="6" t="s">
        <v>134</v>
      </c>
      <c r="B38" s="106">
        <v>46.768374999999999</v>
      </c>
      <c r="C38" s="106">
        <v>53.641500000000008</v>
      </c>
    </row>
    <row r="39" spans="1:3" hidden="1" x14ac:dyDescent="0.25">
      <c r="A39" s="6" t="s">
        <v>135</v>
      </c>
      <c r="B39" s="106">
        <v>28.728249999999999</v>
      </c>
      <c r="C39" s="106">
        <v>37.454999999999998</v>
      </c>
    </row>
    <row r="40" spans="1:3" hidden="1" x14ac:dyDescent="0.25">
      <c r="A40" s="6" t="s">
        <v>136</v>
      </c>
      <c r="B40" s="106">
        <v>52.438749999999999</v>
      </c>
      <c r="C40" s="106">
        <v>62.865000000000009</v>
      </c>
    </row>
    <row r="41" spans="1:3" hidden="1" x14ac:dyDescent="0.25">
      <c r="A41" s="6" t="s">
        <v>137</v>
      </c>
      <c r="B41" s="106">
        <v>46.71575</v>
      </c>
      <c r="C41" s="106">
        <v>59.367000000000004</v>
      </c>
    </row>
    <row r="42" spans="1:3" hidden="1" x14ac:dyDescent="0.25">
      <c r="A42" s="6" t="s">
        <v>138</v>
      </c>
      <c r="B42" s="106">
        <v>55.709000000000003</v>
      </c>
      <c r="C42" s="106">
        <v>48.829000000000008</v>
      </c>
    </row>
    <row r="43" spans="1:3" hidden="1" x14ac:dyDescent="0.25">
      <c r="A43" s="6" t="s">
        <v>139</v>
      </c>
      <c r="B43" s="106">
        <v>45.483874999999998</v>
      </c>
      <c r="C43" s="106">
        <v>57.618000000000009</v>
      </c>
    </row>
    <row r="44" spans="1:3" hidden="1" x14ac:dyDescent="0.25">
      <c r="A44" s="6" t="s">
        <v>140</v>
      </c>
      <c r="B44" s="106">
        <v>99.083625000000012</v>
      </c>
      <c r="C44" s="106">
        <v>80.707000000000008</v>
      </c>
    </row>
    <row r="45" spans="1:3" hidden="1" x14ac:dyDescent="0.25">
      <c r="A45" s="6" t="s">
        <v>490</v>
      </c>
      <c r="B45" s="106">
        <v>19.61658914728682</v>
      </c>
      <c r="C45" s="106">
        <v>26.152627906976747</v>
      </c>
    </row>
    <row r="46" spans="1:3" hidden="1" x14ac:dyDescent="0.25">
      <c r="A46" s="6" t="s">
        <v>455</v>
      </c>
      <c r="B46" s="106">
        <v>19.125538461538461</v>
      </c>
      <c r="C46" s="106">
        <v>25.542000000000002</v>
      </c>
    </row>
    <row r="47" spans="1:3" hidden="1" x14ac:dyDescent="0.25">
      <c r="A47" s="6" t="s">
        <v>141</v>
      </c>
      <c r="B47" s="106">
        <v>63.635750000000002</v>
      </c>
      <c r="C47" s="106">
        <v>53.02000000000001</v>
      </c>
    </row>
    <row r="48" spans="1:3" hidden="1" x14ac:dyDescent="0.25">
      <c r="A48" s="6" t="s">
        <v>491</v>
      </c>
      <c r="B48" s="106">
        <v>30.728249999999999</v>
      </c>
      <c r="C48" s="106">
        <v>37.009499999999996</v>
      </c>
    </row>
    <row r="49" spans="1:3" hidden="1" x14ac:dyDescent="0.25">
      <c r="A49" s="6" t="s">
        <v>335</v>
      </c>
      <c r="B49" s="106">
        <v>45.226624999999999</v>
      </c>
      <c r="C49" s="106">
        <v>51.958500000000001</v>
      </c>
    </row>
    <row r="50" spans="1:3" hidden="1" x14ac:dyDescent="0.25">
      <c r="A50" s="6" t="s">
        <v>492</v>
      </c>
      <c r="B50" s="106">
        <v>14.844883720930232</v>
      </c>
      <c r="C50" s="106">
        <v>22.753499999999999</v>
      </c>
    </row>
    <row r="51" spans="1:3" hidden="1" x14ac:dyDescent="0.25">
      <c r="A51" s="6" t="s">
        <v>142</v>
      </c>
      <c r="B51" s="106">
        <v>52.722000000000001</v>
      </c>
      <c r="C51" s="106">
        <v>48.829000000000008</v>
      </c>
    </row>
    <row r="52" spans="1:3" hidden="1" x14ac:dyDescent="0.25">
      <c r="A52" s="6" t="s">
        <v>143</v>
      </c>
      <c r="B52" s="106">
        <v>39.639874999999996</v>
      </c>
      <c r="C52" s="106">
        <v>51.958706249999999</v>
      </c>
    </row>
    <row r="53" spans="1:3" hidden="1" x14ac:dyDescent="0.25">
      <c r="A53" s="6" t="s">
        <v>144</v>
      </c>
      <c r="B53" s="106">
        <v>54.5685</v>
      </c>
      <c r="C53" s="106">
        <v>48.829000000000008</v>
      </c>
    </row>
    <row r="54" spans="1:3" hidden="1" x14ac:dyDescent="0.25">
      <c r="A54" s="6" t="s">
        <v>145</v>
      </c>
      <c r="B54" s="106">
        <v>54.941500000000005</v>
      </c>
      <c r="C54" s="106">
        <v>68.095500000000001</v>
      </c>
    </row>
    <row r="55" spans="1:3" hidden="1" x14ac:dyDescent="0.25">
      <c r="A55" s="6" t="s">
        <v>146</v>
      </c>
      <c r="B55" s="106">
        <v>49.403874999999999</v>
      </c>
      <c r="C55" s="106">
        <v>60.802500000000009</v>
      </c>
    </row>
    <row r="56" spans="1:3" hidden="1" x14ac:dyDescent="0.25">
      <c r="A56" s="6" t="s">
        <v>147</v>
      </c>
      <c r="B56" s="106">
        <v>92.849375000000009</v>
      </c>
      <c r="C56" s="106">
        <v>80.707000000000008</v>
      </c>
    </row>
    <row r="57" spans="1:3" hidden="1" x14ac:dyDescent="0.25">
      <c r="A57" s="6" t="s">
        <v>148</v>
      </c>
      <c r="B57" s="106">
        <v>53.347500000000004</v>
      </c>
      <c r="C57" s="106">
        <v>48.829000000000008</v>
      </c>
    </row>
    <row r="58" spans="1:3" hidden="1" x14ac:dyDescent="0.25">
      <c r="A58" s="6" t="s">
        <v>149</v>
      </c>
      <c r="B58" s="106">
        <v>63.747</v>
      </c>
      <c r="C58" s="106">
        <v>79.530000000000015</v>
      </c>
    </row>
    <row r="59" spans="1:3" hidden="1" x14ac:dyDescent="0.25">
      <c r="A59" s="6" t="s">
        <v>446</v>
      </c>
      <c r="B59" s="106">
        <v>24.290500000000002</v>
      </c>
      <c r="C59" s="106">
        <v>28.578000000000003</v>
      </c>
    </row>
    <row r="60" spans="1:3" hidden="1" x14ac:dyDescent="0.25">
      <c r="A60" s="6" t="s">
        <v>150</v>
      </c>
      <c r="B60" s="106">
        <v>79.7</v>
      </c>
      <c r="C60" s="106">
        <v>64.702000000000012</v>
      </c>
    </row>
    <row r="61" spans="1:3" hidden="1" x14ac:dyDescent="0.25">
      <c r="A61" s="6" t="s">
        <v>493</v>
      </c>
      <c r="B61" s="106">
        <v>21.435500000000001</v>
      </c>
      <c r="C61" s="106">
        <v>28.578000000000003</v>
      </c>
    </row>
    <row r="62" spans="1:3" hidden="1" x14ac:dyDescent="0.25">
      <c r="A62" s="6" t="s">
        <v>151</v>
      </c>
      <c r="B62" s="106">
        <v>77.1755</v>
      </c>
      <c r="C62" s="106">
        <v>64.702000000000012</v>
      </c>
    </row>
    <row r="63" spans="1:3" hidden="1" x14ac:dyDescent="0.25">
      <c r="A63" s="6" t="s">
        <v>152</v>
      </c>
      <c r="B63" s="106">
        <v>62.730000000000004</v>
      </c>
      <c r="C63" s="106">
        <v>52.866000000000007</v>
      </c>
    </row>
    <row r="64" spans="1:3" hidden="1" x14ac:dyDescent="0.25">
      <c r="A64" s="6" t="s">
        <v>153</v>
      </c>
      <c r="B64" s="106">
        <v>66.907749999999993</v>
      </c>
      <c r="C64" s="106">
        <v>61.171000000000006</v>
      </c>
    </row>
    <row r="65" spans="1:3" hidden="1" x14ac:dyDescent="0.25">
      <c r="A65" s="6" t="s">
        <v>154</v>
      </c>
      <c r="B65" s="106">
        <v>33.052250000000001</v>
      </c>
      <c r="C65" s="106">
        <v>35.970000000000006</v>
      </c>
    </row>
    <row r="66" spans="1:3" hidden="1" x14ac:dyDescent="0.25">
      <c r="A66" s="6" t="s">
        <v>155</v>
      </c>
      <c r="B66" s="106">
        <v>53.721375000000002</v>
      </c>
      <c r="C66" s="106">
        <v>64.267500000000013</v>
      </c>
    </row>
    <row r="67" spans="1:3" hidden="1" x14ac:dyDescent="0.25">
      <c r="A67" s="6" t="s">
        <v>156</v>
      </c>
      <c r="B67" s="106">
        <v>45.668374999999997</v>
      </c>
      <c r="C67" s="106">
        <v>51.315000000000012</v>
      </c>
    </row>
    <row r="68" spans="1:3" hidden="1" x14ac:dyDescent="0.25">
      <c r="A68" s="6" t="s">
        <v>157</v>
      </c>
      <c r="B68" s="106">
        <v>43.276875000000004</v>
      </c>
      <c r="C68" s="106">
        <v>48.295500000000004</v>
      </c>
    </row>
    <row r="69" spans="1:3" hidden="1" x14ac:dyDescent="0.25">
      <c r="A69" s="6" t="s">
        <v>456</v>
      </c>
      <c r="B69" s="106">
        <v>30.076500000000003</v>
      </c>
      <c r="C69" s="106">
        <v>36.580500000000008</v>
      </c>
    </row>
    <row r="70" spans="1:3" hidden="1" x14ac:dyDescent="0.25">
      <c r="A70" s="6" t="s">
        <v>469</v>
      </c>
      <c r="B70" s="106">
        <v>29.969874999999998</v>
      </c>
      <c r="C70" s="106">
        <v>36.250500000000002</v>
      </c>
    </row>
    <row r="71" spans="1:3" hidden="1" x14ac:dyDescent="0.25">
      <c r="A71" s="6" t="s">
        <v>411</v>
      </c>
      <c r="B71" s="106">
        <v>29.141749999999998</v>
      </c>
      <c r="C71" s="106">
        <v>33.098999999999997</v>
      </c>
    </row>
    <row r="72" spans="1:3" hidden="1" x14ac:dyDescent="0.25">
      <c r="A72" s="6" t="s">
        <v>158</v>
      </c>
      <c r="B72" s="106">
        <v>63.227125000000001</v>
      </c>
      <c r="C72" s="106">
        <v>51.436</v>
      </c>
    </row>
    <row r="73" spans="1:3" hidden="1" x14ac:dyDescent="0.25">
      <c r="A73" s="6" t="s">
        <v>159</v>
      </c>
      <c r="B73" s="106">
        <v>58.272125000000003</v>
      </c>
      <c r="C73" s="106">
        <v>67.947000000000003</v>
      </c>
    </row>
    <row r="74" spans="1:3" hidden="1" x14ac:dyDescent="0.25">
      <c r="A74" s="6" t="s">
        <v>404</v>
      </c>
      <c r="B74" s="106">
        <v>22.140625</v>
      </c>
      <c r="C74" s="106">
        <v>29.518500000000003</v>
      </c>
    </row>
    <row r="75" spans="1:3" hidden="1" x14ac:dyDescent="0.25">
      <c r="A75" s="6" t="s">
        <v>160</v>
      </c>
      <c r="B75" s="106">
        <v>52.417249999999996</v>
      </c>
      <c r="C75" s="106">
        <v>60.802706250000007</v>
      </c>
    </row>
    <row r="76" spans="1:3" hidden="1" x14ac:dyDescent="0.25">
      <c r="A76" s="6" t="s">
        <v>431</v>
      </c>
      <c r="B76" s="106">
        <v>26.192125000000001</v>
      </c>
      <c r="C76" s="106">
        <v>31.845000000000006</v>
      </c>
    </row>
    <row r="77" spans="1:3" hidden="1" x14ac:dyDescent="0.25">
      <c r="A77" s="6" t="s">
        <v>161</v>
      </c>
      <c r="B77" s="106">
        <v>39.746875000000003</v>
      </c>
      <c r="C77" s="106">
        <v>51.727500000000013</v>
      </c>
    </row>
    <row r="78" spans="1:3" hidden="1" x14ac:dyDescent="0.25">
      <c r="A78" s="6" t="s">
        <v>432</v>
      </c>
      <c r="B78" s="106">
        <v>29.266874999999999</v>
      </c>
      <c r="C78" s="106">
        <v>35.392499999999998</v>
      </c>
    </row>
    <row r="79" spans="1:3" hidden="1" x14ac:dyDescent="0.25">
      <c r="A79" s="6" t="s">
        <v>470</v>
      </c>
      <c r="B79" s="106">
        <v>15.916114285714286</v>
      </c>
      <c r="C79" s="106">
        <v>21.219188571428571</v>
      </c>
    </row>
    <row r="80" spans="1:3" hidden="1" x14ac:dyDescent="0.25">
      <c r="A80" s="6" t="s">
        <v>162</v>
      </c>
      <c r="B80" s="106">
        <v>33.486625000000004</v>
      </c>
      <c r="C80" s="106">
        <v>43.658999999999999</v>
      </c>
    </row>
    <row r="81" spans="1:3" hidden="1" x14ac:dyDescent="0.25">
      <c r="A81" s="6" t="s">
        <v>163</v>
      </c>
      <c r="B81" s="106">
        <v>62.522625000000005</v>
      </c>
      <c r="C81" s="106">
        <v>52.624000000000009</v>
      </c>
    </row>
    <row r="82" spans="1:3" hidden="1" x14ac:dyDescent="0.25">
      <c r="A82" s="6" t="s">
        <v>164</v>
      </c>
      <c r="B82" s="106">
        <v>51.658000000000001</v>
      </c>
      <c r="C82" s="106">
        <v>59.367000000000004</v>
      </c>
    </row>
    <row r="83" spans="1:3" hidden="1" x14ac:dyDescent="0.25">
      <c r="A83" s="6" t="s">
        <v>165</v>
      </c>
      <c r="B83" s="106">
        <v>80.065374999999989</v>
      </c>
      <c r="C83" s="106">
        <v>64.251000000000005</v>
      </c>
    </row>
    <row r="84" spans="1:3" hidden="1" x14ac:dyDescent="0.25">
      <c r="A84" s="6" t="s">
        <v>166</v>
      </c>
      <c r="B84" s="106">
        <v>48.96275</v>
      </c>
      <c r="C84" s="106">
        <v>60.258000000000003</v>
      </c>
    </row>
    <row r="85" spans="1:3" hidden="1" x14ac:dyDescent="0.25">
      <c r="A85" s="6" t="s">
        <v>167</v>
      </c>
      <c r="B85" s="106">
        <v>91.958875000000006</v>
      </c>
      <c r="C85" s="106">
        <v>74.503000000000014</v>
      </c>
    </row>
    <row r="86" spans="1:3" hidden="1" x14ac:dyDescent="0.25">
      <c r="A86" s="6" t="s">
        <v>168</v>
      </c>
      <c r="B86" s="106">
        <v>53.381374999999998</v>
      </c>
      <c r="C86" s="106">
        <v>48.829000000000008</v>
      </c>
    </row>
    <row r="87" spans="1:3" hidden="1" x14ac:dyDescent="0.25">
      <c r="A87" s="6" t="s">
        <v>169</v>
      </c>
      <c r="B87" s="106">
        <v>48.332875000000001</v>
      </c>
      <c r="C87" s="106">
        <v>54.730500000000006</v>
      </c>
    </row>
    <row r="88" spans="1:3" hidden="1" x14ac:dyDescent="0.25">
      <c r="A88" s="6" t="s">
        <v>170</v>
      </c>
      <c r="B88" s="106">
        <v>78.82287500000001</v>
      </c>
      <c r="C88" s="106">
        <v>66.26400000000001</v>
      </c>
    </row>
    <row r="89" spans="1:3" hidden="1" x14ac:dyDescent="0.25">
      <c r="A89" s="6" t="s">
        <v>171</v>
      </c>
      <c r="B89" s="106">
        <v>42.1815</v>
      </c>
      <c r="C89" s="106">
        <v>51.513206250000003</v>
      </c>
    </row>
    <row r="90" spans="1:3" hidden="1" x14ac:dyDescent="0.25">
      <c r="A90" s="6" t="s">
        <v>172</v>
      </c>
      <c r="B90" s="106">
        <v>42.583500000000001</v>
      </c>
      <c r="C90" s="106">
        <v>52.008000000000003</v>
      </c>
    </row>
    <row r="91" spans="1:3" hidden="1" x14ac:dyDescent="0.25">
      <c r="A91" s="6" t="s">
        <v>433</v>
      </c>
      <c r="B91" s="106">
        <v>33.083375000000004</v>
      </c>
      <c r="C91" s="106">
        <v>40.507500000000007</v>
      </c>
    </row>
    <row r="92" spans="1:3" hidden="1" x14ac:dyDescent="0.25">
      <c r="A92" s="6" t="s">
        <v>336</v>
      </c>
      <c r="B92" s="106">
        <v>37.281624999999998</v>
      </c>
      <c r="C92" s="106">
        <v>43.543500000000002</v>
      </c>
    </row>
    <row r="93" spans="1:3" hidden="1" x14ac:dyDescent="0.25">
      <c r="A93" s="6" t="s">
        <v>173</v>
      </c>
      <c r="B93" s="106">
        <v>43.939374999999998</v>
      </c>
      <c r="C93" s="106">
        <v>55.440000000000012</v>
      </c>
    </row>
    <row r="94" spans="1:3" hidden="1" x14ac:dyDescent="0.25">
      <c r="A94" s="6" t="s">
        <v>494</v>
      </c>
      <c r="B94" s="106">
        <v>21.435625000000002</v>
      </c>
      <c r="C94" s="106">
        <v>28.578000000000003</v>
      </c>
    </row>
    <row r="95" spans="1:3" hidden="1" x14ac:dyDescent="0.25">
      <c r="A95" s="6" t="s">
        <v>412</v>
      </c>
      <c r="B95" s="106">
        <v>24.573499999999999</v>
      </c>
      <c r="C95" s="106">
        <v>32.917499999999997</v>
      </c>
    </row>
    <row r="96" spans="1:3" hidden="1" x14ac:dyDescent="0.25">
      <c r="A96" s="6" t="s">
        <v>174</v>
      </c>
      <c r="B96" s="106">
        <v>43.326625</v>
      </c>
      <c r="C96" s="106">
        <v>49.516500000000008</v>
      </c>
    </row>
    <row r="97" spans="1:3" hidden="1" x14ac:dyDescent="0.25">
      <c r="A97" s="6" t="s">
        <v>175</v>
      </c>
      <c r="B97" s="106">
        <v>65.056125000000009</v>
      </c>
      <c r="C97" s="106">
        <v>54.41713750000001</v>
      </c>
    </row>
    <row r="98" spans="1:3" hidden="1" x14ac:dyDescent="0.25">
      <c r="A98" s="6" t="s">
        <v>457</v>
      </c>
      <c r="B98" s="106">
        <v>35.405874999999995</v>
      </c>
      <c r="C98" s="106">
        <v>43.295999999999999</v>
      </c>
    </row>
    <row r="99" spans="1:3" hidden="1" x14ac:dyDescent="0.25">
      <c r="A99" s="6" t="s">
        <v>176</v>
      </c>
      <c r="B99" s="106">
        <v>35.432874999999996</v>
      </c>
      <c r="C99" s="106">
        <v>43.295999999999999</v>
      </c>
    </row>
    <row r="100" spans="1:3" hidden="1" x14ac:dyDescent="0.25">
      <c r="A100" s="6" t="s">
        <v>495</v>
      </c>
      <c r="B100" s="106">
        <v>44.427333333333337</v>
      </c>
      <c r="C100" s="106">
        <v>68.095500000000001</v>
      </c>
    </row>
    <row r="101" spans="1:3" hidden="1" x14ac:dyDescent="0.25">
      <c r="A101" s="6" t="s">
        <v>337</v>
      </c>
      <c r="B101" s="106">
        <v>31.283749999999998</v>
      </c>
      <c r="C101" s="106">
        <v>38.659500000000001</v>
      </c>
    </row>
    <row r="102" spans="1:3" hidden="1" x14ac:dyDescent="0.25">
      <c r="A102" s="6" t="s">
        <v>471</v>
      </c>
      <c r="B102" s="106">
        <v>18.985500000000002</v>
      </c>
      <c r="C102" s="106">
        <v>25.542000000000002</v>
      </c>
    </row>
    <row r="103" spans="1:3" hidden="1" x14ac:dyDescent="0.25">
      <c r="A103" s="6" t="s">
        <v>177</v>
      </c>
      <c r="B103" s="106">
        <v>91.334249999999997</v>
      </c>
      <c r="C103" s="106">
        <v>74.503000000000014</v>
      </c>
    </row>
    <row r="104" spans="1:3" hidden="1" x14ac:dyDescent="0.25">
      <c r="A104" s="6" t="s">
        <v>178</v>
      </c>
      <c r="B104" s="106">
        <v>65.391125000000002</v>
      </c>
      <c r="C104" s="106">
        <v>53.02000000000001</v>
      </c>
    </row>
    <row r="105" spans="1:3" hidden="1" x14ac:dyDescent="0.25">
      <c r="A105" s="6" t="s">
        <v>179</v>
      </c>
      <c r="B105" s="106">
        <v>62.983875000000005</v>
      </c>
      <c r="C105" s="106">
        <v>54.747000000000007</v>
      </c>
    </row>
    <row r="106" spans="1:3" hidden="1" x14ac:dyDescent="0.25">
      <c r="A106" s="6" t="s">
        <v>180</v>
      </c>
      <c r="B106" s="106">
        <v>56.553999999999995</v>
      </c>
      <c r="C106" s="106">
        <v>48.829000000000008</v>
      </c>
    </row>
    <row r="107" spans="1:3" hidden="1" x14ac:dyDescent="0.25">
      <c r="A107" s="6" t="s">
        <v>181</v>
      </c>
      <c r="B107" s="106">
        <v>80.649249999999995</v>
      </c>
      <c r="C107" s="106">
        <v>64.691000000000003</v>
      </c>
    </row>
    <row r="108" spans="1:3" hidden="1" x14ac:dyDescent="0.25">
      <c r="A108" s="6" t="s">
        <v>496</v>
      </c>
      <c r="B108" s="106">
        <v>22.310416666666669</v>
      </c>
      <c r="C108" s="106">
        <v>25.542000000000002</v>
      </c>
    </row>
    <row r="109" spans="1:3" hidden="1" x14ac:dyDescent="0.25">
      <c r="A109" s="6" t="s">
        <v>458</v>
      </c>
      <c r="B109" s="106">
        <v>30.120874999999998</v>
      </c>
      <c r="C109" s="106">
        <v>36.250500000000002</v>
      </c>
    </row>
    <row r="110" spans="1:3" hidden="1" x14ac:dyDescent="0.25">
      <c r="A110" s="6" t="s">
        <v>401</v>
      </c>
      <c r="B110" s="106">
        <v>64.813437499999992</v>
      </c>
      <c r="C110" s="106">
        <v>54.417000000000002</v>
      </c>
    </row>
    <row r="111" spans="1:3" hidden="1" x14ac:dyDescent="0.25">
      <c r="A111" s="6" t="s">
        <v>472</v>
      </c>
      <c r="B111" s="106">
        <v>20.797894736842107</v>
      </c>
      <c r="C111" s="106">
        <v>31.878000000000004</v>
      </c>
    </row>
    <row r="112" spans="1:3" hidden="1" x14ac:dyDescent="0.25">
      <c r="A112" s="6" t="s">
        <v>347</v>
      </c>
      <c r="B112" s="106">
        <v>31.65625</v>
      </c>
      <c r="C112" s="106">
        <v>39.204000000000001</v>
      </c>
    </row>
    <row r="113" spans="1:3" hidden="1" x14ac:dyDescent="0.25">
      <c r="A113" s="6" t="s">
        <v>473</v>
      </c>
      <c r="B113" s="106">
        <v>36.291499999999999</v>
      </c>
      <c r="C113" s="106">
        <v>44.335706250000008</v>
      </c>
    </row>
    <row r="114" spans="1:3" hidden="1" x14ac:dyDescent="0.25">
      <c r="A114" s="6" t="s">
        <v>182</v>
      </c>
      <c r="B114" s="106">
        <v>44.482874999999993</v>
      </c>
      <c r="C114" s="106">
        <v>54.417000000000002</v>
      </c>
    </row>
    <row r="115" spans="1:3" hidden="1" x14ac:dyDescent="0.25">
      <c r="A115" s="6" t="s">
        <v>348</v>
      </c>
      <c r="B115" s="106">
        <v>55.986375000000002</v>
      </c>
      <c r="C115" s="106">
        <v>48.829000000000008</v>
      </c>
    </row>
    <row r="116" spans="1:3" hidden="1" x14ac:dyDescent="0.25">
      <c r="A116" s="6" t="s">
        <v>447</v>
      </c>
      <c r="B116" s="106">
        <v>19.823250000000002</v>
      </c>
      <c r="C116" s="106">
        <v>26.383500000000002</v>
      </c>
    </row>
    <row r="117" spans="1:3" hidden="1" x14ac:dyDescent="0.25">
      <c r="A117" s="6" t="s">
        <v>349</v>
      </c>
      <c r="B117" s="106">
        <v>55.548624999999994</v>
      </c>
      <c r="C117" s="106">
        <v>48.829000000000008</v>
      </c>
    </row>
    <row r="118" spans="1:3" hidden="1" x14ac:dyDescent="0.25">
      <c r="A118" s="6" t="s">
        <v>183</v>
      </c>
      <c r="B118" s="106">
        <v>55.811374999999998</v>
      </c>
      <c r="C118" s="106">
        <v>64.927500000000009</v>
      </c>
    </row>
    <row r="119" spans="1:3" hidden="1" x14ac:dyDescent="0.25">
      <c r="A119" s="6" t="s">
        <v>184</v>
      </c>
      <c r="B119" s="106">
        <v>87.862875000000003</v>
      </c>
      <c r="C119" s="106">
        <v>74.294000000000011</v>
      </c>
    </row>
    <row r="120" spans="1:3" hidden="1" x14ac:dyDescent="0.25">
      <c r="A120" s="6" t="s">
        <v>459</v>
      </c>
      <c r="B120" s="106">
        <v>22.132624999999997</v>
      </c>
      <c r="C120" s="106">
        <v>29.271000000000001</v>
      </c>
    </row>
    <row r="121" spans="1:3" hidden="1" x14ac:dyDescent="0.25">
      <c r="A121" s="6" t="s">
        <v>185</v>
      </c>
      <c r="B121" s="106">
        <v>50.749125000000006</v>
      </c>
      <c r="C121" s="106">
        <v>58.080000000000013</v>
      </c>
    </row>
    <row r="122" spans="1:3" hidden="1" x14ac:dyDescent="0.25">
      <c r="A122" s="6" t="s">
        <v>186</v>
      </c>
      <c r="B122" s="106">
        <v>79.383375000000001</v>
      </c>
      <c r="C122" s="106">
        <v>66.660000000000011</v>
      </c>
    </row>
    <row r="123" spans="1:3" hidden="1" x14ac:dyDescent="0.25">
      <c r="A123" s="6" t="s">
        <v>187</v>
      </c>
      <c r="B123" s="106">
        <v>69.558250000000001</v>
      </c>
      <c r="C123" s="106">
        <v>56.408000000000008</v>
      </c>
    </row>
    <row r="124" spans="1:3" hidden="1" x14ac:dyDescent="0.25">
      <c r="A124" s="6" t="s">
        <v>188</v>
      </c>
      <c r="B124" s="106">
        <v>86.175645161290319</v>
      </c>
      <c r="C124" s="106">
        <v>72.534000000000006</v>
      </c>
    </row>
    <row r="125" spans="1:3" hidden="1" x14ac:dyDescent="0.25">
      <c r="A125" s="6" t="s">
        <v>189</v>
      </c>
      <c r="B125" s="106">
        <v>54.16525</v>
      </c>
      <c r="C125" s="106">
        <v>48.829000000000008</v>
      </c>
    </row>
    <row r="126" spans="1:3" hidden="1" x14ac:dyDescent="0.25">
      <c r="A126" s="6" t="s">
        <v>190</v>
      </c>
      <c r="B126" s="106">
        <v>80.170749999999998</v>
      </c>
      <c r="C126" s="106">
        <v>64.691000000000003</v>
      </c>
    </row>
    <row r="127" spans="1:3" hidden="1" x14ac:dyDescent="0.25">
      <c r="A127" s="6" t="s">
        <v>191</v>
      </c>
      <c r="B127" s="106">
        <v>38.818250000000006</v>
      </c>
      <c r="C127" s="106">
        <v>44.830500000000008</v>
      </c>
    </row>
    <row r="128" spans="1:3" hidden="1" x14ac:dyDescent="0.25">
      <c r="A128" s="6" t="s">
        <v>497</v>
      </c>
      <c r="B128" s="106">
        <v>88.00297297297297</v>
      </c>
      <c r="C128" s="106">
        <v>106.75500000000002</v>
      </c>
    </row>
    <row r="129" spans="1:3" hidden="1" x14ac:dyDescent="0.25">
      <c r="A129" s="6" t="s">
        <v>192</v>
      </c>
      <c r="B129" s="106">
        <v>48.916499999999999</v>
      </c>
      <c r="C129" s="106">
        <v>59.020500000000006</v>
      </c>
    </row>
    <row r="130" spans="1:3" hidden="1" x14ac:dyDescent="0.25">
      <c r="A130" s="6" t="s">
        <v>498</v>
      </c>
      <c r="B130" s="106">
        <v>21.608625</v>
      </c>
      <c r="C130" s="106">
        <v>28.578000000000003</v>
      </c>
    </row>
    <row r="131" spans="1:3" hidden="1" x14ac:dyDescent="0.25">
      <c r="A131" s="6" t="s">
        <v>474</v>
      </c>
      <c r="B131" s="106">
        <v>26.760124999999999</v>
      </c>
      <c r="C131" s="106">
        <v>35.392499999999998</v>
      </c>
    </row>
    <row r="132" spans="1:3" hidden="1" x14ac:dyDescent="0.25">
      <c r="A132" s="6" t="s">
        <v>460</v>
      </c>
      <c r="B132" s="106">
        <v>19.158374999999999</v>
      </c>
      <c r="C132" s="106">
        <v>25.542000000000002</v>
      </c>
    </row>
    <row r="133" spans="1:3" hidden="1" x14ac:dyDescent="0.25">
      <c r="A133" s="6" t="s">
        <v>499</v>
      </c>
      <c r="B133" s="106">
        <v>59.742374999999996</v>
      </c>
      <c r="C133" s="106">
        <v>48.829000000000008</v>
      </c>
    </row>
    <row r="134" spans="1:3" hidden="1" x14ac:dyDescent="0.25">
      <c r="A134" s="6" t="s">
        <v>193</v>
      </c>
      <c r="B134" s="106">
        <v>45.219875000000002</v>
      </c>
      <c r="C134" s="106">
        <v>59.020500000000006</v>
      </c>
    </row>
    <row r="135" spans="1:3" hidden="1" x14ac:dyDescent="0.25">
      <c r="A135" s="6" t="s">
        <v>350</v>
      </c>
      <c r="B135" s="106">
        <v>21.435625000000002</v>
      </c>
      <c r="C135" s="106">
        <v>28.578000000000003</v>
      </c>
    </row>
    <row r="136" spans="1:3" hidden="1" x14ac:dyDescent="0.25">
      <c r="A136" s="6" t="s">
        <v>194</v>
      </c>
      <c r="B136" s="106">
        <v>43.641374999999996</v>
      </c>
      <c r="C136" s="106">
        <v>53.394000000000005</v>
      </c>
    </row>
    <row r="137" spans="1:3" hidden="1" x14ac:dyDescent="0.25">
      <c r="A137" s="6" t="s">
        <v>421</v>
      </c>
      <c r="B137" s="106">
        <v>38.167749999999998</v>
      </c>
      <c r="C137" s="106">
        <v>46.183500000000002</v>
      </c>
    </row>
    <row r="138" spans="1:3" hidden="1" x14ac:dyDescent="0.25">
      <c r="A138" s="6" t="s">
        <v>351</v>
      </c>
      <c r="B138" s="106">
        <v>22.132000000000001</v>
      </c>
      <c r="C138" s="106">
        <v>29.518500000000003</v>
      </c>
    </row>
    <row r="139" spans="1:3" hidden="1" x14ac:dyDescent="0.25">
      <c r="A139" s="6" t="s">
        <v>195</v>
      </c>
      <c r="B139" s="106">
        <v>38.028500000000001</v>
      </c>
      <c r="C139" s="106">
        <v>47.305500000000009</v>
      </c>
    </row>
    <row r="140" spans="1:3" hidden="1" x14ac:dyDescent="0.25">
      <c r="A140" s="6" t="s">
        <v>405</v>
      </c>
      <c r="B140" s="106">
        <v>52.547499999999999</v>
      </c>
      <c r="C140" s="106">
        <v>48.829000000000008</v>
      </c>
    </row>
    <row r="141" spans="1:3" hidden="1" x14ac:dyDescent="0.25">
      <c r="A141" s="6" t="s">
        <v>196</v>
      </c>
      <c r="B141" s="106">
        <v>61.833750000000002</v>
      </c>
      <c r="C141" s="106">
        <v>51.359137500000003</v>
      </c>
    </row>
    <row r="142" spans="1:3" hidden="1" x14ac:dyDescent="0.25">
      <c r="A142" s="6" t="s">
        <v>461</v>
      </c>
      <c r="B142" s="106">
        <v>22.555875</v>
      </c>
      <c r="C142" s="106">
        <v>29.881500000000003</v>
      </c>
    </row>
    <row r="143" spans="1:3" hidden="1" x14ac:dyDescent="0.25">
      <c r="A143" s="6" t="s">
        <v>422</v>
      </c>
      <c r="B143" s="106">
        <v>23.871625000000002</v>
      </c>
      <c r="C143" s="106">
        <v>31.845000000000006</v>
      </c>
    </row>
    <row r="144" spans="1:3" hidden="1" x14ac:dyDescent="0.25">
      <c r="A144" s="6" t="s">
        <v>197</v>
      </c>
      <c r="B144" s="106">
        <v>33.437874999999998</v>
      </c>
      <c r="C144" s="106">
        <v>40.986000000000004</v>
      </c>
    </row>
    <row r="145" spans="1:3" hidden="1" x14ac:dyDescent="0.25">
      <c r="A145" s="6" t="s">
        <v>198</v>
      </c>
      <c r="B145" s="106">
        <v>46.2625974025974</v>
      </c>
      <c r="C145" s="106">
        <v>52.387500000000003</v>
      </c>
    </row>
    <row r="146" spans="1:3" hidden="1" x14ac:dyDescent="0.25">
      <c r="A146" s="6" t="s">
        <v>199</v>
      </c>
      <c r="B146" s="106">
        <v>33.207374999999999</v>
      </c>
      <c r="C146" s="106">
        <v>43.295999999999999</v>
      </c>
    </row>
    <row r="147" spans="1:3" hidden="1" x14ac:dyDescent="0.25">
      <c r="A147" s="6" t="s">
        <v>500</v>
      </c>
      <c r="B147" s="106">
        <v>18.645</v>
      </c>
      <c r="C147" s="106">
        <v>28.578000000000003</v>
      </c>
    </row>
    <row r="148" spans="1:3" hidden="1" x14ac:dyDescent="0.25">
      <c r="A148" s="6" t="s">
        <v>200</v>
      </c>
      <c r="B148" s="106">
        <v>34.063375000000001</v>
      </c>
      <c r="C148" s="106">
        <v>45.07800000000001</v>
      </c>
    </row>
    <row r="149" spans="1:3" hidden="1" x14ac:dyDescent="0.25">
      <c r="A149" s="6" t="s">
        <v>352</v>
      </c>
      <c r="B149" s="106">
        <v>30.268500000000003</v>
      </c>
      <c r="C149" s="106">
        <v>31.845000000000006</v>
      </c>
    </row>
    <row r="150" spans="1:3" hidden="1" x14ac:dyDescent="0.25">
      <c r="A150" s="6" t="s">
        <v>475</v>
      </c>
      <c r="B150" s="106">
        <v>34.291874999999997</v>
      </c>
      <c r="C150" s="106">
        <v>41.811</v>
      </c>
    </row>
    <row r="151" spans="1:3" hidden="1" x14ac:dyDescent="0.25">
      <c r="A151" s="6" t="s">
        <v>201</v>
      </c>
      <c r="B151" s="106">
        <v>40.359124999999999</v>
      </c>
      <c r="C151" s="106">
        <v>53.921999999999997</v>
      </c>
    </row>
    <row r="152" spans="1:3" hidden="1" x14ac:dyDescent="0.25">
      <c r="A152" s="6" t="s">
        <v>353</v>
      </c>
      <c r="B152" s="106">
        <v>51.240625000000001</v>
      </c>
      <c r="C152" s="106">
        <v>48.829000000000008</v>
      </c>
    </row>
    <row r="153" spans="1:3" hidden="1" x14ac:dyDescent="0.25">
      <c r="A153" s="6" t="s">
        <v>202</v>
      </c>
      <c r="B153" s="106">
        <v>71.242000000000004</v>
      </c>
      <c r="C153" s="106">
        <v>56.408000000000008</v>
      </c>
    </row>
    <row r="154" spans="1:3" hidden="1" x14ac:dyDescent="0.25">
      <c r="A154" s="6" t="s">
        <v>203</v>
      </c>
      <c r="B154" s="106">
        <v>68.923000000000002</v>
      </c>
      <c r="C154" s="106">
        <v>54.417000000000002</v>
      </c>
    </row>
    <row r="155" spans="1:3" hidden="1" x14ac:dyDescent="0.25">
      <c r="A155" s="6" t="s">
        <v>204</v>
      </c>
      <c r="B155" s="106">
        <v>46.875124999999997</v>
      </c>
      <c r="C155" s="106">
        <v>61.116000000000007</v>
      </c>
    </row>
    <row r="156" spans="1:3" hidden="1" x14ac:dyDescent="0.25">
      <c r="A156" s="6" t="s">
        <v>205</v>
      </c>
      <c r="B156" s="106">
        <v>52.901499999999999</v>
      </c>
      <c r="C156" s="106">
        <v>62.865000000000009</v>
      </c>
    </row>
    <row r="157" spans="1:3" hidden="1" x14ac:dyDescent="0.25">
      <c r="A157" s="6" t="s">
        <v>462</v>
      </c>
      <c r="B157" s="106">
        <v>18.777875000000002</v>
      </c>
      <c r="C157" s="106">
        <v>25.542000000000002</v>
      </c>
    </row>
    <row r="158" spans="1:3" hidden="1" x14ac:dyDescent="0.25">
      <c r="A158" s="6" t="s">
        <v>206</v>
      </c>
      <c r="B158" s="106">
        <v>76.776750000000007</v>
      </c>
      <c r="C158" s="106">
        <v>64.691000000000003</v>
      </c>
    </row>
    <row r="159" spans="1:3" hidden="1" x14ac:dyDescent="0.25">
      <c r="A159" s="6" t="s">
        <v>338</v>
      </c>
      <c r="B159" s="106">
        <v>30.019124999999999</v>
      </c>
      <c r="C159" s="106">
        <v>37.009499999999996</v>
      </c>
    </row>
    <row r="160" spans="1:3" hidden="1" x14ac:dyDescent="0.25">
      <c r="A160" s="6" t="s">
        <v>207</v>
      </c>
      <c r="B160" s="106">
        <v>58.390375000000006</v>
      </c>
      <c r="C160" s="106">
        <v>68.095500000000001</v>
      </c>
    </row>
    <row r="161" spans="1:3" hidden="1" x14ac:dyDescent="0.25">
      <c r="A161" s="6" t="s">
        <v>501</v>
      </c>
      <c r="B161" s="106">
        <v>34.426249999999996</v>
      </c>
      <c r="C161" s="106">
        <v>41.811</v>
      </c>
    </row>
    <row r="162" spans="1:3" hidden="1" x14ac:dyDescent="0.25">
      <c r="A162" s="6" t="s">
        <v>208</v>
      </c>
      <c r="B162" s="106">
        <v>45.275624999999998</v>
      </c>
      <c r="C162" s="106">
        <v>57.222000000000001</v>
      </c>
    </row>
    <row r="163" spans="1:3" hidden="1" x14ac:dyDescent="0.25">
      <c r="A163" s="6" t="s">
        <v>209</v>
      </c>
      <c r="B163" s="106">
        <v>54.592624999999998</v>
      </c>
      <c r="C163" s="106">
        <v>67.551000000000002</v>
      </c>
    </row>
    <row r="164" spans="1:3" hidden="1" x14ac:dyDescent="0.25">
      <c r="A164" s="6" t="s">
        <v>210</v>
      </c>
      <c r="B164" s="106">
        <v>63.951124999999998</v>
      </c>
      <c r="C164" s="106">
        <v>50.225999999999999</v>
      </c>
    </row>
    <row r="165" spans="1:3" hidden="1" x14ac:dyDescent="0.25">
      <c r="A165" s="6" t="s">
        <v>211</v>
      </c>
      <c r="B165" s="106">
        <v>48.205249999999999</v>
      </c>
      <c r="C165" s="106">
        <v>59.367000000000004</v>
      </c>
    </row>
    <row r="166" spans="1:3" hidden="1" x14ac:dyDescent="0.25">
      <c r="A166" s="6" t="s">
        <v>212</v>
      </c>
      <c r="B166" s="106">
        <v>45.531374999999997</v>
      </c>
      <c r="C166" s="106">
        <v>55.869000000000007</v>
      </c>
    </row>
    <row r="167" spans="1:3" hidden="1" x14ac:dyDescent="0.25">
      <c r="A167" s="6" t="s">
        <v>476</v>
      </c>
      <c r="B167" s="106">
        <v>27.581499999999998</v>
      </c>
      <c r="C167" s="106">
        <v>32.917499999999997</v>
      </c>
    </row>
    <row r="168" spans="1:3" hidden="1" x14ac:dyDescent="0.25">
      <c r="A168" s="6" t="s">
        <v>213</v>
      </c>
      <c r="B168" s="106">
        <v>90.448125000000005</v>
      </c>
      <c r="C168" s="106">
        <v>85.03</v>
      </c>
    </row>
    <row r="169" spans="1:3" hidden="1" x14ac:dyDescent="0.25">
      <c r="A169" s="6" t="s">
        <v>214</v>
      </c>
      <c r="B169" s="106">
        <v>37.637625</v>
      </c>
      <c r="C169" s="106">
        <v>49.071206249999996</v>
      </c>
    </row>
    <row r="170" spans="1:3" hidden="1" x14ac:dyDescent="0.25">
      <c r="A170" s="6" t="s">
        <v>448</v>
      </c>
      <c r="B170" s="106">
        <v>35.385374999999996</v>
      </c>
      <c r="C170" s="106">
        <v>43.295999999999999</v>
      </c>
    </row>
    <row r="171" spans="1:3" hidden="1" x14ac:dyDescent="0.25">
      <c r="A171" s="6" t="s">
        <v>477</v>
      </c>
      <c r="B171" s="106">
        <v>19.616666666666667</v>
      </c>
      <c r="C171" s="106">
        <v>26.152775000000002</v>
      </c>
    </row>
    <row r="172" spans="1:3" hidden="1" x14ac:dyDescent="0.25">
      <c r="A172" s="6" t="s">
        <v>478</v>
      </c>
      <c r="B172" s="106">
        <v>16.66421875</v>
      </c>
      <c r="C172" s="106">
        <v>25.542000000000002</v>
      </c>
    </row>
    <row r="173" spans="1:3" hidden="1" x14ac:dyDescent="0.25">
      <c r="A173" s="6" t="s">
        <v>479</v>
      </c>
      <c r="B173" s="106">
        <v>15.393875000000001</v>
      </c>
      <c r="C173" s="106">
        <v>23.595000000000006</v>
      </c>
    </row>
    <row r="174" spans="1:3" hidden="1" x14ac:dyDescent="0.25">
      <c r="A174" s="6" t="s">
        <v>215</v>
      </c>
      <c r="B174" s="106">
        <v>27.330749999999998</v>
      </c>
      <c r="C174" s="106">
        <v>32.620500000000007</v>
      </c>
    </row>
    <row r="175" spans="1:3" hidden="1" x14ac:dyDescent="0.25">
      <c r="A175" s="6" t="s">
        <v>354</v>
      </c>
      <c r="B175" s="106">
        <v>29.465624999999999</v>
      </c>
      <c r="C175" s="106">
        <v>35.392499999999998</v>
      </c>
    </row>
    <row r="176" spans="1:3" hidden="1" x14ac:dyDescent="0.25">
      <c r="A176" s="6" t="s">
        <v>216</v>
      </c>
      <c r="B176" s="106">
        <v>61.165875</v>
      </c>
      <c r="C176" s="106">
        <v>51.436</v>
      </c>
    </row>
    <row r="177" spans="1:3" hidden="1" x14ac:dyDescent="0.25">
      <c r="A177" s="6" t="s">
        <v>339</v>
      </c>
      <c r="B177" s="106">
        <v>34.010625000000005</v>
      </c>
      <c r="C177" s="106">
        <v>36.580500000000008</v>
      </c>
    </row>
    <row r="178" spans="1:3" hidden="1" x14ac:dyDescent="0.25">
      <c r="A178" s="6" t="s">
        <v>217</v>
      </c>
      <c r="B178" s="106">
        <v>62.438124999999999</v>
      </c>
      <c r="C178" s="106">
        <v>48.829000000000008</v>
      </c>
    </row>
    <row r="179" spans="1:3" hidden="1" x14ac:dyDescent="0.25">
      <c r="A179" s="6" t="s">
        <v>355</v>
      </c>
      <c r="B179" s="106">
        <v>37.4</v>
      </c>
      <c r="C179" s="106">
        <v>46.183775000000004</v>
      </c>
    </row>
    <row r="180" spans="1:3" hidden="1" x14ac:dyDescent="0.25">
      <c r="A180" s="6" t="s">
        <v>463</v>
      </c>
      <c r="B180" s="106">
        <v>18.645</v>
      </c>
      <c r="C180" s="106">
        <v>28.578000000000003</v>
      </c>
    </row>
    <row r="181" spans="1:3" hidden="1" x14ac:dyDescent="0.25">
      <c r="A181" s="6" t="s">
        <v>340</v>
      </c>
      <c r="B181" s="106">
        <v>29.708124999999999</v>
      </c>
      <c r="C181" s="106">
        <v>36.712500000000006</v>
      </c>
    </row>
    <row r="182" spans="1:3" hidden="1" x14ac:dyDescent="0.25">
      <c r="A182" s="6" t="s">
        <v>218</v>
      </c>
      <c r="B182" s="106">
        <v>63.923000000000002</v>
      </c>
      <c r="C182" s="106">
        <v>51.436</v>
      </c>
    </row>
    <row r="183" spans="1:3" hidden="1" x14ac:dyDescent="0.25">
      <c r="A183" s="6" t="s">
        <v>219</v>
      </c>
      <c r="B183" s="106">
        <v>63.455125000000002</v>
      </c>
      <c r="C183" s="106">
        <v>50.226137500000007</v>
      </c>
    </row>
    <row r="184" spans="1:3" hidden="1" x14ac:dyDescent="0.25">
      <c r="A184" s="6" t="s">
        <v>220</v>
      </c>
      <c r="B184" s="106">
        <v>42.793875</v>
      </c>
      <c r="C184" s="106">
        <v>53.212500000000006</v>
      </c>
    </row>
    <row r="185" spans="1:3" hidden="1" x14ac:dyDescent="0.25">
      <c r="A185" s="6" t="s">
        <v>221</v>
      </c>
      <c r="B185" s="106">
        <v>61.085124999999998</v>
      </c>
      <c r="C185" s="106">
        <v>51.436</v>
      </c>
    </row>
    <row r="186" spans="1:3" hidden="1" x14ac:dyDescent="0.25">
      <c r="A186" s="6" t="s">
        <v>449</v>
      </c>
      <c r="B186" s="106">
        <v>18.1721875</v>
      </c>
      <c r="C186" s="106">
        <v>24.073499999999999</v>
      </c>
    </row>
    <row r="187" spans="1:3" hidden="1" x14ac:dyDescent="0.25">
      <c r="A187" s="6" t="s">
        <v>413</v>
      </c>
      <c r="B187" s="106">
        <v>34.369374999999998</v>
      </c>
      <c r="C187" s="106">
        <v>42.817706250000001</v>
      </c>
    </row>
    <row r="188" spans="1:3" hidden="1" x14ac:dyDescent="0.25">
      <c r="A188" s="6" t="s">
        <v>222</v>
      </c>
      <c r="B188" s="106">
        <v>24.518125000000001</v>
      </c>
      <c r="C188" s="106">
        <v>32.703000000000003</v>
      </c>
    </row>
    <row r="189" spans="1:3" hidden="1" x14ac:dyDescent="0.25">
      <c r="A189" s="6" t="s">
        <v>223</v>
      </c>
      <c r="B189" s="106">
        <v>40.93</v>
      </c>
      <c r="C189" s="106">
        <v>49.797206250000002</v>
      </c>
    </row>
    <row r="190" spans="1:3" hidden="1" x14ac:dyDescent="0.25">
      <c r="A190" s="6" t="s">
        <v>224</v>
      </c>
      <c r="B190" s="106">
        <v>37.531374999999997</v>
      </c>
      <c r="C190" s="106">
        <v>40.722000000000001</v>
      </c>
    </row>
    <row r="191" spans="1:3" hidden="1" x14ac:dyDescent="0.25">
      <c r="A191" s="6" t="s">
        <v>225</v>
      </c>
      <c r="B191" s="106">
        <v>64.895499999999998</v>
      </c>
      <c r="C191" s="106">
        <v>56.408000000000008</v>
      </c>
    </row>
    <row r="192" spans="1:3" hidden="1" x14ac:dyDescent="0.25">
      <c r="A192" s="6" t="s">
        <v>226</v>
      </c>
      <c r="B192" s="106">
        <v>49.842999999999996</v>
      </c>
      <c r="C192" s="106">
        <v>62.865206250000007</v>
      </c>
    </row>
    <row r="193" spans="1:3" hidden="1" x14ac:dyDescent="0.25">
      <c r="A193" s="6" t="s">
        <v>227</v>
      </c>
      <c r="B193" s="106">
        <v>83.410375000000002</v>
      </c>
      <c r="C193" s="106">
        <v>68.266000000000005</v>
      </c>
    </row>
    <row r="194" spans="1:3" hidden="1" x14ac:dyDescent="0.25">
      <c r="A194" s="6" t="s">
        <v>228</v>
      </c>
      <c r="B194" s="106">
        <v>39.995125000000002</v>
      </c>
      <c r="C194" s="106">
        <v>46.579706250000008</v>
      </c>
    </row>
    <row r="195" spans="1:3" hidden="1" x14ac:dyDescent="0.25">
      <c r="A195" s="6" t="s">
        <v>229</v>
      </c>
      <c r="B195" s="106">
        <v>66.993750000000006</v>
      </c>
      <c r="C195" s="106">
        <v>52.866000000000007</v>
      </c>
    </row>
    <row r="196" spans="1:3" hidden="1" x14ac:dyDescent="0.25">
      <c r="A196" s="6" t="s">
        <v>230</v>
      </c>
      <c r="B196" s="106">
        <v>85.600499999999997</v>
      </c>
      <c r="C196" s="106">
        <v>70.279000000000011</v>
      </c>
    </row>
    <row r="197" spans="1:3" hidden="1" x14ac:dyDescent="0.25">
      <c r="A197" s="6" t="s">
        <v>356</v>
      </c>
      <c r="B197" s="106">
        <v>35.766625000000005</v>
      </c>
      <c r="C197" s="106">
        <v>47.305500000000009</v>
      </c>
    </row>
    <row r="198" spans="1:3" hidden="1" x14ac:dyDescent="0.25">
      <c r="A198" s="6" t="s">
        <v>423</v>
      </c>
      <c r="B198" s="106">
        <v>26.757125000000002</v>
      </c>
      <c r="C198" s="106">
        <v>31.845000000000006</v>
      </c>
    </row>
    <row r="199" spans="1:3" hidden="1" x14ac:dyDescent="0.25">
      <c r="A199" s="6" t="s">
        <v>480</v>
      </c>
      <c r="B199" s="106">
        <v>24.664999999999999</v>
      </c>
      <c r="C199" s="106">
        <v>32.620706250000005</v>
      </c>
    </row>
    <row r="200" spans="1:3" hidden="1" x14ac:dyDescent="0.25">
      <c r="A200" s="6" t="s">
        <v>357</v>
      </c>
      <c r="B200" s="106">
        <v>43.229375000000005</v>
      </c>
      <c r="C200" s="106">
        <v>48.295706250000002</v>
      </c>
    </row>
    <row r="201" spans="1:3" hidden="1" x14ac:dyDescent="0.25">
      <c r="A201" s="6" t="s">
        <v>231</v>
      </c>
      <c r="B201" s="106">
        <v>46.323875000000001</v>
      </c>
      <c r="C201" s="106">
        <v>52.024500000000003</v>
      </c>
    </row>
    <row r="202" spans="1:3" hidden="1" x14ac:dyDescent="0.25">
      <c r="A202" s="6" t="s">
        <v>232</v>
      </c>
      <c r="B202" s="106">
        <v>37.397624999999998</v>
      </c>
      <c r="C202" s="106">
        <v>45.738</v>
      </c>
    </row>
    <row r="203" spans="1:3" hidden="1" x14ac:dyDescent="0.25">
      <c r="A203" s="6" t="s">
        <v>414</v>
      </c>
      <c r="B203" s="106">
        <v>46.213124999999998</v>
      </c>
      <c r="C203" s="106">
        <v>54.12</v>
      </c>
    </row>
    <row r="204" spans="1:3" hidden="1" x14ac:dyDescent="0.25">
      <c r="A204" s="6" t="s">
        <v>358</v>
      </c>
      <c r="B204" s="106">
        <v>35.553124999999994</v>
      </c>
      <c r="C204" s="106">
        <v>40.111499999999999</v>
      </c>
    </row>
    <row r="205" spans="1:3" hidden="1" x14ac:dyDescent="0.25">
      <c r="A205" s="6" t="s">
        <v>233</v>
      </c>
      <c r="B205" s="106">
        <v>30.171749999999999</v>
      </c>
      <c r="C205" s="106">
        <v>36.580706249999999</v>
      </c>
    </row>
    <row r="206" spans="1:3" hidden="1" x14ac:dyDescent="0.25">
      <c r="A206" s="6" t="s">
        <v>415</v>
      </c>
      <c r="B206" s="106">
        <v>26.759999999999998</v>
      </c>
      <c r="C206" s="106">
        <v>35.392499999999998</v>
      </c>
    </row>
    <row r="207" spans="1:3" hidden="1" x14ac:dyDescent="0.25">
      <c r="A207" s="6" t="s">
        <v>234</v>
      </c>
      <c r="B207" s="106">
        <v>45.040375000000004</v>
      </c>
      <c r="C207" s="106">
        <v>53.13000000000001</v>
      </c>
    </row>
    <row r="208" spans="1:3" hidden="1" x14ac:dyDescent="0.25">
      <c r="A208" s="6" t="s">
        <v>235</v>
      </c>
      <c r="B208" s="106">
        <v>36.232500000000002</v>
      </c>
      <c r="C208" s="106">
        <v>39.996000000000002</v>
      </c>
    </row>
    <row r="209" spans="1:3" hidden="1" x14ac:dyDescent="0.25">
      <c r="A209" s="6" t="s">
        <v>236</v>
      </c>
      <c r="B209" s="106">
        <v>49.380624999999995</v>
      </c>
      <c r="C209" s="106">
        <v>53.921999999999997</v>
      </c>
    </row>
    <row r="210" spans="1:3" hidden="1" x14ac:dyDescent="0.25">
      <c r="A210" s="6" t="s">
        <v>237</v>
      </c>
      <c r="B210" s="106">
        <v>50.411625000000001</v>
      </c>
      <c r="C210" s="106">
        <v>57.618000000000009</v>
      </c>
    </row>
    <row r="211" spans="1:3" hidden="1" x14ac:dyDescent="0.25">
      <c r="A211" s="6" t="s">
        <v>502</v>
      </c>
      <c r="B211" s="106">
        <v>43.867625000000004</v>
      </c>
      <c r="C211" s="106">
        <v>57.222000000000001</v>
      </c>
    </row>
    <row r="212" spans="1:3" hidden="1" x14ac:dyDescent="0.25">
      <c r="A212" s="6" t="s">
        <v>238</v>
      </c>
      <c r="B212" s="106">
        <v>55.259</v>
      </c>
      <c r="C212" s="106">
        <v>64.878000000000014</v>
      </c>
    </row>
    <row r="213" spans="1:3" hidden="1" x14ac:dyDescent="0.25">
      <c r="A213" s="6" t="s">
        <v>239</v>
      </c>
      <c r="B213" s="106">
        <v>39.031375000000004</v>
      </c>
      <c r="C213" s="106">
        <v>47.305500000000009</v>
      </c>
    </row>
    <row r="214" spans="1:3" hidden="1" x14ac:dyDescent="0.25">
      <c r="A214" s="6" t="s">
        <v>503</v>
      </c>
      <c r="B214" s="106">
        <v>25.235499999999998</v>
      </c>
      <c r="C214" s="106">
        <v>29.881500000000003</v>
      </c>
    </row>
    <row r="215" spans="1:3" hidden="1" x14ac:dyDescent="0.25">
      <c r="A215" s="6" t="s">
        <v>240</v>
      </c>
      <c r="B215" s="106">
        <v>54.497624999999999</v>
      </c>
      <c r="C215" s="106">
        <v>62.865000000000009</v>
      </c>
    </row>
    <row r="216" spans="1:3" hidden="1" x14ac:dyDescent="0.25">
      <c r="A216" s="6" t="s">
        <v>241</v>
      </c>
      <c r="B216" s="106">
        <v>39.151875000000004</v>
      </c>
      <c r="C216" s="106">
        <v>42.933000000000007</v>
      </c>
    </row>
    <row r="217" spans="1:3" hidden="1" x14ac:dyDescent="0.25">
      <c r="A217" s="6" t="s">
        <v>481</v>
      </c>
      <c r="B217" s="106">
        <v>35.008125</v>
      </c>
      <c r="C217" s="106">
        <v>46.018500000000003</v>
      </c>
    </row>
    <row r="218" spans="1:3" hidden="1" x14ac:dyDescent="0.25">
      <c r="A218" s="6" t="s">
        <v>242</v>
      </c>
      <c r="B218" s="106">
        <v>52.011125</v>
      </c>
      <c r="C218" s="106">
        <v>66.346500000000006</v>
      </c>
    </row>
    <row r="219" spans="1:3" hidden="1" x14ac:dyDescent="0.25">
      <c r="A219" s="6" t="s">
        <v>341</v>
      </c>
      <c r="B219" s="106">
        <v>32.579749999999997</v>
      </c>
      <c r="C219" s="106">
        <v>36.250500000000002</v>
      </c>
    </row>
    <row r="220" spans="1:3" hidden="1" x14ac:dyDescent="0.25">
      <c r="A220" s="6" t="s">
        <v>243</v>
      </c>
      <c r="B220" s="106">
        <v>29.797750000000001</v>
      </c>
      <c r="C220" s="106">
        <v>38.940000000000012</v>
      </c>
    </row>
    <row r="221" spans="1:3" hidden="1" x14ac:dyDescent="0.25">
      <c r="A221" s="6" t="s">
        <v>244</v>
      </c>
      <c r="B221" s="106">
        <v>32.878500000000003</v>
      </c>
      <c r="C221" s="106">
        <v>45.07800000000001</v>
      </c>
    </row>
    <row r="222" spans="1:3" hidden="1" x14ac:dyDescent="0.25">
      <c r="A222" s="6" t="s">
        <v>245</v>
      </c>
      <c r="B222" s="106">
        <v>40.519374999999997</v>
      </c>
      <c r="C222" s="106">
        <v>49.335000000000001</v>
      </c>
    </row>
    <row r="223" spans="1:3" hidden="1" x14ac:dyDescent="0.25">
      <c r="A223" s="6" t="s">
        <v>416</v>
      </c>
      <c r="B223" s="106">
        <v>26.507375</v>
      </c>
      <c r="C223" s="106">
        <v>35.392499999999998</v>
      </c>
    </row>
    <row r="224" spans="1:3" hidden="1" x14ac:dyDescent="0.25">
      <c r="A224" s="6" t="s">
        <v>246</v>
      </c>
      <c r="B224" s="106">
        <v>79.975375</v>
      </c>
      <c r="C224" s="106">
        <v>64.702000000000012</v>
      </c>
    </row>
    <row r="225" spans="1:3" hidden="1" x14ac:dyDescent="0.25">
      <c r="A225" s="6" t="s">
        <v>247</v>
      </c>
      <c r="B225" s="106">
        <v>47.505125000000007</v>
      </c>
      <c r="C225" s="106">
        <v>68.095500000000001</v>
      </c>
    </row>
    <row r="226" spans="1:3" hidden="1" x14ac:dyDescent="0.25">
      <c r="A226" s="6" t="s">
        <v>248</v>
      </c>
      <c r="B226" s="106">
        <v>50.932250000000003</v>
      </c>
      <c r="C226" s="106">
        <v>62.865000000000009</v>
      </c>
    </row>
    <row r="227" spans="1:3" hidden="1" x14ac:dyDescent="0.25">
      <c r="A227" s="6" t="s">
        <v>450</v>
      </c>
      <c r="B227" s="106">
        <v>26.760124999999999</v>
      </c>
      <c r="C227" s="106">
        <v>35.392499999999998</v>
      </c>
    </row>
    <row r="228" spans="1:3" hidden="1" x14ac:dyDescent="0.25">
      <c r="A228" s="6" t="s">
        <v>249</v>
      </c>
      <c r="B228" s="106">
        <v>54.807625000000002</v>
      </c>
      <c r="C228" s="106">
        <v>67.947000000000003</v>
      </c>
    </row>
    <row r="229" spans="1:3" hidden="1" x14ac:dyDescent="0.25">
      <c r="A229" s="6" t="s">
        <v>359</v>
      </c>
      <c r="B229" s="106">
        <v>45.282625000000003</v>
      </c>
      <c r="C229" s="106">
        <v>55.440000000000012</v>
      </c>
    </row>
    <row r="230" spans="1:3" hidden="1" x14ac:dyDescent="0.25">
      <c r="A230" s="6" t="s">
        <v>250</v>
      </c>
      <c r="B230" s="106">
        <v>60.448875000000001</v>
      </c>
      <c r="C230" s="106">
        <v>50.225999999999999</v>
      </c>
    </row>
    <row r="231" spans="1:3" hidden="1" x14ac:dyDescent="0.25">
      <c r="A231" s="6" t="s">
        <v>251</v>
      </c>
      <c r="B231" s="106">
        <v>46.593125000000001</v>
      </c>
      <c r="C231" s="106">
        <v>57.222000000000001</v>
      </c>
    </row>
    <row r="232" spans="1:3" hidden="1" x14ac:dyDescent="0.25">
      <c r="A232" s="6" t="s">
        <v>252</v>
      </c>
      <c r="B232" s="106">
        <v>45.533874999999995</v>
      </c>
      <c r="C232" s="106">
        <v>59.367000000000004</v>
      </c>
    </row>
    <row r="233" spans="1:3" hidden="1" x14ac:dyDescent="0.25">
      <c r="A233" s="6" t="s">
        <v>253</v>
      </c>
      <c r="B233" s="106">
        <v>51.340500000000006</v>
      </c>
      <c r="C233" s="106">
        <v>59.020500000000006</v>
      </c>
    </row>
    <row r="234" spans="1:3" hidden="1" x14ac:dyDescent="0.25">
      <c r="A234" s="6" t="s">
        <v>254</v>
      </c>
      <c r="B234" s="106">
        <v>84.054500000000004</v>
      </c>
      <c r="C234" s="106">
        <v>68.618000000000009</v>
      </c>
    </row>
    <row r="235" spans="1:3" hidden="1" x14ac:dyDescent="0.25">
      <c r="A235" s="6" t="s">
        <v>255</v>
      </c>
      <c r="B235" s="106">
        <v>38.582875000000001</v>
      </c>
      <c r="C235" s="106">
        <v>46.777500000000011</v>
      </c>
    </row>
    <row r="236" spans="1:3" hidden="1" x14ac:dyDescent="0.25">
      <c r="A236" s="6" t="s">
        <v>256</v>
      </c>
      <c r="B236" s="106">
        <v>57.218499999999999</v>
      </c>
      <c r="C236" s="106">
        <v>48.829000000000008</v>
      </c>
    </row>
    <row r="237" spans="1:3" hidden="1" x14ac:dyDescent="0.25">
      <c r="A237" s="6" t="s">
        <v>257</v>
      </c>
      <c r="B237" s="106">
        <v>29.843375000000002</v>
      </c>
      <c r="C237" s="106">
        <v>39.484499999999997</v>
      </c>
    </row>
    <row r="238" spans="1:3" hidden="1" x14ac:dyDescent="0.25">
      <c r="A238" s="6" t="s">
        <v>360</v>
      </c>
      <c r="B238" s="106">
        <v>33.441375000000001</v>
      </c>
      <c r="C238" s="106">
        <v>36.580500000000008</v>
      </c>
    </row>
    <row r="239" spans="1:3" hidden="1" x14ac:dyDescent="0.25">
      <c r="A239" s="6" t="s">
        <v>258</v>
      </c>
      <c r="B239" s="106">
        <v>43.695625</v>
      </c>
      <c r="C239" s="106">
        <v>49.071000000000005</v>
      </c>
    </row>
    <row r="240" spans="1:3" hidden="1" x14ac:dyDescent="0.25">
      <c r="A240" s="6" t="s">
        <v>259</v>
      </c>
      <c r="B240" s="106">
        <v>51.045749999999998</v>
      </c>
      <c r="C240" s="106">
        <v>58.426499999999997</v>
      </c>
    </row>
    <row r="241" spans="1:3" hidden="1" x14ac:dyDescent="0.25">
      <c r="A241" s="6" t="s">
        <v>260</v>
      </c>
      <c r="B241" s="106">
        <v>52.990874999999996</v>
      </c>
      <c r="C241" s="106">
        <v>63.904500000000006</v>
      </c>
    </row>
    <row r="242" spans="1:3" hidden="1" x14ac:dyDescent="0.25">
      <c r="A242" s="6" t="s">
        <v>261</v>
      </c>
      <c r="B242" s="106">
        <v>82.433500000000009</v>
      </c>
      <c r="C242" s="106">
        <v>66.26400000000001</v>
      </c>
    </row>
    <row r="243" spans="1:3" hidden="1" x14ac:dyDescent="0.25">
      <c r="A243" s="6" t="s">
        <v>262</v>
      </c>
      <c r="B243" s="106">
        <v>61.085625000000007</v>
      </c>
      <c r="C243" s="106">
        <v>48.829000000000008</v>
      </c>
    </row>
    <row r="244" spans="1:3" hidden="1" x14ac:dyDescent="0.25">
      <c r="A244" s="6" t="s">
        <v>263</v>
      </c>
      <c r="B244" s="106">
        <v>83.555875</v>
      </c>
      <c r="C244" s="106">
        <v>68.618000000000009</v>
      </c>
    </row>
    <row r="245" spans="1:3" hidden="1" x14ac:dyDescent="0.25">
      <c r="A245" s="6" t="s">
        <v>264</v>
      </c>
      <c r="B245" s="106">
        <v>70.577124999999995</v>
      </c>
      <c r="C245" s="106">
        <v>61.38</v>
      </c>
    </row>
    <row r="246" spans="1:3" hidden="1" x14ac:dyDescent="0.25">
      <c r="A246" s="6" t="s">
        <v>265</v>
      </c>
      <c r="B246" s="106">
        <v>40.116124999999997</v>
      </c>
      <c r="C246" s="106">
        <v>52.387500000000003</v>
      </c>
    </row>
    <row r="247" spans="1:3" hidden="1" x14ac:dyDescent="0.25">
      <c r="A247" s="6" t="s">
        <v>266</v>
      </c>
      <c r="B247" s="106">
        <v>64.746875000000003</v>
      </c>
      <c r="C247" s="106">
        <v>77.4345</v>
      </c>
    </row>
    <row r="248" spans="1:3" hidden="1" x14ac:dyDescent="0.25">
      <c r="A248" s="6" t="s">
        <v>504</v>
      </c>
      <c r="B248" s="106">
        <v>19.143374999999999</v>
      </c>
      <c r="C248" s="106">
        <v>25.542000000000002</v>
      </c>
    </row>
    <row r="249" spans="1:3" hidden="1" x14ac:dyDescent="0.25">
      <c r="A249" s="6" t="s">
        <v>267</v>
      </c>
      <c r="B249" s="106">
        <v>64.90325</v>
      </c>
      <c r="C249" s="106">
        <v>50.974000000000011</v>
      </c>
    </row>
    <row r="250" spans="1:3" hidden="1" x14ac:dyDescent="0.25">
      <c r="A250" s="6" t="s">
        <v>505</v>
      </c>
      <c r="B250" s="106">
        <v>22.449375</v>
      </c>
      <c r="C250" s="106">
        <v>29.931000000000004</v>
      </c>
    </row>
    <row r="251" spans="1:3" hidden="1" x14ac:dyDescent="0.25">
      <c r="A251" s="6" t="s">
        <v>268</v>
      </c>
      <c r="B251" s="106">
        <v>48.599125000000001</v>
      </c>
      <c r="C251" s="106">
        <v>64.597499999999997</v>
      </c>
    </row>
    <row r="252" spans="1:3" hidden="1" x14ac:dyDescent="0.25">
      <c r="A252" s="6" t="s">
        <v>269</v>
      </c>
      <c r="B252" s="106">
        <v>43.592874999999999</v>
      </c>
      <c r="C252" s="106">
        <v>51.513000000000005</v>
      </c>
    </row>
    <row r="253" spans="1:3" hidden="1" x14ac:dyDescent="0.25">
      <c r="A253" s="6" t="s">
        <v>270</v>
      </c>
      <c r="B253" s="106">
        <v>57.713875000000002</v>
      </c>
      <c r="C253" s="106">
        <v>48.829000000000008</v>
      </c>
    </row>
    <row r="254" spans="1:3" hidden="1" x14ac:dyDescent="0.25">
      <c r="A254" s="6" t="s">
        <v>271</v>
      </c>
      <c r="B254" s="106">
        <v>44.083875000000006</v>
      </c>
      <c r="C254" s="106">
        <v>57.618000000000009</v>
      </c>
    </row>
    <row r="255" spans="1:3" hidden="1" x14ac:dyDescent="0.25">
      <c r="A255" s="6" t="s">
        <v>272</v>
      </c>
      <c r="B255" s="106">
        <v>54.364374999999995</v>
      </c>
      <c r="C255" s="106">
        <v>48.829000000000008</v>
      </c>
    </row>
    <row r="256" spans="1:3" hidden="1" x14ac:dyDescent="0.25">
      <c r="A256" s="6" t="s">
        <v>273</v>
      </c>
      <c r="B256" s="106">
        <v>59.075749999999999</v>
      </c>
      <c r="C256" s="106">
        <v>48.829000000000008</v>
      </c>
    </row>
    <row r="257" spans="1:3" hidden="1" x14ac:dyDescent="0.25">
      <c r="A257" s="6" t="s">
        <v>274</v>
      </c>
      <c r="B257" s="106">
        <v>70.314499999999995</v>
      </c>
      <c r="C257" s="106">
        <v>55.725999999999999</v>
      </c>
    </row>
    <row r="258" spans="1:3" hidden="1" x14ac:dyDescent="0.25">
      <c r="A258" s="6" t="s">
        <v>402</v>
      </c>
      <c r="B258" s="106">
        <v>38.819625000000002</v>
      </c>
      <c r="C258" s="106">
        <v>43.295999999999999</v>
      </c>
    </row>
    <row r="259" spans="1:3" hidden="1" x14ac:dyDescent="0.25">
      <c r="A259" s="6" t="s">
        <v>275</v>
      </c>
      <c r="B259" s="106">
        <v>46.937000000000005</v>
      </c>
      <c r="C259" s="106">
        <v>59.020500000000006</v>
      </c>
    </row>
    <row r="260" spans="1:3" hidden="1" x14ac:dyDescent="0.25">
      <c r="A260" s="6" t="s">
        <v>506</v>
      </c>
      <c r="B260" s="106">
        <v>42.18717391304348</v>
      </c>
      <c r="C260" s="106">
        <v>46.678500000000007</v>
      </c>
    </row>
    <row r="261" spans="1:3" hidden="1" x14ac:dyDescent="0.25">
      <c r="A261" s="6" t="s">
        <v>434</v>
      </c>
      <c r="B261" s="106">
        <v>48.969000000000001</v>
      </c>
      <c r="C261" s="106">
        <v>48.829000000000008</v>
      </c>
    </row>
    <row r="262" spans="1:3" hidden="1" x14ac:dyDescent="0.25">
      <c r="A262" s="6" t="s">
        <v>276</v>
      </c>
      <c r="B262" s="106">
        <v>42.880125</v>
      </c>
      <c r="C262" s="106">
        <v>53.641500000000008</v>
      </c>
    </row>
    <row r="263" spans="1:3" hidden="1" x14ac:dyDescent="0.25">
      <c r="A263" s="6" t="s">
        <v>277</v>
      </c>
      <c r="B263" s="106">
        <v>21.066749999999999</v>
      </c>
      <c r="C263" s="106">
        <v>27.901500000000006</v>
      </c>
    </row>
    <row r="264" spans="1:3" hidden="1" x14ac:dyDescent="0.25">
      <c r="A264" s="6" t="s">
        <v>278</v>
      </c>
      <c r="B264" s="106">
        <v>77.009749999999997</v>
      </c>
      <c r="C264" s="106">
        <v>64.702000000000012</v>
      </c>
    </row>
    <row r="265" spans="1:3" hidden="1" x14ac:dyDescent="0.25">
      <c r="A265" s="6" t="s">
        <v>279</v>
      </c>
      <c r="B265" s="106">
        <v>37.399500000000003</v>
      </c>
      <c r="C265" s="106">
        <v>43.725000000000001</v>
      </c>
    </row>
    <row r="266" spans="1:3" hidden="1" x14ac:dyDescent="0.25">
      <c r="A266" s="6" t="s">
        <v>507</v>
      </c>
      <c r="B266" s="106">
        <v>29.404125000000001</v>
      </c>
      <c r="C266" s="106">
        <v>39.204000000000001</v>
      </c>
    </row>
    <row r="267" spans="1:3" hidden="1" x14ac:dyDescent="0.25">
      <c r="A267" s="6" t="s">
        <v>280</v>
      </c>
      <c r="B267" s="106">
        <v>67.343999999999994</v>
      </c>
      <c r="C267" s="106">
        <v>53.02000000000001</v>
      </c>
    </row>
    <row r="268" spans="1:3" hidden="1" x14ac:dyDescent="0.25">
      <c r="A268" s="6" t="s">
        <v>281</v>
      </c>
      <c r="B268" s="106">
        <v>66.724499999999992</v>
      </c>
      <c r="C268" s="106">
        <v>55.725999999999999</v>
      </c>
    </row>
    <row r="269" spans="1:3" hidden="1" x14ac:dyDescent="0.25">
      <c r="A269" s="6" t="s">
        <v>282</v>
      </c>
      <c r="B269" s="106">
        <v>43.435375000000001</v>
      </c>
      <c r="C269" s="106">
        <v>48.394500000000001</v>
      </c>
    </row>
    <row r="270" spans="1:3" hidden="1" x14ac:dyDescent="0.25">
      <c r="A270" s="6" t="s">
        <v>508</v>
      </c>
      <c r="B270" s="106">
        <v>28.42225165562914</v>
      </c>
      <c r="C270" s="106">
        <v>37.587000000000003</v>
      </c>
    </row>
    <row r="271" spans="1:3" hidden="1" x14ac:dyDescent="0.25">
      <c r="A271" s="6" t="s">
        <v>509</v>
      </c>
      <c r="B271" s="106">
        <v>19.172499999999999</v>
      </c>
      <c r="C271" s="106">
        <v>25.542000000000002</v>
      </c>
    </row>
    <row r="272" spans="1:3" hidden="1" x14ac:dyDescent="0.25">
      <c r="A272" s="6" t="s">
        <v>283</v>
      </c>
      <c r="B272" s="106">
        <v>64.118124999999992</v>
      </c>
      <c r="C272" s="106">
        <v>50.2811375</v>
      </c>
    </row>
    <row r="273" spans="1:3" hidden="1" x14ac:dyDescent="0.25">
      <c r="A273" s="6" t="s">
        <v>451</v>
      </c>
      <c r="B273" s="106">
        <v>28.931000000000001</v>
      </c>
      <c r="C273" s="106">
        <v>38.263500000000008</v>
      </c>
    </row>
    <row r="274" spans="1:3" hidden="1" x14ac:dyDescent="0.25">
      <c r="A274" s="6" t="s">
        <v>284</v>
      </c>
      <c r="B274" s="106">
        <v>101.5395</v>
      </c>
      <c r="C274" s="106">
        <v>86.548000000000016</v>
      </c>
    </row>
    <row r="275" spans="1:3" hidden="1" x14ac:dyDescent="0.25">
      <c r="A275" s="6" t="s">
        <v>285</v>
      </c>
      <c r="B275" s="106">
        <v>29.844000000000001</v>
      </c>
      <c r="C275" s="106">
        <v>38.940000000000012</v>
      </c>
    </row>
    <row r="276" spans="1:3" hidden="1" x14ac:dyDescent="0.25">
      <c r="A276" s="6" t="s">
        <v>286</v>
      </c>
      <c r="B276" s="106">
        <v>29.867375000000003</v>
      </c>
      <c r="C276" s="106">
        <v>38.940000000000012</v>
      </c>
    </row>
    <row r="277" spans="1:3" hidden="1" x14ac:dyDescent="0.25">
      <c r="A277" s="6" t="s">
        <v>287</v>
      </c>
      <c r="B277" s="106">
        <v>55.725000000000001</v>
      </c>
      <c r="C277" s="106">
        <v>64.38300000000001</v>
      </c>
    </row>
    <row r="278" spans="1:3" hidden="1" x14ac:dyDescent="0.25">
      <c r="A278" s="6" t="s">
        <v>288</v>
      </c>
      <c r="B278" s="106">
        <v>36.440750000000001</v>
      </c>
      <c r="C278" s="106">
        <v>44.005500000000005</v>
      </c>
    </row>
    <row r="279" spans="1:3" hidden="1" x14ac:dyDescent="0.25">
      <c r="A279" s="6" t="s">
        <v>452</v>
      </c>
      <c r="B279" s="106">
        <v>27.758125</v>
      </c>
      <c r="C279" s="106">
        <v>37.009499999999996</v>
      </c>
    </row>
    <row r="280" spans="1:3" hidden="1" x14ac:dyDescent="0.25">
      <c r="A280" s="6" t="s">
        <v>289</v>
      </c>
      <c r="B280" s="106">
        <v>60.289874999999995</v>
      </c>
      <c r="C280" s="106">
        <v>50.017000000000003</v>
      </c>
    </row>
    <row r="281" spans="1:3" hidden="1" x14ac:dyDescent="0.25">
      <c r="A281" s="6" t="s">
        <v>361</v>
      </c>
      <c r="B281" s="106">
        <v>26.597375</v>
      </c>
      <c r="C281" s="106">
        <v>31.845000000000006</v>
      </c>
    </row>
    <row r="282" spans="1:3" hidden="1" x14ac:dyDescent="0.25">
      <c r="A282" s="6" t="s">
        <v>290</v>
      </c>
      <c r="B282" s="106">
        <v>57.629625000000004</v>
      </c>
      <c r="C282" s="106">
        <v>48.829000000000008</v>
      </c>
    </row>
    <row r="283" spans="1:3" hidden="1" x14ac:dyDescent="0.25">
      <c r="A283" s="6" t="s">
        <v>291</v>
      </c>
      <c r="B283" s="106">
        <v>56.593625000000003</v>
      </c>
      <c r="C283" s="106">
        <v>66.165000000000006</v>
      </c>
    </row>
    <row r="284" spans="1:3" hidden="1" x14ac:dyDescent="0.25">
      <c r="A284" s="6" t="s">
        <v>292</v>
      </c>
      <c r="B284" s="106">
        <v>60.840625000000003</v>
      </c>
      <c r="C284" s="106">
        <v>53.02000000000001</v>
      </c>
    </row>
    <row r="285" spans="1:3" hidden="1" x14ac:dyDescent="0.25">
      <c r="A285" s="6" t="s">
        <v>293</v>
      </c>
      <c r="B285" s="106">
        <v>52.876125000000002</v>
      </c>
      <c r="C285" s="106">
        <v>48.829000000000008</v>
      </c>
    </row>
    <row r="286" spans="1:3" hidden="1" x14ac:dyDescent="0.25">
      <c r="A286" s="6" t="s">
        <v>482</v>
      </c>
      <c r="B286" s="106">
        <v>15.92</v>
      </c>
      <c r="C286" s="106">
        <v>21.219227586206898</v>
      </c>
    </row>
    <row r="287" spans="1:3" hidden="1" x14ac:dyDescent="0.25">
      <c r="A287" s="6" t="s">
        <v>294</v>
      </c>
      <c r="B287" s="106">
        <v>70.263076923076923</v>
      </c>
      <c r="C287" s="106">
        <v>48.829000000000008</v>
      </c>
    </row>
    <row r="288" spans="1:3" hidden="1" x14ac:dyDescent="0.25">
      <c r="A288" s="6" t="s">
        <v>295</v>
      </c>
      <c r="B288" s="106">
        <v>38.113374999999998</v>
      </c>
      <c r="C288" s="106">
        <v>46.183500000000002</v>
      </c>
    </row>
    <row r="289" spans="1:3" hidden="1" x14ac:dyDescent="0.25">
      <c r="A289" s="6" t="s">
        <v>296</v>
      </c>
      <c r="B289" s="106">
        <v>31.152124999999998</v>
      </c>
      <c r="C289" s="106">
        <v>37.454999999999998</v>
      </c>
    </row>
    <row r="290" spans="1:3" hidden="1" x14ac:dyDescent="0.25">
      <c r="A290" s="6" t="s">
        <v>297</v>
      </c>
      <c r="B290" s="106">
        <v>62.397500000000001</v>
      </c>
      <c r="C290" s="106">
        <v>73.243500000000012</v>
      </c>
    </row>
    <row r="291" spans="1:3" hidden="1" x14ac:dyDescent="0.25">
      <c r="A291" s="6" t="s">
        <v>298</v>
      </c>
      <c r="B291" s="106">
        <v>34.737625000000001</v>
      </c>
      <c r="C291" s="106">
        <v>42.471206249999994</v>
      </c>
    </row>
    <row r="292" spans="1:3" hidden="1" x14ac:dyDescent="0.25">
      <c r="A292" s="6" t="s">
        <v>342</v>
      </c>
      <c r="B292" s="106">
        <v>28.634625</v>
      </c>
      <c r="C292" s="106">
        <v>36.250500000000002</v>
      </c>
    </row>
    <row r="293" spans="1:3" hidden="1" x14ac:dyDescent="0.25">
      <c r="A293" s="6" t="s">
        <v>299</v>
      </c>
      <c r="B293" s="106">
        <v>46.815625000000004</v>
      </c>
      <c r="C293" s="106">
        <v>57.618000000000009</v>
      </c>
    </row>
    <row r="294" spans="1:3" hidden="1" x14ac:dyDescent="0.25">
      <c r="A294" s="6" t="s">
        <v>300</v>
      </c>
      <c r="B294" s="106">
        <v>36.884374999999999</v>
      </c>
      <c r="C294" s="106">
        <v>45.820500000000003</v>
      </c>
    </row>
    <row r="295" spans="1:3" hidden="1" x14ac:dyDescent="0.25">
      <c r="A295" s="6" t="s">
        <v>301</v>
      </c>
      <c r="B295" s="106">
        <v>57.196999999999996</v>
      </c>
      <c r="C295" s="106">
        <v>48.829000000000008</v>
      </c>
    </row>
    <row r="296" spans="1:3" hidden="1" x14ac:dyDescent="0.25">
      <c r="A296" s="6" t="s">
        <v>302</v>
      </c>
      <c r="B296" s="106">
        <v>52.378124999999997</v>
      </c>
      <c r="C296" s="106">
        <v>62.584499999999998</v>
      </c>
    </row>
    <row r="297" spans="1:3" hidden="1" x14ac:dyDescent="0.25">
      <c r="A297" s="6" t="s">
        <v>303</v>
      </c>
      <c r="B297" s="106">
        <v>65.350624999999994</v>
      </c>
      <c r="C297" s="106">
        <v>54.417000000000002</v>
      </c>
    </row>
    <row r="298" spans="1:3" hidden="1" x14ac:dyDescent="0.25">
      <c r="A298" s="6" t="s">
        <v>304</v>
      </c>
      <c r="B298" s="106">
        <v>38.954124999999998</v>
      </c>
      <c r="C298" s="106">
        <v>43.114500000000007</v>
      </c>
    </row>
    <row r="299" spans="1:3" hidden="1" x14ac:dyDescent="0.25">
      <c r="A299" s="6" t="s">
        <v>464</v>
      </c>
      <c r="B299" s="106">
        <v>17.586666666666666</v>
      </c>
      <c r="C299" s="106">
        <v>23.298000000000002</v>
      </c>
    </row>
    <row r="300" spans="1:3" hidden="1" x14ac:dyDescent="0.25">
      <c r="A300" s="6" t="s">
        <v>305</v>
      </c>
      <c r="B300" s="106">
        <v>68.528750000000002</v>
      </c>
      <c r="C300" s="106">
        <v>55.725999999999999</v>
      </c>
    </row>
    <row r="301" spans="1:3" hidden="1" x14ac:dyDescent="0.25">
      <c r="A301" s="6" t="s">
        <v>306</v>
      </c>
      <c r="B301" s="106">
        <v>39.001375000000003</v>
      </c>
      <c r="C301" s="106">
        <v>47.305500000000009</v>
      </c>
    </row>
    <row r="302" spans="1:3" hidden="1" x14ac:dyDescent="0.25">
      <c r="A302" s="6" t="s">
        <v>424</v>
      </c>
      <c r="B302" s="106">
        <v>30.051749999999998</v>
      </c>
      <c r="C302" s="106">
        <v>31.845000000000006</v>
      </c>
    </row>
    <row r="303" spans="1:3" hidden="1" x14ac:dyDescent="0.25">
      <c r="A303" s="6" t="s">
        <v>439</v>
      </c>
      <c r="B303" s="106">
        <v>32.735374999999998</v>
      </c>
      <c r="C303" s="106">
        <v>43.295999999999999</v>
      </c>
    </row>
    <row r="304" spans="1:3" hidden="1" x14ac:dyDescent="0.25">
      <c r="A304" s="6" t="s">
        <v>307</v>
      </c>
      <c r="B304" s="106">
        <v>36.293750000000003</v>
      </c>
      <c r="C304" s="106">
        <v>44.731500000000004</v>
      </c>
    </row>
    <row r="305" spans="1:3" hidden="1" x14ac:dyDescent="0.25">
      <c r="A305" s="6" t="s">
        <v>308</v>
      </c>
      <c r="B305" s="106">
        <v>58.859375</v>
      </c>
      <c r="C305" s="106">
        <v>48.829000000000008</v>
      </c>
    </row>
    <row r="306" spans="1:3" hidden="1" x14ac:dyDescent="0.25">
      <c r="A306" s="6" t="s">
        <v>309</v>
      </c>
      <c r="B306" s="106">
        <v>56.170500000000004</v>
      </c>
      <c r="C306" s="106">
        <v>69.745500000000007</v>
      </c>
    </row>
    <row r="307" spans="1:3" hidden="1" x14ac:dyDescent="0.25">
      <c r="A307" s="6" t="s">
        <v>310</v>
      </c>
      <c r="B307" s="106">
        <v>47.534624999999998</v>
      </c>
      <c r="C307" s="106">
        <v>54.12</v>
      </c>
    </row>
    <row r="308" spans="1:3" hidden="1" x14ac:dyDescent="0.25">
      <c r="A308" s="6" t="s">
        <v>510</v>
      </c>
      <c r="B308" s="106">
        <v>54.5685</v>
      </c>
      <c r="C308" s="106">
        <v>48.829000000000008</v>
      </c>
    </row>
    <row r="309" spans="1:3" hidden="1" x14ac:dyDescent="0.25">
      <c r="A309" s="6" t="s">
        <v>311</v>
      </c>
      <c r="B309" s="106">
        <v>38.220500000000001</v>
      </c>
      <c r="C309" s="106">
        <v>43.725000000000001</v>
      </c>
    </row>
    <row r="310" spans="1:3" hidden="1" x14ac:dyDescent="0.25">
      <c r="A310" s="6" t="s">
        <v>312</v>
      </c>
      <c r="B310" s="106">
        <v>90.71112500000001</v>
      </c>
      <c r="C310" s="106">
        <v>76.461000000000013</v>
      </c>
    </row>
    <row r="311" spans="1:3" hidden="1" x14ac:dyDescent="0.25">
      <c r="A311" s="6" t="s">
        <v>313</v>
      </c>
      <c r="B311" s="106">
        <v>50.113500000000002</v>
      </c>
      <c r="C311" s="106">
        <v>59.020706250000003</v>
      </c>
    </row>
    <row r="312" spans="1:3" hidden="1" x14ac:dyDescent="0.25">
      <c r="A312" s="6" t="s">
        <v>511</v>
      </c>
      <c r="B312" s="106">
        <v>51.884999999999998</v>
      </c>
      <c r="C312" s="106">
        <v>64.119</v>
      </c>
    </row>
    <row r="313" spans="1:3" hidden="1" x14ac:dyDescent="0.25">
      <c r="A313" s="6" t="s">
        <v>435</v>
      </c>
      <c r="B313" s="106">
        <v>34.94</v>
      </c>
      <c r="C313" s="106">
        <v>43.543500000000002</v>
      </c>
    </row>
    <row r="314" spans="1:3" hidden="1" x14ac:dyDescent="0.25">
      <c r="A314" s="6" t="s">
        <v>314</v>
      </c>
      <c r="B314" s="106">
        <v>65.585499999999996</v>
      </c>
      <c r="C314" s="106">
        <v>51.623000000000005</v>
      </c>
    </row>
    <row r="315" spans="1:3" hidden="1" x14ac:dyDescent="0.25">
      <c r="A315" s="6" t="s">
        <v>315</v>
      </c>
      <c r="B315" s="106">
        <v>40.838750000000005</v>
      </c>
      <c r="C315" s="106">
        <v>53.245500000000007</v>
      </c>
    </row>
    <row r="316" spans="1:3" hidden="1" x14ac:dyDescent="0.25">
      <c r="A316" s="6" t="s">
        <v>316</v>
      </c>
      <c r="B316" s="106">
        <v>43.024875000000002</v>
      </c>
      <c r="C316" s="106">
        <v>52.585500000000003</v>
      </c>
    </row>
    <row r="317" spans="1:3" hidden="1" x14ac:dyDescent="0.25">
      <c r="A317" s="6" t="s">
        <v>317</v>
      </c>
      <c r="B317" s="106">
        <v>38.1175</v>
      </c>
      <c r="C317" s="106">
        <v>46.183500000000002</v>
      </c>
    </row>
    <row r="318" spans="1:3" hidden="1" x14ac:dyDescent="0.25">
      <c r="A318" s="6" t="s">
        <v>465</v>
      </c>
      <c r="B318" s="106">
        <v>24.664749999999998</v>
      </c>
      <c r="C318" s="106">
        <v>32.620500000000007</v>
      </c>
    </row>
    <row r="319" spans="1:3" hidden="1" x14ac:dyDescent="0.25">
      <c r="A319" s="6" t="s">
        <v>318</v>
      </c>
      <c r="B319" s="106">
        <v>35.899874999999994</v>
      </c>
      <c r="C319" s="106">
        <v>43.295999999999999</v>
      </c>
    </row>
    <row r="320" spans="1:3" hidden="1" x14ac:dyDescent="0.25">
      <c r="A320" s="6" t="s">
        <v>319</v>
      </c>
      <c r="B320" s="106">
        <v>35.114750000000001</v>
      </c>
      <c r="C320" s="106">
        <v>43.295999999999999</v>
      </c>
    </row>
    <row r="321" spans="1:3" hidden="1" x14ac:dyDescent="0.25">
      <c r="A321" s="6" t="s">
        <v>343</v>
      </c>
      <c r="B321" s="106">
        <v>34.053249999999998</v>
      </c>
      <c r="C321" s="106">
        <v>45.07800000000001</v>
      </c>
    </row>
    <row r="322" spans="1:3" hidden="1" x14ac:dyDescent="0.25">
      <c r="A322" s="6" t="s">
        <v>512</v>
      </c>
      <c r="B322" s="106">
        <v>35.591250000000002</v>
      </c>
      <c r="C322" s="106">
        <v>47.074500000000008</v>
      </c>
    </row>
    <row r="323" spans="1:3" hidden="1" x14ac:dyDescent="0.25">
      <c r="A323" s="6" t="s">
        <v>403</v>
      </c>
      <c r="B323" s="106">
        <v>39.429000000000002</v>
      </c>
      <c r="C323" s="106">
        <v>36.580500000000008</v>
      </c>
    </row>
    <row r="324" spans="1:3" hidden="1" x14ac:dyDescent="0.25">
      <c r="A324" s="6" t="s">
        <v>513</v>
      </c>
      <c r="B324" s="106">
        <v>24.366125</v>
      </c>
      <c r="C324" s="106">
        <v>28.578000000000003</v>
      </c>
    </row>
    <row r="325" spans="1:3" hidden="1" x14ac:dyDescent="0.25">
      <c r="A325" s="6" t="s">
        <v>436</v>
      </c>
      <c r="B325" s="106">
        <v>44.561250000000001</v>
      </c>
      <c r="C325" s="106">
        <v>55.440000000000012</v>
      </c>
    </row>
    <row r="326" spans="1:3" hidden="1" x14ac:dyDescent="0.25">
      <c r="A326" s="6" t="s">
        <v>483</v>
      </c>
      <c r="B326" s="106">
        <v>32.689374999999998</v>
      </c>
      <c r="C326" s="106">
        <v>35.029499999999999</v>
      </c>
    </row>
    <row r="327" spans="1:3" hidden="1" x14ac:dyDescent="0.25">
      <c r="A327" s="6" t="s">
        <v>320</v>
      </c>
      <c r="B327" s="106">
        <v>50.431125000000002</v>
      </c>
      <c r="C327" s="106">
        <v>48.829000000000008</v>
      </c>
    </row>
    <row r="328" spans="1:3" hidden="1" x14ac:dyDescent="0.25">
      <c r="A328" s="6" t="s">
        <v>484</v>
      </c>
      <c r="B328" s="106">
        <v>47.913624999999996</v>
      </c>
      <c r="C328" s="106">
        <v>59.020706250000003</v>
      </c>
    </row>
    <row r="329" spans="1:3" hidden="1" x14ac:dyDescent="0.25">
      <c r="A329" s="6" t="s">
        <v>514</v>
      </c>
      <c r="B329" s="106">
        <v>67.310714285714283</v>
      </c>
      <c r="C329" s="106">
        <v>79.728000000000009</v>
      </c>
    </row>
    <row r="330" spans="1:3" hidden="1" x14ac:dyDescent="0.25">
      <c r="A330" s="6" t="s">
        <v>321</v>
      </c>
      <c r="B330" s="106">
        <v>34.344374999999999</v>
      </c>
      <c r="C330" s="106">
        <v>41.332500000000003</v>
      </c>
    </row>
    <row r="331" spans="1:3" hidden="1" x14ac:dyDescent="0.25">
      <c r="A331" s="6" t="s">
        <v>515</v>
      </c>
      <c r="B331" s="106">
        <v>19.151562500000001</v>
      </c>
      <c r="C331" s="106">
        <v>25.542000000000002</v>
      </c>
    </row>
    <row r="332" spans="1:3" hidden="1" x14ac:dyDescent="0.25">
      <c r="A332" s="6" t="s">
        <v>322</v>
      </c>
      <c r="B332" s="106">
        <v>41.41675</v>
      </c>
      <c r="C332" s="106">
        <v>50.506500000000003</v>
      </c>
    </row>
    <row r="333" spans="1:3" hidden="1" x14ac:dyDescent="0.25">
      <c r="A333" s="6" t="s">
        <v>323</v>
      </c>
      <c r="B333" s="106">
        <v>65.362250000000003</v>
      </c>
      <c r="C333" s="106">
        <v>54.417000000000002</v>
      </c>
    </row>
    <row r="334" spans="1:3" hidden="1" x14ac:dyDescent="0.25">
      <c r="A334" s="6" t="s">
        <v>324</v>
      </c>
      <c r="B334" s="106">
        <v>88.559375000000003</v>
      </c>
      <c r="C334" s="106">
        <v>76.461137500000007</v>
      </c>
    </row>
    <row r="335" spans="1:3" hidden="1" x14ac:dyDescent="0.25">
      <c r="A335" s="6" t="s">
        <v>325</v>
      </c>
      <c r="B335" s="106">
        <v>60.220999999999997</v>
      </c>
      <c r="C335" s="106">
        <v>50.017000000000003</v>
      </c>
    </row>
    <row r="336" spans="1:3" hidden="1" x14ac:dyDescent="0.25">
      <c r="A336" s="6" t="s">
        <v>326</v>
      </c>
      <c r="B336" s="106">
        <v>76.463999999999999</v>
      </c>
      <c r="C336" s="106">
        <v>61.38</v>
      </c>
    </row>
    <row r="337" spans="1:4" hidden="1" x14ac:dyDescent="0.25">
      <c r="A337" s="6" t="s">
        <v>327</v>
      </c>
      <c r="B337" s="106">
        <v>54.121250000000003</v>
      </c>
      <c r="C337" s="106">
        <v>62.865000000000009</v>
      </c>
    </row>
    <row r="338" spans="1:4" hidden="1" x14ac:dyDescent="0.25">
      <c r="A338" s="6" t="s">
        <v>328</v>
      </c>
      <c r="B338" s="106">
        <v>45.084375000000001</v>
      </c>
      <c r="C338" s="106">
        <v>50.506500000000003</v>
      </c>
    </row>
    <row r="339" spans="1:4" hidden="1" x14ac:dyDescent="0.25">
      <c r="A339" s="6" t="s">
        <v>329</v>
      </c>
      <c r="B339" s="106">
        <v>65.247749999999996</v>
      </c>
      <c r="C339" s="106">
        <v>81.625706250000022</v>
      </c>
    </row>
    <row r="340" spans="1:4" hidden="1" x14ac:dyDescent="0.25">
      <c r="A340" s="6" t="s">
        <v>417</v>
      </c>
      <c r="B340" s="106">
        <v>56.430375000000005</v>
      </c>
      <c r="C340" s="106">
        <v>48.829000000000008</v>
      </c>
    </row>
    <row r="341" spans="1:4" hidden="1" x14ac:dyDescent="0.25">
      <c r="A341" s="6" t="s">
        <v>418</v>
      </c>
      <c r="B341" s="106">
        <v>79.122</v>
      </c>
      <c r="C341" s="106">
        <v>64.702000000000012</v>
      </c>
    </row>
    <row r="342" spans="1:4" hidden="1" x14ac:dyDescent="0.25">
      <c r="A342" s="100" t="s">
        <v>5</v>
      </c>
      <c r="B342" s="108">
        <v>13.83</v>
      </c>
      <c r="C342" s="108">
        <f>B342*1.5*1.1</f>
        <v>22.819500000000001</v>
      </c>
    </row>
    <row r="343" spans="1:4" hidden="1" x14ac:dyDescent="0.25">
      <c r="A343" s="100" t="s">
        <v>6</v>
      </c>
      <c r="B343" s="108">
        <v>15.66</v>
      </c>
      <c r="C343" s="108">
        <f t="shared" ref="C343:C374" si="0">B343*1.5*1.1</f>
        <v>25.839000000000006</v>
      </c>
      <c r="D343" s="107"/>
    </row>
    <row r="344" spans="1:4" hidden="1" x14ac:dyDescent="0.25">
      <c r="A344" s="100" t="s">
        <v>7</v>
      </c>
      <c r="B344" s="108">
        <v>17.29</v>
      </c>
      <c r="C344" s="108">
        <f t="shared" si="0"/>
        <v>28.528500000000001</v>
      </c>
    </row>
    <row r="345" spans="1:4" hidden="1" x14ac:dyDescent="0.25">
      <c r="A345" s="100" t="s">
        <v>8</v>
      </c>
      <c r="B345" s="108">
        <v>15.54</v>
      </c>
      <c r="C345" s="108">
        <f t="shared" si="0"/>
        <v>25.641000000000002</v>
      </c>
    </row>
    <row r="346" spans="1:4" hidden="1" x14ac:dyDescent="0.25">
      <c r="A346" s="100" t="s">
        <v>9</v>
      </c>
      <c r="B346" s="108">
        <v>17.05</v>
      </c>
      <c r="C346" s="108">
        <f t="shared" si="0"/>
        <v>28.132500000000004</v>
      </c>
    </row>
    <row r="347" spans="1:4" hidden="1" x14ac:dyDescent="0.25">
      <c r="A347" s="100" t="s">
        <v>10</v>
      </c>
      <c r="B347" s="108">
        <v>19.559999999999999</v>
      </c>
      <c r="C347" s="108">
        <f t="shared" si="0"/>
        <v>32.274000000000001</v>
      </c>
    </row>
    <row r="348" spans="1:4" hidden="1" x14ac:dyDescent="0.25">
      <c r="A348" s="100" t="s">
        <v>11</v>
      </c>
      <c r="B348" s="108">
        <v>16.96</v>
      </c>
      <c r="C348" s="108">
        <f t="shared" si="0"/>
        <v>27.984000000000005</v>
      </c>
    </row>
    <row r="349" spans="1:4" hidden="1" x14ac:dyDescent="0.25">
      <c r="A349" s="100" t="s">
        <v>12</v>
      </c>
      <c r="B349" s="108">
        <v>19.22</v>
      </c>
      <c r="C349" s="108">
        <f t="shared" si="0"/>
        <v>31.713000000000001</v>
      </c>
    </row>
    <row r="350" spans="1:4" hidden="1" x14ac:dyDescent="0.25">
      <c r="A350" s="100" t="s">
        <v>13</v>
      </c>
      <c r="B350" s="108">
        <v>22.05</v>
      </c>
      <c r="C350" s="108">
        <f t="shared" si="0"/>
        <v>36.382500000000007</v>
      </c>
    </row>
    <row r="351" spans="1:4" hidden="1" x14ac:dyDescent="0.25">
      <c r="A351" s="100" t="s">
        <v>14</v>
      </c>
      <c r="B351" s="108">
        <v>19.04</v>
      </c>
      <c r="C351" s="108">
        <f t="shared" si="0"/>
        <v>31.416</v>
      </c>
    </row>
    <row r="352" spans="1:4" hidden="1" x14ac:dyDescent="0.25">
      <c r="A352" s="100" t="s">
        <v>15</v>
      </c>
      <c r="B352" s="108">
        <v>21.58</v>
      </c>
      <c r="C352" s="108">
        <f t="shared" si="0"/>
        <v>35.606999999999999</v>
      </c>
    </row>
    <row r="353" spans="1:3" hidden="1" x14ac:dyDescent="0.25">
      <c r="A353" s="100" t="s">
        <v>16</v>
      </c>
      <c r="B353" s="108">
        <v>24.75</v>
      </c>
      <c r="C353" s="108">
        <f t="shared" si="0"/>
        <v>40.837500000000006</v>
      </c>
    </row>
    <row r="354" spans="1:3" hidden="1" x14ac:dyDescent="0.25">
      <c r="A354" s="100" t="s">
        <v>17</v>
      </c>
      <c r="B354" s="108">
        <v>21.3</v>
      </c>
      <c r="C354" s="108">
        <f t="shared" si="0"/>
        <v>35.145000000000003</v>
      </c>
    </row>
    <row r="355" spans="1:3" hidden="1" x14ac:dyDescent="0.25">
      <c r="A355" s="100" t="s">
        <v>18</v>
      </c>
      <c r="B355" s="108">
        <v>24.14</v>
      </c>
      <c r="C355" s="108">
        <f t="shared" si="0"/>
        <v>39.831000000000003</v>
      </c>
    </row>
    <row r="356" spans="1:3" hidden="1" x14ac:dyDescent="0.25">
      <c r="A356" s="100" t="s">
        <v>19</v>
      </c>
      <c r="B356" s="108">
        <v>27.7</v>
      </c>
      <c r="C356" s="108">
        <f t="shared" si="0"/>
        <v>45.704999999999998</v>
      </c>
    </row>
    <row r="357" spans="1:3" hidden="1" x14ac:dyDescent="0.25">
      <c r="A357" s="100" t="s">
        <v>20</v>
      </c>
      <c r="B357" s="108">
        <v>23.75</v>
      </c>
      <c r="C357" s="108">
        <f t="shared" si="0"/>
        <v>39.1875</v>
      </c>
    </row>
    <row r="358" spans="1:3" hidden="1" x14ac:dyDescent="0.25">
      <c r="A358" s="100" t="s">
        <v>21</v>
      </c>
      <c r="B358" s="108">
        <v>26.91</v>
      </c>
      <c r="C358" s="108">
        <f t="shared" si="0"/>
        <v>44.401500000000006</v>
      </c>
    </row>
    <row r="359" spans="1:3" hidden="1" x14ac:dyDescent="0.25">
      <c r="A359" s="100" t="s">
        <v>22</v>
      </c>
      <c r="B359" s="108">
        <v>30.87</v>
      </c>
      <c r="C359" s="108">
        <f t="shared" si="0"/>
        <v>50.935500000000005</v>
      </c>
    </row>
    <row r="360" spans="1:3" hidden="1" x14ac:dyDescent="0.25">
      <c r="A360" s="100" t="s">
        <v>23</v>
      </c>
      <c r="B360" s="108">
        <v>26.39</v>
      </c>
      <c r="C360" s="108">
        <f t="shared" si="0"/>
        <v>43.543500000000002</v>
      </c>
    </row>
    <row r="361" spans="1:3" hidden="1" x14ac:dyDescent="0.25">
      <c r="A361" s="100" t="s">
        <v>24</v>
      </c>
      <c r="B361" s="108">
        <v>29.9</v>
      </c>
      <c r="C361" s="108">
        <f t="shared" si="0"/>
        <v>49.335000000000001</v>
      </c>
    </row>
    <row r="362" spans="1:3" hidden="1" x14ac:dyDescent="0.25">
      <c r="A362" s="100" t="s">
        <v>25</v>
      </c>
      <c r="B362" s="108">
        <v>34.299999999999997</v>
      </c>
      <c r="C362" s="108">
        <f t="shared" si="0"/>
        <v>56.594999999999999</v>
      </c>
    </row>
    <row r="363" spans="1:3" hidden="1" x14ac:dyDescent="0.25">
      <c r="A363" s="100" t="s">
        <v>26</v>
      </c>
      <c r="B363" s="108">
        <v>29.22</v>
      </c>
      <c r="C363" s="108">
        <f t="shared" si="0"/>
        <v>48.213000000000001</v>
      </c>
    </row>
    <row r="364" spans="1:3" hidden="1" x14ac:dyDescent="0.25">
      <c r="A364" s="100" t="s">
        <v>27</v>
      </c>
      <c r="B364" s="108">
        <v>33.11</v>
      </c>
      <c r="C364" s="108">
        <f t="shared" si="0"/>
        <v>54.631500000000003</v>
      </c>
    </row>
    <row r="365" spans="1:3" hidden="1" x14ac:dyDescent="0.25">
      <c r="A365" s="100" t="s">
        <v>28</v>
      </c>
      <c r="B365" s="108">
        <v>37.99</v>
      </c>
      <c r="C365" s="108">
        <f t="shared" si="0"/>
        <v>62.683500000000002</v>
      </c>
    </row>
    <row r="366" spans="1:3" hidden="1" x14ac:dyDescent="0.25">
      <c r="A366" s="100" t="s">
        <v>29</v>
      </c>
      <c r="B366" s="108">
        <v>32.28</v>
      </c>
      <c r="C366" s="108">
        <f t="shared" si="0"/>
        <v>53.262000000000008</v>
      </c>
    </row>
    <row r="367" spans="1:3" hidden="1" x14ac:dyDescent="0.25">
      <c r="A367" s="100" t="s">
        <v>30</v>
      </c>
      <c r="B367" s="108">
        <v>36.58</v>
      </c>
      <c r="C367" s="108">
        <f t="shared" si="0"/>
        <v>60.356999999999999</v>
      </c>
    </row>
    <row r="368" spans="1:3" hidden="1" x14ac:dyDescent="0.25">
      <c r="A368" s="100" t="s">
        <v>31</v>
      </c>
      <c r="B368" s="108">
        <v>41.96</v>
      </c>
      <c r="C368" s="108">
        <f t="shared" si="0"/>
        <v>69.234000000000009</v>
      </c>
    </row>
    <row r="369" spans="1:3" hidden="1" x14ac:dyDescent="0.25">
      <c r="A369" s="100" t="s">
        <v>32</v>
      </c>
      <c r="B369" s="108">
        <v>35.54</v>
      </c>
      <c r="C369" s="108">
        <f t="shared" si="0"/>
        <v>58.641000000000005</v>
      </c>
    </row>
    <row r="370" spans="1:3" hidden="1" x14ac:dyDescent="0.25">
      <c r="A370" s="100" t="s">
        <v>33</v>
      </c>
      <c r="B370" s="108">
        <v>40.29</v>
      </c>
      <c r="C370" s="108">
        <f t="shared" si="0"/>
        <v>66.478500000000011</v>
      </c>
    </row>
    <row r="371" spans="1:3" hidden="1" x14ac:dyDescent="0.25">
      <c r="A371" s="100" t="s">
        <v>34</v>
      </c>
      <c r="B371" s="108">
        <v>46.21</v>
      </c>
      <c r="C371" s="108">
        <f t="shared" si="0"/>
        <v>76.246499999999997</v>
      </c>
    </row>
    <row r="372" spans="1:3" hidden="1" x14ac:dyDescent="0.25">
      <c r="A372" s="100" t="s">
        <v>35</v>
      </c>
      <c r="B372" s="108">
        <v>39.049999999999997</v>
      </c>
      <c r="C372" s="108">
        <f t="shared" si="0"/>
        <v>64.432500000000005</v>
      </c>
    </row>
    <row r="373" spans="1:3" hidden="1" x14ac:dyDescent="0.25">
      <c r="A373" s="100" t="s">
        <v>36</v>
      </c>
      <c r="B373" s="108">
        <v>44.25</v>
      </c>
      <c r="C373" s="108">
        <f t="shared" si="0"/>
        <v>73.012500000000003</v>
      </c>
    </row>
    <row r="374" spans="1:3" hidden="1" x14ac:dyDescent="0.25">
      <c r="A374" s="100" t="s">
        <v>37</v>
      </c>
      <c r="B374" s="108">
        <v>50.76</v>
      </c>
      <c r="C374" s="108">
        <f t="shared" si="0"/>
        <v>83.754000000000005</v>
      </c>
    </row>
    <row r="375" spans="1:3" hidden="1" x14ac:dyDescent="0.25">
      <c r="A375" s="100" t="s">
        <v>38</v>
      </c>
      <c r="B375" s="108">
        <v>46.8</v>
      </c>
      <c r="C375" s="108">
        <f>$F$1*1.1</f>
        <v>48.829000000000008</v>
      </c>
    </row>
    <row r="376" spans="1:3" hidden="1" x14ac:dyDescent="0.25">
      <c r="A376" s="100" t="s">
        <v>39</v>
      </c>
      <c r="B376" s="108">
        <v>53.05</v>
      </c>
      <c r="C376" s="108">
        <f t="shared" ref="C376:C386" si="1">$F$1*1.1</f>
        <v>48.829000000000008</v>
      </c>
    </row>
    <row r="377" spans="1:3" hidden="1" x14ac:dyDescent="0.25">
      <c r="A377" s="100" t="s">
        <v>40</v>
      </c>
      <c r="B377" s="108">
        <v>60.85</v>
      </c>
      <c r="C377" s="108">
        <f t="shared" si="1"/>
        <v>48.829000000000008</v>
      </c>
    </row>
    <row r="378" spans="1:3" hidden="1" x14ac:dyDescent="0.25">
      <c r="A378" s="100" t="s">
        <v>41</v>
      </c>
      <c r="B378" s="108">
        <v>55.66</v>
      </c>
      <c r="C378" s="108">
        <f t="shared" si="1"/>
        <v>48.829000000000008</v>
      </c>
    </row>
    <row r="379" spans="1:3" hidden="1" x14ac:dyDescent="0.25">
      <c r="A379" s="100" t="s">
        <v>42</v>
      </c>
      <c r="B379" s="108">
        <v>63.08</v>
      </c>
      <c r="C379" s="108">
        <f t="shared" si="1"/>
        <v>48.829000000000008</v>
      </c>
    </row>
    <row r="380" spans="1:3" hidden="1" x14ac:dyDescent="0.25">
      <c r="A380" s="100" t="s">
        <v>43</v>
      </c>
      <c r="B380" s="108">
        <v>72.349999999999994</v>
      </c>
      <c r="C380" s="108">
        <f t="shared" si="1"/>
        <v>48.829000000000008</v>
      </c>
    </row>
    <row r="381" spans="1:3" hidden="1" x14ac:dyDescent="0.25">
      <c r="A381" s="100" t="s">
        <v>44</v>
      </c>
      <c r="B381" s="108">
        <v>65.77</v>
      </c>
      <c r="C381" s="108">
        <f t="shared" si="1"/>
        <v>48.829000000000008</v>
      </c>
    </row>
    <row r="382" spans="1:3" hidden="1" x14ac:dyDescent="0.25">
      <c r="A382" s="100" t="s">
        <v>45</v>
      </c>
      <c r="B382" s="108">
        <v>74.540000000000006</v>
      </c>
      <c r="C382" s="108">
        <f t="shared" si="1"/>
        <v>48.829000000000008</v>
      </c>
    </row>
    <row r="383" spans="1:3" hidden="1" x14ac:dyDescent="0.25">
      <c r="A383" s="100" t="s">
        <v>46</v>
      </c>
      <c r="B383" s="108">
        <v>85.5</v>
      </c>
      <c r="C383" s="108">
        <f t="shared" si="1"/>
        <v>48.829000000000008</v>
      </c>
    </row>
    <row r="384" spans="1:3" hidden="1" x14ac:dyDescent="0.25">
      <c r="A384" s="100" t="s">
        <v>47</v>
      </c>
      <c r="B384" s="108">
        <v>77.36</v>
      </c>
      <c r="C384" s="108">
        <f t="shared" si="1"/>
        <v>48.829000000000008</v>
      </c>
    </row>
    <row r="385" spans="1:15" hidden="1" x14ac:dyDescent="0.25">
      <c r="A385" s="100" t="s">
        <v>48</v>
      </c>
      <c r="B385" s="108">
        <v>87.68</v>
      </c>
      <c r="C385" s="108">
        <f t="shared" si="1"/>
        <v>48.829000000000008</v>
      </c>
    </row>
    <row r="386" spans="1:15" hidden="1" x14ac:dyDescent="0.25">
      <c r="A386" s="100" t="s">
        <v>49</v>
      </c>
      <c r="B386" s="108">
        <v>96.92</v>
      </c>
      <c r="C386" s="108">
        <f t="shared" si="1"/>
        <v>48.829000000000008</v>
      </c>
    </row>
    <row r="387" spans="1:15" ht="18" customHeight="1" x14ac:dyDescent="0.25">
      <c r="A387" s="101" t="s">
        <v>76</v>
      </c>
      <c r="B387" s="101" t="s">
        <v>52</v>
      </c>
      <c r="C387" s="101" t="s">
        <v>390</v>
      </c>
      <c r="D387" s="101" t="s">
        <v>74</v>
      </c>
      <c r="E387" s="101" t="s">
        <v>86</v>
      </c>
      <c r="F387" s="9" t="s">
        <v>331</v>
      </c>
      <c r="G387" s="9" t="s">
        <v>87</v>
      </c>
      <c r="H387" s="9" t="s">
        <v>3</v>
      </c>
      <c r="I387" s="9" t="s">
        <v>51</v>
      </c>
      <c r="J387" s="9" t="s">
        <v>4</v>
      </c>
      <c r="K387" s="9" t="s">
        <v>66</v>
      </c>
      <c r="L387" s="9" t="s">
        <v>83</v>
      </c>
      <c r="M387" s="10" t="s">
        <v>55</v>
      </c>
      <c r="N387" s="10" t="s">
        <v>118</v>
      </c>
    </row>
    <row r="388" spans="1:15" x14ac:dyDescent="0.25">
      <c r="A388" s="120" t="s">
        <v>294</v>
      </c>
      <c r="B388" s="121"/>
      <c r="C388" s="121"/>
      <c r="D388" s="125">
        <v>2019</v>
      </c>
      <c r="E388" s="124">
        <v>300</v>
      </c>
      <c r="G388" s="128"/>
      <c r="H388" s="95">
        <f>IFERROR(IFERROR(VLOOKUP(D388,Lookup!$G$2:$H$7,2,FALSE),1)*IF(F388="Yes",VLOOKUP(A388,$A$21:$C$386,3,FALSE),VLOOKUP(A388,$A$21:$B$386,2,FALSE)),"")</f>
        <v>70.263076923076923</v>
      </c>
      <c r="I388" s="95">
        <f t="shared" ref="I388:I419" si="2">IFERROR(E388*H388,"")</f>
        <v>21078.923076923078</v>
      </c>
      <c r="J388" s="95">
        <f>IFERROR(IF(F388="Yes",0,I388*Lookup!$B$8),"")</f>
        <v>4215.7846153846158</v>
      </c>
      <c r="K388" s="95">
        <f>IF(IFERROR(VLOOKUP(A388,$A$2:$A$20,1,FALSE),0)&lt;&gt;0, IF(A388="Suballocation", G388, G388*IFERROR(VLOOKUP(D388,Lookup!$G$2:$H$7,2,FALSE),1)), SUM(I388:J388))</f>
        <v>25294.707692307693</v>
      </c>
      <c r="L388" s="95">
        <f>K388*(1+IFERROR(VLOOKUP(IF(OR(Funding!$H$5=Lookup!$A$20,Funding!$H$5=""),0,IF(AND(Lookup!$B$23&lt;&gt;1,M388="Full(Match)"),IF(D388="",Lookup!$G$2,D388)&amp;Expenses!M388,IF(Funding!$H$5=Lookup!$A$19,Lookup!$A$19,"")&amp;IF(M388="Full(Match)","Full",M388))),Lookup!$A$28:$F$36,6,FALSE),0))</f>
        <v>47663.070651692309</v>
      </c>
      <c r="M388" s="4" t="str">
        <f>IF(A388&lt;&gt;"",IF(OR(A388="Travel",AND(IFERROR(VLOOKUP(A388,$A$21:$A$386,1,FALSE),0)&lt;&gt;0,F388&lt;&gt;"Yes")),"Full(Match)",IFERROR(VLOOKUP(A388,Lookup!$D$2:$E$20,2,FALSE),"Full")),"")</f>
        <v>Full(Match)</v>
      </c>
      <c r="N388" s="130"/>
      <c r="O388" s="130"/>
    </row>
    <row r="389" spans="1:15" x14ac:dyDescent="0.25">
      <c r="A389" s="120"/>
      <c r="B389" s="121"/>
      <c r="C389" s="121"/>
      <c r="D389" s="125"/>
      <c r="E389" s="124"/>
      <c r="F389" s="2"/>
      <c r="G389" s="129"/>
      <c r="H389" s="95" t="str">
        <f>IFERROR(IFERROR(VLOOKUP(D389,Lookup!$G$2:$H$7,2,FALSE),1)*IF(F389="Yes",VLOOKUP(A389,$A$21:$C$386,3,FALSE),VLOOKUP(A389,$A$21:$B$386,2,FALSE)),"")</f>
        <v/>
      </c>
      <c r="I389" s="95" t="str">
        <f t="shared" si="2"/>
        <v/>
      </c>
      <c r="J389" s="95" t="str">
        <f>IFERROR(IF(F389="Yes",0,I389*Lookup!$B$8),"")</f>
        <v/>
      </c>
      <c r="K389" s="95">
        <f>IF(IFERROR(VLOOKUP(A389,$A$2:$A$20,1,FALSE),0)&lt;&gt;0, IF(A389="Suballocation", G389, G389*IFERROR(VLOOKUP(D389,Lookup!$G$2:$H$7,2,FALSE),1)), SUM(I389:J389))</f>
        <v>0</v>
      </c>
      <c r="L389" s="95">
        <f>K389*(1+IFERROR(VLOOKUP(IF(OR(Funding!$H$5=Lookup!$A$20,Funding!$H$5=""),0,IF(AND(Lookup!$B$23&lt;&gt;1,M389="Full(Match)"),IF(D389="",Lookup!$G$2,D389)&amp;Expenses!M389,IF(Funding!$H$5=Lookup!$A$19,Lookup!$A$19,"")&amp;IF(M389="Full(Match)","Full",M389))),Lookup!$A$28:$F$36,6,FALSE),0))</f>
        <v>0</v>
      </c>
      <c r="M389" s="4" t="str">
        <f>IF(A389&lt;&gt;"",IF(OR(A389="Travel",AND(IFERROR(VLOOKUP(A389,$A$21:$A$386,1,FALSE),0)&lt;&gt;0,F389&lt;&gt;"Yes")),"Full(Match)",IFERROR(VLOOKUP(A389,Lookup!$D$2:$E$20,2,FALSE),"Full")),"")</f>
        <v/>
      </c>
    </row>
    <row r="390" spans="1:15" x14ac:dyDescent="0.25">
      <c r="A390" s="120"/>
      <c r="B390" s="121"/>
      <c r="C390" s="121"/>
      <c r="D390" s="125"/>
      <c r="E390" s="124"/>
      <c r="F390" s="3"/>
      <c r="G390" s="128"/>
      <c r="H390" s="95" t="str">
        <f>IFERROR(IFERROR(VLOOKUP(D390,Lookup!$G$2:$H$7,2,FALSE),1)*IF(F390="Yes",VLOOKUP(A390,$A$21:$C$386,3,FALSE),VLOOKUP(A390,$A$21:$B$386,2,FALSE)),"")</f>
        <v/>
      </c>
      <c r="I390" s="95" t="str">
        <f t="shared" si="2"/>
        <v/>
      </c>
      <c r="J390" s="95" t="str">
        <f>IFERROR(IF(F390="Yes",0,I390*Lookup!$B$8),"")</f>
        <v/>
      </c>
      <c r="K390" s="95">
        <f>IF(IFERROR(VLOOKUP(A390,$A$2:$A$20,1,FALSE),0)&lt;&gt;0, IF(A390="Suballocation", G390, G390*IFERROR(VLOOKUP(D390,Lookup!$G$2:$H$7,2,FALSE),1)), SUM(I390:J390))</f>
        <v>0</v>
      </c>
      <c r="L390" s="95">
        <f>K390*(1+IFERROR(VLOOKUP(IF(OR(Funding!$H$5=Lookup!$A$20,Funding!$H$5=""),0,IF(AND(Lookup!$B$23&lt;&gt;1,M390="Full(Match)"),IF(D390="",Lookup!$G$2,D390)&amp;Expenses!M390,IF(Funding!$H$5=Lookup!$A$19,Lookup!$A$19,"")&amp;IF(M390="Full(Match)","Full",M390))),Lookup!$A$28:$F$36,6,FALSE),0))</f>
        <v>0</v>
      </c>
      <c r="M390" s="4" t="str">
        <f>IF(A390&lt;&gt;"",IF(OR(A390="Travel",AND(IFERROR(VLOOKUP(A390,$A$21:$A$386,1,FALSE),0)&lt;&gt;0,F390&lt;&gt;"Yes")),"Full(Match)",IFERROR(VLOOKUP(A390,Lookup!$D$2:$E$20,2,FALSE),"Full")),"")</f>
        <v/>
      </c>
    </row>
    <row r="391" spans="1:15" x14ac:dyDescent="0.25">
      <c r="A391" s="120"/>
      <c r="B391" s="121"/>
      <c r="C391" s="121"/>
      <c r="D391" s="125"/>
      <c r="E391" s="124"/>
      <c r="F391" s="2"/>
      <c r="G391" s="128"/>
      <c r="H391" s="95" t="str">
        <f>IFERROR(IFERROR(VLOOKUP(D391,Lookup!$G$2:$H$7,2,FALSE),1)*IF(F391="Yes",VLOOKUP(A391,$A$21:$C$386,3,FALSE),VLOOKUP(A391,$A$21:$B$386,2,FALSE)),"")</f>
        <v/>
      </c>
      <c r="I391" s="95" t="str">
        <f t="shared" si="2"/>
        <v/>
      </c>
      <c r="J391" s="95" t="str">
        <f>IFERROR(IF(F391="Yes",0,I391*Lookup!$B$8),"")</f>
        <v/>
      </c>
      <c r="K391" s="95">
        <f>IF(IFERROR(VLOOKUP(A391,$A$2:$A$20,1,FALSE),0)&lt;&gt;0, IF(A391="Suballocation", G391, G391*IFERROR(VLOOKUP(D391,Lookup!$G$2:$H$7,2,FALSE),1)), SUM(I391:J391))</f>
        <v>0</v>
      </c>
      <c r="L391" s="95">
        <f>K391*(1+IFERROR(VLOOKUP(IF(OR(Funding!$H$5=Lookup!$A$20,Funding!$H$5=""),0,IF(AND(Lookup!$B$23&lt;&gt;1,M391="Full(Match)"),IF(D391="",Lookup!$G$2,D391)&amp;Expenses!M391,IF(Funding!$H$5=Lookup!$A$19,Lookup!$A$19,"")&amp;IF(M391="Full(Match)","Full",M391))),Lookup!$A$28:$F$36,6,FALSE),0))</f>
        <v>0</v>
      </c>
      <c r="M391" s="4" t="str">
        <f>IF(A391&lt;&gt;"",IF(OR(A391="Travel",AND(IFERROR(VLOOKUP(A391,$A$21:$A$386,1,FALSE),0)&lt;&gt;0,F391&lt;&gt;"Yes")),"Full(Match)",IFERROR(VLOOKUP(A391,Lookup!$D$2:$E$20,2,FALSE),"Full")),"")</f>
        <v/>
      </c>
    </row>
    <row r="392" spans="1:15" x14ac:dyDescent="0.25">
      <c r="A392" s="120"/>
      <c r="B392" s="121"/>
      <c r="C392" s="121"/>
      <c r="D392" s="125"/>
      <c r="E392" s="124"/>
      <c r="F392" s="2"/>
      <c r="G392" s="128"/>
      <c r="H392" s="95" t="str">
        <f>IFERROR(IFERROR(VLOOKUP(D392,Lookup!$G$2:$H$7,2,FALSE),1)*IF(F392="Yes",VLOOKUP(A392,$A$21:$C$386,3,FALSE),VLOOKUP(A392,$A$21:$B$386,2,FALSE)),"")</f>
        <v/>
      </c>
      <c r="I392" s="95" t="str">
        <f t="shared" si="2"/>
        <v/>
      </c>
      <c r="J392" s="95" t="str">
        <f>IFERROR(IF(F392="Yes",0,I392*Lookup!$B$8),"")</f>
        <v/>
      </c>
      <c r="K392" s="95">
        <f>IF(IFERROR(VLOOKUP(A392,$A$2:$A$20,1,FALSE),0)&lt;&gt;0, IF(A392="Suballocation", G392, G392*IFERROR(VLOOKUP(D392,Lookup!$G$2:$H$7,2,FALSE),1)), SUM(I392:J392))</f>
        <v>0</v>
      </c>
      <c r="L392" s="95">
        <f>K392*(1+IFERROR(VLOOKUP(IF(OR(Funding!$H$5=Lookup!$A$20,Funding!$H$5=""),0,IF(AND(Lookup!$B$23&lt;&gt;1,M392="Full(Match)"),IF(D392="",Lookup!$G$2,D392)&amp;Expenses!M392,IF(Funding!$H$5=Lookup!$A$19,Lookup!$A$19,"")&amp;IF(M392="Full(Match)","Full",M392))),Lookup!$A$28:$F$36,6,FALSE),0))</f>
        <v>0</v>
      </c>
      <c r="M392" s="4" t="str">
        <f>IF(A392&lt;&gt;"",IF(OR(A392="Travel",AND(IFERROR(VLOOKUP(A392,$A$21:$A$386,1,FALSE),0)&lt;&gt;0,F392&lt;&gt;"Yes")),"Full(Match)",IFERROR(VLOOKUP(A392,Lookup!$D$2:$E$20,2,FALSE),"Full")),"")</f>
        <v/>
      </c>
    </row>
    <row r="393" spans="1:15" x14ac:dyDescent="0.25">
      <c r="A393" s="120"/>
      <c r="B393" s="122"/>
      <c r="C393" s="122"/>
      <c r="D393" s="126"/>
      <c r="E393" s="127"/>
      <c r="F393" s="2"/>
      <c r="G393" s="128"/>
      <c r="H393" s="95" t="str">
        <f>IFERROR(IFERROR(VLOOKUP(D393,Lookup!$G$2:$H$7,2,FALSE),1)*IF(F393="Yes",VLOOKUP(A393,$A$21:$C$386,3,FALSE),VLOOKUP(A393,$A$21:$B$386,2,FALSE)),"")</f>
        <v/>
      </c>
      <c r="I393" s="95" t="str">
        <f t="shared" si="2"/>
        <v/>
      </c>
      <c r="J393" s="95" t="str">
        <f>IFERROR(IF(F393="Yes",0,I393*Lookup!$B$8),"")</f>
        <v/>
      </c>
      <c r="K393" s="95">
        <f>IF(IFERROR(VLOOKUP(A393,$A$2:$A$20,1,FALSE),0)&lt;&gt;0, IF(A393="Suballocation", G393, G393*IFERROR(VLOOKUP(D393,Lookup!$G$2:$H$7,2,FALSE),1)), SUM(I393:J393))</f>
        <v>0</v>
      </c>
      <c r="L393" s="95">
        <f>K393*(1+IFERROR(VLOOKUP(IF(OR(Funding!$H$5=Lookup!$A$20,Funding!$H$5=""),0,IF(AND(Lookup!$B$23&lt;&gt;1,M393="Full(Match)"),IF(D393="",Lookup!$G$2,D393)&amp;Expenses!M393,IF(Funding!$H$5=Lookup!$A$19,Lookup!$A$19,"")&amp;IF(M393="Full(Match)","Full",M393))),Lookup!$A$28:$F$36,6,FALSE),0))</f>
        <v>0</v>
      </c>
      <c r="M393" s="4" t="str">
        <f>IF(A393&lt;&gt;"",IF(OR(A393="Travel",AND(IFERROR(VLOOKUP(A393,$A$21:$A$386,1,FALSE),0)&lt;&gt;0,F393&lt;&gt;"Yes")),"Full(Match)",IFERROR(VLOOKUP(A393,Lookup!$D$2:$E$20,2,FALSE),"Full")),"")</f>
        <v/>
      </c>
    </row>
    <row r="394" spans="1:15" x14ac:dyDescent="0.25">
      <c r="A394" s="120"/>
      <c r="B394" s="122"/>
      <c r="C394" s="122"/>
      <c r="D394" s="126"/>
      <c r="E394" s="127"/>
      <c r="F394" s="2"/>
      <c r="G394" s="128"/>
      <c r="H394" s="95" t="str">
        <f>IFERROR(IFERROR(VLOOKUP(D394,Lookup!$G$2:$H$7,2,FALSE),1)*IF(F394="Yes",VLOOKUP(A394,$A$21:$C$386,3,FALSE),VLOOKUP(A394,$A$21:$B$386,2,FALSE)),"")</f>
        <v/>
      </c>
      <c r="I394" s="95" t="str">
        <f t="shared" si="2"/>
        <v/>
      </c>
      <c r="J394" s="95" t="str">
        <f>IFERROR(IF(F394="Yes",0,I394*Lookup!$B$8),"")</f>
        <v/>
      </c>
      <c r="K394" s="95">
        <f>IF(IFERROR(VLOOKUP(A394,$A$2:$A$20,1,FALSE),0)&lt;&gt;0, IF(A394="Suballocation", G394, G394*IFERROR(VLOOKUP(D394,Lookup!$G$2:$H$7,2,FALSE),1)), SUM(I394:J394))</f>
        <v>0</v>
      </c>
      <c r="L394" s="95">
        <f>K394*(1+IFERROR(VLOOKUP(IF(OR(Funding!$H$5=Lookup!$A$20,Funding!$H$5=""),0,IF(AND(Lookup!$B$23&lt;&gt;1,M394="Full(Match)"),IF(D394="",Lookup!$G$2,D394)&amp;Expenses!M394,IF(Funding!$H$5=Lookup!$A$19,Lookup!$A$19,"")&amp;IF(M394="Full(Match)","Full",M394))),Lookup!$A$28:$F$36,6,FALSE),0))</f>
        <v>0</v>
      </c>
      <c r="M394" s="4" t="str">
        <f>IF(A394&lt;&gt;"",IF(OR(A394="Travel",AND(IFERROR(VLOOKUP(A394,$A$21:$A$386,1,FALSE),0)&lt;&gt;0,F394&lt;&gt;"Yes")),"Full(Match)",IFERROR(VLOOKUP(A394,Lookup!$D$2:$E$20,2,FALSE),"Full")),"")</f>
        <v/>
      </c>
    </row>
    <row r="395" spans="1:15" x14ac:dyDescent="0.25">
      <c r="A395" s="120"/>
      <c r="B395" s="122"/>
      <c r="C395" s="122"/>
      <c r="D395" s="126"/>
      <c r="E395" s="127"/>
      <c r="F395" s="2"/>
      <c r="G395" s="128"/>
      <c r="H395" s="95" t="str">
        <f>IFERROR(IFERROR(VLOOKUP(D395,Lookup!$G$2:$H$7,2,FALSE),1)*IF(F395="Yes",VLOOKUP(A395,$A$21:$C$386,3,FALSE),VLOOKUP(A395,$A$21:$B$386,2,FALSE)),"")</f>
        <v/>
      </c>
      <c r="I395" s="95" t="str">
        <f t="shared" si="2"/>
        <v/>
      </c>
      <c r="J395" s="95" t="str">
        <f>IFERROR(IF(F395="Yes",0,I395*Lookup!$B$8),"")</f>
        <v/>
      </c>
      <c r="K395" s="95">
        <f>IF(IFERROR(VLOOKUP(A395,$A$2:$A$20,1,FALSE),0)&lt;&gt;0, IF(A395="Suballocation", G395, G395*IFERROR(VLOOKUP(D395,Lookup!$G$2:$H$7,2,FALSE),1)), SUM(I395:J395))</f>
        <v>0</v>
      </c>
      <c r="L395" s="95">
        <f>K395*(1+IFERROR(VLOOKUP(IF(OR(Funding!$H$5=Lookup!$A$20,Funding!$H$5=""),0,IF(AND(Lookup!$B$23&lt;&gt;1,M395="Full(Match)"),IF(D395="",Lookup!$G$2,D395)&amp;Expenses!M395,IF(Funding!$H$5=Lookup!$A$19,Lookup!$A$19,"")&amp;IF(M395="Full(Match)","Full",M395))),Lookup!$A$28:$F$36,6,FALSE),0))</f>
        <v>0</v>
      </c>
      <c r="M395" s="4" t="str">
        <f>IF(A395&lt;&gt;"",IF(OR(A395="Travel",AND(IFERROR(VLOOKUP(A395,$A$21:$A$386,1,FALSE),0)&lt;&gt;0,F395&lt;&gt;"Yes")),"Full(Match)",IFERROR(VLOOKUP(A395,Lookup!$D$2:$E$20,2,FALSE),"Full")),"")</f>
        <v/>
      </c>
    </row>
    <row r="396" spans="1:15" x14ac:dyDescent="0.25">
      <c r="A396" s="120"/>
      <c r="B396" s="122"/>
      <c r="C396" s="122"/>
      <c r="D396" s="126"/>
      <c r="E396" s="127"/>
      <c r="F396" s="2"/>
      <c r="G396" s="128"/>
      <c r="H396" s="95" t="str">
        <f>IFERROR(IFERROR(VLOOKUP(D396,Lookup!$G$2:$H$7,2,FALSE),1)*IF(F396="Yes",VLOOKUP(A396,$A$21:$C$386,3,FALSE),VLOOKUP(A396,$A$21:$B$386,2,FALSE)),"")</f>
        <v/>
      </c>
      <c r="I396" s="95" t="str">
        <f t="shared" si="2"/>
        <v/>
      </c>
      <c r="J396" s="95" t="str">
        <f>IFERROR(IF(F396="Yes",0,I396*Lookup!$B$8),"")</f>
        <v/>
      </c>
      <c r="K396" s="95">
        <f>IF(IFERROR(VLOOKUP(A396,$A$2:$A$20,1,FALSE),0)&lt;&gt;0, IF(A396="Suballocation", G396, G396*IFERROR(VLOOKUP(D396,Lookup!$G$2:$H$7,2,FALSE),1)), SUM(I396:J396))</f>
        <v>0</v>
      </c>
      <c r="L396" s="95">
        <f>K396*(1+IFERROR(VLOOKUP(IF(OR(Funding!$H$5=Lookup!$A$20,Funding!$H$5=""),0,IF(AND(Lookup!$B$23&lt;&gt;1,M396="Full(Match)"),IF(D396="",Lookup!$G$2,D396)&amp;Expenses!M396,IF(Funding!$H$5=Lookup!$A$19,Lookup!$A$19,"")&amp;IF(M396="Full(Match)","Full",M396))),Lookup!$A$28:$F$36,6,FALSE),0))</f>
        <v>0</v>
      </c>
      <c r="M396" s="4" t="str">
        <f>IF(A396&lt;&gt;"",IF(OR(A396="Travel",AND(IFERROR(VLOOKUP(A396,$A$21:$A$386,1,FALSE),0)&lt;&gt;0,F396&lt;&gt;"Yes")),"Full(Match)",IFERROR(VLOOKUP(A396,Lookup!$D$2:$E$20,2,FALSE),"Full")),"")</f>
        <v/>
      </c>
    </row>
    <row r="397" spans="1:15" x14ac:dyDescent="0.25">
      <c r="A397" s="120"/>
      <c r="B397" s="122"/>
      <c r="C397" s="122"/>
      <c r="D397" s="126"/>
      <c r="E397" s="127"/>
      <c r="F397" s="2"/>
      <c r="G397" s="128"/>
      <c r="H397" s="95" t="str">
        <f>IFERROR(IFERROR(VLOOKUP(D397,Lookup!$G$2:$H$7,2,FALSE),1)*IF(F397="Yes",VLOOKUP(A397,$A$21:$C$386,3,FALSE),VLOOKUP(A397,$A$21:$B$386,2,FALSE)),"")</f>
        <v/>
      </c>
      <c r="I397" s="95" t="str">
        <f t="shared" si="2"/>
        <v/>
      </c>
      <c r="J397" s="95" t="str">
        <f>IFERROR(IF(F397="Yes",0,I397*Lookup!$B$8),"")</f>
        <v/>
      </c>
      <c r="K397" s="95">
        <f>IF(IFERROR(VLOOKUP(A397,$A$2:$A$20,1,FALSE),0)&lt;&gt;0, IF(A397="Suballocation", G397, G397*IFERROR(VLOOKUP(D397,Lookup!$G$2:$H$7,2,FALSE),1)), SUM(I397:J397))</f>
        <v>0</v>
      </c>
      <c r="L397" s="95">
        <f>K397*(1+IFERROR(VLOOKUP(IF(OR(Funding!$H$5=Lookup!$A$20,Funding!$H$5=""),0,IF(AND(Lookup!$B$23&lt;&gt;1,M397="Full(Match)"),IF(D397="",Lookup!$G$2,D397)&amp;Expenses!M397,IF(Funding!$H$5=Lookup!$A$19,Lookup!$A$19,"")&amp;IF(M397="Full(Match)","Full",M397))),Lookup!$A$28:$F$36,6,FALSE),0))</f>
        <v>0</v>
      </c>
      <c r="M397" s="4" t="str">
        <f>IF(A397&lt;&gt;"",IF(OR(A397="Travel",AND(IFERROR(VLOOKUP(A397,$A$21:$A$386,1,FALSE),0)&lt;&gt;0,F397&lt;&gt;"Yes")),"Full(Match)",IFERROR(VLOOKUP(A397,Lookup!$D$2:$E$20,2,FALSE),"Full")),"")</f>
        <v/>
      </c>
    </row>
    <row r="398" spans="1:15" x14ac:dyDescent="0.25">
      <c r="A398" s="120"/>
      <c r="B398" s="122"/>
      <c r="C398" s="122"/>
      <c r="D398" s="126"/>
      <c r="E398" s="127"/>
      <c r="F398" s="2"/>
      <c r="G398" s="128"/>
      <c r="H398" s="95" t="str">
        <f>IFERROR(IFERROR(VLOOKUP(D398,Lookup!$G$2:$H$7,2,FALSE),1)*IF(F398="Yes",VLOOKUP(A398,$A$21:$C$386,3,FALSE),VLOOKUP(A398,$A$21:$B$386,2,FALSE)),"")</f>
        <v/>
      </c>
      <c r="I398" s="95" t="str">
        <f t="shared" si="2"/>
        <v/>
      </c>
      <c r="J398" s="95" t="str">
        <f>IFERROR(IF(F398="Yes",0,I398*Lookup!$B$8),"")</f>
        <v/>
      </c>
      <c r="K398" s="95">
        <f>IF(IFERROR(VLOOKUP(A398,$A$2:$A$20,1,FALSE),0)&lt;&gt;0, IF(A398="Suballocation", G398, G398*IFERROR(VLOOKUP(D398,Lookup!$G$2:$H$7,2,FALSE),1)), SUM(I398:J398))</f>
        <v>0</v>
      </c>
      <c r="L398" s="95">
        <f>K398*(1+IFERROR(VLOOKUP(IF(OR(Funding!$H$5=Lookup!$A$20,Funding!$H$5=""),0,IF(AND(Lookup!$B$23&lt;&gt;1,M398="Full(Match)"),IF(D398="",Lookup!$G$2,D398)&amp;Expenses!M398,IF(Funding!$H$5=Lookup!$A$19,Lookup!$A$19,"")&amp;IF(M398="Full(Match)","Full",M398))),Lookup!$A$28:$F$36,6,FALSE),0))</f>
        <v>0</v>
      </c>
      <c r="M398" s="4" t="str">
        <f>IF(A398&lt;&gt;"",IF(OR(A398="Travel",AND(IFERROR(VLOOKUP(A398,$A$21:$A$386,1,FALSE),0)&lt;&gt;0,F398&lt;&gt;"Yes")),"Full(Match)",IFERROR(VLOOKUP(A398,Lookup!$D$2:$E$20,2,FALSE),"Full")),"")</f>
        <v/>
      </c>
    </row>
    <row r="399" spans="1:15" x14ac:dyDescent="0.25">
      <c r="A399" s="120"/>
      <c r="B399" s="122"/>
      <c r="C399" s="122"/>
      <c r="D399" s="126"/>
      <c r="E399" s="127"/>
      <c r="F399" s="2"/>
      <c r="G399" s="128"/>
      <c r="H399" s="95" t="str">
        <f>IFERROR(IFERROR(VLOOKUP(D399,Lookup!$G$2:$H$7,2,FALSE),1)*IF(F399="Yes",VLOOKUP(A399,$A$21:$C$386,3,FALSE),VLOOKUP(A399,$A$21:$B$386,2,FALSE)),"")</f>
        <v/>
      </c>
      <c r="I399" s="95" t="str">
        <f t="shared" si="2"/>
        <v/>
      </c>
      <c r="J399" s="95" t="str">
        <f>IFERROR(IF(F399="Yes",0,I399*Lookup!$B$8),"")</f>
        <v/>
      </c>
      <c r="K399" s="95">
        <f>IF(IFERROR(VLOOKUP(A399,$A$2:$A$20,1,FALSE),0)&lt;&gt;0, IF(A399="Suballocation", G399, G399*IFERROR(VLOOKUP(D399,Lookup!$G$2:$H$7,2,FALSE),1)), SUM(I399:J399))</f>
        <v>0</v>
      </c>
      <c r="L399" s="95">
        <f>K399*(1+IFERROR(VLOOKUP(IF(OR(Funding!$H$5=Lookup!$A$20,Funding!$H$5=""),0,IF(AND(Lookup!$B$23&lt;&gt;1,M399="Full(Match)"),IF(D399="",Lookup!$G$2,D399)&amp;Expenses!M399,IF(Funding!$H$5=Lookup!$A$19,Lookup!$A$19,"")&amp;IF(M399="Full(Match)","Full",M399))),Lookup!$A$28:$F$36,6,FALSE),0))</f>
        <v>0</v>
      </c>
      <c r="M399" s="4" t="str">
        <f>IF(A399&lt;&gt;"",IF(OR(A399="Travel",AND(IFERROR(VLOOKUP(A399,$A$21:$A$386,1,FALSE),0)&lt;&gt;0,F399&lt;&gt;"Yes")),"Full(Match)",IFERROR(VLOOKUP(A399,Lookup!$D$2:$E$20,2,FALSE),"Full")),"")</f>
        <v/>
      </c>
    </row>
    <row r="400" spans="1:15" x14ac:dyDescent="0.25">
      <c r="A400" s="120"/>
      <c r="B400" s="121"/>
      <c r="C400" s="121"/>
      <c r="D400" s="125"/>
      <c r="E400" s="124"/>
      <c r="F400" s="3"/>
      <c r="G400" s="130"/>
      <c r="H400" s="95" t="str">
        <f>IFERROR(IFERROR(VLOOKUP(D400,Lookup!$G$2:$H$7,2,FALSE),1)*IF(F400="Yes",VLOOKUP(A400,$A$21:$C$386,3,FALSE),VLOOKUP(A400,$A$21:$B$386,2,FALSE)),"")</f>
        <v/>
      </c>
      <c r="I400" s="95" t="str">
        <f t="shared" si="2"/>
        <v/>
      </c>
      <c r="J400" s="95" t="str">
        <f>IFERROR(IF(F400="Yes",0,I400*Lookup!$B$8),"")</f>
        <v/>
      </c>
      <c r="K400" s="95">
        <f>IF(IFERROR(VLOOKUP(A400,$A$2:$A$20,1,FALSE),0)&lt;&gt;0, IF(A400="Suballocation", G400, G400*IFERROR(VLOOKUP(D400,Lookup!$G$2:$H$7,2,FALSE),1)), SUM(I400:J400))</f>
        <v>0</v>
      </c>
      <c r="L400" s="95">
        <f>K400*(1+IFERROR(VLOOKUP(IF(OR(Funding!$H$5=Lookup!$A$20,Funding!$H$5=""),0,IF(AND(Lookup!$B$23&lt;&gt;1,M400="Full(Match)"),IF(D400="",Lookup!$G$2,D400)&amp;Expenses!M400,IF(Funding!$H$5=Lookup!$A$19,Lookup!$A$19,"")&amp;IF(M400="Full(Match)","Full",M400))),Lookup!$A$28:$F$36,6,FALSE),0))</f>
        <v>0</v>
      </c>
      <c r="M400" s="4" t="str">
        <f>IF(A400&lt;&gt;"",IF(OR(A400="Travel",AND(IFERROR(VLOOKUP(A400,$A$21:$A$386,1,FALSE),0)&lt;&gt;0,F400&lt;&gt;"Yes")),"Full(Match)",IFERROR(VLOOKUP(A400,Lookup!$D$2:$E$20,2,FALSE),"Full")),"")</f>
        <v/>
      </c>
    </row>
    <row r="401" spans="1:13" x14ac:dyDescent="0.25">
      <c r="A401" s="120"/>
      <c r="B401" s="121"/>
      <c r="C401" s="121"/>
      <c r="D401" s="125"/>
      <c r="E401" s="124"/>
      <c r="F401" s="3"/>
      <c r="G401" s="130"/>
      <c r="H401" s="95" t="str">
        <f>IFERROR(IFERROR(VLOOKUP(D401,Lookup!$G$2:$H$7,2,FALSE),1)*IF(F401="Yes",VLOOKUP(A401,$A$21:$C$386,3,FALSE),VLOOKUP(A401,$A$21:$B$386,2,FALSE)),"")</f>
        <v/>
      </c>
      <c r="I401" s="95" t="str">
        <f t="shared" si="2"/>
        <v/>
      </c>
      <c r="J401" s="95" t="str">
        <f>IFERROR(IF(F401="Yes",0,I401*Lookup!$B$8),"")</f>
        <v/>
      </c>
      <c r="K401" s="95">
        <f>IF(IFERROR(VLOOKUP(A401,$A$2:$A$20,1,FALSE),0)&lt;&gt;0, IF(A401="Suballocation", G401, G401*IFERROR(VLOOKUP(D401,Lookup!$G$2:$H$7,2,FALSE),1)), SUM(I401:J401))</f>
        <v>0</v>
      </c>
      <c r="L401" s="95">
        <f>K401*(1+IFERROR(VLOOKUP(IF(OR(Funding!$H$5=Lookup!$A$20,Funding!$H$5=""),0,IF(AND(Lookup!$B$23&lt;&gt;1,M401="Full(Match)"),IF(D401="",Lookup!$G$2,D401)&amp;Expenses!M401,IF(Funding!$H$5=Lookup!$A$19,Lookup!$A$19,"")&amp;IF(M401="Full(Match)","Full",M401))),Lookup!$A$28:$F$36,6,FALSE),0))</f>
        <v>0</v>
      </c>
      <c r="M401" s="4" t="str">
        <f>IF(A401&lt;&gt;"",IF(OR(A401="Travel",AND(IFERROR(VLOOKUP(A401,$A$21:$A$386,1,FALSE),0)&lt;&gt;0,F401&lt;&gt;"Yes")),"Full(Match)",IFERROR(VLOOKUP(A401,Lookup!$D$2:$E$20,2,FALSE),"Full")),"")</f>
        <v/>
      </c>
    </row>
    <row r="402" spans="1:13" x14ac:dyDescent="0.25">
      <c r="A402" s="120"/>
      <c r="B402" s="121"/>
      <c r="C402" s="121"/>
      <c r="D402" s="125"/>
      <c r="E402" s="124"/>
      <c r="F402" s="3"/>
      <c r="G402" s="130"/>
      <c r="H402" s="95" t="str">
        <f>IFERROR(IFERROR(VLOOKUP(D402,Lookup!$G$2:$H$7,2,FALSE),1)*IF(F402="Yes",VLOOKUP(A402,$A$21:$C$386,3,FALSE),VLOOKUP(A402,$A$21:$B$386,2,FALSE)),"")</f>
        <v/>
      </c>
      <c r="I402" s="95" t="str">
        <f t="shared" si="2"/>
        <v/>
      </c>
      <c r="J402" s="95" t="str">
        <f>IFERROR(IF(F402="Yes",0,I402*Lookup!$B$8),"")</f>
        <v/>
      </c>
      <c r="K402" s="95">
        <f>IF(IFERROR(VLOOKUP(A402,$A$2:$A$20,1,FALSE),0)&lt;&gt;0, IF(A402="Suballocation", G402, G402*IFERROR(VLOOKUP(D402,Lookup!$G$2:$H$7,2,FALSE),1)), SUM(I402:J402))</f>
        <v>0</v>
      </c>
      <c r="L402" s="95">
        <f>K402*(1+IFERROR(VLOOKUP(IF(OR(Funding!$H$5=Lookup!$A$20,Funding!$H$5=""),0,IF(AND(Lookup!$B$23&lt;&gt;1,M402="Full(Match)"),IF(D402="",Lookup!$G$2,D402)&amp;Expenses!M402,IF(Funding!$H$5=Lookup!$A$19,Lookup!$A$19,"")&amp;IF(M402="Full(Match)","Full",M402))),Lookup!$A$28:$F$36,6,FALSE),0))</f>
        <v>0</v>
      </c>
      <c r="M402" s="4" t="str">
        <f>IF(A402&lt;&gt;"",IF(OR(A402="Travel",AND(IFERROR(VLOOKUP(A402,$A$21:$A$386,1,FALSE),0)&lt;&gt;0,F402&lt;&gt;"Yes")),"Full(Match)",IFERROR(VLOOKUP(A402,Lookup!$D$2:$E$20,2,FALSE),"Full")),"")</f>
        <v/>
      </c>
    </row>
    <row r="403" spans="1:13" x14ac:dyDescent="0.25">
      <c r="A403" s="120"/>
      <c r="B403" s="121"/>
      <c r="C403" s="121"/>
      <c r="D403" s="125"/>
      <c r="E403" s="124"/>
      <c r="F403" s="3"/>
      <c r="G403" s="130"/>
      <c r="H403" s="95" t="str">
        <f>IFERROR(IFERROR(VLOOKUP(D403,Lookup!$G$2:$H$7,2,FALSE),1)*IF(F403="Yes",VLOOKUP(A403,$A$21:$C$386,3,FALSE),VLOOKUP(A403,$A$21:$B$386,2,FALSE)),"")</f>
        <v/>
      </c>
      <c r="I403" s="95" t="str">
        <f t="shared" si="2"/>
        <v/>
      </c>
      <c r="J403" s="95" t="str">
        <f>IFERROR(IF(F403="Yes",0,I403*Lookup!$B$8),"")</f>
        <v/>
      </c>
      <c r="K403" s="95">
        <f>IF(IFERROR(VLOOKUP(A403,$A$2:$A$20,1,FALSE),0)&lt;&gt;0, IF(A403="Suballocation", G403, G403*IFERROR(VLOOKUP(D403,Lookup!$G$2:$H$7,2,FALSE),1)), SUM(I403:J403))</f>
        <v>0</v>
      </c>
      <c r="L403" s="95">
        <f>K403*(1+IFERROR(VLOOKUP(IF(OR(Funding!$H$5=Lookup!$A$20,Funding!$H$5=""),0,IF(AND(Lookup!$B$23&lt;&gt;1,M403="Full(Match)"),IF(D403="",Lookup!$G$2,D403)&amp;Expenses!M403,IF(Funding!$H$5=Lookup!$A$19,Lookup!$A$19,"")&amp;IF(M403="Full(Match)","Full",M403))),Lookup!$A$28:$F$36,6,FALSE),0))</f>
        <v>0</v>
      </c>
      <c r="M403" s="4" t="str">
        <f>IF(A403&lt;&gt;"",IF(OR(A403="Travel",AND(IFERROR(VLOOKUP(A403,$A$21:$A$386,1,FALSE),0)&lt;&gt;0,F403&lt;&gt;"Yes")),"Full(Match)",IFERROR(VLOOKUP(A403,Lookup!$D$2:$E$20,2,FALSE),"Full")),"")</f>
        <v/>
      </c>
    </row>
    <row r="404" spans="1:13" x14ac:dyDescent="0.25">
      <c r="A404" s="120"/>
      <c r="B404" s="121"/>
      <c r="C404" s="121"/>
      <c r="D404" s="125"/>
      <c r="E404" s="124"/>
      <c r="F404" s="3"/>
      <c r="G404" s="130"/>
      <c r="H404" s="95" t="str">
        <f>IFERROR(IFERROR(VLOOKUP(D404,Lookup!$G$2:$H$7,2,FALSE),1)*IF(F404="Yes",VLOOKUP(A404,$A$21:$C$386,3,FALSE),VLOOKUP(A404,$A$21:$B$386,2,FALSE)),"")</f>
        <v/>
      </c>
      <c r="I404" s="95" t="str">
        <f t="shared" si="2"/>
        <v/>
      </c>
      <c r="J404" s="95" t="str">
        <f>IFERROR(IF(F404="Yes",0,I404*Lookup!$B$8),"")</f>
        <v/>
      </c>
      <c r="K404" s="95">
        <f>IF(IFERROR(VLOOKUP(A404,$A$2:$A$20,1,FALSE),0)&lt;&gt;0, IF(A404="Suballocation", G404, G404*IFERROR(VLOOKUP(D404,Lookup!$G$2:$H$7,2,FALSE),1)), SUM(I404:J404))</f>
        <v>0</v>
      </c>
      <c r="L404" s="95">
        <f>K404*(1+IFERROR(VLOOKUP(IF(OR(Funding!$H$5=Lookup!$A$20,Funding!$H$5=""),0,IF(AND(Lookup!$B$23&lt;&gt;1,M404="Full(Match)"),IF(D404="",Lookup!$G$2,D404)&amp;Expenses!M404,IF(Funding!$H$5=Lookup!$A$19,Lookup!$A$19,"")&amp;IF(M404="Full(Match)","Full",M404))),Lookup!$A$28:$F$36,6,FALSE),0))</f>
        <v>0</v>
      </c>
      <c r="M404" s="4" t="str">
        <f>IF(A404&lt;&gt;"",IF(OR(A404="Travel",AND(IFERROR(VLOOKUP(A404,$A$21:$A$386,1,FALSE),0)&lt;&gt;0,F404&lt;&gt;"Yes")),"Full(Match)",IFERROR(VLOOKUP(A404,Lookup!$D$2:$E$20,2,FALSE),"Full")),"")</f>
        <v/>
      </c>
    </row>
    <row r="405" spans="1:13" x14ac:dyDescent="0.25">
      <c r="A405" s="120"/>
      <c r="B405" s="121"/>
      <c r="C405" s="121"/>
      <c r="D405" s="125"/>
      <c r="E405" s="124"/>
      <c r="F405" s="3"/>
      <c r="G405" s="130"/>
      <c r="H405" s="95" t="str">
        <f>IFERROR(IFERROR(VLOOKUP(D405,Lookup!$G$2:$H$7,2,FALSE),1)*IF(F405="Yes",VLOOKUP(A405,$A$21:$C$386,3,FALSE),VLOOKUP(A405,$A$21:$B$386,2,FALSE)),"")</f>
        <v/>
      </c>
      <c r="I405" s="95" t="str">
        <f t="shared" si="2"/>
        <v/>
      </c>
      <c r="J405" s="95" t="str">
        <f>IFERROR(IF(F405="Yes",0,I405*Lookup!$B$8),"")</f>
        <v/>
      </c>
      <c r="K405" s="95">
        <f>IF(IFERROR(VLOOKUP(A405,$A$2:$A$20,1,FALSE),0)&lt;&gt;0, IF(A405="Suballocation", G405, G405*IFERROR(VLOOKUP(D405,Lookup!$G$2:$H$7,2,FALSE),1)), SUM(I405:J405))</f>
        <v>0</v>
      </c>
      <c r="L405" s="95">
        <f>K405*(1+IFERROR(VLOOKUP(IF(OR(Funding!$H$5=Lookup!$A$20,Funding!$H$5=""),0,IF(AND(Lookup!$B$23&lt;&gt;1,M405="Full(Match)"),IF(D405="",Lookup!$G$2,D405)&amp;Expenses!M405,IF(Funding!$H$5=Lookup!$A$19,Lookup!$A$19,"")&amp;IF(M405="Full(Match)","Full",M405))),Lookup!$A$28:$F$36,6,FALSE),0))</f>
        <v>0</v>
      </c>
      <c r="M405" s="4" t="str">
        <f>IF(A405&lt;&gt;"",IF(OR(A405="Travel",AND(IFERROR(VLOOKUP(A405,$A$21:$A$386,1,FALSE),0)&lt;&gt;0,F405&lt;&gt;"Yes")),"Full(Match)",IFERROR(VLOOKUP(A405,Lookup!$D$2:$E$20,2,FALSE),"Full")),"")</f>
        <v/>
      </c>
    </row>
    <row r="406" spans="1:13" x14ac:dyDescent="0.25">
      <c r="A406" s="123"/>
      <c r="B406" s="121"/>
      <c r="C406" s="121"/>
      <c r="D406" s="125"/>
      <c r="E406" s="124"/>
      <c r="F406" s="3"/>
      <c r="G406" s="130"/>
      <c r="H406" s="95" t="str">
        <f>IFERROR(IFERROR(VLOOKUP(D406,Lookup!$G$2:$H$7,2,FALSE),1)*IF(F406="Yes",VLOOKUP(A406,$A$21:$C$386,3,FALSE),VLOOKUP(A406,$A$21:$B$386,2,FALSE)),"")</f>
        <v/>
      </c>
      <c r="I406" s="95" t="str">
        <f t="shared" si="2"/>
        <v/>
      </c>
      <c r="J406" s="95" t="str">
        <f>IFERROR(IF(F406="Yes",0,I406*Lookup!$B$8),"")</f>
        <v/>
      </c>
      <c r="K406" s="95">
        <f>IF(IFERROR(VLOOKUP(A406,$A$2:$A$20,1,FALSE),0)&lt;&gt;0, IF(A406="Suballocation", G406, G406*IFERROR(VLOOKUP(D406,Lookup!$G$2:$H$7,2,FALSE),1)), SUM(I406:J406))</f>
        <v>0</v>
      </c>
      <c r="L406" s="95">
        <f>K406*(1+IFERROR(VLOOKUP(IF(OR(Funding!$H$5=Lookup!$A$20,Funding!$H$5=""),0,IF(AND(Lookup!$B$23&lt;&gt;1,M406="Full(Match)"),IF(D406="",Lookup!$G$2,D406)&amp;Expenses!M406,IF(Funding!$H$5=Lookup!$A$19,Lookup!$A$19,"")&amp;IF(M406="Full(Match)","Full",M406))),Lookup!$A$28:$F$36,6,FALSE),0))</f>
        <v>0</v>
      </c>
      <c r="M406" s="4" t="str">
        <f>IF(A406&lt;&gt;"",IF(OR(A406="Travel",AND(IFERROR(VLOOKUP(A406,$A$21:$A$386,1,FALSE),0)&lt;&gt;0,F406&lt;&gt;"Yes")),"Full(Match)",IFERROR(VLOOKUP(A406,Lookup!$D$2:$E$20,2,FALSE),"Full")),"")</f>
        <v/>
      </c>
    </row>
    <row r="407" spans="1:13" x14ac:dyDescent="0.25">
      <c r="A407" s="123"/>
      <c r="B407" s="121"/>
      <c r="C407" s="121"/>
      <c r="D407" s="125"/>
      <c r="E407" s="124"/>
      <c r="F407" s="3"/>
      <c r="G407" s="130"/>
      <c r="H407" s="95" t="str">
        <f>IFERROR(IFERROR(VLOOKUP(D407,Lookup!$G$2:$H$7,2,FALSE),1)*IF(F407="Yes",VLOOKUP(A407,$A$21:$C$386,3,FALSE),VLOOKUP(A407,$A$21:$B$386,2,FALSE)),"")</f>
        <v/>
      </c>
      <c r="I407" s="95" t="str">
        <f t="shared" si="2"/>
        <v/>
      </c>
      <c r="J407" s="95" t="str">
        <f>IFERROR(IF(F407="Yes",0,I407*Lookup!$B$8),"")</f>
        <v/>
      </c>
      <c r="K407" s="95">
        <f>IF(IFERROR(VLOOKUP(A407,$A$2:$A$20,1,FALSE),0)&lt;&gt;0, IF(A407="Suballocation", G407, G407*IFERROR(VLOOKUP(D407,Lookup!$G$2:$H$7,2,FALSE),1)), SUM(I407:J407))</f>
        <v>0</v>
      </c>
      <c r="L407" s="95">
        <f>K407*(1+IFERROR(VLOOKUP(IF(OR(Funding!$H$5=Lookup!$A$20,Funding!$H$5=""),0,IF(AND(Lookup!$B$23&lt;&gt;1,M407="Full(Match)"),IF(D407="",Lookup!$G$2,D407)&amp;Expenses!M407,IF(Funding!$H$5=Lookup!$A$19,Lookup!$A$19,"")&amp;IF(M407="Full(Match)","Full",M407))),Lookup!$A$28:$F$36,6,FALSE),0))</f>
        <v>0</v>
      </c>
      <c r="M407" s="4" t="str">
        <f>IF(A407&lt;&gt;"",IF(OR(A407="Travel",AND(IFERROR(VLOOKUP(A407,$A$21:$A$386,1,FALSE),0)&lt;&gt;0,F407&lt;&gt;"Yes")),"Full(Match)",IFERROR(VLOOKUP(A407,Lookup!$D$2:$E$20,2,FALSE),"Full")),"")</f>
        <v/>
      </c>
    </row>
    <row r="408" spans="1:13" x14ac:dyDescent="0.25">
      <c r="A408" s="123"/>
      <c r="B408" s="121"/>
      <c r="C408" s="121"/>
      <c r="D408" s="125"/>
      <c r="E408" s="124"/>
      <c r="F408" s="3"/>
      <c r="G408" s="130"/>
      <c r="H408" s="95" t="str">
        <f>IFERROR(IFERROR(VLOOKUP(D408,Lookup!$G$2:$H$7,2,FALSE),1)*IF(F408="Yes",VLOOKUP(A408,$A$21:$C$386,3,FALSE),VLOOKUP(A408,$A$21:$B$386,2,FALSE)),"")</f>
        <v/>
      </c>
      <c r="I408" s="95" t="str">
        <f t="shared" si="2"/>
        <v/>
      </c>
      <c r="J408" s="95" t="str">
        <f>IFERROR(IF(F408="Yes",0,I408*Lookup!$B$8),"")</f>
        <v/>
      </c>
      <c r="K408" s="95">
        <f>IF(IFERROR(VLOOKUP(A408,$A$2:$A$20,1,FALSE),0)&lt;&gt;0, IF(A408="Suballocation", G408, G408*IFERROR(VLOOKUP(D408,Lookup!$G$2:$H$7,2,FALSE),1)), SUM(I408:J408))</f>
        <v>0</v>
      </c>
      <c r="L408" s="95">
        <f>K408*(1+IFERROR(VLOOKUP(IF(OR(Funding!$H$5=Lookup!$A$20,Funding!$H$5=""),0,IF(AND(Lookup!$B$23&lt;&gt;1,M408="Full(Match)"),IF(D408="",Lookup!$G$2,D408)&amp;Expenses!M408,IF(Funding!$H$5=Lookup!$A$19,Lookup!$A$19,"")&amp;IF(M408="Full(Match)","Full",M408))),Lookup!$A$28:$F$36,6,FALSE),0))</f>
        <v>0</v>
      </c>
      <c r="M408" s="4" t="str">
        <f>IF(A408&lt;&gt;"",IF(OR(A408="Travel",AND(IFERROR(VLOOKUP(A408,$A$21:$A$386,1,FALSE),0)&lt;&gt;0,F408&lt;&gt;"Yes")),"Full(Match)",IFERROR(VLOOKUP(A408,Lookup!$D$2:$E$20,2,FALSE),"Full")),"")</f>
        <v/>
      </c>
    </row>
    <row r="409" spans="1:13" x14ac:dyDescent="0.25">
      <c r="A409" s="123"/>
      <c r="B409" s="121"/>
      <c r="C409" s="121"/>
      <c r="D409" s="125"/>
      <c r="E409" s="124"/>
      <c r="F409" s="3"/>
      <c r="G409" s="130"/>
      <c r="H409" s="95" t="str">
        <f>IFERROR(IFERROR(VLOOKUP(D409,Lookup!$G$2:$H$7,2,FALSE),1)*IF(F409="Yes",VLOOKUP(A409,$A$21:$C$386,3,FALSE),VLOOKUP(A409,$A$21:$B$386,2,FALSE)),"")</f>
        <v/>
      </c>
      <c r="I409" s="95" t="str">
        <f t="shared" si="2"/>
        <v/>
      </c>
      <c r="J409" s="95" t="str">
        <f>IFERROR(IF(F409="Yes",0,I409*Lookup!$B$8),"")</f>
        <v/>
      </c>
      <c r="K409" s="95">
        <f>IF(IFERROR(VLOOKUP(A409,$A$2:$A$20,1,FALSE),0)&lt;&gt;0, IF(A409="Suballocation", G409, G409*IFERROR(VLOOKUP(D409,Lookup!$G$2:$H$7,2,FALSE),1)), SUM(I409:J409))</f>
        <v>0</v>
      </c>
      <c r="L409" s="95">
        <f>K409*(1+IFERROR(VLOOKUP(IF(OR(Funding!$H$5=Lookup!$A$20,Funding!$H$5=""),0,IF(AND(Lookup!$B$23&lt;&gt;1,M409="Full(Match)"),IF(D409="",Lookup!$G$2,D409)&amp;Expenses!M409,IF(Funding!$H$5=Lookup!$A$19,Lookup!$A$19,"")&amp;IF(M409="Full(Match)","Full",M409))),Lookup!$A$28:$F$36,6,FALSE),0))</f>
        <v>0</v>
      </c>
      <c r="M409" s="4" t="str">
        <f>IF(A409&lt;&gt;"",IF(OR(A409="Travel",AND(IFERROR(VLOOKUP(A409,$A$21:$A$386,1,FALSE),0)&lt;&gt;0,F409&lt;&gt;"Yes")),"Full(Match)",IFERROR(VLOOKUP(A409,Lookup!$D$2:$E$20,2,FALSE),"Full")),"")</f>
        <v/>
      </c>
    </row>
    <row r="410" spans="1:13" x14ac:dyDescent="0.25">
      <c r="A410" s="123"/>
      <c r="B410" s="121"/>
      <c r="C410" s="121"/>
      <c r="D410" s="125"/>
      <c r="E410" s="124"/>
      <c r="F410" s="3"/>
      <c r="G410" s="130"/>
      <c r="H410" s="95" t="str">
        <f>IFERROR(IFERROR(VLOOKUP(D410,Lookup!$G$2:$H$7,2,FALSE),1)*IF(F410="Yes",VLOOKUP(A410,$A$21:$C$386,3,FALSE),VLOOKUP(A410,$A$21:$B$386,2,FALSE)),"")</f>
        <v/>
      </c>
      <c r="I410" s="95" t="str">
        <f t="shared" si="2"/>
        <v/>
      </c>
      <c r="J410" s="95" t="str">
        <f>IFERROR(IF(F410="Yes",0,I410*Lookup!$B$8),"")</f>
        <v/>
      </c>
      <c r="K410" s="95">
        <f>IF(IFERROR(VLOOKUP(A410,$A$2:$A$20,1,FALSE),0)&lt;&gt;0, IF(A410="Suballocation", G410, G410*IFERROR(VLOOKUP(D410,Lookup!$G$2:$H$7,2,FALSE),1)), SUM(I410:J410))</f>
        <v>0</v>
      </c>
      <c r="L410" s="95">
        <f>K410*(1+IFERROR(VLOOKUP(IF(OR(Funding!$H$5=Lookup!$A$20,Funding!$H$5=""),0,IF(AND(Lookup!$B$23&lt;&gt;1,M410="Full(Match)"),IF(D410="",Lookup!$G$2,D410)&amp;Expenses!M410,IF(Funding!$H$5=Lookup!$A$19,Lookup!$A$19,"")&amp;IF(M410="Full(Match)","Full",M410))),Lookup!$A$28:$F$36,6,FALSE),0))</f>
        <v>0</v>
      </c>
      <c r="M410" s="4" t="str">
        <f>IF(A410&lt;&gt;"",IF(OR(A410="Travel",AND(IFERROR(VLOOKUP(A410,$A$21:$A$386,1,FALSE),0)&lt;&gt;0,F410&lt;&gt;"Yes")),"Full(Match)",IFERROR(VLOOKUP(A410,Lookup!$D$2:$E$20,2,FALSE),"Full")),"")</f>
        <v/>
      </c>
    </row>
    <row r="411" spans="1:13" x14ac:dyDescent="0.25">
      <c r="A411" s="123"/>
      <c r="B411" s="121"/>
      <c r="C411" s="121"/>
      <c r="D411" s="125"/>
      <c r="E411" s="124"/>
      <c r="F411" s="3"/>
      <c r="G411" s="130"/>
      <c r="H411" s="95" t="str">
        <f>IFERROR(IFERROR(VLOOKUP(D411,Lookup!$G$2:$H$7,2,FALSE),1)*IF(F411="Yes",VLOOKUP(A411,$A$21:$C$386,3,FALSE),VLOOKUP(A411,$A$21:$B$386,2,FALSE)),"")</f>
        <v/>
      </c>
      <c r="I411" s="95" t="str">
        <f t="shared" si="2"/>
        <v/>
      </c>
      <c r="J411" s="95" t="str">
        <f>IFERROR(IF(F411="Yes",0,I411*Lookup!$B$8),"")</f>
        <v/>
      </c>
      <c r="K411" s="95">
        <f>IF(IFERROR(VLOOKUP(A411,$A$2:$A$20,1,FALSE),0)&lt;&gt;0, IF(A411="Suballocation", G411, G411*IFERROR(VLOOKUP(D411,Lookup!$G$2:$H$7,2,FALSE),1)), SUM(I411:J411))</f>
        <v>0</v>
      </c>
      <c r="L411" s="95">
        <f>K411*(1+IFERROR(VLOOKUP(IF(OR(Funding!$H$5=Lookup!$A$20,Funding!$H$5=""),0,IF(AND(Lookup!$B$23&lt;&gt;1,M411="Full(Match)"),IF(D411="",Lookup!$G$2,D411)&amp;Expenses!M411,IF(Funding!$H$5=Lookup!$A$19,Lookup!$A$19,"")&amp;IF(M411="Full(Match)","Full",M411))),Lookup!$A$28:$F$36,6,FALSE),0))</f>
        <v>0</v>
      </c>
      <c r="M411" s="4" t="str">
        <f>IF(A411&lt;&gt;"",IF(OR(A411="Travel",AND(IFERROR(VLOOKUP(A411,$A$21:$A$386,1,FALSE),0)&lt;&gt;0,F411&lt;&gt;"Yes")),"Full(Match)",IFERROR(VLOOKUP(A411,Lookup!$D$2:$E$20,2,FALSE),"Full")),"")</f>
        <v/>
      </c>
    </row>
    <row r="412" spans="1:13" x14ac:dyDescent="0.25">
      <c r="A412" s="123"/>
      <c r="B412" s="121"/>
      <c r="C412" s="121"/>
      <c r="D412" s="125"/>
      <c r="E412" s="124"/>
      <c r="F412" s="3"/>
      <c r="G412" s="130"/>
      <c r="H412" s="95" t="str">
        <f>IFERROR(IFERROR(VLOOKUP(D412,Lookup!$G$2:$H$7,2,FALSE),1)*IF(F412="Yes",VLOOKUP(A412,$A$21:$C$386,3,FALSE),VLOOKUP(A412,$A$21:$B$386,2,FALSE)),"")</f>
        <v/>
      </c>
      <c r="I412" s="95" t="str">
        <f t="shared" si="2"/>
        <v/>
      </c>
      <c r="J412" s="95" t="str">
        <f>IFERROR(IF(F412="Yes",0,I412*Lookup!$B$8),"")</f>
        <v/>
      </c>
      <c r="K412" s="95">
        <f>IF(IFERROR(VLOOKUP(A412,$A$2:$A$20,1,FALSE),0)&lt;&gt;0, IF(A412="Suballocation", G412, G412*IFERROR(VLOOKUP(D412,Lookup!$G$2:$H$7,2,FALSE),1)), SUM(I412:J412))</f>
        <v>0</v>
      </c>
      <c r="L412" s="95">
        <f>K412*(1+IFERROR(VLOOKUP(IF(OR(Funding!$H$5=Lookup!$A$20,Funding!$H$5=""),0,IF(AND(Lookup!$B$23&lt;&gt;1,M412="Full(Match)"),IF(D412="",Lookup!$G$2,D412)&amp;Expenses!M412,IF(Funding!$H$5=Lookup!$A$19,Lookup!$A$19,"")&amp;IF(M412="Full(Match)","Full",M412))),Lookup!$A$28:$F$36,6,FALSE),0))</f>
        <v>0</v>
      </c>
      <c r="M412" s="4" t="str">
        <f>IF(A412&lt;&gt;"",IF(OR(A412="Travel",AND(IFERROR(VLOOKUP(A412,$A$21:$A$386,1,FALSE),0)&lt;&gt;0,F412&lt;&gt;"Yes")),"Full(Match)",IFERROR(VLOOKUP(A412,Lookup!$D$2:$E$20,2,FALSE),"Full")),"")</f>
        <v/>
      </c>
    </row>
    <row r="413" spans="1:13" x14ac:dyDescent="0.25">
      <c r="A413" s="123"/>
      <c r="B413" s="121"/>
      <c r="C413" s="121"/>
      <c r="D413" s="125"/>
      <c r="E413" s="124"/>
      <c r="F413" s="3"/>
      <c r="G413" s="130"/>
      <c r="H413" s="95" t="str">
        <f>IFERROR(IFERROR(VLOOKUP(D413,Lookup!$G$2:$H$7,2,FALSE),1)*IF(F413="Yes",VLOOKUP(A413,$A$21:$C$386,3,FALSE),VLOOKUP(A413,$A$21:$B$386,2,FALSE)),"")</f>
        <v/>
      </c>
      <c r="I413" s="95" t="str">
        <f t="shared" si="2"/>
        <v/>
      </c>
      <c r="J413" s="95" t="str">
        <f>IFERROR(IF(F413="Yes",0,I413*Lookup!$B$8),"")</f>
        <v/>
      </c>
      <c r="K413" s="95">
        <f>IF(IFERROR(VLOOKUP(A413,$A$2:$A$20,1,FALSE),0)&lt;&gt;0, IF(A413="Suballocation", G413, G413*IFERROR(VLOOKUP(D413,Lookup!$G$2:$H$7,2,FALSE),1)), SUM(I413:J413))</f>
        <v>0</v>
      </c>
      <c r="L413" s="95">
        <f>K413*(1+IFERROR(VLOOKUP(IF(OR(Funding!$H$5=Lookup!$A$20,Funding!$H$5=""),0,IF(AND(Lookup!$B$23&lt;&gt;1,M413="Full(Match)"),IF(D413="",Lookup!$G$2,D413)&amp;Expenses!M413,IF(Funding!$H$5=Lookup!$A$19,Lookup!$A$19,"")&amp;IF(M413="Full(Match)","Full",M413))),Lookup!$A$28:$F$36,6,FALSE),0))</f>
        <v>0</v>
      </c>
      <c r="M413" s="4" t="str">
        <f>IF(A413&lt;&gt;"",IF(OR(A413="Travel",AND(IFERROR(VLOOKUP(A413,$A$21:$A$386,1,FALSE),0)&lt;&gt;0,F413&lt;&gt;"Yes")),"Full(Match)",IFERROR(VLOOKUP(A413,Lookup!$D$2:$E$20,2,FALSE),"Full")),"")</f>
        <v/>
      </c>
    </row>
    <row r="414" spans="1:13" x14ac:dyDescent="0.25">
      <c r="A414" s="123"/>
      <c r="B414" s="121"/>
      <c r="C414" s="121"/>
      <c r="D414" s="125"/>
      <c r="E414" s="124"/>
      <c r="F414" s="3"/>
      <c r="G414" s="130"/>
      <c r="H414" s="95" t="str">
        <f>IFERROR(IFERROR(VLOOKUP(D414,Lookup!$G$2:$H$7,2,FALSE),1)*IF(F414="Yes",VLOOKUP(A414,$A$21:$C$386,3,FALSE),VLOOKUP(A414,$A$21:$B$386,2,FALSE)),"")</f>
        <v/>
      </c>
      <c r="I414" s="95" t="str">
        <f t="shared" si="2"/>
        <v/>
      </c>
      <c r="J414" s="95" t="str">
        <f>IFERROR(IF(F414="Yes",0,I414*Lookup!$B$8),"")</f>
        <v/>
      </c>
      <c r="K414" s="95">
        <f>IF(IFERROR(VLOOKUP(A414,$A$2:$A$20,1,FALSE),0)&lt;&gt;0, IF(A414="Suballocation", G414, G414*IFERROR(VLOOKUP(D414,Lookup!$G$2:$H$7,2,FALSE),1)), SUM(I414:J414))</f>
        <v>0</v>
      </c>
      <c r="L414" s="95">
        <f>K414*(1+IFERROR(VLOOKUP(IF(OR(Funding!$H$5=Lookup!$A$20,Funding!$H$5=""),0,IF(AND(Lookup!$B$23&lt;&gt;1,M414="Full(Match)"),IF(D414="",Lookup!$G$2,D414)&amp;Expenses!M414,IF(Funding!$H$5=Lookup!$A$19,Lookup!$A$19,"")&amp;IF(M414="Full(Match)","Full",M414))),Lookup!$A$28:$F$36,6,FALSE),0))</f>
        <v>0</v>
      </c>
      <c r="M414" s="4" t="str">
        <f>IF(A414&lt;&gt;"",IF(OR(A414="Travel",AND(IFERROR(VLOOKUP(A414,$A$21:$A$386,1,FALSE),0)&lt;&gt;0,F414&lt;&gt;"Yes")),"Full(Match)",IFERROR(VLOOKUP(A414,Lookup!$D$2:$E$20,2,FALSE),"Full")),"")</f>
        <v/>
      </c>
    </row>
    <row r="415" spans="1:13" x14ac:dyDescent="0.25">
      <c r="A415" s="123"/>
      <c r="B415" s="121"/>
      <c r="C415" s="121"/>
      <c r="D415" s="125"/>
      <c r="E415" s="124"/>
      <c r="F415" s="3"/>
      <c r="G415" s="130"/>
      <c r="H415" s="95" t="str">
        <f>IFERROR(IFERROR(VLOOKUP(D415,Lookup!$G$2:$H$7,2,FALSE),1)*IF(F415="Yes",VLOOKUP(A415,$A$21:$C$386,3,FALSE),VLOOKUP(A415,$A$21:$B$386,2,FALSE)),"")</f>
        <v/>
      </c>
      <c r="I415" s="95" t="str">
        <f t="shared" si="2"/>
        <v/>
      </c>
      <c r="J415" s="95" t="str">
        <f>IFERROR(IF(F415="Yes",0,I415*Lookup!$B$8),"")</f>
        <v/>
      </c>
      <c r="K415" s="95">
        <f>IF(IFERROR(VLOOKUP(A415,$A$2:$A$20,1,FALSE),0)&lt;&gt;0, IF(A415="Suballocation", G415, G415*IFERROR(VLOOKUP(D415,Lookup!$G$2:$H$7,2,FALSE),1)), SUM(I415:J415))</f>
        <v>0</v>
      </c>
      <c r="L415" s="95">
        <f>K415*(1+IFERROR(VLOOKUP(IF(OR(Funding!$H$5=Lookup!$A$20,Funding!$H$5=""),0,IF(AND(Lookup!$B$23&lt;&gt;1,M415="Full(Match)"),IF(D415="",Lookup!$G$2,D415)&amp;Expenses!M415,IF(Funding!$H$5=Lookup!$A$19,Lookup!$A$19,"")&amp;IF(M415="Full(Match)","Full",M415))),Lookup!$A$28:$F$36,6,FALSE),0))</f>
        <v>0</v>
      </c>
      <c r="M415" s="4" t="str">
        <f>IF(A415&lt;&gt;"",IF(OR(A415="Travel",AND(IFERROR(VLOOKUP(A415,$A$21:$A$386,1,FALSE),0)&lt;&gt;0,F415&lt;&gt;"Yes")),"Full(Match)",IFERROR(VLOOKUP(A415,Lookup!$D$2:$E$20,2,FALSE),"Full")),"")</f>
        <v/>
      </c>
    </row>
    <row r="416" spans="1:13" x14ac:dyDescent="0.25">
      <c r="A416" s="123"/>
      <c r="B416" s="121"/>
      <c r="C416" s="121"/>
      <c r="D416" s="125"/>
      <c r="E416" s="124"/>
      <c r="F416" s="3"/>
      <c r="G416" s="130"/>
      <c r="H416" s="95" t="str">
        <f>IFERROR(IFERROR(VLOOKUP(D416,Lookup!$G$2:$H$7,2,FALSE),1)*IF(F416="Yes",VLOOKUP(A416,$A$21:$C$386,3,FALSE),VLOOKUP(A416,$A$21:$B$386,2,FALSE)),"")</f>
        <v/>
      </c>
      <c r="I416" s="95" t="str">
        <f t="shared" si="2"/>
        <v/>
      </c>
      <c r="J416" s="95" t="str">
        <f>IFERROR(IF(F416="Yes",0,I416*Lookup!$B$8),"")</f>
        <v/>
      </c>
      <c r="K416" s="95">
        <f>IF(IFERROR(VLOOKUP(A416,$A$2:$A$20,1,FALSE),0)&lt;&gt;0, IF(A416="Suballocation", G416, G416*IFERROR(VLOOKUP(D416,Lookup!$G$2:$H$7,2,FALSE),1)), SUM(I416:J416))</f>
        <v>0</v>
      </c>
      <c r="L416" s="95">
        <f>K416*(1+IFERROR(VLOOKUP(IF(OR(Funding!$H$5=Lookup!$A$20,Funding!$H$5=""),0,IF(AND(Lookup!$B$23&lt;&gt;1,M416="Full(Match)"),IF(D416="",Lookup!$G$2,D416)&amp;Expenses!M416,IF(Funding!$H$5=Lookup!$A$19,Lookup!$A$19,"")&amp;IF(M416="Full(Match)","Full",M416))),Lookup!$A$28:$F$36,6,FALSE),0))</f>
        <v>0</v>
      </c>
      <c r="M416" s="4" t="str">
        <f>IF(A416&lt;&gt;"",IF(OR(A416="Travel",AND(IFERROR(VLOOKUP(A416,$A$21:$A$386,1,FALSE),0)&lt;&gt;0,F416&lt;&gt;"Yes")),"Full(Match)",IFERROR(VLOOKUP(A416,Lookup!$D$2:$E$20,2,FALSE),"Full")),"")</f>
        <v/>
      </c>
    </row>
    <row r="417" spans="1:13" x14ac:dyDescent="0.25">
      <c r="A417" s="123"/>
      <c r="B417" s="121"/>
      <c r="C417" s="121"/>
      <c r="D417" s="125"/>
      <c r="E417" s="124"/>
      <c r="F417" s="3"/>
      <c r="G417" s="130"/>
      <c r="H417" s="95" t="str">
        <f>IFERROR(IFERROR(VLOOKUP(D417,Lookup!$G$2:$H$7,2,FALSE),1)*IF(F417="Yes",VLOOKUP(A417,$A$21:$C$386,3,FALSE),VLOOKUP(A417,$A$21:$B$386,2,FALSE)),"")</f>
        <v/>
      </c>
      <c r="I417" s="95" t="str">
        <f t="shared" si="2"/>
        <v/>
      </c>
      <c r="J417" s="95" t="str">
        <f>IFERROR(IF(F417="Yes",0,I417*Lookup!$B$8),"")</f>
        <v/>
      </c>
      <c r="K417" s="95">
        <f>IF(IFERROR(VLOOKUP(A417,$A$2:$A$20,1,FALSE),0)&lt;&gt;0, IF(A417="Suballocation", G417, G417*IFERROR(VLOOKUP(D417,Lookup!$G$2:$H$7,2,FALSE),1)), SUM(I417:J417))</f>
        <v>0</v>
      </c>
      <c r="L417" s="95">
        <f>K417*(1+IFERROR(VLOOKUP(IF(OR(Funding!$H$5=Lookup!$A$20,Funding!$H$5=""),0,IF(AND(Lookup!$B$23&lt;&gt;1,M417="Full(Match)"),IF(D417="",Lookup!$G$2,D417)&amp;Expenses!M417,IF(Funding!$H$5=Lookup!$A$19,Lookup!$A$19,"")&amp;IF(M417="Full(Match)","Full",M417))),Lookup!$A$28:$F$36,6,FALSE),0))</f>
        <v>0</v>
      </c>
      <c r="M417" s="4" t="str">
        <f>IF(A417&lt;&gt;"",IF(OR(A417="Travel",AND(IFERROR(VLOOKUP(A417,$A$21:$A$386,1,FALSE),0)&lt;&gt;0,F417&lt;&gt;"Yes")),"Full(Match)",IFERROR(VLOOKUP(A417,Lookup!$D$2:$E$20,2,FALSE),"Full")),"")</f>
        <v/>
      </c>
    </row>
    <row r="418" spans="1:13" x14ac:dyDescent="0.25">
      <c r="A418" s="120"/>
      <c r="B418" s="122"/>
      <c r="C418" s="122"/>
      <c r="D418" s="126"/>
      <c r="E418" s="127"/>
      <c r="F418" s="2"/>
      <c r="G418" s="128"/>
      <c r="H418" s="95" t="str">
        <f>IFERROR(IFERROR(VLOOKUP(D418,Lookup!$G$2:$H$7,2,FALSE),1)*IF(F418="Yes",VLOOKUP(A418,$A$21:$C$386,3,FALSE),VLOOKUP(A418,$A$21:$B$386,2,FALSE)),"")</f>
        <v/>
      </c>
      <c r="I418" s="95" t="str">
        <f t="shared" si="2"/>
        <v/>
      </c>
      <c r="J418" s="95" t="str">
        <f>IFERROR(IF(F418="Yes",0,I418*Lookup!$B$8),"")</f>
        <v/>
      </c>
      <c r="K418" s="95">
        <f>IF(IFERROR(VLOOKUP(A418,$A$2:$A$20,1,FALSE),0)&lt;&gt;0, IF(A418="Suballocation", G418, G418*IFERROR(VLOOKUP(D418,Lookup!$G$2:$H$7,2,FALSE),1)), SUM(I418:J418))</f>
        <v>0</v>
      </c>
      <c r="L418" s="95">
        <f>K418*(1+IFERROR(VLOOKUP(IF(OR(Funding!$H$5=Lookup!$A$20,Funding!$H$5=""),0,IF(AND(Lookup!$B$23&lt;&gt;1,M418="Full(Match)"),IF(D418="",Lookup!$G$2,D418)&amp;Expenses!M418,IF(Funding!$H$5=Lookup!$A$19,Lookup!$A$19,"")&amp;IF(M418="Full(Match)","Full",M418))),Lookup!$A$28:$F$36,6,FALSE),0))</f>
        <v>0</v>
      </c>
      <c r="M418" s="4" t="str">
        <f>IF(A418&lt;&gt;"",IF(OR(A418="Travel",AND(IFERROR(VLOOKUP(A418,$A$21:$A$386,1,FALSE),0)&lt;&gt;0,F418&lt;&gt;"Yes")),"Full(Match)",IFERROR(VLOOKUP(A418,Lookup!$D$2:$E$20,2,FALSE),"Full")),"")</f>
        <v/>
      </c>
    </row>
    <row r="419" spans="1:13" x14ac:dyDescent="0.25">
      <c r="A419" s="120"/>
      <c r="B419" s="121"/>
      <c r="C419" s="121"/>
      <c r="D419" s="125"/>
      <c r="E419" s="124"/>
      <c r="F419" s="3"/>
      <c r="G419" s="128"/>
      <c r="H419" s="95" t="str">
        <f>IFERROR(IFERROR(VLOOKUP(D419,Lookup!$G$2:$H$7,2,FALSE),1)*IF(F419="Yes",VLOOKUP(A419,$A$21:$C$386,3,FALSE),VLOOKUP(A419,$A$21:$B$386,2,FALSE)),"")</f>
        <v/>
      </c>
      <c r="I419" s="95" t="str">
        <f t="shared" si="2"/>
        <v/>
      </c>
      <c r="J419" s="95" t="str">
        <f>IFERROR(IF(F419="Yes",0,I419*Lookup!$B$8),"")</f>
        <v/>
      </c>
      <c r="K419" s="95">
        <f>IF(IFERROR(VLOOKUP(A419,$A$2:$A$20,1,FALSE),0)&lt;&gt;0, IF(A419="Suballocation", G419, G419*IFERROR(VLOOKUP(D419,Lookup!$G$2:$H$7,2,FALSE),1)), SUM(I419:J419))</f>
        <v>0</v>
      </c>
      <c r="L419" s="95">
        <f>K419*(1+IFERROR(VLOOKUP(IF(OR(Funding!$H$5=Lookup!$A$20,Funding!$H$5=""),0,IF(AND(Lookup!$B$23&lt;&gt;1,M419="Full(Match)"),IF(D419="",Lookup!$G$2,D419)&amp;Expenses!M419,IF(Funding!$H$5=Lookup!$A$19,Lookup!$A$19,"")&amp;IF(M419="Full(Match)","Full",M419))),Lookup!$A$28:$F$36,6,FALSE),0))</f>
        <v>0</v>
      </c>
      <c r="M419" s="4" t="str">
        <f>IF(A419&lt;&gt;"",IF(OR(A419="Travel",AND(IFERROR(VLOOKUP(A419,$A$21:$A$386,1,FALSE),0)&lt;&gt;0,F419&lt;&gt;"Yes")),"Full(Match)",IFERROR(VLOOKUP(A419,Lookup!$D$2:$E$20,2,FALSE),"Full")),"")</f>
        <v/>
      </c>
    </row>
    <row r="420" spans="1:13" x14ac:dyDescent="0.25">
      <c r="A420" s="120"/>
      <c r="B420" s="121"/>
      <c r="C420" s="121"/>
      <c r="D420" s="125"/>
      <c r="E420" s="124"/>
      <c r="G420" s="128"/>
      <c r="H420" s="95" t="str">
        <f>IFERROR(IFERROR(VLOOKUP(D420,Lookup!$G$2:$H$7,2,FALSE),1)*IF(F420="Yes",VLOOKUP(A420,$A$21:$C$386,3,FALSE),VLOOKUP(A420,$A$21:$B$386,2,FALSE)),"")</f>
        <v/>
      </c>
      <c r="I420" s="95" t="str">
        <f t="shared" ref="I420:I451" si="3">IFERROR(E420*H420,"")</f>
        <v/>
      </c>
      <c r="J420" s="95" t="str">
        <f>IFERROR(IF(F420="Yes",0,I420*Lookup!$B$8),"")</f>
        <v/>
      </c>
      <c r="K420" s="95">
        <f>IF(IFERROR(VLOOKUP(A420,$A$2:$A$20,1,FALSE),0)&lt;&gt;0, IF(A420="Suballocation", G420, G420*IFERROR(VLOOKUP(D420,Lookup!$G$2:$H$7,2,FALSE),1)), SUM(I420:J420))</f>
        <v>0</v>
      </c>
      <c r="L420" s="95">
        <f>K420*(1+IFERROR(VLOOKUP(IF(OR(Funding!$H$5=Lookup!$A$20,Funding!$H$5=""),0,IF(AND(Lookup!$B$23&lt;&gt;1,M420="Full(Match)"),IF(D420="",Lookup!$G$2,D420)&amp;Expenses!M420,IF(Funding!$H$5=Lookup!$A$19,Lookup!$A$19,"")&amp;IF(M420="Full(Match)","Full",M420))),Lookup!$A$28:$F$36,6,FALSE),0))</f>
        <v>0</v>
      </c>
      <c r="M420" s="4" t="str">
        <f>IF(A420&lt;&gt;"",IF(OR(A420="Travel",AND(IFERROR(VLOOKUP(A420,$A$21:$A$386,1,FALSE),0)&lt;&gt;0,F420&lt;&gt;"Yes")),"Full(Match)",IFERROR(VLOOKUP(A420,Lookup!$D$2:$E$20,2,FALSE),"Full")),"")</f>
        <v/>
      </c>
    </row>
    <row r="421" spans="1:13" x14ac:dyDescent="0.25">
      <c r="A421" s="120"/>
      <c r="B421" s="122"/>
      <c r="C421" s="122"/>
      <c r="D421" s="126"/>
      <c r="E421" s="127"/>
      <c r="F421" s="2"/>
      <c r="G421" s="128"/>
      <c r="H421" s="95" t="str">
        <f>IFERROR(IFERROR(VLOOKUP(D421,Lookup!$G$2:$H$7,2,FALSE),1)*IF(F421="Yes",VLOOKUP(A421,$A$21:$C$386,3,FALSE),VLOOKUP(A421,$A$21:$B$386,2,FALSE)),"")</f>
        <v/>
      </c>
      <c r="I421" s="95" t="str">
        <f t="shared" si="3"/>
        <v/>
      </c>
      <c r="J421" s="95" t="str">
        <f>IFERROR(IF(F421="Yes",0,I421*Lookup!$B$8),"")</f>
        <v/>
      </c>
      <c r="K421" s="95">
        <f>IF(IFERROR(VLOOKUP(A421,$A$2:$A$20,1,FALSE),0)&lt;&gt;0, IF(A421="Suballocation", G421, G421*IFERROR(VLOOKUP(D421,Lookup!$G$2:$H$7,2,FALSE),1)), SUM(I421:J421))</f>
        <v>0</v>
      </c>
      <c r="L421" s="95">
        <f>K421*(1+IFERROR(VLOOKUP(IF(OR(Funding!$H$5=Lookup!$A$20,Funding!$H$5=""),0,IF(AND(Lookup!$B$23&lt;&gt;1,M421="Full(Match)"),IF(D421="",Lookup!$G$2,D421)&amp;Expenses!M421,IF(Funding!$H$5=Lookup!$A$19,Lookup!$A$19,"")&amp;IF(M421="Full(Match)","Full",M421))),Lookup!$A$28:$F$36,6,FALSE),0))</f>
        <v>0</v>
      </c>
      <c r="M421" s="4" t="str">
        <f>IF(A421&lt;&gt;"",IF(OR(A421="Travel",AND(IFERROR(VLOOKUP(A421,$A$21:$A$386,1,FALSE),0)&lt;&gt;0,F421&lt;&gt;"Yes")),"Full(Match)",IFERROR(VLOOKUP(A421,Lookup!$D$2:$E$20,2,FALSE),"Full")),"")</f>
        <v/>
      </c>
    </row>
    <row r="422" spans="1:13" x14ac:dyDescent="0.25">
      <c r="A422" s="120"/>
      <c r="B422" s="122"/>
      <c r="C422" s="122"/>
      <c r="D422" s="126"/>
      <c r="E422" s="127"/>
      <c r="F422" s="2"/>
      <c r="G422" s="128"/>
      <c r="H422" s="95" t="str">
        <f>IFERROR(IFERROR(VLOOKUP(D422,Lookup!$G$2:$H$7,2,FALSE),1)*IF(F422="Yes",VLOOKUP(A422,$A$21:$C$386,3,FALSE),VLOOKUP(A422,$A$21:$B$386,2,FALSE)),"")</f>
        <v/>
      </c>
      <c r="I422" s="95" t="str">
        <f t="shared" si="3"/>
        <v/>
      </c>
      <c r="J422" s="95" t="str">
        <f>IFERROR(IF(F422="Yes",0,I422*Lookup!$B$8),"")</f>
        <v/>
      </c>
      <c r="K422" s="95">
        <f>IF(IFERROR(VLOOKUP(A422,$A$2:$A$20,1,FALSE),0)&lt;&gt;0, IF(A422="Suballocation", G422, G422*IFERROR(VLOOKUP(D422,Lookup!$G$2:$H$7,2,FALSE),1)), SUM(I422:J422))</f>
        <v>0</v>
      </c>
      <c r="L422" s="95">
        <f>K422*(1+IFERROR(VLOOKUP(IF(OR(Funding!$H$5=Lookup!$A$20,Funding!$H$5=""),0,IF(AND(Lookup!$B$23&lt;&gt;1,M422="Full(Match)"),IF(D422="",Lookup!$G$2,D422)&amp;Expenses!M422,IF(Funding!$H$5=Lookup!$A$19,Lookup!$A$19,"")&amp;IF(M422="Full(Match)","Full",M422))),Lookup!$A$28:$F$36,6,FALSE),0))</f>
        <v>0</v>
      </c>
      <c r="M422" s="4" t="str">
        <f>IF(A422&lt;&gt;"",IF(OR(A422="Travel",AND(IFERROR(VLOOKUP(A422,$A$21:$A$386,1,FALSE),0)&lt;&gt;0,F422&lt;&gt;"Yes")),"Full(Match)",IFERROR(VLOOKUP(A422,Lookup!$D$2:$E$20,2,FALSE),"Full")),"")</f>
        <v/>
      </c>
    </row>
    <row r="423" spans="1:13" x14ac:dyDescent="0.25">
      <c r="A423" s="120"/>
      <c r="B423" s="122"/>
      <c r="C423" s="122"/>
      <c r="D423" s="126"/>
      <c r="E423" s="127"/>
      <c r="F423" s="2"/>
      <c r="G423" s="128"/>
      <c r="H423" s="95" t="str">
        <f>IFERROR(IFERROR(VLOOKUP(D423,Lookup!$G$2:$H$7,2,FALSE),1)*IF(F423="Yes",VLOOKUP(A423,$A$21:$C$386,3,FALSE),VLOOKUP(A423,$A$21:$B$386,2,FALSE)),"")</f>
        <v/>
      </c>
      <c r="I423" s="95" t="str">
        <f t="shared" si="3"/>
        <v/>
      </c>
      <c r="J423" s="95" t="str">
        <f>IFERROR(IF(F423="Yes",0,I423*Lookup!$B$8),"")</f>
        <v/>
      </c>
      <c r="K423" s="95">
        <f>IF(IFERROR(VLOOKUP(A423,$A$2:$A$20,1,FALSE),0)&lt;&gt;0, IF(A423="Suballocation", G423, G423*IFERROR(VLOOKUP(D423,Lookup!$G$2:$H$7,2,FALSE),1)), SUM(I423:J423))</f>
        <v>0</v>
      </c>
      <c r="L423" s="95">
        <f>K423*(1+IFERROR(VLOOKUP(IF(OR(Funding!$H$5=Lookup!$A$20,Funding!$H$5=""),0,IF(AND(Lookup!$B$23&lt;&gt;1,M423="Full(Match)"),IF(D423="",Lookup!$G$2,D423)&amp;Expenses!M423,IF(Funding!$H$5=Lookup!$A$19,Lookup!$A$19,"")&amp;IF(M423="Full(Match)","Full",M423))),Lookup!$A$28:$F$36,6,FALSE),0))</f>
        <v>0</v>
      </c>
      <c r="M423" s="4" t="str">
        <f>IF(A423&lt;&gt;"",IF(OR(A423="Travel",AND(IFERROR(VLOOKUP(A423,$A$21:$A$386,1,FALSE),0)&lt;&gt;0,F423&lt;&gt;"Yes")),"Full(Match)",IFERROR(VLOOKUP(A423,Lookup!$D$2:$E$20,2,FALSE),"Full")),"")</f>
        <v/>
      </c>
    </row>
    <row r="424" spans="1:13" x14ac:dyDescent="0.25">
      <c r="A424" s="120"/>
      <c r="B424" s="122"/>
      <c r="C424" s="122"/>
      <c r="D424" s="126"/>
      <c r="E424" s="127"/>
      <c r="F424" s="2"/>
      <c r="G424" s="128"/>
      <c r="H424" s="95" t="str">
        <f>IFERROR(IFERROR(VLOOKUP(D424,Lookup!$G$2:$H$7,2,FALSE),1)*IF(F424="Yes",VLOOKUP(A424,$A$21:$C$386,3,FALSE),VLOOKUP(A424,$A$21:$B$386,2,FALSE)),"")</f>
        <v/>
      </c>
      <c r="I424" s="95" t="str">
        <f t="shared" si="3"/>
        <v/>
      </c>
      <c r="J424" s="95" t="str">
        <f>IFERROR(IF(F424="Yes",0,I424*Lookup!$B$8),"")</f>
        <v/>
      </c>
      <c r="K424" s="95">
        <f>IF(IFERROR(VLOOKUP(A424,$A$2:$A$20,1,FALSE),0)&lt;&gt;0, IF(A424="Suballocation", G424, G424*IFERROR(VLOOKUP(D424,Lookup!$G$2:$H$7,2,FALSE),1)), SUM(I424:J424))</f>
        <v>0</v>
      </c>
      <c r="L424" s="95">
        <f>K424*(1+IFERROR(VLOOKUP(IF(OR(Funding!$H$5=Lookup!$A$20,Funding!$H$5=""),0,IF(AND(Lookup!$B$23&lt;&gt;1,M424="Full(Match)"),IF(D424="",Lookup!$G$2,D424)&amp;Expenses!M424,IF(Funding!$H$5=Lookup!$A$19,Lookup!$A$19,"")&amp;IF(M424="Full(Match)","Full",M424))),Lookup!$A$28:$F$36,6,FALSE),0))</f>
        <v>0</v>
      </c>
      <c r="M424" s="4" t="str">
        <f>IF(A424&lt;&gt;"",IF(OR(A424="Travel",AND(IFERROR(VLOOKUP(A424,$A$21:$A$386,1,FALSE),0)&lt;&gt;0,F424&lt;&gt;"Yes")),"Full(Match)",IFERROR(VLOOKUP(A424,Lookup!$D$2:$E$20,2,FALSE),"Full")),"")</f>
        <v/>
      </c>
    </row>
    <row r="425" spans="1:13" x14ac:dyDescent="0.25">
      <c r="A425" s="120"/>
      <c r="B425" s="122"/>
      <c r="C425" s="122"/>
      <c r="D425" s="126"/>
      <c r="E425" s="127"/>
      <c r="F425" s="2"/>
      <c r="G425" s="128"/>
      <c r="H425" s="95" t="str">
        <f>IFERROR(IFERROR(VLOOKUP(D425,Lookup!$G$2:$H$7,2,FALSE),1)*IF(F425="Yes",VLOOKUP(A425,$A$21:$C$386,3,FALSE),VLOOKUP(A425,$A$21:$B$386,2,FALSE)),"")</f>
        <v/>
      </c>
      <c r="I425" s="95" t="str">
        <f t="shared" si="3"/>
        <v/>
      </c>
      <c r="J425" s="95" t="str">
        <f>IFERROR(IF(F425="Yes",0,I425*Lookup!$B$8),"")</f>
        <v/>
      </c>
      <c r="K425" s="95">
        <f>IF(IFERROR(VLOOKUP(A425,$A$2:$A$20,1,FALSE),0)&lt;&gt;0, IF(A425="Suballocation", G425, G425*IFERROR(VLOOKUP(D425,Lookup!$G$2:$H$7,2,FALSE),1)), SUM(I425:J425))</f>
        <v>0</v>
      </c>
      <c r="L425" s="95">
        <f>K425*(1+IFERROR(VLOOKUP(IF(OR(Funding!$H$5=Lookup!$A$20,Funding!$H$5=""),0,IF(AND(Lookup!$B$23&lt;&gt;1,M425="Full(Match)"),IF(D425="",Lookup!$G$2,D425)&amp;Expenses!M425,IF(Funding!$H$5=Lookup!$A$19,Lookup!$A$19,"")&amp;IF(M425="Full(Match)","Full",M425))),Lookup!$A$28:$F$36,6,FALSE),0))</f>
        <v>0</v>
      </c>
      <c r="M425" s="4" t="str">
        <f>IF(A425&lt;&gt;"",IF(OR(A425="Travel",AND(IFERROR(VLOOKUP(A425,$A$21:$A$386,1,FALSE),0)&lt;&gt;0,F425&lt;&gt;"Yes")),"Full(Match)",IFERROR(VLOOKUP(A425,Lookup!$D$2:$E$20,2,FALSE),"Full")),"")</f>
        <v/>
      </c>
    </row>
    <row r="426" spans="1:13" x14ac:dyDescent="0.25">
      <c r="A426" s="120"/>
      <c r="B426" s="122"/>
      <c r="C426" s="122"/>
      <c r="D426" s="126"/>
      <c r="E426" s="127"/>
      <c r="F426" s="2"/>
      <c r="G426" s="128"/>
      <c r="H426" s="95" t="str">
        <f>IFERROR(IFERROR(VLOOKUP(D426,Lookup!$G$2:$H$7,2,FALSE),1)*IF(F426="Yes",VLOOKUP(A426,$A$21:$C$386,3,FALSE),VLOOKUP(A426,$A$21:$B$386,2,FALSE)),"")</f>
        <v/>
      </c>
      <c r="I426" s="95" t="str">
        <f t="shared" si="3"/>
        <v/>
      </c>
      <c r="J426" s="95" t="str">
        <f>IFERROR(IF(F426="Yes",0,I426*Lookup!$B$8),"")</f>
        <v/>
      </c>
      <c r="K426" s="95">
        <f>IF(IFERROR(VLOOKUP(A426,$A$2:$A$20,1,FALSE),0)&lt;&gt;0, IF(A426="Suballocation", G426, G426*IFERROR(VLOOKUP(D426,Lookup!$G$2:$H$7,2,FALSE),1)), SUM(I426:J426))</f>
        <v>0</v>
      </c>
      <c r="L426" s="95">
        <f>K426*(1+IFERROR(VLOOKUP(IF(OR(Funding!$H$5=Lookup!$A$20,Funding!$H$5=""),0,IF(AND(Lookup!$B$23&lt;&gt;1,M426="Full(Match)"),IF(D426="",Lookup!$G$2,D426)&amp;Expenses!M426,IF(Funding!$H$5=Lookup!$A$19,Lookup!$A$19,"")&amp;IF(M426="Full(Match)","Full",M426))),Lookup!$A$28:$F$36,6,FALSE),0))</f>
        <v>0</v>
      </c>
      <c r="M426" s="4" t="str">
        <f>IF(A426&lt;&gt;"",IF(OR(A426="Travel",AND(IFERROR(VLOOKUP(A426,$A$21:$A$386,1,FALSE),0)&lt;&gt;0,F426&lt;&gt;"Yes")),"Full(Match)",IFERROR(VLOOKUP(A426,Lookup!$D$2:$E$20,2,FALSE),"Full")),"")</f>
        <v/>
      </c>
    </row>
    <row r="427" spans="1:13" x14ac:dyDescent="0.25">
      <c r="A427" s="120"/>
      <c r="B427" s="122"/>
      <c r="C427" s="122"/>
      <c r="D427" s="126"/>
      <c r="E427" s="127"/>
      <c r="F427" s="2"/>
      <c r="G427" s="128"/>
      <c r="H427" s="95" t="str">
        <f>IFERROR(IFERROR(VLOOKUP(D427,Lookup!$G$2:$H$7,2,FALSE),1)*IF(F427="Yes",VLOOKUP(A427,$A$21:$C$386,3,FALSE),VLOOKUP(A427,$A$21:$B$386,2,FALSE)),"")</f>
        <v/>
      </c>
      <c r="I427" s="95" t="str">
        <f t="shared" si="3"/>
        <v/>
      </c>
      <c r="J427" s="95" t="str">
        <f>IFERROR(IF(F427="Yes",0,I427*Lookup!$B$8),"")</f>
        <v/>
      </c>
      <c r="K427" s="95">
        <f>IF(IFERROR(VLOOKUP(A427,$A$2:$A$20,1,FALSE),0)&lt;&gt;0, IF(A427="Suballocation", G427, G427*IFERROR(VLOOKUP(D427,Lookup!$G$2:$H$7,2,FALSE),1)), SUM(I427:J427))</f>
        <v>0</v>
      </c>
      <c r="L427" s="95">
        <f>K427*(1+IFERROR(VLOOKUP(IF(OR(Funding!$H$5=Lookup!$A$20,Funding!$H$5=""),0,IF(AND(Lookup!$B$23&lt;&gt;1,M427="Full(Match)"),IF(D427="",Lookup!$G$2,D427)&amp;Expenses!M427,IF(Funding!$H$5=Lookup!$A$19,Lookup!$A$19,"")&amp;IF(M427="Full(Match)","Full",M427))),Lookup!$A$28:$F$36,6,FALSE),0))</f>
        <v>0</v>
      </c>
      <c r="M427" s="4" t="str">
        <f>IF(A427&lt;&gt;"",IF(OR(A427="Travel",AND(IFERROR(VLOOKUP(A427,$A$21:$A$386,1,FALSE),0)&lt;&gt;0,F427&lt;&gt;"Yes")),"Full(Match)",IFERROR(VLOOKUP(A427,Lookup!$D$2:$E$20,2,FALSE),"Full")),"")</f>
        <v/>
      </c>
    </row>
    <row r="428" spans="1:13" x14ac:dyDescent="0.25">
      <c r="A428" s="120"/>
      <c r="B428" s="122"/>
      <c r="C428" s="122"/>
      <c r="D428" s="126"/>
      <c r="E428" s="127"/>
      <c r="F428" s="2"/>
      <c r="G428" s="128"/>
      <c r="H428" s="95" t="str">
        <f>IFERROR(IFERROR(VLOOKUP(D428,Lookup!$G$2:$H$7,2,FALSE),1)*IF(F428="Yes",VLOOKUP(A428,$A$21:$C$386,3,FALSE),VLOOKUP(A428,$A$21:$B$386,2,FALSE)),"")</f>
        <v/>
      </c>
      <c r="I428" s="95" t="str">
        <f t="shared" si="3"/>
        <v/>
      </c>
      <c r="J428" s="95" t="str">
        <f>IFERROR(IF(F428="Yes",0,I428*Lookup!$B$8),"")</f>
        <v/>
      </c>
      <c r="K428" s="95">
        <f>IF(IFERROR(VLOOKUP(A428,$A$2:$A$20,1,FALSE),0)&lt;&gt;0, IF(A428="Suballocation", G428, G428*IFERROR(VLOOKUP(D428,Lookup!$G$2:$H$7,2,FALSE),1)), SUM(I428:J428))</f>
        <v>0</v>
      </c>
      <c r="L428" s="95">
        <f>K428*(1+IFERROR(VLOOKUP(IF(OR(Funding!$H$5=Lookup!$A$20,Funding!$H$5=""),0,IF(AND(Lookup!$B$23&lt;&gt;1,M428="Full(Match)"),IF(D428="",Lookup!$G$2,D428)&amp;Expenses!M428,IF(Funding!$H$5=Lookup!$A$19,Lookup!$A$19,"")&amp;IF(M428="Full(Match)","Full",M428))),Lookup!$A$28:$F$36,6,FALSE),0))</f>
        <v>0</v>
      </c>
      <c r="M428" s="4" t="str">
        <f>IF(A428&lt;&gt;"",IF(OR(A428="Travel",AND(IFERROR(VLOOKUP(A428,$A$21:$A$386,1,FALSE),0)&lt;&gt;0,F428&lt;&gt;"Yes")),"Full(Match)",IFERROR(VLOOKUP(A428,Lookup!$D$2:$E$20,2,FALSE),"Full")),"")</f>
        <v/>
      </c>
    </row>
    <row r="429" spans="1:13" x14ac:dyDescent="0.25">
      <c r="A429" s="120"/>
      <c r="B429" s="122"/>
      <c r="C429" s="122"/>
      <c r="D429" s="126"/>
      <c r="E429" s="127"/>
      <c r="F429" s="2"/>
      <c r="G429" s="128"/>
      <c r="H429" s="95" t="str">
        <f>IFERROR(IFERROR(VLOOKUP(D429,Lookup!$G$2:$H$7,2,FALSE),1)*IF(F429="Yes",VLOOKUP(A429,$A$21:$C$386,3,FALSE),VLOOKUP(A429,$A$21:$B$386,2,FALSE)),"")</f>
        <v/>
      </c>
      <c r="I429" s="95" t="str">
        <f t="shared" si="3"/>
        <v/>
      </c>
      <c r="J429" s="95" t="str">
        <f>IFERROR(IF(F429="Yes",0,I429*Lookup!$B$8),"")</f>
        <v/>
      </c>
      <c r="K429" s="95">
        <f>IF(IFERROR(VLOOKUP(A429,$A$2:$A$20,1,FALSE),0)&lt;&gt;0, IF(A429="Suballocation", G429, G429*IFERROR(VLOOKUP(D429,Lookup!$G$2:$H$7,2,FALSE),1)), SUM(I429:J429))</f>
        <v>0</v>
      </c>
      <c r="L429" s="95">
        <f>K429*(1+IFERROR(VLOOKUP(IF(OR(Funding!$H$5=Lookup!$A$20,Funding!$H$5=""),0,IF(AND(Lookup!$B$23&lt;&gt;1,M429="Full(Match)"),IF(D429="",Lookup!$G$2,D429)&amp;Expenses!M429,IF(Funding!$H$5=Lookup!$A$19,Lookup!$A$19,"")&amp;IF(M429="Full(Match)","Full",M429))),Lookup!$A$28:$F$36,6,FALSE),0))</f>
        <v>0</v>
      </c>
      <c r="M429" s="4" t="str">
        <f>IF(A429&lt;&gt;"",IF(OR(A429="Travel",AND(IFERROR(VLOOKUP(A429,$A$21:$A$386,1,FALSE),0)&lt;&gt;0,F429&lt;&gt;"Yes")),"Full(Match)",IFERROR(VLOOKUP(A429,Lookup!$D$2:$E$20,2,FALSE),"Full")),"")</f>
        <v/>
      </c>
    </row>
    <row r="430" spans="1:13" x14ac:dyDescent="0.25">
      <c r="A430" s="120"/>
      <c r="B430" s="121"/>
      <c r="C430" s="121"/>
      <c r="D430" s="125"/>
      <c r="E430" s="124"/>
      <c r="F430" s="3"/>
      <c r="G430" s="130"/>
      <c r="H430" s="95" t="str">
        <f>IFERROR(IFERROR(VLOOKUP(D430,Lookup!$G$2:$H$7,2,FALSE),1)*IF(F430="Yes",VLOOKUP(A430,$A$21:$C$386,3,FALSE),VLOOKUP(A430,$A$21:$B$386,2,FALSE)),"")</f>
        <v/>
      </c>
      <c r="I430" s="95" t="str">
        <f t="shared" si="3"/>
        <v/>
      </c>
      <c r="J430" s="95" t="str">
        <f>IFERROR(IF(F430="Yes",0,I430*Lookup!$B$8),"")</f>
        <v/>
      </c>
      <c r="K430" s="95">
        <f>IF(IFERROR(VLOOKUP(A430,$A$2:$A$20,1,FALSE),0)&lt;&gt;0, IF(A430="Suballocation", G430, G430*IFERROR(VLOOKUP(D430,Lookup!$G$2:$H$7,2,FALSE),1)), SUM(I430:J430))</f>
        <v>0</v>
      </c>
      <c r="L430" s="95">
        <f>K430*(1+IFERROR(VLOOKUP(IF(OR(Funding!$H$5=Lookup!$A$20,Funding!$H$5=""),0,IF(AND(Lookup!$B$23&lt;&gt;1,M430="Full(Match)"),IF(D430="",Lookup!$G$2,D430)&amp;Expenses!M430,IF(Funding!$H$5=Lookup!$A$19,Lookup!$A$19,"")&amp;IF(M430="Full(Match)","Full",M430))),Lookup!$A$28:$F$36,6,FALSE),0))</f>
        <v>0</v>
      </c>
      <c r="M430" s="4" t="str">
        <f>IF(A430&lt;&gt;"",IF(OR(A430="Travel",AND(IFERROR(VLOOKUP(A430,$A$21:$A$386,1,FALSE),0)&lt;&gt;0,F430&lt;&gt;"Yes")),"Full(Match)",IFERROR(VLOOKUP(A430,Lookup!$D$2:$E$20,2,FALSE),"Full")),"")</f>
        <v/>
      </c>
    </row>
    <row r="431" spans="1:13" x14ac:dyDescent="0.25">
      <c r="A431" s="120"/>
      <c r="B431" s="121"/>
      <c r="C431" s="121"/>
      <c r="D431" s="125"/>
      <c r="E431" s="124"/>
      <c r="F431" s="3"/>
      <c r="G431" s="130"/>
      <c r="H431" s="95" t="str">
        <f>IFERROR(IFERROR(VLOOKUP(D431,Lookup!$G$2:$H$7,2,FALSE),1)*IF(F431="Yes",VLOOKUP(A431,$A$21:$C$386,3,FALSE),VLOOKUP(A431,$A$21:$B$386,2,FALSE)),"")</f>
        <v/>
      </c>
      <c r="I431" s="95" t="str">
        <f t="shared" si="3"/>
        <v/>
      </c>
      <c r="J431" s="95" t="str">
        <f>IFERROR(IF(F431="Yes",0,I431*Lookup!$B$8),"")</f>
        <v/>
      </c>
      <c r="K431" s="95">
        <f>IF(IFERROR(VLOOKUP(A431,$A$2:$A$20,1,FALSE),0)&lt;&gt;0, IF(A431="Suballocation", G431, G431*IFERROR(VLOOKUP(D431,Lookup!$G$2:$H$7,2,FALSE),1)), SUM(I431:J431))</f>
        <v>0</v>
      </c>
      <c r="L431" s="95">
        <f>K431*(1+IFERROR(VLOOKUP(IF(OR(Funding!$H$5=Lookup!$A$20,Funding!$H$5=""),0,IF(AND(Lookup!$B$23&lt;&gt;1,M431="Full(Match)"),IF(D431="",Lookup!$G$2,D431)&amp;Expenses!M431,IF(Funding!$H$5=Lookup!$A$19,Lookup!$A$19,"")&amp;IF(M431="Full(Match)","Full",M431))),Lookup!$A$28:$F$36,6,FALSE),0))</f>
        <v>0</v>
      </c>
      <c r="M431" s="4" t="str">
        <f>IF(A431&lt;&gt;"",IF(OR(A431="Travel",AND(IFERROR(VLOOKUP(A431,$A$21:$A$386,1,FALSE),0)&lt;&gt;0,F431&lt;&gt;"Yes")),"Full(Match)",IFERROR(VLOOKUP(A431,Lookup!$D$2:$E$20,2,FALSE),"Full")),"")</f>
        <v/>
      </c>
    </row>
    <row r="432" spans="1:13" x14ac:dyDescent="0.25">
      <c r="A432" s="120"/>
      <c r="B432" s="121"/>
      <c r="C432" s="121"/>
      <c r="D432" s="125"/>
      <c r="E432" s="124"/>
      <c r="F432" s="3"/>
      <c r="G432" s="130"/>
      <c r="H432" s="95" t="str">
        <f>IFERROR(IFERROR(VLOOKUP(D432,Lookup!$G$2:$H$7,2,FALSE),1)*IF(F432="Yes",VLOOKUP(A432,$A$21:$C$386,3,FALSE),VLOOKUP(A432,$A$21:$B$386,2,FALSE)),"")</f>
        <v/>
      </c>
      <c r="I432" s="95" t="str">
        <f t="shared" si="3"/>
        <v/>
      </c>
      <c r="J432" s="95" t="str">
        <f>IFERROR(IF(F432="Yes",0,I432*Lookup!$B$8),"")</f>
        <v/>
      </c>
      <c r="K432" s="95">
        <f>IF(IFERROR(VLOOKUP(A432,$A$2:$A$20,1,FALSE),0)&lt;&gt;0, IF(A432="Suballocation", G432, G432*IFERROR(VLOOKUP(D432,Lookup!$G$2:$H$7,2,FALSE),1)), SUM(I432:J432))</f>
        <v>0</v>
      </c>
      <c r="L432" s="95">
        <f>K432*(1+IFERROR(VLOOKUP(IF(OR(Funding!$H$5=Lookup!$A$20,Funding!$H$5=""),0,IF(AND(Lookup!$B$23&lt;&gt;1,M432="Full(Match)"),IF(D432="",Lookup!$G$2,D432)&amp;Expenses!M432,IF(Funding!$H$5=Lookup!$A$19,Lookup!$A$19,"")&amp;IF(M432="Full(Match)","Full",M432))),Lookup!$A$28:$F$36,6,FALSE),0))</f>
        <v>0</v>
      </c>
      <c r="M432" s="4" t="str">
        <f>IF(A432&lt;&gt;"",IF(OR(A432="Travel",AND(IFERROR(VLOOKUP(A432,$A$21:$A$386,1,FALSE),0)&lt;&gt;0,F432&lt;&gt;"Yes")),"Full(Match)",IFERROR(VLOOKUP(A432,Lookup!$D$2:$E$20,2,FALSE),"Full")),"")</f>
        <v/>
      </c>
    </row>
    <row r="433" spans="1:13" x14ac:dyDescent="0.25">
      <c r="A433" s="120"/>
      <c r="B433" s="121"/>
      <c r="C433" s="121"/>
      <c r="D433" s="125"/>
      <c r="E433" s="124"/>
      <c r="F433" s="3"/>
      <c r="G433" s="130"/>
      <c r="H433" s="95" t="str">
        <f>IFERROR(IFERROR(VLOOKUP(D433,Lookup!$G$2:$H$7,2,FALSE),1)*IF(F433="Yes",VLOOKUP(A433,$A$21:$C$386,3,FALSE),VLOOKUP(A433,$A$21:$B$386,2,FALSE)),"")</f>
        <v/>
      </c>
      <c r="I433" s="95" t="str">
        <f t="shared" si="3"/>
        <v/>
      </c>
      <c r="J433" s="95" t="str">
        <f>IFERROR(IF(F433="Yes",0,I433*Lookup!$B$8),"")</f>
        <v/>
      </c>
      <c r="K433" s="95">
        <f>IF(IFERROR(VLOOKUP(A433,$A$2:$A$20,1,FALSE),0)&lt;&gt;0, IF(A433="Suballocation", G433, G433*IFERROR(VLOOKUP(D433,Lookup!$G$2:$H$7,2,FALSE),1)), SUM(I433:J433))</f>
        <v>0</v>
      </c>
      <c r="L433" s="95">
        <f>K433*(1+IFERROR(VLOOKUP(IF(OR(Funding!$H$5=Lookup!$A$20,Funding!$H$5=""),0,IF(AND(Lookup!$B$23&lt;&gt;1,M433="Full(Match)"),IF(D433="",Lookup!$G$2,D433)&amp;Expenses!M433,IF(Funding!$H$5=Lookup!$A$19,Lookup!$A$19,"")&amp;IF(M433="Full(Match)","Full",M433))),Lookup!$A$28:$F$36,6,FALSE),0))</f>
        <v>0</v>
      </c>
      <c r="M433" s="4" t="str">
        <f>IF(A433&lt;&gt;"",IF(OR(A433="Travel",AND(IFERROR(VLOOKUP(A433,$A$21:$A$386,1,FALSE),0)&lt;&gt;0,F433&lt;&gt;"Yes")),"Full(Match)",IFERROR(VLOOKUP(A433,Lookup!$D$2:$E$20,2,FALSE),"Full")),"")</f>
        <v/>
      </c>
    </row>
    <row r="434" spans="1:13" x14ac:dyDescent="0.25">
      <c r="A434" s="120"/>
      <c r="B434" s="121"/>
      <c r="C434" s="121"/>
      <c r="D434" s="125"/>
      <c r="E434" s="124"/>
      <c r="F434" s="3"/>
      <c r="G434" s="130"/>
      <c r="H434" s="95" t="str">
        <f>IFERROR(IFERROR(VLOOKUP(D434,Lookup!$G$2:$H$7,2,FALSE),1)*IF(F434="Yes",VLOOKUP(A434,$A$21:$C$386,3,FALSE),VLOOKUP(A434,$A$21:$B$386,2,FALSE)),"")</f>
        <v/>
      </c>
      <c r="I434" s="95" t="str">
        <f t="shared" si="3"/>
        <v/>
      </c>
      <c r="J434" s="95" t="str">
        <f>IFERROR(IF(F434="Yes",0,I434*Lookup!$B$8),"")</f>
        <v/>
      </c>
      <c r="K434" s="95">
        <f>IF(IFERROR(VLOOKUP(A434,$A$2:$A$20,1,FALSE),0)&lt;&gt;0, IF(A434="Suballocation", G434, G434*IFERROR(VLOOKUP(D434,Lookup!$G$2:$H$7,2,FALSE),1)), SUM(I434:J434))</f>
        <v>0</v>
      </c>
      <c r="L434" s="95">
        <f>K434*(1+IFERROR(VLOOKUP(IF(OR(Funding!$H$5=Lookup!$A$20,Funding!$H$5=""),0,IF(AND(Lookup!$B$23&lt;&gt;1,M434="Full(Match)"),IF(D434="",Lookup!$G$2,D434)&amp;Expenses!M434,IF(Funding!$H$5=Lookup!$A$19,Lookup!$A$19,"")&amp;IF(M434="Full(Match)","Full",M434))),Lookup!$A$28:$F$36,6,FALSE),0))</f>
        <v>0</v>
      </c>
      <c r="M434" s="4" t="str">
        <f>IF(A434&lt;&gt;"",IF(OR(A434="Travel",AND(IFERROR(VLOOKUP(A434,$A$21:$A$386,1,FALSE),0)&lt;&gt;0,F434&lt;&gt;"Yes")),"Full(Match)",IFERROR(VLOOKUP(A434,Lookup!$D$2:$E$20,2,FALSE),"Full")),"")</f>
        <v/>
      </c>
    </row>
    <row r="435" spans="1:13" x14ac:dyDescent="0.25">
      <c r="A435" s="120"/>
      <c r="B435" s="121"/>
      <c r="C435" s="121"/>
      <c r="D435" s="125"/>
      <c r="E435" s="124"/>
      <c r="F435" s="3"/>
      <c r="G435" s="130"/>
      <c r="H435" s="95" t="str">
        <f>IFERROR(IFERROR(VLOOKUP(D435,Lookup!$G$2:$H$7,2,FALSE),1)*IF(F435="Yes",VLOOKUP(A435,$A$21:$C$386,3,FALSE),VLOOKUP(A435,$A$21:$B$386,2,FALSE)),"")</f>
        <v/>
      </c>
      <c r="I435" s="95" t="str">
        <f t="shared" si="3"/>
        <v/>
      </c>
      <c r="J435" s="95" t="str">
        <f>IFERROR(IF(F435="Yes",0,I435*Lookup!$B$8),"")</f>
        <v/>
      </c>
      <c r="K435" s="95">
        <f>IF(IFERROR(VLOOKUP(A435,$A$2:$A$20,1,FALSE),0)&lt;&gt;0, IF(A435="Suballocation", G435, G435*IFERROR(VLOOKUP(D435,Lookup!$G$2:$H$7,2,FALSE),1)), SUM(I435:J435))</f>
        <v>0</v>
      </c>
      <c r="L435" s="95">
        <f>K435*(1+IFERROR(VLOOKUP(IF(OR(Funding!$H$5=Lookup!$A$20,Funding!$H$5=""),0,IF(AND(Lookup!$B$23&lt;&gt;1,M435="Full(Match)"),IF(D435="",Lookup!$G$2,D435)&amp;Expenses!M435,IF(Funding!$H$5=Lookup!$A$19,Lookup!$A$19,"")&amp;IF(M435="Full(Match)","Full",M435))),Lookup!$A$28:$F$36,6,FALSE),0))</f>
        <v>0</v>
      </c>
      <c r="M435" s="4" t="str">
        <f>IF(A435&lt;&gt;"",IF(OR(A435="Travel",AND(IFERROR(VLOOKUP(A435,$A$21:$A$386,1,FALSE),0)&lt;&gt;0,F435&lt;&gt;"Yes")),"Full(Match)",IFERROR(VLOOKUP(A435,Lookup!$D$2:$E$20,2,FALSE),"Full")),"")</f>
        <v/>
      </c>
    </row>
    <row r="436" spans="1:13" x14ac:dyDescent="0.25">
      <c r="A436" s="123"/>
      <c r="B436" s="121"/>
      <c r="C436" s="121"/>
      <c r="D436" s="125"/>
      <c r="E436" s="124"/>
      <c r="F436" s="3"/>
      <c r="G436" s="130"/>
      <c r="H436" s="95" t="str">
        <f>IFERROR(IFERROR(VLOOKUP(D436,Lookup!$G$2:$H$7,2,FALSE),1)*IF(F436="Yes",VLOOKUP(A436,$A$21:$C$386,3,FALSE),VLOOKUP(A436,$A$21:$B$386,2,FALSE)),"")</f>
        <v/>
      </c>
      <c r="I436" s="95" t="str">
        <f t="shared" si="3"/>
        <v/>
      </c>
      <c r="J436" s="95" t="str">
        <f>IFERROR(IF(F436="Yes",0,I436*Lookup!$B$8),"")</f>
        <v/>
      </c>
      <c r="K436" s="95">
        <f>IF(IFERROR(VLOOKUP(A436,$A$2:$A$20,1,FALSE),0)&lt;&gt;0, IF(A436="Suballocation", G436, G436*IFERROR(VLOOKUP(D436,Lookup!$G$2:$H$7,2,FALSE),1)), SUM(I436:J436))</f>
        <v>0</v>
      </c>
      <c r="L436" s="95">
        <f>K436*(1+IFERROR(VLOOKUP(IF(OR(Funding!$H$5=Lookup!$A$20,Funding!$H$5=""),0,IF(AND(Lookup!$B$23&lt;&gt;1,M436="Full(Match)"),IF(D436="",Lookup!$G$2,D436)&amp;Expenses!M436,IF(Funding!$H$5=Lookup!$A$19,Lookup!$A$19,"")&amp;IF(M436="Full(Match)","Full",M436))),Lookup!$A$28:$F$36,6,FALSE),0))</f>
        <v>0</v>
      </c>
      <c r="M436" s="4" t="str">
        <f>IF(A436&lt;&gt;"",IF(OR(A436="Travel",AND(IFERROR(VLOOKUP(A436,$A$21:$A$386,1,FALSE),0)&lt;&gt;0,F436&lt;&gt;"Yes")),"Full(Match)",IFERROR(VLOOKUP(A436,Lookup!$D$2:$E$20,2,FALSE),"Full")),"")</f>
        <v/>
      </c>
    </row>
    <row r="437" spans="1:13" x14ac:dyDescent="0.25">
      <c r="A437" s="123"/>
      <c r="B437" s="121"/>
      <c r="C437" s="121"/>
      <c r="D437" s="125"/>
      <c r="E437" s="124"/>
      <c r="F437" s="3"/>
      <c r="G437" s="130"/>
      <c r="H437" s="95" t="str">
        <f>IFERROR(IFERROR(VLOOKUP(D437,Lookup!$G$2:$H$7,2,FALSE),1)*IF(F437="Yes",VLOOKUP(A437,$A$21:$C$386,3,FALSE),VLOOKUP(A437,$A$21:$B$386,2,FALSE)),"")</f>
        <v/>
      </c>
      <c r="I437" s="95" t="str">
        <f t="shared" si="3"/>
        <v/>
      </c>
      <c r="J437" s="95" t="str">
        <f>IFERROR(IF(F437="Yes",0,I437*Lookup!$B$8),"")</f>
        <v/>
      </c>
      <c r="K437" s="95">
        <f>IF(IFERROR(VLOOKUP(A437,$A$2:$A$20,1,FALSE),0)&lt;&gt;0, IF(A437="Suballocation", G437, G437*IFERROR(VLOOKUP(D437,Lookup!$G$2:$H$7,2,FALSE),1)), SUM(I437:J437))</f>
        <v>0</v>
      </c>
      <c r="L437" s="95">
        <f>K437*(1+IFERROR(VLOOKUP(IF(OR(Funding!$H$5=Lookup!$A$20,Funding!$H$5=""),0,IF(AND(Lookup!$B$23&lt;&gt;1,M437="Full(Match)"),IF(D437="",Lookup!$G$2,D437)&amp;Expenses!M437,IF(Funding!$H$5=Lookup!$A$19,Lookup!$A$19,"")&amp;IF(M437="Full(Match)","Full",M437))),Lookup!$A$28:$F$36,6,FALSE),0))</f>
        <v>0</v>
      </c>
      <c r="M437" s="4" t="str">
        <f>IF(A437&lt;&gt;"",IF(OR(A437="Travel",AND(IFERROR(VLOOKUP(A437,$A$21:$A$386,1,FALSE),0)&lt;&gt;0,F437&lt;&gt;"Yes")),"Full(Match)",IFERROR(VLOOKUP(A437,Lookup!$D$2:$E$20,2,FALSE),"Full")),"")</f>
        <v/>
      </c>
    </row>
    <row r="438" spans="1:13" x14ac:dyDescent="0.25">
      <c r="A438" s="123"/>
      <c r="B438" s="121"/>
      <c r="C438" s="121"/>
      <c r="D438" s="125"/>
      <c r="E438" s="124"/>
      <c r="F438" s="3"/>
      <c r="G438" s="130"/>
      <c r="H438" s="95" t="str">
        <f>IFERROR(IFERROR(VLOOKUP(D438,Lookup!$G$2:$H$7,2,FALSE),1)*IF(F438="Yes",VLOOKUP(A438,$A$21:$C$386,3,FALSE),VLOOKUP(A438,$A$21:$B$386,2,FALSE)),"")</f>
        <v/>
      </c>
      <c r="I438" s="95" t="str">
        <f t="shared" si="3"/>
        <v/>
      </c>
      <c r="J438" s="95" t="str">
        <f>IFERROR(IF(F438="Yes",0,I438*Lookup!$B$8),"")</f>
        <v/>
      </c>
      <c r="K438" s="95">
        <f>IF(IFERROR(VLOOKUP(A438,$A$2:$A$20,1,FALSE),0)&lt;&gt;0, IF(A438="Suballocation", G438, G438*IFERROR(VLOOKUP(D438,Lookup!$G$2:$H$7,2,FALSE),1)), SUM(I438:J438))</f>
        <v>0</v>
      </c>
      <c r="L438" s="95">
        <f>K438*(1+IFERROR(VLOOKUP(IF(OR(Funding!$H$5=Lookup!$A$20,Funding!$H$5=""),0,IF(AND(Lookup!$B$23&lt;&gt;1,M438="Full(Match)"),IF(D438="",Lookup!$G$2,D438)&amp;Expenses!M438,IF(Funding!$H$5=Lookup!$A$19,Lookup!$A$19,"")&amp;IF(M438="Full(Match)","Full",M438))),Lookup!$A$28:$F$36,6,FALSE),0))</f>
        <v>0</v>
      </c>
      <c r="M438" s="4" t="str">
        <f>IF(A438&lt;&gt;"",IF(OR(A438="Travel",AND(IFERROR(VLOOKUP(A438,$A$21:$A$386,1,FALSE),0)&lt;&gt;0,F438&lt;&gt;"Yes")),"Full(Match)",IFERROR(VLOOKUP(A438,Lookup!$D$2:$E$20,2,FALSE),"Full")),"")</f>
        <v/>
      </c>
    </row>
    <row r="439" spans="1:13" x14ac:dyDescent="0.25">
      <c r="A439" s="123"/>
      <c r="B439" s="121"/>
      <c r="C439" s="121"/>
      <c r="D439" s="125"/>
      <c r="E439" s="124"/>
      <c r="F439" s="3"/>
      <c r="G439" s="130"/>
      <c r="H439" s="95" t="str">
        <f>IFERROR(IFERROR(VLOOKUP(D439,Lookup!$G$2:$H$7,2,FALSE),1)*IF(F439="Yes",VLOOKUP(A439,$A$21:$C$386,3,FALSE),VLOOKUP(A439,$A$21:$B$386,2,FALSE)),"")</f>
        <v/>
      </c>
      <c r="I439" s="95" t="str">
        <f t="shared" si="3"/>
        <v/>
      </c>
      <c r="J439" s="95" t="str">
        <f>IFERROR(IF(F439="Yes",0,I439*Lookup!$B$8),"")</f>
        <v/>
      </c>
      <c r="K439" s="95">
        <f>IF(IFERROR(VLOOKUP(A439,$A$2:$A$20,1,FALSE),0)&lt;&gt;0, IF(A439="Suballocation", G439, G439*IFERROR(VLOOKUP(D439,Lookup!$G$2:$H$7,2,FALSE),1)), SUM(I439:J439))</f>
        <v>0</v>
      </c>
      <c r="L439" s="95">
        <f>K439*(1+IFERROR(VLOOKUP(IF(OR(Funding!$H$5=Lookup!$A$20,Funding!$H$5=""),0,IF(AND(Lookup!$B$23&lt;&gt;1,M439="Full(Match)"),IF(D439="",Lookup!$G$2,D439)&amp;Expenses!M439,IF(Funding!$H$5=Lookup!$A$19,Lookup!$A$19,"")&amp;IF(M439="Full(Match)","Full",M439))),Lookup!$A$28:$F$36,6,FALSE),0))</f>
        <v>0</v>
      </c>
      <c r="M439" s="4" t="str">
        <f>IF(A439&lt;&gt;"",IF(OR(A439="Travel",AND(IFERROR(VLOOKUP(A439,$A$21:$A$386,1,FALSE),0)&lt;&gt;0,F439&lt;&gt;"Yes")),"Full(Match)",IFERROR(VLOOKUP(A439,Lookup!$D$2:$E$20,2,FALSE),"Full")),"")</f>
        <v/>
      </c>
    </row>
    <row r="440" spans="1:13" x14ac:dyDescent="0.25">
      <c r="A440" s="123"/>
      <c r="B440" s="121"/>
      <c r="C440" s="121"/>
      <c r="D440" s="125"/>
      <c r="E440" s="124"/>
      <c r="F440" s="3"/>
      <c r="G440" s="130"/>
      <c r="H440" s="95" t="str">
        <f>IFERROR(IFERROR(VLOOKUP(D440,Lookup!$G$2:$H$7,2,FALSE),1)*IF(F440="Yes",VLOOKUP(A440,$A$21:$C$386,3,FALSE),VLOOKUP(A440,$A$21:$B$386,2,FALSE)),"")</f>
        <v/>
      </c>
      <c r="I440" s="95" t="str">
        <f t="shared" si="3"/>
        <v/>
      </c>
      <c r="J440" s="95" t="str">
        <f>IFERROR(IF(F440="Yes",0,I440*Lookup!$B$8),"")</f>
        <v/>
      </c>
      <c r="K440" s="95">
        <f>IF(IFERROR(VLOOKUP(A440,$A$2:$A$20,1,FALSE),0)&lt;&gt;0, IF(A440="Suballocation", G440, G440*IFERROR(VLOOKUP(D440,Lookup!$G$2:$H$7,2,FALSE),1)), SUM(I440:J440))</f>
        <v>0</v>
      </c>
      <c r="L440" s="95">
        <f>K440*(1+IFERROR(VLOOKUP(IF(OR(Funding!$H$5=Lookup!$A$20,Funding!$H$5=""),0,IF(AND(Lookup!$B$23&lt;&gt;1,M440="Full(Match)"),IF(D440="",Lookup!$G$2,D440)&amp;Expenses!M440,IF(Funding!$H$5=Lookup!$A$19,Lookup!$A$19,"")&amp;IF(M440="Full(Match)","Full",M440))),Lookup!$A$28:$F$36,6,FALSE),0))</f>
        <v>0</v>
      </c>
      <c r="M440" s="4" t="str">
        <f>IF(A440&lt;&gt;"",IF(OR(A440="Travel",AND(IFERROR(VLOOKUP(A440,$A$21:$A$386,1,FALSE),0)&lt;&gt;0,F440&lt;&gt;"Yes")),"Full(Match)",IFERROR(VLOOKUP(A440,Lookup!$D$2:$E$20,2,FALSE),"Full")),"")</f>
        <v/>
      </c>
    </row>
    <row r="441" spans="1:13" x14ac:dyDescent="0.25">
      <c r="A441" s="123"/>
      <c r="B441" s="121"/>
      <c r="C441" s="121"/>
      <c r="D441" s="125"/>
      <c r="E441" s="124"/>
      <c r="F441" s="3"/>
      <c r="G441" s="130"/>
      <c r="H441" s="95" t="str">
        <f>IFERROR(IFERROR(VLOOKUP(D441,Lookup!$G$2:$H$7,2,FALSE),1)*IF(F441="Yes",VLOOKUP(A441,$A$21:$C$386,3,FALSE),VLOOKUP(A441,$A$21:$B$386,2,FALSE)),"")</f>
        <v/>
      </c>
      <c r="I441" s="95" t="str">
        <f t="shared" si="3"/>
        <v/>
      </c>
      <c r="J441" s="95" t="str">
        <f>IFERROR(IF(F441="Yes",0,I441*Lookup!$B$8),"")</f>
        <v/>
      </c>
      <c r="K441" s="95">
        <f>IF(IFERROR(VLOOKUP(A441,$A$2:$A$20,1,FALSE),0)&lt;&gt;0, IF(A441="Suballocation", G441, G441*IFERROR(VLOOKUP(D441,Lookup!$G$2:$H$7,2,FALSE),1)), SUM(I441:J441))</f>
        <v>0</v>
      </c>
      <c r="L441" s="95">
        <f>K441*(1+IFERROR(VLOOKUP(IF(OR(Funding!$H$5=Lookup!$A$20,Funding!$H$5=""),0,IF(AND(Lookup!$B$23&lt;&gt;1,M441="Full(Match)"),IF(D441="",Lookup!$G$2,D441)&amp;Expenses!M441,IF(Funding!$H$5=Lookup!$A$19,Lookup!$A$19,"")&amp;IF(M441="Full(Match)","Full",M441))),Lookup!$A$28:$F$36,6,FALSE),0))</f>
        <v>0</v>
      </c>
      <c r="M441" s="4" t="str">
        <f>IF(A441&lt;&gt;"",IF(OR(A441="Travel",AND(IFERROR(VLOOKUP(A441,$A$21:$A$386,1,FALSE),0)&lt;&gt;0,F441&lt;&gt;"Yes")),"Full(Match)",IFERROR(VLOOKUP(A441,Lookup!$D$2:$E$20,2,FALSE),"Full")),"")</f>
        <v/>
      </c>
    </row>
    <row r="442" spans="1:13" x14ac:dyDescent="0.25">
      <c r="A442" s="123"/>
      <c r="B442" s="121"/>
      <c r="C442" s="121"/>
      <c r="D442" s="125"/>
      <c r="E442" s="124"/>
      <c r="F442" s="3"/>
      <c r="G442" s="130"/>
      <c r="H442" s="95" t="str">
        <f>IFERROR(IFERROR(VLOOKUP(D442,Lookup!$G$2:$H$7,2,FALSE),1)*IF(F442="Yes",VLOOKUP(A442,$A$21:$C$386,3,FALSE),VLOOKUP(A442,$A$21:$B$386,2,FALSE)),"")</f>
        <v/>
      </c>
      <c r="I442" s="95" t="str">
        <f t="shared" si="3"/>
        <v/>
      </c>
      <c r="J442" s="95" t="str">
        <f>IFERROR(IF(F442="Yes",0,I442*Lookup!$B$8),"")</f>
        <v/>
      </c>
      <c r="K442" s="95">
        <f>IF(IFERROR(VLOOKUP(A442,$A$2:$A$20,1,FALSE),0)&lt;&gt;0, IF(A442="Suballocation", G442, G442*IFERROR(VLOOKUP(D442,Lookup!$G$2:$H$7,2,FALSE),1)), SUM(I442:J442))</f>
        <v>0</v>
      </c>
      <c r="L442" s="95">
        <f>K442*(1+IFERROR(VLOOKUP(IF(OR(Funding!$H$5=Lookup!$A$20,Funding!$H$5=""),0,IF(AND(Lookup!$B$23&lt;&gt;1,M442="Full(Match)"),IF(D442="",Lookup!$G$2,D442)&amp;Expenses!M442,IF(Funding!$H$5=Lookup!$A$19,Lookup!$A$19,"")&amp;IF(M442="Full(Match)","Full",M442))),Lookup!$A$28:$F$36,6,FALSE),0))</f>
        <v>0</v>
      </c>
      <c r="M442" s="4" t="str">
        <f>IF(A442&lt;&gt;"",IF(OR(A442="Travel",AND(IFERROR(VLOOKUP(A442,$A$21:$A$386,1,FALSE),0)&lt;&gt;0,F442&lt;&gt;"Yes")),"Full(Match)",IFERROR(VLOOKUP(A442,Lookup!$D$2:$E$20,2,FALSE),"Full")),"")</f>
        <v/>
      </c>
    </row>
    <row r="443" spans="1:13" x14ac:dyDescent="0.25">
      <c r="A443" s="123"/>
      <c r="B443" s="121"/>
      <c r="C443" s="121"/>
      <c r="D443" s="125"/>
      <c r="E443" s="124"/>
      <c r="F443" s="3"/>
      <c r="G443" s="130"/>
      <c r="H443" s="95" t="str">
        <f>IFERROR(IFERROR(VLOOKUP(D443,Lookup!$G$2:$H$7,2,FALSE),1)*IF(F443="Yes",VLOOKUP(A443,$A$21:$C$386,3,FALSE),VLOOKUP(A443,$A$21:$B$386,2,FALSE)),"")</f>
        <v/>
      </c>
      <c r="I443" s="95" t="str">
        <f t="shared" si="3"/>
        <v/>
      </c>
      <c r="J443" s="95" t="str">
        <f>IFERROR(IF(F443="Yes",0,I443*Lookup!$B$8),"")</f>
        <v/>
      </c>
      <c r="K443" s="95">
        <f>IF(IFERROR(VLOOKUP(A443,$A$2:$A$20,1,FALSE),0)&lt;&gt;0, IF(A443="Suballocation", G443, G443*IFERROR(VLOOKUP(D443,Lookup!$G$2:$H$7,2,FALSE),1)), SUM(I443:J443))</f>
        <v>0</v>
      </c>
      <c r="L443" s="95">
        <f>K443*(1+IFERROR(VLOOKUP(IF(OR(Funding!$H$5=Lookup!$A$20,Funding!$H$5=""),0,IF(AND(Lookup!$B$23&lt;&gt;1,M443="Full(Match)"),IF(D443="",Lookup!$G$2,D443)&amp;Expenses!M443,IF(Funding!$H$5=Lookup!$A$19,Lookup!$A$19,"")&amp;IF(M443="Full(Match)","Full",M443))),Lookup!$A$28:$F$36,6,FALSE),0))</f>
        <v>0</v>
      </c>
      <c r="M443" s="4" t="str">
        <f>IF(A443&lt;&gt;"",IF(OR(A443="Travel",AND(IFERROR(VLOOKUP(A443,$A$21:$A$386,1,FALSE),0)&lt;&gt;0,F443&lt;&gt;"Yes")),"Full(Match)",IFERROR(VLOOKUP(A443,Lookup!$D$2:$E$20,2,FALSE),"Full")),"")</f>
        <v/>
      </c>
    </row>
    <row r="444" spans="1:13" x14ac:dyDescent="0.25">
      <c r="A444" s="123"/>
      <c r="B444" s="121"/>
      <c r="C444" s="121"/>
      <c r="D444" s="125"/>
      <c r="E444" s="124"/>
      <c r="F444" s="3"/>
      <c r="G444" s="130"/>
      <c r="H444" s="95" t="str">
        <f>IFERROR(IFERROR(VLOOKUP(D444,Lookup!$G$2:$H$7,2,FALSE),1)*IF(F444="Yes",VLOOKUP(A444,$A$21:$C$386,3,FALSE),VLOOKUP(A444,$A$21:$B$386,2,FALSE)),"")</f>
        <v/>
      </c>
      <c r="I444" s="95" t="str">
        <f t="shared" si="3"/>
        <v/>
      </c>
      <c r="J444" s="95" t="str">
        <f>IFERROR(IF(F444="Yes",0,I444*Lookup!$B$8),"")</f>
        <v/>
      </c>
      <c r="K444" s="95">
        <f>IF(IFERROR(VLOOKUP(A444,$A$2:$A$20,1,FALSE),0)&lt;&gt;0, IF(A444="Suballocation", G444, G444*IFERROR(VLOOKUP(D444,Lookup!$G$2:$H$7,2,FALSE),1)), SUM(I444:J444))</f>
        <v>0</v>
      </c>
      <c r="L444" s="95">
        <f>K444*(1+IFERROR(VLOOKUP(IF(OR(Funding!$H$5=Lookup!$A$20,Funding!$H$5=""),0,IF(AND(Lookup!$B$23&lt;&gt;1,M444="Full(Match)"),IF(D444="",Lookup!$G$2,D444)&amp;Expenses!M444,IF(Funding!$H$5=Lookup!$A$19,Lookup!$A$19,"")&amp;IF(M444="Full(Match)","Full",M444))),Lookup!$A$28:$F$36,6,FALSE),0))</f>
        <v>0</v>
      </c>
      <c r="M444" s="4" t="str">
        <f>IF(A444&lt;&gt;"",IF(OR(A444="Travel",AND(IFERROR(VLOOKUP(A444,$A$21:$A$386,1,FALSE),0)&lt;&gt;0,F444&lt;&gt;"Yes")),"Full(Match)",IFERROR(VLOOKUP(A444,Lookup!$D$2:$E$20,2,FALSE),"Full")),"")</f>
        <v/>
      </c>
    </row>
    <row r="445" spans="1:13" x14ac:dyDescent="0.25">
      <c r="A445" s="123"/>
      <c r="B445" s="121"/>
      <c r="C445" s="121"/>
      <c r="D445" s="125"/>
      <c r="E445" s="124"/>
      <c r="F445" s="3"/>
      <c r="G445" s="130"/>
      <c r="H445" s="95" t="str">
        <f>IFERROR(IFERROR(VLOOKUP(D445,Lookup!$G$2:$H$7,2,FALSE),1)*IF(F445="Yes",VLOOKUP(A445,$A$21:$C$386,3,FALSE),VLOOKUP(A445,$A$21:$B$386,2,FALSE)),"")</f>
        <v/>
      </c>
      <c r="I445" s="95" t="str">
        <f t="shared" si="3"/>
        <v/>
      </c>
      <c r="J445" s="95" t="str">
        <f>IFERROR(IF(F445="Yes",0,I445*Lookup!$B$8),"")</f>
        <v/>
      </c>
      <c r="K445" s="95">
        <f>IF(IFERROR(VLOOKUP(A445,$A$2:$A$20,1,FALSE),0)&lt;&gt;0, IF(A445="Suballocation", G445, G445*IFERROR(VLOOKUP(D445,Lookup!$G$2:$H$7,2,FALSE),1)), SUM(I445:J445))</f>
        <v>0</v>
      </c>
      <c r="L445" s="95">
        <f>K445*(1+IFERROR(VLOOKUP(IF(OR(Funding!$H$5=Lookup!$A$20,Funding!$H$5=""),0,IF(AND(Lookup!$B$23&lt;&gt;1,M445="Full(Match)"),IF(D445="",Lookup!$G$2,D445)&amp;Expenses!M445,IF(Funding!$H$5=Lookup!$A$19,Lookup!$A$19,"")&amp;IF(M445="Full(Match)","Full",M445))),Lookup!$A$28:$F$36,6,FALSE),0))</f>
        <v>0</v>
      </c>
      <c r="M445" s="4" t="str">
        <f>IF(A445&lt;&gt;"",IF(OR(A445="Travel",AND(IFERROR(VLOOKUP(A445,$A$21:$A$386,1,FALSE),0)&lt;&gt;0,F445&lt;&gt;"Yes")),"Full(Match)",IFERROR(VLOOKUP(A445,Lookup!$D$2:$E$20,2,FALSE),"Full")),"")</f>
        <v/>
      </c>
    </row>
    <row r="446" spans="1:13" x14ac:dyDescent="0.25">
      <c r="A446" s="123"/>
      <c r="B446" s="121"/>
      <c r="C446" s="121"/>
      <c r="D446" s="125"/>
      <c r="E446" s="124"/>
      <c r="F446" s="3"/>
      <c r="G446" s="130"/>
      <c r="H446" s="95" t="str">
        <f>IFERROR(IFERROR(VLOOKUP(D446,Lookup!$G$2:$H$7,2,FALSE),1)*IF(F446="Yes",VLOOKUP(A446,$A$21:$C$386,3,FALSE),VLOOKUP(A446,$A$21:$B$386,2,FALSE)),"")</f>
        <v/>
      </c>
      <c r="I446" s="95" t="str">
        <f t="shared" si="3"/>
        <v/>
      </c>
      <c r="J446" s="95" t="str">
        <f>IFERROR(IF(F446="Yes",0,I446*Lookup!$B$8),"")</f>
        <v/>
      </c>
      <c r="K446" s="95">
        <f>IF(IFERROR(VLOOKUP(A446,$A$2:$A$20,1,FALSE),0)&lt;&gt;0, IF(A446="Suballocation", G446, G446*IFERROR(VLOOKUP(D446,Lookup!$G$2:$H$7,2,FALSE),1)), SUM(I446:J446))</f>
        <v>0</v>
      </c>
      <c r="L446" s="95">
        <f>K446*(1+IFERROR(VLOOKUP(IF(OR(Funding!$H$5=Lookup!$A$20,Funding!$H$5=""),0,IF(AND(Lookup!$B$23&lt;&gt;1,M446="Full(Match)"),IF(D446="",Lookup!$G$2,D446)&amp;Expenses!M446,IF(Funding!$H$5=Lookup!$A$19,Lookup!$A$19,"")&amp;IF(M446="Full(Match)","Full",M446))),Lookup!$A$28:$F$36,6,FALSE),0))</f>
        <v>0</v>
      </c>
      <c r="M446" s="4" t="str">
        <f>IF(A446&lt;&gt;"",IF(OR(A446="Travel",AND(IFERROR(VLOOKUP(A446,$A$21:$A$386,1,FALSE),0)&lt;&gt;0,F446&lt;&gt;"Yes")),"Full(Match)",IFERROR(VLOOKUP(A446,Lookup!$D$2:$E$20,2,FALSE),"Full")),"")</f>
        <v/>
      </c>
    </row>
    <row r="447" spans="1:13" x14ac:dyDescent="0.25">
      <c r="A447" s="123"/>
      <c r="B447" s="121"/>
      <c r="C447" s="121"/>
      <c r="D447" s="125"/>
      <c r="E447" s="124"/>
      <c r="F447" s="3"/>
      <c r="G447" s="130"/>
      <c r="H447" s="95" t="str">
        <f>IFERROR(IFERROR(VLOOKUP(D447,Lookup!$G$2:$H$7,2,FALSE),1)*IF(F447="Yes",VLOOKUP(A447,$A$21:$C$386,3,FALSE),VLOOKUP(A447,$A$21:$B$386,2,FALSE)),"")</f>
        <v/>
      </c>
      <c r="I447" s="95" t="str">
        <f t="shared" si="3"/>
        <v/>
      </c>
      <c r="J447" s="95" t="str">
        <f>IFERROR(IF(F447="Yes",0,I447*Lookup!$B$8),"")</f>
        <v/>
      </c>
      <c r="K447" s="95">
        <f>IF(IFERROR(VLOOKUP(A447,$A$2:$A$20,1,FALSE),0)&lt;&gt;0, IF(A447="Suballocation", G447, G447*IFERROR(VLOOKUP(D447,Lookup!$G$2:$H$7,2,FALSE),1)), SUM(I447:J447))</f>
        <v>0</v>
      </c>
      <c r="L447" s="95">
        <f>K447*(1+IFERROR(VLOOKUP(IF(OR(Funding!$H$5=Lookup!$A$20,Funding!$H$5=""),0,IF(AND(Lookup!$B$23&lt;&gt;1,M447="Full(Match)"),IF(D447="",Lookup!$G$2,D447)&amp;Expenses!M447,IF(Funding!$H$5=Lookup!$A$19,Lookup!$A$19,"")&amp;IF(M447="Full(Match)","Full",M447))),Lookup!$A$28:$F$36,6,FALSE),0))</f>
        <v>0</v>
      </c>
      <c r="M447" s="4" t="str">
        <f>IF(A447&lt;&gt;"",IF(OR(A447="Travel",AND(IFERROR(VLOOKUP(A447,$A$21:$A$386,1,FALSE),0)&lt;&gt;0,F447&lt;&gt;"Yes")),"Full(Match)",IFERROR(VLOOKUP(A447,Lookup!$D$2:$E$20,2,FALSE),"Full")),"")</f>
        <v/>
      </c>
    </row>
    <row r="448" spans="1:13" x14ac:dyDescent="0.25">
      <c r="A448" s="123"/>
      <c r="B448" s="121"/>
      <c r="C448" s="121"/>
      <c r="D448" s="125"/>
      <c r="E448" s="124"/>
      <c r="F448" s="3"/>
      <c r="G448" s="130"/>
      <c r="H448" s="95" t="str">
        <f>IFERROR(IFERROR(VLOOKUP(D448,Lookup!$G$2:$H$7,2,FALSE),1)*IF(F448="Yes",VLOOKUP(A448,$A$21:$C$386,3,FALSE),VLOOKUP(A448,$A$21:$B$386,2,FALSE)),"")</f>
        <v/>
      </c>
      <c r="I448" s="95" t="str">
        <f t="shared" si="3"/>
        <v/>
      </c>
      <c r="J448" s="95" t="str">
        <f>IFERROR(IF(F448="Yes",0,I448*Lookup!$B$8),"")</f>
        <v/>
      </c>
      <c r="K448" s="95">
        <f>IF(IFERROR(VLOOKUP(A448,$A$2:$A$20,1,FALSE),0)&lt;&gt;0, IF(A448="Suballocation", G448, G448*IFERROR(VLOOKUP(D448,Lookup!$G$2:$H$7,2,FALSE),1)), SUM(I448:J448))</f>
        <v>0</v>
      </c>
      <c r="L448" s="95">
        <f>K448*(1+IFERROR(VLOOKUP(IF(OR(Funding!$H$5=Lookup!$A$20,Funding!$H$5=""),0,IF(AND(Lookup!$B$23&lt;&gt;1,M448="Full(Match)"),IF(D448="",Lookup!$G$2,D448)&amp;Expenses!M448,IF(Funding!$H$5=Lookup!$A$19,Lookup!$A$19,"")&amp;IF(M448="Full(Match)","Full",M448))),Lookup!$A$28:$F$36,6,FALSE),0))</f>
        <v>0</v>
      </c>
      <c r="M448" s="4" t="str">
        <f>IF(A448&lt;&gt;"",IF(OR(A448="Travel",AND(IFERROR(VLOOKUP(A448,$A$21:$A$386,1,FALSE),0)&lt;&gt;0,F448&lt;&gt;"Yes")),"Full(Match)",IFERROR(VLOOKUP(A448,Lookup!$D$2:$E$20,2,FALSE),"Full")),"")</f>
        <v/>
      </c>
    </row>
    <row r="449" spans="1:13" x14ac:dyDescent="0.25">
      <c r="A449" s="123"/>
      <c r="B449" s="121"/>
      <c r="C449" s="121"/>
      <c r="D449" s="125"/>
      <c r="E449" s="124"/>
      <c r="F449" s="3"/>
      <c r="G449" s="130"/>
      <c r="H449" s="95" t="str">
        <f>IFERROR(IFERROR(VLOOKUP(D449,Lookup!$G$2:$H$7,2,FALSE),1)*IF(F449="Yes",VLOOKUP(A449,$A$21:$C$386,3,FALSE),VLOOKUP(A449,$A$21:$B$386,2,FALSE)),"")</f>
        <v/>
      </c>
      <c r="I449" s="95" t="str">
        <f t="shared" si="3"/>
        <v/>
      </c>
      <c r="J449" s="95" t="str">
        <f>IFERROR(IF(F449="Yes",0,I449*Lookup!$B$8),"")</f>
        <v/>
      </c>
      <c r="K449" s="95">
        <f>IF(IFERROR(VLOOKUP(A449,$A$2:$A$20,1,FALSE),0)&lt;&gt;0, IF(A449="Suballocation", G449, G449*IFERROR(VLOOKUP(D449,Lookup!$G$2:$H$7,2,FALSE),1)), SUM(I449:J449))</f>
        <v>0</v>
      </c>
      <c r="L449" s="95">
        <f>K449*(1+IFERROR(VLOOKUP(IF(OR(Funding!$H$5=Lookup!$A$20,Funding!$H$5=""),0,IF(AND(Lookup!$B$23&lt;&gt;1,M449="Full(Match)"),IF(D449="",Lookup!$G$2,D449)&amp;Expenses!M449,IF(Funding!$H$5=Lookup!$A$19,Lookup!$A$19,"")&amp;IF(M449="Full(Match)","Full",M449))),Lookup!$A$28:$F$36,6,FALSE),0))</f>
        <v>0</v>
      </c>
      <c r="M449" s="4" t="str">
        <f>IF(A449&lt;&gt;"",IF(OR(A449="Travel",AND(IFERROR(VLOOKUP(A449,$A$21:$A$386,1,FALSE),0)&lt;&gt;0,F449&lt;&gt;"Yes")),"Full(Match)",IFERROR(VLOOKUP(A449,Lookup!$D$2:$E$20,2,FALSE),"Full")),"")</f>
        <v/>
      </c>
    </row>
    <row r="450" spans="1:13" x14ac:dyDescent="0.25">
      <c r="A450" s="123"/>
      <c r="B450" s="121"/>
      <c r="C450" s="121"/>
      <c r="D450" s="125"/>
      <c r="E450" s="124"/>
      <c r="F450" s="3"/>
      <c r="G450" s="130"/>
      <c r="H450" s="95" t="str">
        <f>IFERROR(IFERROR(VLOOKUP(D450,Lookup!$G$2:$H$7,2,FALSE),1)*IF(F450="Yes",VLOOKUP(A450,$A$21:$C$386,3,FALSE),VLOOKUP(A450,$A$21:$B$386,2,FALSE)),"")</f>
        <v/>
      </c>
      <c r="I450" s="95" t="str">
        <f t="shared" si="3"/>
        <v/>
      </c>
      <c r="J450" s="95" t="str">
        <f>IFERROR(IF(F450="Yes",0,I450*Lookup!$B$8),"")</f>
        <v/>
      </c>
      <c r="K450" s="95">
        <f>IF(IFERROR(VLOOKUP(A450,$A$2:$A$20,1,FALSE),0)&lt;&gt;0, IF(A450="Suballocation", G450, G450*IFERROR(VLOOKUP(D450,Lookup!$G$2:$H$7,2,FALSE),1)), SUM(I450:J450))</f>
        <v>0</v>
      </c>
      <c r="L450" s="95">
        <f>K450*(1+IFERROR(VLOOKUP(IF(OR(Funding!$H$5=Lookup!$A$20,Funding!$H$5=""),0,IF(AND(Lookup!$B$23&lt;&gt;1,M450="Full(Match)"),IF(D450="",Lookup!$G$2,D450)&amp;Expenses!M450,IF(Funding!$H$5=Lookup!$A$19,Lookup!$A$19,"")&amp;IF(M450="Full(Match)","Full",M450))),Lookup!$A$28:$F$36,6,FALSE),0))</f>
        <v>0</v>
      </c>
      <c r="M450" s="4" t="str">
        <f>IF(A450&lt;&gt;"",IF(OR(A450="Travel",AND(IFERROR(VLOOKUP(A450,$A$21:$A$386,1,FALSE),0)&lt;&gt;0,F450&lt;&gt;"Yes")),"Full(Match)",IFERROR(VLOOKUP(A450,Lookup!$D$2:$E$20,2,FALSE),"Full")),"")</f>
        <v/>
      </c>
    </row>
    <row r="451" spans="1:13" x14ac:dyDescent="0.25">
      <c r="A451" s="123"/>
      <c r="B451" s="121"/>
      <c r="C451" s="121"/>
      <c r="D451" s="125"/>
      <c r="E451" s="124"/>
      <c r="F451" s="3"/>
      <c r="G451" s="130"/>
      <c r="H451" s="95" t="str">
        <f>IFERROR(IFERROR(VLOOKUP(D451,Lookup!$G$2:$H$7,2,FALSE),1)*IF(F451="Yes",VLOOKUP(A451,$A$21:$C$386,3,FALSE),VLOOKUP(A451,$A$21:$B$386,2,FALSE)),"")</f>
        <v/>
      </c>
      <c r="I451" s="95" t="str">
        <f t="shared" si="3"/>
        <v/>
      </c>
      <c r="J451" s="95" t="str">
        <f>IFERROR(IF(F451="Yes",0,I451*Lookup!$B$8),"")</f>
        <v/>
      </c>
      <c r="K451" s="95">
        <f>IF(IFERROR(VLOOKUP(A451,$A$2:$A$20,1,FALSE),0)&lt;&gt;0, IF(A451="Suballocation", G451, G451*IFERROR(VLOOKUP(D451,Lookup!$G$2:$H$7,2,FALSE),1)), SUM(I451:J451))</f>
        <v>0</v>
      </c>
      <c r="L451" s="95">
        <f>K451*(1+IFERROR(VLOOKUP(IF(OR(Funding!$H$5=Lookup!$A$20,Funding!$H$5=""),0,IF(AND(Lookup!$B$23&lt;&gt;1,M451="Full(Match)"),IF(D451="",Lookup!$G$2,D451)&amp;Expenses!M451,IF(Funding!$H$5=Lookup!$A$19,Lookup!$A$19,"")&amp;IF(M451="Full(Match)","Full",M451))),Lookup!$A$28:$F$36,6,FALSE),0))</f>
        <v>0</v>
      </c>
      <c r="M451" s="4" t="str">
        <f>IF(A451&lt;&gt;"",IF(OR(A451="Travel",AND(IFERROR(VLOOKUP(A451,$A$21:$A$386,1,FALSE),0)&lt;&gt;0,F451&lt;&gt;"Yes")),"Full(Match)",IFERROR(VLOOKUP(A451,Lookup!$D$2:$E$20,2,FALSE),"Full")),"")</f>
        <v/>
      </c>
    </row>
    <row r="452" spans="1:13" x14ac:dyDescent="0.25">
      <c r="A452" s="123"/>
      <c r="B452" s="121"/>
      <c r="C452" s="121"/>
      <c r="D452" s="125"/>
      <c r="E452" s="124"/>
      <c r="F452" s="3"/>
      <c r="G452" s="130"/>
      <c r="H452" s="95" t="str">
        <f>IFERROR(IFERROR(VLOOKUP(D452,Lookup!$G$2:$H$7,2,FALSE),1)*IF(F452="Yes",VLOOKUP(A452,$A$21:$C$386,3,FALSE),VLOOKUP(A452,$A$21:$B$386,2,FALSE)),"")</f>
        <v/>
      </c>
      <c r="I452" s="95" t="str">
        <f t="shared" ref="I452:I483" si="4">IFERROR(E452*H452,"")</f>
        <v/>
      </c>
      <c r="J452" s="95" t="str">
        <f>IFERROR(IF(F452="Yes",0,I452*Lookup!$B$8),"")</f>
        <v/>
      </c>
      <c r="K452" s="95">
        <f>IF(IFERROR(VLOOKUP(A452,$A$2:$A$20,1,FALSE),0)&lt;&gt;0, IF(A452="Suballocation", G452, G452*IFERROR(VLOOKUP(D452,Lookup!$G$2:$H$7,2,FALSE),1)), SUM(I452:J452))</f>
        <v>0</v>
      </c>
      <c r="L452" s="95">
        <f>K452*(1+IFERROR(VLOOKUP(IF(OR(Funding!$H$5=Lookup!$A$20,Funding!$H$5=""),0,IF(AND(Lookup!$B$23&lt;&gt;1,M452="Full(Match)"),IF(D452="",Lookup!$G$2,D452)&amp;Expenses!M452,IF(Funding!$H$5=Lookup!$A$19,Lookup!$A$19,"")&amp;IF(M452="Full(Match)","Full",M452))),Lookup!$A$28:$F$36,6,FALSE),0))</f>
        <v>0</v>
      </c>
      <c r="M452" s="4" t="str">
        <f>IF(A452&lt;&gt;"",IF(OR(A452="Travel",AND(IFERROR(VLOOKUP(A452,$A$21:$A$386,1,FALSE),0)&lt;&gt;0,F452&lt;&gt;"Yes")),"Full(Match)",IFERROR(VLOOKUP(A452,Lookup!$D$2:$E$20,2,FALSE),"Full")),"")</f>
        <v/>
      </c>
    </row>
    <row r="453" spans="1:13" x14ac:dyDescent="0.25">
      <c r="A453" s="123"/>
      <c r="B453" s="121"/>
      <c r="C453" s="121"/>
      <c r="D453" s="125"/>
      <c r="E453" s="124"/>
      <c r="F453" s="3"/>
      <c r="G453" s="130"/>
      <c r="H453" s="95" t="str">
        <f>IFERROR(IFERROR(VLOOKUP(D453,Lookup!$G$2:$H$7,2,FALSE),1)*IF(F453="Yes",VLOOKUP(A453,$A$21:$C$386,3,FALSE),VLOOKUP(A453,$A$21:$B$386,2,FALSE)),"")</f>
        <v/>
      </c>
      <c r="I453" s="95" t="str">
        <f t="shared" si="4"/>
        <v/>
      </c>
      <c r="J453" s="95" t="str">
        <f>IFERROR(IF(F453="Yes",0,I453*Lookup!$B$8),"")</f>
        <v/>
      </c>
      <c r="K453" s="95">
        <f>IF(IFERROR(VLOOKUP(A453,$A$2:$A$20,1,FALSE),0)&lt;&gt;0, IF(A453="Suballocation", G453, G453*IFERROR(VLOOKUP(D453,Lookup!$G$2:$H$7,2,FALSE),1)), SUM(I453:J453))</f>
        <v>0</v>
      </c>
      <c r="L453" s="95">
        <f>K453*(1+IFERROR(VLOOKUP(IF(OR(Funding!$H$5=Lookup!$A$20,Funding!$H$5=""),0,IF(AND(Lookup!$B$23&lt;&gt;1,M453="Full(Match)"),IF(D453="",Lookup!$G$2,D453)&amp;Expenses!M453,IF(Funding!$H$5=Lookup!$A$19,Lookup!$A$19,"")&amp;IF(M453="Full(Match)","Full",M453))),Lookup!$A$28:$F$36,6,FALSE),0))</f>
        <v>0</v>
      </c>
      <c r="M453" s="4" t="str">
        <f>IF(A453&lt;&gt;"",IF(OR(A453="Travel",AND(IFERROR(VLOOKUP(A453,$A$21:$A$386,1,FALSE),0)&lt;&gt;0,F453&lt;&gt;"Yes")),"Full(Match)",IFERROR(VLOOKUP(A453,Lookup!$D$2:$E$20,2,FALSE),"Full")),"")</f>
        <v/>
      </c>
    </row>
    <row r="454" spans="1:13" x14ac:dyDescent="0.25">
      <c r="A454" s="123"/>
      <c r="B454" s="121"/>
      <c r="C454" s="121"/>
      <c r="D454" s="125"/>
      <c r="E454" s="124"/>
      <c r="F454" s="3"/>
      <c r="G454" s="130"/>
      <c r="H454" s="95" t="str">
        <f>IFERROR(IFERROR(VLOOKUP(D454,Lookup!$G$2:$H$7,2,FALSE),1)*IF(F454="Yes",VLOOKUP(A454,$A$21:$C$386,3,FALSE),VLOOKUP(A454,$A$21:$B$386,2,FALSE)),"")</f>
        <v/>
      </c>
      <c r="I454" s="95" t="str">
        <f t="shared" si="4"/>
        <v/>
      </c>
      <c r="J454" s="95" t="str">
        <f>IFERROR(IF(F454="Yes",0,I454*Lookup!$B$8),"")</f>
        <v/>
      </c>
      <c r="K454" s="95">
        <f>IF(IFERROR(VLOOKUP(A454,$A$2:$A$20,1,FALSE),0)&lt;&gt;0, IF(A454="Suballocation", G454, G454*IFERROR(VLOOKUP(D454,Lookup!$G$2:$H$7,2,FALSE),1)), SUM(I454:J454))</f>
        <v>0</v>
      </c>
      <c r="L454" s="95">
        <f>K454*(1+IFERROR(VLOOKUP(IF(OR(Funding!$H$5=Lookup!$A$20,Funding!$H$5=""),0,IF(AND(Lookup!$B$23&lt;&gt;1,M454="Full(Match)"),IF(D454="",Lookup!$G$2,D454)&amp;Expenses!M454,IF(Funding!$H$5=Lookup!$A$19,Lookup!$A$19,"")&amp;IF(M454="Full(Match)","Full",M454))),Lookup!$A$28:$F$36,6,FALSE),0))</f>
        <v>0</v>
      </c>
      <c r="M454" s="4" t="str">
        <f>IF(A454&lt;&gt;"",IF(OR(A454="Travel",AND(IFERROR(VLOOKUP(A454,$A$21:$A$386,1,FALSE),0)&lt;&gt;0,F454&lt;&gt;"Yes")),"Full(Match)",IFERROR(VLOOKUP(A454,Lookup!$D$2:$E$20,2,FALSE),"Full")),"")</f>
        <v/>
      </c>
    </row>
    <row r="455" spans="1:13" x14ac:dyDescent="0.25">
      <c r="A455" s="123"/>
      <c r="B455" s="121"/>
      <c r="C455" s="121"/>
      <c r="D455" s="125"/>
      <c r="E455" s="124"/>
      <c r="F455" s="3"/>
      <c r="G455" s="130"/>
      <c r="H455" s="95" t="str">
        <f>IFERROR(IFERROR(VLOOKUP(D455,Lookup!$G$2:$H$7,2,FALSE),1)*IF(F455="Yes",VLOOKUP(A455,$A$21:$C$386,3,FALSE),VLOOKUP(A455,$A$21:$B$386,2,FALSE)),"")</f>
        <v/>
      </c>
      <c r="I455" s="95" t="str">
        <f t="shared" si="4"/>
        <v/>
      </c>
      <c r="J455" s="95" t="str">
        <f>IFERROR(IF(F455="Yes",0,I455*Lookup!$B$8),"")</f>
        <v/>
      </c>
      <c r="K455" s="95">
        <f>IF(IFERROR(VLOOKUP(A455,$A$2:$A$20,1,FALSE),0)&lt;&gt;0, IF(A455="Suballocation", G455, G455*IFERROR(VLOOKUP(D455,Lookup!$G$2:$H$7,2,FALSE),1)), SUM(I455:J455))</f>
        <v>0</v>
      </c>
      <c r="L455" s="95">
        <f>K455*(1+IFERROR(VLOOKUP(IF(OR(Funding!$H$5=Lookup!$A$20,Funding!$H$5=""),0,IF(AND(Lookup!$B$23&lt;&gt;1,M455="Full(Match)"),IF(D455="",Lookup!$G$2,D455)&amp;Expenses!M455,IF(Funding!$H$5=Lookup!$A$19,Lookup!$A$19,"")&amp;IF(M455="Full(Match)","Full",M455))),Lookup!$A$28:$F$36,6,FALSE),0))</f>
        <v>0</v>
      </c>
      <c r="M455" s="4" t="str">
        <f>IF(A455&lt;&gt;"",IF(OR(A455="Travel",AND(IFERROR(VLOOKUP(A455,$A$21:$A$386,1,FALSE),0)&lt;&gt;0,F455&lt;&gt;"Yes")),"Full(Match)",IFERROR(VLOOKUP(A455,Lookup!$D$2:$E$20,2,FALSE),"Full")),"")</f>
        <v/>
      </c>
    </row>
    <row r="456" spans="1:13" x14ac:dyDescent="0.25">
      <c r="A456" s="123"/>
      <c r="B456" s="121"/>
      <c r="C456" s="121"/>
      <c r="D456" s="125"/>
      <c r="E456" s="124"/>
      <c r="F456" s="3"/>
      <c r="G456" s="130"/>
      <c r="H456" s="95" t="str">
        <f>IFERROR(IFERROR(VLOOKUP(D456,Lookup!$G$2:$H$7,2,FALSE),1)*IF(F456="Yes",VLOOKUP(A456,$A$21:$C$386,3,FALSE),VLOOKUP(A456,$A$21:$B$386,2,FALSE)),"")</f>
        <v/>
      </c>
      <c r="I456" s="95" t="str">
        <f t="shared" si="4"/>
        <v/>
      </c>
      <c r="J456" s="95" t="str">
        <f>IFERROR(IF(F456="Yes",0,I456*Lookup!$B$8),"")</f>
        <v/>
      </c>
      <c r="K456" s="95">
        <f>IF(IFERROR(VLOOKUP(A456,$A$2:$A$20,1,FALSE),0)&lt;&gt;0, IF(A456="Suballocation", G456, G456*IFERROR(VLOOKUP(D456,Lookup!$G$2:$H$7,2,FALSE),1)), SUM(I456:J456))</f>
        <v>0</v>
      </c>
      <c r="L456" s="95">
        <f>K456*(1+IFERROR(VLOOKUP(IF(OR(Funding!$H$5=Lookup!$A$20,Funding!$H$5=""),0,IF(AND(Lookup!$B$23&lt;&gt;1,M456="Full(Match)"),IF(D456="",Lookup!$G$2,D456)&amp;Expenses!M456,IF(Funding!$H$5=Lookup!$A$19,Lookup!$A$19,"")&amp;IF(M456="Full(Match)","Full",M456))),Lookup!$A$28:$F$36,6,FALSE),0))</f>
        <v>0</v>
      </c>
      <c r="M456" s="4" t="str">
        <f>IF(A456&lt;&gt;"",IF(OR(A456="Travel",AND(IFERROR(VLOOKUP(A456,$A$21:$A$386,1,FALSE),0)&lt;&gt;0,F456&lt;&gt;"Yes")),"Full(Match)",IFERROR(VLOOKUP(A456,Lookup!$D$2:$E$20,2,FALSE),"Full")),"")</f>
        <v/>
      </c>
    </row>
    <row r="457" spans="1:13" x14ac:dyDescent="0.25">
      <c r="A457" s="123"/>
      <c r="B457" s="121"/>
      <c r="C457" s="121"/>
      <c r="D457" s="125"/>
      <c r="E457" s="124"/>
      <c r="F457" s="3"/>
      <c r="G457" s="130"/>
      <c r="H457" s="95" t="str">
        <f>IFERROR(IFERROR(VLOOKUP(D457,Lookup!$G$2:$H$7,2,FALSE),1)*IF(F457="Yes",VLOOKUP(A457,$A$21:$C$386,3,FALSE),VLOOKUP(A457,$A$21:$B$386,2,FALSE)),"")</f>
        <v/>
      </c>
      <c r="I457" s="95" t="str">
        <f t="shared" si="4"/>
        <v/>
      </c>
      <c r="J457" s="95" t="str">
        <f>IFERROR(IF(F457="Yes",0,I457*Lookup!$B$8),"")</f>
        <v/>
      </c>
      <c r="K457" s="95">
        <f>IF(IFERROR(VLOOKUP(A457,$A$2:$A$20,1,FALSE),0)&lt;&gt;0, IF(A457="Suballocation", G457, G457*IFERROR(VLOOKUP(D457,Lookup!$G$2:$H$7,2,FALSE),1)), SUM(I457:J457))</f>
        <v>0</v>
      </c>
      <c r="L457" s="95">
        <f>K457*(1+IFERROR(VLOOKUP(IF(OR(Funding!$H$5=Lookup!$A$20,Funding!$H$5=""),0,IF(AND(Lookup!$B$23&lt;&gt;1,M457="Full(Match)"),IF(D457="",Lookup!$G$2,D457)&amp;Expenses!M457,IF(Funding!$H$5=Lookup!$A$19,Lookup!$A$19,"")&amp;IF(M457="Full(Match)","Full",M457))),Lookup!$A$28:$F$36,6,FALSE),0))</f>
        <v>0</v>
      </c>
      <c r="M457" s="4" t="str">
        <f>IF(A457&lt;&gt;"",IF(OR(A457="Travel",AND(IFERROR(VLOOKUP(A457,$A$21:$A$386,1,FALSE),0)&lt;&gt;0,F457&lt;&gt;"Yes")),"Full(Match)",IFERROR(VLOOKUP(A457,Lookup!$D$2:$E$20,2,FALSE),"Full")),"")</f>
        <v/>
      </c>
    </row>
    <row r="458" spans="1:13" x14ac:dyDescent="0.25">
      <c r="A458" s="123"/>
      <c r="B458" s="121"/>
      <c r="C458" s="121"/>
      <c r="D458" s="125"/>
      <c r="E458" s="124"/>
      <c r="F458" s="3"/>
      <c r="G458" s="130"/>
      <c r="H458" s="95" t="str">
        <f>IFERROR(IFERROR(VLOOKUP(D458,Lookup!$G$2:$H$7,2,FALSE),1)*IF(F458="Yes",VLOOKUP(A458,$A$21:$C$386,3,FALSE),VLOOKUP(A458,$A$21:$B$386,2,FALSE)),"")</f>
        <v/>
      </c>
      <c r="I458" s="95" t="str">
        <f t="shared" si="4"/>
        <v/>
      </c>
      <c r="J458" s="95" t="str">
        <f>IFERROR(IF(F458="Yes",0,I458*Lookup!$B$8),"")</f>
        <v/>
      </c>
      <c r="K458" s="95">
        <f>IF(IFERROR(VLOOKUP(A458,$A$2:$A$20,1,FALSE),0)&lt;&gt;0, IF(A458="Suballocation", G458, G458*IFERROR(VLOOKUP(D458,Lookup!$G$2:$H$7,2,FALSE),1)), SUM(I458:J458))</f>
        <v>0</v>
      </c>
      <c r="L458" s="95">
        <f>K458*(1+IFERROR(VLOOKUP(IF(OR(Funding!$H$5=Lookup!$A$20,Funding!$H$5=""),0,IF(AND(Lookup!$B$23&lt;&gt;1,M458="Full(Match)"),IF(D458="",Lookup!$G$2,D458)&amp;Expenses!M458,IF(Funding!$H$5=Lookup!$A$19,Lookup!$A$19,"")&amp;IF(M458="Full(Match)","Full",M458))),Lookup!$A$28:$F$36,6,FALSE),0))</f>
        <v>0</v>
      </c>
      <c r="M458" s="4" t="str">
        <f>IF(A458&lt;&gt;"",IF(OR(A458="Travel",AND(IFERROR(VLOOKUP(A458,$A$21:$A$386,1,FALSE),0)&lt;&gt;0,F458&lt;&gt;"Yes")),"Full(Match)",IFERROR(VLOOKUP(A458,Lookup!$D$2:$E$20,2,FALSE),"Full")),"")</f>
        <v/>
      </c>
    </row>
    <row r="459" spans="1:13" x14ac:dyDescent="0.25">
      <c r="A459" s="123"/>
      <c r="B459" s="121"/>
      <c r="C459" s="121"/>
      <c r="D459" s="125"/>
      <c r="E459" s="124"/>
      <c r="F459" s="3"/>
      <c r="G459" s="130"/>
      <c r="H459" s="95" t="str">
        <f>IFERROR(IFERROR(VLOOKUP(D459,Lookup!$G$2:$H$7,2,FALSE),1)*IF(F459="Yes",VLOOKUP(A459,$A$21:$C$386,3,FALSE),VLOOKUP(A459,$A$21:$B$386,2,FALSE)),"")</f>
        <v/>
      </c>
      <c r="I459" s="95" t="str">
        <f t="shared" si="4"/>
        <v/>
      </c>
      <c r="J459" s="95" t="str">
        <f>IFERROR(IF(F459="Yes",0,I459*Lookup!$B$8),"")</f>
        <v/>
      </c>
      <c r="K459" s="95">
        <f>IF(IFERROR(VLOOKUP(A459,$A$2:$A$20,1,FALSE),0)&lt;&gt;0, IF(A459="Suballocation", G459, G459*IFERROR(VLOOKUP(D459,Lookup!$G$2:$H$7,2,FALSE),1)), SUM(I459:J459))</f>
        <v>0</v>
      </c>
      <c r="L459" s="95">
        <f>K459*(1+IFERROR(VLOOKUP(IF(OR(Funding!$H$5=Lookup!$A$20,Funding!$H$5=""),0,IF(AND(Lookup!$B$23&lt;&gt;1,M459="Full(Match)"),IF(D459="",Lookup!$G$2,D459)&amp;Expenses!M459,IF(Funding!$H$5=Lookup!$A$19,Lookup!$A$19,"")&amp;IF(M459="Full(Match)","Full",M459))),Lookup!$A$28:$F$36,6,FALSE),0))</f>
        <v>0</v>
      </c>
      <c r="M459" s="4" t="str">
        <f>IF(A459&lt;&gt;"",IF(OR(A459="Travel",AND(IFERROR(VLOOKUP(A459,$A$21:$A$386,1,FALSE),0)&lt;&gt;0,F459&lt;&gt;"Yes")),"Full(Match)",IFERROR(VLOOKUP(A459,Lookup!$D$2:$E$20,2,FALSE),"Full")),"")</f>
        <v/>
      </c>
    </row>
    <row r="460" spans="1:13" x14ac:dyDescent="0.25">
      <c r="A460" s="123"/>
      <c r="B460" s="121"/>
      <c r="C460" s="121"/>
      <c r="D460" s="125"/>
      <c r="E460" s="124"/>
      <c r="F460" s="3"/>
      <c r="G460" s="130"/>
      <c r="H460" s="95" t="str">
        <f>IFERROR(IFERROR(VLOOKUP(D460,Lookup!$G$2:$H$7,2,FALSE),1)*IF(F460="Yes",VLOOKUP(A460,$A$21:$C$386,3,FALSE),VLOOKUP(A460,$A$21:$B$386,2,FALSE)),"")</f>
        <v/>
      </c>
      <c r="I460" s="95" t="str">
        <f t="shared" si="4"/>
        <v/>
      </c>
      <c r="J460" s="95" t="str">
        <f>IFERROR(IF(F460="Yes",0,I460*Lookup!$B$8),"")</f>
        <v/>
      </c>
      <c r="K460" s="95">
        <f>IF(IFERROR(VLOOKUP(A460,$A$2:$A$20,1,FALSE),0)&lt;&gt;0, IF(A460="Suballocation", G460, G460*IFERROR(VLOOKUP(D460,Lookup!$G$2:$H$7,2,FALSE),1)), SUM(I460:J460))</f>
        <v>0</v>
      </c>
      <c r="L460" s="95">
        <f>K460*(1+IFERROR(VLOOKUP(IF(OR(Funding!$H$5=Lookup!$A$20,Funding!$H$5=""),0,IF(AND(Lookup!$B$23&lt;&gt;1,M460="Full(Match)"),IF(D460="",Lookup!$G$2,D460)&amp;Expenses!M460,IF(Funding!$H$5=Lookup!$A$19,Lookup!$A$19,"")&amp;IF(M460="Full(Match)","Full",M460))),Lookup!$A$28:$F$36,6,FALSE),0))</f>
        <v>0</v>
      </c>
      <c r="M460" s="4" t="str">
        <f>IF(A460&lt;&gt;"",IF(OR(A460="Travel",AND(IFERROR(VLOOKUP(A460,$A$21:$A$386,1,FALSE),0)&lt;&gt;0,F460&lt;&gt;"Yes")),"Full(Match)",IFERROR(VLOOKUP(A460,Lookup!$D$2:$E$20,2,FALSE),"Full")),"")</f>
        <v/>
      </c>
    </row>
    <row r="461" spans="1:13" x14ac:dyDescent="0.25">
      <c r="A461" s="123"/>
      <c r="B461" s="121"/>
      <c r="C461" s="121"/>
      <c r="D461" s="125"/>
      <c r="E461" s="124"/>
      <c r="F461" s="3"/>
      <c r="G461" s="130"/>
      <c r="H461" s="95" t="str">
        <f>IFERROR(IFERROR(VLOOKUP(D461,Lookup!$G$2:$H$7,2,FALSE),1)*IF(F461="Yes",VLOOKUP(A461,$A$21:$C$386,3,FALSE),VLOOKUP(A461,$A$21:$B$386,2,FALSE)),"")</f>
        <v/>
      </c>
      <c r="I461" s="95" t="str">
        <f t="shared" si="4"/>
        <v/>
      </c>
      <c r="J461" s="95" t="str">
        <f>IFERROR(IF(F461="Yes",0,I461*Lookup!$B$8),"")</f>
        <v/>
      </c>
      <c r="K461" s="95">
        <f>IF(IFERROR(VLOOKUP(A461,$A$2:$A$20,1,FALSE),0)&lt;&gt;0, IF(A461="Suballocation", G461, G461*IFERROR(VLOOKUP(D461,Lookup!$G$2:$H$7,2,FALSE),1)), SUM(I461:J461))</f>
        <v>0</v>
      </c>
      <c r="L461" s="95">
        <f>K461*(1+IFERROR(VLOOKUP(IF(OR(Funding!$H$5=Lookup!$A$20,Funding!$H$5=""),0,IF(AND(Lookup!$B$23&lt;&gt;1,M461="Full(Match)"),IF(D461="",Lookup!$G$2,D461)&amp;Expenses!M461,IF(Funding!$H$5=Lookup!$A$19,Lookup!$A$19,"")&amp;IF(M461="Full(Match)","Full",M461))),Lookup!$A$28:$F$36,6,FALSE),0))</f>
        <v>0</v>
      </c>
      <c r="M461" s="4" t="str">
        <f>IF(A461&lt;&gt;"",IF(OR(A461="Travel",AND(IFERROR(VLOOKUP(A461,$A$21:$A$386,1,FALSE),0)&lt;&gt;0,F461&lt;&gt;"Yes")),"Full(Match)",IFERROR(VLOOKUP(A461,Lookup!$D$2:$E$20,2,FALSE),"Full")),"")</f>
        <v/>
      </c>
    </row>
    <row r="462" spans="1:13" x14ac:dyDescent="0.25">
      <c r="A462" s="123"/>
      <c r="B462" s="121"/>
      <c r="C462" s="121"/>
      <c r="D462" s="125"/>
      <c r="E462" s="124"/>
      <c r="F462" s="3"/>
      <c r="G462" s="130"/>
      <c r="H462" s="95" t="str">
        <f>IFERROR(IFERROR(VLOOKUP(D462,Lookup!$G$2:$H$7,2,FALSE),1)*IF(F462="Yes",VLOOKUP(A462,$A$21:$C$386,3,FALSE),VLOOKUP(A462,$A$21:$B$386,2,FALSE)),"")</f>
        <v/>
      </c>
      <c r="I462" s="95" t="str">
        <f t="shared" si="4"/>
        <v/>
      </c>
      <c r="J462" s="95" t="str">
        <f>IFERROR(IF(F462="Yes",0,I462*Lookup!$B$8),"")</f>
        <v/>
      </c>
      <c r="K462" s="95">
        <f>IF(IFERROR(VLOOKUP(A462,$A$2:$A$20,1,FALSE),0)&lt;&gt;0, IF(A462="Suballocation", G462, G462*IFERROR(VLOOKUP(D462,Lookup!$G$2:$H$7,2,FALSE),1)), SUM(I462:J462))</f>
        <v>0</v>
      </c>
      <c r="L462" s="95">
        <f>K462*(1+IFERROR(VLOOKUP(IF(OR(Funding!$H$5=Lookup!$A$20,Funding!$H$5=""),0,IF(AND(Lookup!$B$23&lt;&gt;1,M462="Full(Match)"),IF(D462="",Lookup!$G$2,D462)&amp;Expenses!M462,IF(Funding!$H$5=Lookup!$A$19,Lookup!$A$19,"")&amp;IF(M462="Full(Match)","Full",M462))),Lookup!$A$28:$F$36,6,FALSE),0))</f>
        <v>0</v>
      </c>
      <c r="M462" s="4" t="str">
        <f>IF(A462&lt;&gt;"",IF(OR(A462="Travel",AND(IFERROR(VLOOKUP(A462,$A$21:$A$386,1,FALSE),0)&lt;&gt;0,F462&lt;&gt;"Yes")),"Full(Match)",IFERROR(VLOOKUP(A462,Lookup!$D$2:$E$20,2,FALSE),"Full")),"")</f>
        <v/>
      </c>
    </row>
    <row r="463" spans="1:13" x14ac:dyDescent="0.25">
      <c r="A463" s="123"/>
      <c r="B463" s="121"/>
      <c r="C463" s="121"/>
      <c r="D463" s="125"/>
      <c r="E463" s="124"/>
      <c r="F463" s="3"/>
      <c r="G463" s="130"/>
      <c r="H463" s="95" t="str">
        <f>IFERROR(IFERROR(VLOOKUP(D463,Lookup!$G$2:$H$7,2,FALSE),1)*IF(F463="Yes",VLOOKUP(A463,$A$21:$C$386,3,FALSE),VLOOKUP(A463,$A$21:$B$386,2,FALSE)),"")</f>
        <v/>
      </c>
      <c r="I463" s="95" t="str">
        <f t="shared" si="4"/>
        <v/>
      </c>
      <c r="J463" s="95" t="str">
        <f>IFERROR(IF(F463="Yes",0,I463*Lookup!$B$8),"")</f>
        <v/>
      </c>
      <c r="K463" s="95">
        <f>IF(IFERROR(VLOOKUP(A463,$A$2:$A$20,1,FALSE),0)&lt;&gt;0, IF(A463="Suballocation", G463, G463*IFERROR(VLOOKUP(D463,Lookup!$G$2:$H$7,2,FALSE),1)), SUM(I463:J463))</f>
        <v>0</v>
      </c>
      <c r="L463" s="95">
        <f>K463*(1+IFERROR(VLOOKUP(IF(OR(Funding!$H$5=Lookup!$A$20,Funding!$H$5=""),0,IF(AND(Lookup!$B$23&lt;&gt;1,M463="Full(Match)"),IF(D463="",Lookup!$G$2,D463)&amp;Expenses!M463,IF(Funding!$H$5=Lookup!$A$19,Lookup!$A$19,"")&amp;IF(M463="Full(Match)","Full",M463))),Lookup!$A$28:$F$36,6,FALSE),0))</f>
        <v>0</v>
      </c>
      <c r="M463" s="4" t="str">
        <f>IF(A463&lt;&gt;"",IF(OR(A463="Travel",AND(IFERROR(VLOOKUP(A463,$A$21:$A$386,1,FALSE),0)&lt;&gt;0,F463&lt;&gt;"Yes")),"Full(Match)",IFERROR(VLOOKUP(A463,Lookup!$D$2:$E$20,2,FALSE),"Full")),"")</f>
        <v/>
      </c>
    </row>
    <row r="464" spans="1:13" x14ac:dyDescent="0.25">
      <c r="A464" s="123"/>
      <c r="B464" s="121"/>
      <c r="C464" s="121"/>
      <c r="D464" s="125"/>
      <c r="E464" s="124"/>
      <c r="F464" s="3"/>
      <c r="G464" s="130"/>
      <c r="H464" s="95" t="str">
        <f>IFERROR(IFERROR(VLOOKUP(D464,Lookup!$G$2:$H$7,2,FALSE),1)*IF(F464="Yes",VLOOKUP(A464,$A$21:$C$386,3,FALSE),VLOOKUP(A464,$A$21:$B$386,2,FALSE)),"")</f>
        <v/>
      </c>
      <c r="I464" s="95" t="str">
        <f t="shared" si="4"/>
        <v/>
      </c>
      <c r="J464" s="95" t="str">
        <f>IFERROR(IF(F464="Yes",0,I464*Lookup!$B$8),"")</f>
        <v/>
      </c>
      <c r="K464" s="95">
        <f>IF(IFERROR(VLOOKUP(A464,$A$2:$A$20,1,FALSE),0)&lt;&gt;0, IF(A464="Suballocation", G464, G464*IFERROR(VLOOKUP(D464,Lookup!$G$2:$H$7,2,FALSE),1)), SUM(I464:J464))</f>
        <v>0</v>
      </c>
      <c r="L464" s="95">
        <f>K464*(1+IFERROR(VLOOKUP(IF(OR(Funding!$H$5=Lookup!$A$20,Funding!$H$5=""),0,IF(AND(Lookup!$B$23&lt;&gt;1,M464="Full(Match)"),IF(D464="",Lookup!$G$2,D464)&amp;Expenses!M464,IF(Funding!$H$5=Lookup!$A$19,Lookup!$A$19,"")&amp;IF(M464="Full(Match)","Full",M464))),Lookup!$A$28:$F$36,6,FALSE),0))</f>
        <v>0</v>
      </c>
      <c r="M464" s="4" t="str">
        <f>IF(A464&lt;&gt;"",IF(OR(A464="Travel",AND(IFERROR(VLOOKUP(A464,$A$21:$A$386,1,FALSE),0)&lt;&gt;0,F464&lt;&gt;"Yes")),"Full(Match)",IFERROR(VLOOKUP(A464,Lookup!$D$2:$E$20,2,FALSE),"Full")),"")</f>
        <v/>
      </c>
    </row>
    <row r="465" spans="1:13" x14ac:dyDescent="0.25">
      <c r="A465" s="120"/>
      <c r="B465" s="122"/>
      <c r="C465" s="122"/>
      <c r="D465" s="126"/>
      <c r="E465" s="127"/>
      <c r="F465" s="2"/>
      <c r="G465" s="128"/>
      <c r="H465" s="95" t="str">
        <f>IFERROR(IFERROR(VLOOKUP(D465,Lookup!$G$2:$H$7,2,FALSE),1)*IF(F465="Yes",VLOOKUP(A465,$A$21:$C$386,3,FALSE),VLOOKUP(A465,$A$21:$B$386,2,FALSE)),"")</f>
        <v/>
      </c>
      <c r="I465" s="95" t="str">
        <f t="shared" si="4"/>
        <v/>
      </c>
      <c r="J465" s="95" t="str">
        <f>IFERROR(IF(F465="Yes",0,I465*Lookup!$B$8),"")</f>
        <v/>
      </c>
      <c r="K465" s="95">
        <f>IF(IFERROR(VLOOKUP(A465,$A$2:$A$20,1,FALSE),0)&lt;&gt;0, IF(A465="Suballocation", G465, G465*IFERROR(VLOOKUP(D465,Lookup!$G$2:$H$7,2,FALSE),1)), SUM(I465:J465))</f>
        <v>0</v>
      </c>
      <c r="L465" s="95">
        <f>K465*(1+IFERROR(VLOOKUP(IF(OR(Funding!$H$5=Lookup!$A$20,Funding!$H$5=""),0,IF(AND(Lookup!$B$23&lt;&gt;1,M465="Full(Match)"),IF(D465="",Lookup!$G$2,D465)&amp;Expenses!M465,IF(Funding!$H$5=Lookup!$A$19,Lookup!$A$19,"")&amp;IF(M465="Full(Match)","Full",M465))),Lookup!$A$28:$F$36,6,FALSE),0))</f>
        <v>0</v>
      </c>
      <c r="M465" s="4" t="str">
        <f>IF(A465&lt;&gt;"",IF(OR(A465="Travel",AND(IFERROR(VLOOKUP(A465,$A$21:$A$386,1,FALSE),0)&lt;&gt;0,F465&lt;&gt;"Yes")),"Full(Match)",IFERROR(VLOOKUP(A465,Lookup!$D$2:$E$20,2,FALSE),"Full")),"")</f>
        <v/>
      </c>
    </row>
    <row r="466" spans="1:13" x14ac:dyDescent="0.25">
      <c r="A466" s="120"/>
      <c r="B466" s="121"/>
      <c r="C466" s="121"/>
      <c r="D466" s="125"/>
      <c r="E466" s="124"/>
      <c r="F466" s="3"/>
      <c r="G466" s="128"/>
      <c r="H466" s="95" t="str">
        <f>IFERROR(IFERROR(VLOOKUP(D466,Lookup!$G$2:$H$7,2,FALSE),1)*IF(F466="Yes",VLOOKUP(A466,$A$21:$C$386,3,FALSE),VLOOKUP(A466,$A$21:$B$386,2,FALSE)),"")</f>
        <v/>
      </c>
      <c r="I466" s="95" t="str">
        <f t="shared" si="4"/>
        <v/>
      </c>
      <c r="J466" s="95" t="str">
        <f>IFERROR(IF(F466="Yes",0,I466*Lookup!$B$8),"")</f>
        <v/>
      </c>
      <c r="K466" s="95">
        <f>IF(IFERROR(VLOOKUP(A466,$A$2:$A$20,1,FALSE),0)&lt;&gt;0, IF(A466="Suballocation", G466, G466*IFERROR(VLOOKUP(D466,Lookup!$G$2:$H$7,2,FALSE),1)), SUM(I466:J466))</f>
        <v>0</v>
      </c>
      <c r="L466" s="95">
        <f>K466*(1+IFERROR(VLOOKUP(IF(OR(Funding!$H$5=Lookup!$A$20,Funding!$H$5=""),0,IF(AND(Lookup!$B$23&lt;&gt;1,M466="Full(Match)"),IF(D466="",Lookup!$G$2,D466)&amp;Expenses!M466,IF(Funding!$H$5=Lookup!$A$19,Lookup!$A$19,"")&amp;IF(M466="Full(Match)","Full",M466))),Lookup!$A$28:$F$36,6,FALSE),0))</f>
        <v>0</v>
      </c>
      <c r="M466" s="4" t="str">
        <f>IF(A466&lt;&gt;"",IF(OR(A466="Travel",AND(IFERROR(VLOOKUP(A466,$A$21:$A$386,1,FALSE),0)&lt;&gt;0,F466&lt;&gt;"Yes")),"Full(Match)",IFERROR(VLOOKUP(A466,Lookup!$D$2:$E$20,2,FALSE),"Full")),"")</f>
        <v/>
      </c>
    </row>
    <row r="467" spans="1:13" x14ac:dyDescent="0.25">
      <c r="A467" s="120"/>
      <c r="B467" s="121"/>
      <c r="C467" s="121"/>
      <c r="D467" s="125"/>
      <c r="E467" s="124"/>
      <c r="G467" s="128"/>
      <c r="H467" s="95" t="str">
        <f>IFERROR(IFERROR(VLOOKUP(D467,Lookup!$G$2:$H$7,2,FALSE),1)*IF(F467="Yes",VLOOKUP(A467,$A$21:$C$386,3,FALSE),VLOOKUP(A467,$A$21:$B$386,2,FALSE)),"")</f>
        <v/>
      </c>
      <c r="I467" s="95" t="str">
        <f t="shared" si="4"/>
        <v/>
      </c>
      <c r="J467" s="95" t="str">
        <f>IFERROR(IF(F467="Yes",0,I467*Lookup!$B$8),"")</f>
        <v/>
      </c>
      <c r="K467" s="95">
        <f>IF(IFERROR(VLOOKUP(A467,$A$2:$A$20,1,FALSE),0)&lt;&gt;0, IF(A467="Suballocation", G467, G467*IFERROR(VLOOKUP(D467,Lookup!$G$2:$H$7,2,FALSE),1)), SUM(I467:J467))</f>
        <v>0</v>
      </c>
      <c r="L467" s="95">
        <f>K467*(1+IFERROR(VLOOKUP(IF(OR(Funding!$H$5=Lookup!$A$20,Funding!$H$5=""),0,IF(AND(Lookup!$B$23&lt;&gt;1,M467="Full(Match)"),IF(D467="",Lookup!$G$2,D467)&amp;Expenses!M467,IF(Funding!$H$5=Lookup!$A$19,Lookup!$A$19,"")&amp;IF(M467="Full(Match)","Full",M467))),Lookup!$A$28:$F$36,6,FALSE),0))</f>
        <v>0</v>
      </c>
      <c r="M467" s="4" t="str">
        <f>IF(A467&lt;&gt;"",IF(OR(A467="Travel",AND(IFERROR(VLOOKUP(A467,$A$21:$A$386,1,FALSE),0)&lt;&gt;0,F467&lt;&gt;"Yes")),"Full(Match)",IFERROR(VLOOKUP(A467,Lookup!$D$2:$E$20,2,FALSE),"Full")),"")</f>
        <v/>
      </c>
    </row>
    <row r="468" spans="1:13" x14ac:dyDescent="0.25">
      <c r="A468" s="120"/>
      <c r="B468" s="122"/>
      <c r="C468" s="122"/>
      <c r="D468" s="126"/>
      <c r="E468" s="127"/>
      <c r="F468" s="2"/>
      <c r="G468" s="128"/>
      <c r="H468" s="95" t="str">
        <f>IFERROR(IFERROR(VLOOKUP(D468,Lookup!$G$2:$H$7,2,FALSE),1)*IF(F468="Yes",VLOOKUP(A468,$A$21:$C$386,3,FALSE),VLOOKUP(A468,$A$21:$B$386,2,FALSE)),"")</f>
        <v/>
      </c>
      <c r="I468" s="95" t="str">
        <f t="shared" si="4"/>
        <v/>
      </c>
      <c r="J468" s="95" t="str">
        <f>IFERROR(IF(F468="Yes",0,I468*Lookup!$B$8),"")</f>
        <v/>
      </c>
      <c r="K468" s="95">
        <f>IF(IFERROR(VLOOKUP(A468,$A$2:$A$20,1,FALSE),0)&lt;&gt;0, IF(A468="Suballocation", G468, G468*IFERROR(VLOOKUP(D468,Lookup!$G$2:$H$7,2,FALSE),1)), SUM(I468:J468))</f>
        <v>0</v>
      </c>
      <c r="L468" s="95">
        <f>K468*(1+IFERROR(VLOOKUP(IF(OR(Funding!$H$5=Lookup!$A$20,Funding!$H$5=""),0,IF(AND(Lookup!$B$23&lt;&gt;1,M468="Full(Match)"),IF(D468="",Lookup!$G$2,D468)&amp;Expenses!M468,IF(Funding!$H$5=Lookup!$A$19,Lookup!$A$19,"")&amp;IF(M468="Full(Match)","Full",M468))),Lookup!$A$28:$F$36,6,FALSE),0))</f>
        <v>0</v>
      </c>
      <c r="M468" s="4" t="str">
        <f>IF(A468&lt;&gt;"",IF(OR(A468="Travel",AND(IFERROR(VLOOKUP(A468,$A$21:$A$386,1,FALSE),0)&lt;&gt;0,F468&lt;&gt;"Yes")),"Full(Match)",IFERROR(VLOOKUP(A468,Lookup!$D$2:$E$20,2,FALSE),"Full")),"")</f>
        <v/>
      </c>
    </row>
    <row r="469" spans="1:13" x14ac:dyDescent="0.25">
      <c r="A469" s="120"/>
      <c r="B469" s="122"/>
      <c r="C469" s="122"/>
      <c r="D469" s="126"/>
      <c r="E469" s="127"/>
      <c r="F469" s="2"/>
      <c r="G469" s="128"/>
      <c r="H469" s="95" t="str">
        <f>IFERROR(IFERROR(VLOOKUP(D469,Lookup!$G$2:$H$7,2,FALSE),1)*IF(F469="Yes",VLOOKUP(A469,$A$21:$C$386,3,FALSE),VLOOKUP(A469,$A$21:$B$386,2,FALSE)),"")</f>
        <v/>
      </c>
      <c r="I469" s="95" t="str">
        <f t="shared" si="4"/>
        <v/>
      </c>
      <c r="J469" s="95" t="str">
        <f>IFERROR(IF(F469="Yes",0,I469*Lookup!$B$8),"")</f>
        <v/>
      </c>
      <c r="K469" s="95">
        <f>IF(IFERROR(VLOOKUP(A469,$A$2:$A$20,1,FALSE),0)&lt;&gt;0, IF(A469="Suballocation", G469, G469*IFERROR(VLOOKUP(D469,Lookup!$G$2:$H$7,2,FALSE),1)), SUM(I469:J469))</f>
        <v>0</v>
      </c>
      <c r="L469" s="95">
        <f>K469*(1+IFERROR(VLOOKUP(IF(OR(Funding!$H$5=Lookup!$A$20,Funding!$H$5=""),0,IF(AND(Lookup!$B$23&lt;&gt;1,M469="Full(Match)"),IF(D469="",Lookup!$G$2,D469)&amp;Expenses!M469,IF(Funding!$H$5=Lookup!$A$19,Lookup!$A$19,"")&amp;IF(M469="Full(Match)","Full",M469))),Lookup!$A$28:$F$36,6,FALSE),0))</f>
        <v>0</v>
      </c>
      <c r="M469" s="4" t="str">
        <f>IF(A469&lt;&gt;"",IF(OR(A469="Travel",AND(IFERROR(VLOOKUP(A469,$A$21:$A$386,1,FALSE),0)&lt;&gt;0,F469&lt;&gt;"Yes")),"Full(Match)",IFERROR(VLOOKUP(A469,Lookup!$D$2:$E$20,2,FALSE),"Full")),"")</f>
        <v/>
      </c>
    </row>
    <row r="470" spans="1:13" x14ac:dyDescent="0.25">
      <c r="A470" s="120"/>
      <c r="B470" s="122"/>
      <c r="C470" s="122"/>
      <c r="D470" s="126"/>
      <c r="E470" s="127"/>
      <c r="F470" s="2"/>
      <c r="G470" s="128"/>
      <c r="H470" s="95" t="str">
        <f>IFERROR(IFERROR(VLOOKUP(D470,Lookup!$G$2:$H$7,2,FALSE),1)*IF(F470="Yes",VLOOKUP(A470,$A$21:$C$386,3,FALSE),VLOOKUP(A470,$A$21:$B$386,2,FALSE)),"")</f>
        <v/>
      </c>
      <c r="I470" s="95" t="str">
        <f t="shared" si="4"/>
        <v/>
      </c>
      <c r="J470" s="95" t="str">
        <f>IFERROR(IF(F470="Yes",0,I470*Lookup!$B$8),"")</f>
        <v/>
      </c>
      <c r="K470" s="95">
        <f>IF(IFERROR(VLOOKUP(A470,$A$2:$A$20,1,FALSE),0)&lt;&gt;0, IF(A470="Suballocation", G470, G470*IFERROR(VLOOKUP(D470,Lookup!$G$2:$H$7,2,FALSE),1)), SUM(I470:J470))</f>
        <v>0</v>
      </c>
      <c r="L470" s="95">
        <f>K470*(1+IFERROR(VLOOKUP(IF(OR(Funding!$H$5=Lookup!$A$20,Funding!$H$5=""),0,IF(AND(Lookup!$B$23&lt;&gt;1,M470="Full(Match)"),IF(D470="",Lookup!$G$2,D470)&amp;Expenses!M470,IF(Funding!$H$5=Lookup!$A$19,Lookup!$A$19,"")&amp;IF(M470="Full(Match)","Full",M470))),Lookup!$A$28:$F$36,6,FALSE),0))</f>
        <v>0</v>
      </c>
      <c r="M470" s="4" t="str">
        <f>IF(A470&lt;&gt;"",IF(OR(A470="Travel",AND(IFERROR(VLOOKUP(A470,$A$21:$A$386,1,FALSE),0)&lt;&gt;0,F470&lt;&gt;"Yes")),"Full(Match)",IFERROR(VLOOKUP(A470,Lookup!$D$2:$E$20,2,FALSE),"Full")),"")</f>
        <v/>
      </c>
    </row>
    <row r="471" spans="1:13" x14ac:dyDescent="0.25">
      <c r="A471" s="120"/>
      <c r="B471" s="122"/>
      <c r="C471" s="122"/>
      <c r="D471" s="126"/>
      <c r="E471" s="127"/>
      <c r="F471" s="2"/>
      <c r="G471" s="128"/>
      <c r="H471" s="95" t="str">
        <f>IFERROR(IFERROR(VLOOKUP(D471,Lookup!$G$2:$H$7,2,FALSE),1)*IF(F471="Yes",VLOOKUP(A471,$A$21:$C$386,3,FALSE),VLOOKUP(A471,$A$21:$B$386,2,FALSE)),"")</f>
        <v/>
      </c>
      <c r="I471" s="95" t="str">
        <f t="shared" si="4"/>
        <v/>
      </c>
      <c r="J471" s="95" t="str">
        <f>IFERROR(IF(F471="Yes",0,I471*Lookup!$B$8),"")</f>
        <v/>
      </c>
      <c r="K471" s="95">
        <f>IF(IFERROR(VLOOKUP(A471,$A$2:$A$20,1,FALSE),0)&lt;&gt;0, IF(A471="Suballocation", G471, G471*IFERROR(VLOOKUP(D471,Lookup!$G$2:$H$7,2,FALSE),1)), SUM(I471:J471))</f>
        <v>0</v>
      </c>
      <c r="L471" s="95">
        <f>K471*(1+IFERROR(VLOOKUP(IF(OR(Funding!$H$5=Lookup!$A$20,Funding!$H$5=""),0,IF(AND(Lookup!$B$23&lt;&gt;1,M471="Full(Match)"),IF(D471="",Lookup!$G$2,D471)&amp;Expenses!M471,IF(Funding!$H$5=Lookup!$A$19,Lookup!$A$19,"")&amp;IF(M471="Full(Match)","Full",M471))),Lookup!$A$28:$F$36,6,FALSE),0))</f>
        <v>0</v>
      </c>
      <c r="M471" s="4" t="str">
        <f>IF(A471&lt;&gt;"",IF(OR(A471="Travel",AND(IFERROR(VLOOKUP(A471,$A$21:$A$386,1,FALSE),0)&lt;&gt;0,F471&lt;&gt;"Yes")),"Full(Match)",IFERROR(VLOOKUP(A471,Lookup!$D$2:$E$20,2,FALSE),"Full")),"")</f>
        <v/>
      </c>
    </row>
    <row r="472" spans="1:13" x14ac:dyDescent="0.25">
      <c r="A472" s="120"/>
      <c r="B472" s="122"/>
      <c r="C472" s="122"/>
      <c r="D472" s="126"/>
      <c r="E472" s="127"/>
      <c r="F472" s="2"/>
      <c r="G472" s="128"/>
      <c r="H472" s="95" t="str">
        <f>IFERROR(IFERROR(VLOOKUP(D472,Lookup!$G$2:$H$7,2,FALSE),1)*IF(F472="Yes",VLOOKUP(A472,$A$21:$C$386,3,FALSE),VLOOKUP(A472,$A$21:$B$386,2,FALSE)),"")</f>
        <v/>
      </c>
      <c r="I472" s="95" t="str">
        <f t="shared" si="4"/>
        <v/>
      </c>
      <c r="J472" s="95" t="str">
        <f>IFERROR(IF(F472="Yes",0,I472*Lookup!$B$8),"")</f>
        <v/>
      </c>
      <c r="K472" s="95">
        <f>IF(IFERROR(VLOOKUP(A472,$A$2:$A$20,1,FALSE),0)&lt;&gt;0, IF(A472="Suballocation", G472, G472*IFERROR(VLOOKUP(D472,Lookup!$G$2:$H$7,2,FALSE),1)), SUM(I472:J472))</f>
        <v>0</v>
      </c>
      <c r="L472" s="95">
        <f>K472*(1+IFERROR(VLOOKUP(IF(OR(Funding!$H$5=Lookup!$A$20,Funding!$H$5=""),0,IF(AND(Lookup!$B$23&lt;&gt;1,M472="Full(Match)"),IF(D472="",Lookup!$G$2,D472)&amp;Expenses!M472,IF(Funding!$H$5=Lookup!$A$19,Lookup!$A$19,"")&amp;IF(M472="Full(Match)","Full",M472))),Lookup!$A$28:$F$36,6,FALSE),0))</f>
        <v>0</v>
      </c>
      <c r="M472" s="4" t="str">
        <f>IF(A472&lt;&gt;"",IF(OR(A472="Travel",AND(IFERROR(VLOOKUP(A472,$A$21:$A$386,1,FALSE),0)&lt;&gt;0,F472&lt;&gt;"Yes")),"Full(Match)",IFERROR(VLOOKUP(A472,Lookup!$D$2:$E$20,2,FALSE),"Full")),"")</f>
        <v/>
      </c>
    </row>
    <row r="473" spans="1:13" x14ac:dyDescent="0.25">
      <c r="A473" s="120"/>
      <c r="B473" s="122"/>
      <c r="C473" s="122"/>
      <c r="D473" s="126"/>
      <c r="E473" s="127"/>
      <c r="F473" s="2"/>
      <c r="G473" s="128"/>
      <c r="H473" s="95" t="str">
        <f>IFERROR(IFERROR(VLOOKUP(D473,Lookup!$G$2:$H$7,2,FALSE),1)*IF(F473="Yes",VLOOKUP(A473,$A$21:$C$386,3,FALSE),VLOOKUP(A473,$A$21:$B$386,2,FALSE)),"")</f>
        <v/>
      </c>
      <c r="I473" s="95" t="str">
        <f t="shared" si="4"/>
        <v/>
      </c>
      <c r="J473" s="95" t="str">
        <f>IFERROR(IF(F473="Yes",0,I473*Lookup!$B$8),"")</f>
        <v/>
      </c>
      <c r="K473" s="95">
        <f>IF(IFERROR(VLOOKUP(A473,$A$2:$A$20,1,FALSE),0)&lt;&gt;0, IF(A473="Suballocation", G473, G473*IFERROR(VLOOKUP(D473,Lookup!$G$2:$H$7,2,FALSE),1)), SUM(I473:J473))</f>
        <v>0</v>
      </c>
      <c r="L473" s="95">
        <f>K473*(1+IFERROR(VLOOKUP(IF(OR(Funding!$H$5=Lookup!$A$20,Funding!$H$5=""),0,IF(AND(Lookup!$B$23&lt;&gt;1,M473="Full(Match)"),IF(D473="",Lookup!$G$2,D473)&amp;Expenses!M473,IF(Funding!$H$5=Lookup!$A$19,Lookup!$A$19,"")&amp;IF(M473="Full(Match)","Full",M473))),Lookup!$A$28:$F$36,6,FALSE),0))</f>
        <v>0</v>
      </c>
      <c r="M473" s="4" t="str">
        <f>IF(A473&lt;&gt;"",IF(OR(A473="Travel",AND(IFERROR(VLOOKUP(A473,$A$21:$A$386,1,FALSE),0)&lt;&gt;0,F473&lt;&gt;"Yes")),"Full(Match)",IFERROR(VLOOKUP(A473,Lookup!$D$2:$E$20,2,FALSE),"Full")),"")</f>
        <v/>
      </c>
    </row>
    <row r="474" spans="1:13" x14ac:dyDescent="0.25">
      <c r="A474" s="120"/>
      <c r="B474" s="122"/>
      <c r="C474" s="122"/>
      <c r="D474" s="126"/>
      <c r="E474" s="127"/>
      <c r="F474" s="2"/>
      <c r="G474" s="128"/>
      <c r="H474" s="95" t="str">
        <f>IFERROR(IFERROR(VLOOKUP(D474,Lookup!$G$2:$H$7,2,FALSE),1)*IF(F474="Yes",VLOOKUP(A474,$A$21:$C$386,3,FALSE),VLOOKUP(A474,$A$21:$B$386,2,FALSE)),"")</f>
        <v/>
      </c>
      <c r="I474" s="95" t="str">
        <f t="shared" si="4"/>
        <v/>
      </c>
      <c r="J474" s="95" t="str">
        <f>IFERROR(IF(F474="Yes",0,I474*Lookup!$B$8),"")</f>
        <v/>
      </c>
      <c r="K474" s="95">
        <f>IF(IFERROR(VLOOKUP(A474,$A$2:$A$20,1,FALSE),0)&lt;&gt;0, IF(A474="Suballocation", G474, G474*IFERROR(VLOOKUP(D474,Lookup!$G$2:$H$7,2,FALSE),1)), SUM(I474:J474))</f>
        <v>0</v>
      </c>
      <c r="L474" s="95">
        <f>K474*(1+IFERROR(VLOOKUP(IF(OR(Funding!$H$5=Lookup!$A$20,Funding!$H$5=""),0,IF(AND(Lookup!$B$23&lt;&gt;1,M474="Full(Match)"),IF(D474="",Lookup!$G$2,D474)&amp;Expenses!M474,IF(Funding!$H$5=Lookup!$A$19,Lookup!$A$19,"")&amp;IF(M474="Full(Match)","Full",M474))),Lookup!$A$28:$F$36,6,FALSE),0))</f>
        <v>0</v>
      </c>
      <c r="M474" s="4" t="str">
        <f>IF(A474&lt;&gt;"",IF(OR(A474="Travel",AND(IFERROR(VLOOKUP(A474,$A$21:$A$386,1,FALSE),0)&lt;&gt;0,F474&lt;&gt;"Yes")),"Full(Match)",IFERROR(VLOOKUP(A474,Lookup!$D$2:$E$20,2,FALSE),"Full")),"")</f>
        <v/>
      </c>
    </row>
    <row r="475" spans="1:13" x14ac:dyDescent="0.25">
      <c r="A475" s="120"/>
      <c r="B475" s="122"/>
      <c r="C475" s="122"/>
      <c r="D475" s="126"/>
      <c r="E475" s="127"/>
      <c r="F475" s="2"/>
      <c r="G475" s="128"/>
      <c r="H475" s="95" t="str">
        <f>IFERROR(IFERROR(VLOOKUP(D475,Lookup!$G$2:$H$7,2,FALSE),1)*IF(F475="Yes",VLOOKUP(A475,$A$21:$C$386,3,FALSE),VLOOKUP(A475,$A$21:$B$386,2,FALSE)),"")</f>
        <v/>
      </c>
      <c r="I475" s="95" t="str">
        <f t="shared" si="4"/>
        <v/>
      </c>
      <c r="J475" s="95" t="str">
        <f>IFERROR(IF(F475="Yes",0,I475*Lookup!$B$8),"")</f>
        <v/>
      </c>
      <c r="K475" s="95">
        <f>IF(IFERROR(VLOOKUP(A475,$A$2:$A$20,1,FALSE),0)&lt;&gt;0, IF(A475="Suballocation", G475, G475*IFERROR(VLOOKUP(D475,Lookup!$G$2:$H$7,2,FALSE),1)), SUM(I475:J475))</f>
        <v>0</v>
      </c>
      <c r="L475" s="95">
        <f>K475*(1+IFERROR(VLOOKUP(IF(OR(Funding!$H$5=Lookup!$A$20,Funding!$H$5=""),0,IF(AND(Lookup!$B$23&lt;&gt;1,M475="Full(Match)"),IF(D475="",Lookup!$G$2,D475)&amp;Expenses!M475,IF(Funding!$H$5=Lookup!$A$19,Lookup!$A$19,"")&amp;IF(M475="Full(Match)","Full",M475))),Lookup!$A$28:$F$36,6,FALSE),0))</f>
        <v>0</v>
      </c>
      <c r="M475" s="4" t="str">
        <f>IF(A475&lt;&gt;"",IF(OR(A475="Travel",AND(IFERROR(VLOOKUP(A475,$A$21:$A$386,1,FALSE),0)&lt;&gt;0,F475&lt;&gt;"Yes")),"Full(Match)",IFERROR(VLOOKUP(A475,Lookup!$D$2:$E$20,2,FALSE),"Full")),"")</f>
        <v/>
      </c>
    </row>
    <row r="476" spans="1:13" x14ac:dyDescent="0.25">
      <c r="A476" s="120"/>
      <c r="B476" s="122"/>
      <c r="C476" s="122"/>
      <c r="D476" s="126"/>
      <c r="E476" s="127"/>
      <c r="F476" s="2"/>
      <c r="G476" s="128"/>
      <c r="H476" s="95" t="str">
        <f>IFERROR(IFERROR(VLOOKUP(D476,Lookup!$G$2:$H$7,2,FALSE),1)*IF(F476="Yes",VLOOKUP(A476,$A$21:$C$386,3,FALSE),VLOOKUP(A476,$A$21:$B$386,2,FALSE)),"")</f>
        <v/>
      </c>
      <c r="I476" s="95" t="str">
        <f t="shared" si="4"/>
        <v/>
      </c>
      <c r="J476" s="95" t="str">
        <f>IFERROR(IF(F476="Yes",0,I476*Lookup!$B$8),"")</f>
        <v/>
      </c>
      <c r="K476" s="95">
        <f>IF(IFERROR(VLOOKUP(A476,$A$2:$A$20,1,FALSE),0)&lt;&gt;0, IF(A476="Suballocation", G476, G476*IFERROR(VLOOKUP(D476,Lookup!$G$2:$H$7,2,FALSE),1)), SUM(I476:J476))</f>
        <v>0</v>
      </c>
      <c r="L476" s="95">
        <f>K476*(1+IFERROR(VLOOKUP(IF(OR(Funding!$H$5=Lookup!$A$20,Funding!$H$5=""),0,IF(AND(Lookup!$B$23&lt;&gt;1,M476="Full(Match)"),IF(D476="",Lookup!$G$2,D476)&amp;Expenses!M476,IF(Funding!$H$5=Lookup!$A$19,Lookup!$A$19,"")&amp;IF(M476="Full(Match)","Full",M476))),Lookup!$A$28:$F$36,6,FALSE),0))</f>
        <v>0</v>
      </c>
      <c r="M476" s="4" t="str">
        <f>IF(A476&lt;&gt;"",IF(OR(A476="Travel",AND(IFERROR(VLOOKUP(A476,$A$21:$A$386,1,FALSE),0)&lt;&gt;0,F476&lt;&gt;"Yes")),"Full(Match)",IFERROR(VLOOKUP(A476,Lookup!$D$2:$E$20,2,FALSE),"Full")),"")</f>
        <v/>
      </c>
    </row>
    <row r="477" spans="1:13" x14ac:dyDescent="0.25">
      <c r="A477" s="120"/>
      <c r="B477" s="121"/>
      <c r="C477" s="121"/>
      <c r="D477" s="125"/>
      <c r="E477" s="124"/>
      <c r="F477" s="3"/>
      <c r="G477" s="130"/>
      <c r="H477" s="95" t="str">
        <f>IFERROR(IFERROR(VLOOKUP(D477,Lookup!$G$2:$H$7,2,FALSE),1)*IF(F477="Yes",VLOOKUP(A477,$A$21:$C$386,3,FALSE),VLOOKUP(A477,$A$21:$B$386,2,FALSE)),"")</f>
        <v/>
      </c>
      <c r="I477" s="95" t="str">
        <f t="shared" si="4"/>
        <v/>
      </c>
      <c r="J477" s="95" t="str">
        <f>IFERROR(IF(F477="Yes",0,I477*Lookup!$B$8),"")</f>
        <v/>
      </c>
      <c r="K477" s="95">
        <f>IF(IFERROR(VLOOKUP(A477,$A$2:$A$20,1,FALSE),0)&lt;&gt;0, IF(A477="Suballocation", G477, G477*IFERROR(VLOOKUP(D477,Lookup!$G$2:$H$7,2,FALSE),1)), SUM(I477:J477))</f>
        <v>0</v>
      </c>
      <c r="L477" s="95">
        <f>K477*(1+IFERROR(VLOOKUP(IF(OR(Funding!$H$5=Lookup!$A$20,Funding!$H$5=""),0,IF(AND(Lookup!$B$23&lt;&gt;1,M477="Full(Match)"),IF(D477="",Lookup!$G$2,D477)&amp;Expenses!M477,IF(Funding!$H$5=Lookup!$A$19,Lookup!$A$19,"")&amp;IF(M477="Full(Match)","Full",M477))),Lookup!$A$28:$F$36,6,FALSE),0))</f>
        <v>0</v>
      </c>
      <c r="M477" s="4" t="str">
        <f>IF(A477&lt;&gt;"",IF(OR(A477="Travel",AND(IFERROR(VLOOKUP(A477,$A$21:$A$386,1,FALSE),0)&lt;&gt;0,F477&lt;&gt;"Yes")),"Full(Match)",IFERROR(VLOOKUP(A477,Lookup!$D$2:$E$20,2,FALSE),"Full")),"")</f>
        <v/>
      </c>
    </row>
    <row r="478" spans="1:13" x14ac:dyDescent="0.25">
      <c r="A478" s="123"/>
      <c r="B478" s="123"/>
      <c r="C478" s="123"/>
      <c r="D478" s="125"/>
      <c r="E478" s="124"/>
      <c r="F478" s="3"/>
      <c r="G478" s="130"/>
      <c r="H478" s="95" t="str">
        <f>IFERROR(IFERROR(VLOOKUP(D478,Lookup!$G$2:$H$7,2,FALSE),1)*IF(F478="Yes",VLOOKUP(A478,$A$21:$C$386,3,FALSE),VLOOKUP(A478,$A$21:$B$386,2,FALSE)),"")</f>
        <v/>
      </c>
      <c r="I478" s="95" t="str">
        <f t="shared" si="4"/>
        <v/>
      </c>
      <c r="J478" s="95" t="str">
        <f>IFERROR(IF(F478="Yes",0,I478*Lookup!$B$8),"")</f>
        <v/>
      </c>
      <c r="K478" s="95">
        <f>IF(IFERROR(VLOOKUP(A478,$A$2:$A$20,1,FALSE),0)&lt;&gt;0, IF(A478="Suballocation", G478, G478*IFERROR(VLOOKUP(D478,Lookup!$G$2:$H$7,2,FALSE),1)), SUM(I478:J478))</f>
        <v>0</v>
      </c>
      <c r="L478" s="95">
        <f>K478*(1+IFERROR(VLOOKUP(IF(OR(Funding!$H$5=Lookup!$A$20,Funding!$H$5=""),0,IF(AND(Lookup!$B$23&lt;&gt;1,M478="Full(Match)"),IF(D478="",Lookup!$G$2,D478)&amp;Expenses!M478,IF(Funding!$H$5=Lookup!$A$19,Lookup!$A$19,"")&amp;IF(M478="Full(Match)","Full",M478))),Lookup!$A$28:$F$36,6,FALSE),0))</f>
        <v>0</v>
      </c>
      <c r="M478" s="4" t="str">
        <f>IF(A478&lt;&gt;"",IF(OR(A478="Travel",AND(IFERROR(VLOOKUP(A478,$A$21:$A$386,1,FALSE),0)&lt;&gt;0,F478&lt;&gt;"Yes")),"Full(Match)",IFERROR(VLOOKUP(A478,Lookup!$D$2:$E$20,2,FALSE),"Full")),"")</f>
        <v/>
      </c>
    </row>
    <row r="479" spans="1:13" x14ac:dyDescent="0.25">
      <c r="A479" s="123"/>
      <c r="B479" s="123"/>
      <c r="C479" s="123"/>
      <c r="D479" s="125"/>
      <c r="E479" s="124"/>
      <c r="F479" s="3"/>
      <c r="G479" s="130"/>
      <c r="H479" s="95" t="str">
        <f>IFERROR(IFERROR(VLOOKUP(D479,Lookup!$G$2:$H$7,2,FALSE),1)*IF(F479="Yes",VLOOKUP(A479,$A$21:$C$386,3,FALSE),VLOOKUP(A479,$A$21:$B$386,2,FALSE)),"")</f>
        <v/>
      </c>
      <c r="I479" s="95" t="str">
        <f t="shared" si="4"/>
        <v/>
      </c>
      <c r="J479" s="95" t="str">
        <f>IFERROR(IF(F479="Yes",0,I479*Lookup!$B$8),"")</f>
        <v/>
      </c>
      <c r="K479" s="95">
        <f>IF(IFERROR(VLOOKUP(A479,$A$2:$A$20,1,FALSE),0)&lt;&gt;0, IF(A479="Suballocation", G479, G479*IFERROR(VLOOKUP(D479,Lookup!$G$2:$H$7,2,FALSE),1)), SUM(I479:J479))</f>
        <v>0</v>
      </c>
      <c r="L479" s="95">
        <f>K479*(1+IFERROR(VLOOKUP(IF(OR(Funding!$H$5=Lookup!$A$20,Funding!$H$5=""),0,IF(AND(Lookup!$B$23&lt;&gt;1,M479="Full(Match)"),IF(D479="",Lookup!$G$2,D479)&amp;Expenses!M479,IF(Funding!$H$5=Lookup!$A$19,Lookup!$A$19,"")&amp;IF(M479="Full(Match)","Full",M479))),Lookup!$A$28:$F$36,6,FALSE),0))</f>
        <v>0</v>
      </c>
      <c r="M479" s="4" t="str">
        <f>IF(A479&lt;&gt;"",IF(OR(A479="Travel",AND(IFERROR(VLOOKUP(A479,$A$21:$A$386,1,FALSE),0)&lt;&gt;0,F479&lt;&gt;"Yes")),"Full(Match)",IFERROR(VLOOKUP(A479,Lookup!$D$2:$E$20,2,FALSE),"Full")),"")</f>
        <v/>
      </c>
    </row>
    <row r="480" spans="1:13" x14ac:dyDescent="0.25">
      <c r="A480" s="123"/>
      <c r="B480" s="123"/>
      <c r="C480" s="123"/>
      <c r="D480" s="125"/>
      <c r="E480" s="124"/>
      <c r="F480" s="3"/>
      <c r="G480" s="130"/>
      <c r="H480" s="95" t="str">
        <f>IFERROR(IFERROR(VLOOKUP(D480,Lookup!$G$2:$H$7,2,FALSE),1)*IF(F480="Yes",VLOOKUP(A480,$A$21:$C$386,3,FALSE),VLOOKUP(A480,$A$21:$B$386,2,FALSE)),"")</f>
        <v/>
      </c>
      <c r="I480" s="95" t="str">
        <f t="shared" si="4"/>
        <v/>
      </c>
      <c r="J480" s="95" t="str">
        <f>IFERROR(IF(F480="Yes",0,I480*Lookup!$B$8),"")</f>
        <v/>
      </c>
      <c r="K480" s="95">
        <f>IF(IFERROR(VLOOKUP(A480,$A$2:$A$20,1,FALSE),0)&lt;&gt;0, IF(A480="Suballocation", G480, G480*IFERROR(VLOOKUP(D480,Lookup!$G$2:$H$7,2,FALSE),1)), SUM(I480:J480))</f>
        <v>0</v>
      </c>
      <c r="L480" s="95">
        <f>K480*(1+IFERROR(VLOOKUP(IF(OR(Funding!$H$5=Lookup!$A$20,Funding!$H$5=""),0,IF(AND(Lookup!$B$23&lt;&gt;1,M480="Full(Match)"),IF(D480="",Lookup!$G$2,D480)&amp;Expenses!M480,IF(Funding!$H$5=Lookup!$A$19,Lookup!$A$19,"")&amp;IF(M480="Full(Match)","Full",M480))),Lookup!$A$28:$F$36,6,FALSE),0))</f>
        <v>0</v>
      </c>
      <c r="M480" s="4" t="str">
        <f>IF(A480&lt;&gt;"",IF(OR(A480="Travel",AND(IFERROR(VLOOKUP(A480,$A$21:$A$386,1,FALSE),0)&lt;&gt;0,F480&lt;&gt;"Yes")),"Full(Match)",IFERROR(VLOOKUP(A480,Lookup!$D$2:$E$20,2,FALSE),"Full")),"")</f>
        <v/>
      </c>
    </row>
    <row r="481" spans="1:13" x14ac:dyDescent="0.25">
      <c r="A481" s="123"/>
      <c r="B481" s="123"/>
      <c r="C481" s="123"/>
      <c r="D481" s="125"/>
      <c r="E481" s="124"/>
      <c r="F481" s="3"/>
      <c r="G481" s="130"/>
      <c r="H481" s="95" t="str">
        <f>IFERROR(IFERROR(VLOOKUP(D481,Lookup!$G$2:$H$7,2,FALSE),1)*IF(F481="Yes",VLOOKUP(A481,$A$21:$C$386,3,FALSE),VLOOKUP(A481,$A$21:$B$386,2,FALSE)),"")</f>
        <v/>
      </c>
      <c r="I481" s="95" t="str">
        <f t="shared" si="4"/>
        <v/>
      </c>
      <c r="J481" s="95" t="str">
        <f>IFERROR(IF(F481="Yes",0,I481*Lookup!$B$8),"")</f>
        <v/>
      </c>
      <c r="K481" s="95">
        <f>IF(IFERROR(VLOOKUP(A481,$A$2:$A$20,1,FALSE),0)&lt;&gt;0, IF(A481="Suballocation", G481, G481*IFERROR(VLOOKUP(D481,Lookup!$G$2:$H$7,2,FALSE),1)), SUM(I481:J481))</f>
        <v>0</v>
      </c>
      <c r="L481" s="95">
        <f>K481*(1+IFERROR(VLOOKUP(IF(OR(Funding!$H$5=Lookup!$A$20,Funding!$H$5=""),0,IF(AND(Lookup!$B$23&lt;&gt;1,M481="Full(Match)"),IF(D481="",Lookup!$G$2,D481)&amp;Expenses!M481,IF(Funding!$H$5=Lookup!$A$19,Lookup!$A$19,"")&amp;IF(M481="Full(Match)","Full",M481))),Lookup!$A$28:$F$36,6,FALSE),0))</f>
        <v>0</v>
      </c>
      <c r="M481" s="4" t="str">
        <f>IF(A481&lt;&gt;"",IF(OR(A481="Travel",AND(IFERROR(VLOOKUP(A481,$A$21:$A$386,1,FALSE),0)&lt;&gt;0,F481&lt;&gt;"Yes")),"Full(Match)",IFERROR(VLOOKUP(A481,Lookup!$D$2:$E$20,2,FALSE),"Full")),"")</f>
        <v/>
      </c>
    </row>
    <row r="482" spans="1:13" x14ac:dyDescent="0.25">
      <c r="A482" s="123"/>
      <c r="B482" s="123"/>
      <c r="C482" s="123"/>
      <c r="D482" s="125"/>
      <c r="E482" s="124"/>
      <c r="F482" s="3"/>
      <c r="G482" s="130"/>
      <c r="H482" s="95" t="str">
        <f>IFERROR(IFERROR(VLOOKUP(D482,Lookup!$G$2:$H$7,2,FALSE),1)*IF(F482="Yes",VLOOKUP(A482,$A$21:$C$386,3,FALSE),VLOOKUP(A482,$A$21:$B$386,2,FALSE)),"")</f>
        <v/>
      </c>
      <c r="I482" s="95" t="str">
        <f t="shared" si="4"/>
        <v/>
      </c>
      <c r="J482" s="95" t="str">
        <f>IFERROR(IF(F482="Yes",0,I482*Lookup!$B$8),"")</f>
        <v/>
      </c>
      <c r="K482" s="95">
        <f>IF(IFERROR(VLOOKUP(A482,$A$2:$A$20,1,FALSE),0)&lt;&gt;0, IF(A482="Suballocation", G482, G482*IFERROR(VLOOKUP(D482,Lookup!$G$2:$H$7,2,FALSE),1)), SUM(I482:J482))</f>
        <v>0</v>
      </c>
      <c r="L482" s="95">
        <f>K482*(1+IFERROR(VLOOKUP(IF(OR(Funding!$H$5=Lookup!$A$20,Funding!$H$5=""),0,IF(AND(Lookup!$B$23&lt;&gt;1,M482="Full(Match)"),IF(D482="",Lookup!$G$2,D482)&amp;Expenses!M482,IF(Funding!$H$5=Lookup!$A$19,Lookup!$A$19,"")&amp;IF(M482="Full(Match)","Full",M482))),Lookup!$A$28:$F$36,6,FALSE),0))</f>
        <v>0</v>
      </c>
      <c r="M482" s="4" t="str">
        <f>IF(A482&lt;&gt;"",IF(OR(A482="Travel",AND(IFERROR(VLOOKUP(A482,$A$21:$A$386,1,FALSE),0)&lt;&gt;0,F482&lt;&gt;"Yes")),"Full(Match)",IFERROR(VLOOKUP(A482,Lookup!$D$2:$E$20,2,FALSE),"Full")),"")</f>
        <v/>
      </c>
    </row>
    <row r="483" spans="1:13" x14ac:dyDescent="0.25">
      <c r="A483" s="123"/>
      <c r="B483" s="123"/>
      <c r="C483" s="123"/>
      <c r="D483" s="125"/>
      <c r="E483" s="124"/>
      <c r="F483" s="3"/>
      <c r="G483" s="130"/>
      <c r="H483" s="95" t="str">
        <f>IFERROR(IFERROR(VLOOKUP(D483,Lookup!$G$2:$H$7,2,FALSE),1)*IF(F483="Yes",VLOOKUP(A483,$A$21:$C$386,3,FALSE),VLOOKUP(A483,$A$21:$B$386,2,FALSE)),"")</f>
        <v/>
      </c>
      <c r="I483" s="95" t="str">
        <f t="shared" si="4"/>
        <v/>
      </c>
      <c r="J483" s="95" t="str">
        <f>IFERROR(IF(F483="Yes",0,I483*Lookup!$B$8),"")</f>
        <v/>
      </c>
      <c r="K483" s="95">
        <f>IF(IFERROR(VLOOKUP(A483,$A$2:$A$20,1,FALSE),0)&lt;&gt;0, IF(A483="Suballocation", G483, G483*IFERROR(VLOOKUP(D483,Lookup!$G$2:$H$7,2,FALSE),1)), SUM(I483:J483))</f>
        <v>0</v>
      </c>
      <c r="L483" s="95">
        <f>K483*(1+IFERROR(VLOOKUP(IF(OR(Funding!$H$5=Lookup!$A$20,Funding!$H$5=""),0,IF(AND(Lookup!$B$23&lt;&gt;1,M483="Full(Match)"),IF(D483="",Lookup!$G$2,D483)&amp;Expenses!M483,IF(Funding!$H$5=Lookup!$A$19,Lookup!$A$19,"")&amp;IF(M483="Full(Match)","Full",M483))),Lookup!$A$28:$F$36,6,FALSE),0))</f>
        <v>0</v>
      </c>
      <c r="M483" s="4" t="str">
        <f>IF(A483&lt;&gt;"",IF(OR(A483="Travel",AND(IFERROR(VLOOKUP(A483,$A$21:$A$386,1,FALSE),0)&lt;&gt;0,F483&lt;&gt;"Yes")),"Full(Match)",IFERROR(VLOOKUP(A483,Lookup!$D$2:$E$20,2,FALSE),"Full")),"")</f>
        <v/>
      </c>
    </row>
    <row r="484" spans="1:13" x14ac:dyDescent="0.25">
      <c r="A484" s="123"/>
      <c r="B484" s="123"/>
      <c r="C484" s="123"/>
      <c r="D484" s="125"/>
      <c r="E484" s="124"/>
      <c r="F484" s="3"/>
      <c r="G484" s="130"/>
      <c r="H484" s="95" t="str">
        <f>IFERROR(IFERROR(VLOOKUP(D484,Lookup!$G$2:$H$7,2,FALSE),1)*IF(F484="Yes",VLOOKUP(A484,$A$21:$C$386,3,FALSE),VLOOKUP(A484,$A$21:$B$386,2,FALSE)),"")</f>
        <v/>
      </c>
      <c r="I484" s="95" t="str">
        <f t="shared" ref="I484:I515" si="5">IFERROR(E484*H484,"")</f>
        <v/>
      </c>
      <c r="J484" s="95" t="str">
        <f>IFERROR(IF(F484="Yes",0,I484*Lookup!$B$8),"")</f>
        <v/>
      </c>
      <c r="K484" s="95">
        <f>IF(IFERROR(VLOOKUP(A484,$A$2:$A$20,1,FALSE),0)&lt;&gt;0, IF(A484="Suballocation", G484, G484*IFERROR(VLOOKUP(D484,Lookup!$G$2:$H$7,2,FALSE),1)), SUM(I484:J484))</f>
        <v>0</v>
      </c>
      <c r="L484" s="95">
        <f>K484*(1+IFERROR(VLOOKUP(IF(OR(Funding!$H$5=Lookup!$A$20,Funding!$H$5=""),0,IF(AND(Lookup!$B$23&lt;&gt;1,M484="Full(Match)"),IF(D484="",Lookup!$G$2,D484)&amp;Expenses!M484,IF(Funding!$H$5=Lookup!$A$19,Lookup!$A$19,"")&amp;IF(M484="Full(Match)","Full",M484))),Lookup!$A$28:$F$36,6,FALSE),0))</f>
        <v>0</v>
      </c>
      <c r="M484" s="4" t="str">
        <f>IF(A484&lt;&gt;"",IF(OR(A484="Travel",AND(IFERROR(VLOOKUP(A484,$A$21:$A$386,1,FALSE),0)&lt;&gt;0,F484&lt;&gt;"Yes")),"Full(Match)",IFERROR(VLOOKUP(A484,Lookup!$D$2:$E$20,2,FALSE),"Full")),"")</f>
        <v/>
      </c>
    </row>
    <row r="485" spans="1:13" x14ac:dyDescent="0.25">
      <c r="A485" s="123"/>
      <c r="B485" s="123"/>
      <c r="C485" s="123"/>
      <c r="D485" s="125"/>
      <c r="E485" s="124"/>
      <c r="F485" s="3"/>
      <c r="G485" s="130"/>
      <c r="H485" s="95" t="str">
        <f>IFERROR(IFERROR(VLOOKUP(D485,Lookup!$G$2:$H$7,2,FALSE),1)*IF(F485="Yes",VLOOKUP(A485,$A$21:$C$386,3,FALSE),VLOOKUP(A485,$A$21:$B$386,2,FALSE)),"")</f>
        <v/>
      </c>
      <c r="I485" s="95" t="str">
        <f t="shared" si="5"/>
        <v/>
      </c>
      <c r="J485" s="95" t="str">
        <f>IFERROR(IF(F485="Yes",0,I485*Lookup!$B$8),"")</f>
        <v/>
      </c>
      <c r="K485" s="95">
        <f>IF(IFERROR(VLOOKUP(A485,$A$2:$A$20,1,FALSE),0)&lt;&gt;0, IF(A485="Suballocation", G485, G485*IFERROR(VLOOKUP(D485,Lookup!$G$2:$H$7,2,FALSE),1)), SUM(I485:J485))</f>
        <v>0</v>
      </c>
      <c r="L485" s="95">
        <f>K485*(1+IFERROR(VLOOKUP(IF(OR(Funding!$H$5=Lookup!$A$20,Funding!$H$5=""),0,IF(AND(Lookup!$B$23&lt;&gt;1,M485="Full(Match)"),IF(D485="",Lookup!$G$2,D485)&amp;Expenses!M485,IF(Funding!$H$5=Lookup!$A$19,Lookup!$A$19,"")&amp;IF(M485="Full(Match)","Full",M485))),Lookup!$A$28:$F$36,6,FALSE),0))</f>
        <v>0</v>
      </c>
      <c r="M485" s="4" t="str">
        <f>IF(A485&lt;&gt;"",IF(OR(A485="Travel",AND(IFERROR(VLOOKUP(A485,$A$21:$A$386,1,FALSE),0)&lt;&gt;0,F485&lt;&gt;"Yes")),"Full(Match)",IFERROR(VLOOKUP(A485,Lookup!$D$2:$E$20,2,FALSE),"Full")),"")</f>
        <v/>
      </c>
    </row>
    <row r="486" spans="1:13" x14ac:dyDescent="0.25">
      <c r="A486" s="123"/>
      <c r="B486" s="123"/>
      <c r="C486" s="123"/>
      <c r="D486" s="125"/>
      <c r="E486" s="124"/>
      <c r="F486" s="3"/>
      <c r="G486" s="130"/>
      <c r="H486" s="95" t="str">
        <f>IFERROR(IFERROR(VLOOKUP(D486,Lookup!$G$2:$H$7,2,FALSE),1)*IF(F486="Yes",VLOOKUP(A486,$A$21:$C$386,3,FALSE),VLOOKUP(A486,$A$21:$B$386,2,FALSE)),"")</f>
        <v/>
      </c>
      <c r="I486" s="95" t="str">
        <f t="shared" si="5"/>
        <v/>
      </c>
      <c r="J486" s="95" t="str">
        <f>IFERROR(IF(F486="Yes",0,I486*Lookup!$B$8),"")</f>
        <v/>
      </c>
      <c r="K486" s="95">
        <f>IF(IFERROR(VLOOKUP(A486,$A$2:$A$20,1,FALSE),0)&lt;&gt;0, IF(A486="Suballocation", G486, G486*IFERROR(VLOOKUP(D486,Lookup!$G$2:$H$7,2,FALSE),1)), SUM(I486:J486))</f>
        <v>0</v>
      </c>
      <c r="L486" s="95">
        <f>K486*(1+IFERROR(VLOOKUP(IF(OR(Funding!$H$5=Lookup!$A$20,Funding!$H$5=""),0,IF(AND(Lookup!$B$23&lt;&gt;1,M486="Full(Match)"),IF(D486="",Lookup!$G$2,D486)&amp;Expenses!M486,IF(Funding!$H$5=Lookup!$A$19,Lookup!$A$19,"")&amp;IF(M486="Full(Match)","Full",M486))),Lookup!$A$28:$F$36,6,FALSE),0))</f>
        <v>0</v>
      </c>
      <c r="M486" s="4" t="str">
        <f>IF(A486&lt;&gt;"",IF(OR(A486="Travel",AND(IFERROR(VLOOKUP(A486,$A$21:$A$386,1,FALSE),0)&lt;&gt;0,F486&lt;&gt;"Yes")),"Full(Match)",IFERROR(VLOOKUP(A486,Lookup!$D$2:$E$20,2,FALSE),"Full")),"")</f>
        <v/>
      </c>
    </row>
    <row r="487" spans="1:13" x14ac:dyDescent="0.25">
      <c r="A487" s="123"/>
      <c r="B487" s="123"/>
      <c r="C487" s="123"/>
      <c r="D487" s="125"/>
      <c r="E487" s="124"/>
      <c r="F487" s="3"/>
      <c r="G487" s="130"/>
      <c r="H487" s="95" t="str">
        <f>IFERROR(IFERROR(VLOOKUP(D487,Lookup!$G$2:$H$7,2,FALSE),1)*IF(F487="Yes",VLOOKUP(A487,$A$21:$C$386,3,FALSE),VLOOKUP(A487,$A$21:$B$386,2,FALSE)),"")</f>
        <v/>
      </c>
      <c r="I487" s="95" t="str">
        <f t="shared" si="5"/>
        <v/>
      </c>
      <c r="J487" s="95" t="str">
        <f>IFERROR(IF(F487="Yes",0,I487*Lookup!$B$8),"")</f>
        <v/>
      </c>
      <c r="K487" s="95">
        <f>IF(IFERROR(VLOOKUP(A487,$A$2:$A$20,1,FALSE),0)&lt;&gt;0, IF(A487="Suballocation", G487, G487*IFERROR(VLOOKUP(D487,Lookup!$G$2:$H$7,2,FALSE),1)), SUM(I487:J487))</f>
        <v>0</v>
      </c>
      <c r="L487" s="95">
        <f>K487*(1+IFERROR(VLOOKUP(IF(OR(Funding!$H$5=Lookup!$A$20,Funding!$H$5=""),0,IF(AND(Lookup!$B$23&lt;&gt;1,M487="Full(Match)"),IF(D487="",Lookup!$G$2,D487)&amp;Expenses!M487,IF(Funding!$H$5=Lookup!$A$19,Lookup!$A$19,"")&amp;IF(M487="Full(Match)","Full",M487))),Lookup!$A$28:$F$36,6,FALSE),0))</f>
        <v>0</v>
      </c>
      <c r="M487" s="4" t="str">
        <f>IF(A487&lt;&gt;"",IF(OR(A487="Travel",AND(IFERROR(VLOOKUP(A487,$A$21:$A$386,1,FALSE),0)&lt;&gt;0,F487&lt;&gt;"Yes")),"Full(Match)",IFERROR(VLOOKUP(A487,Lookup!$D$2:$E$20,2,FALSE),"Full")),"")</f>
        <v/>
      </c>
    </row>
    <row r="488" spans="1:13" x14ac:dyDescent="0.25">
      <c r="A488" s="123"/>
      <c r="B488" s="123"/>
      <c r="C488" s="123"/>
      <c r="D488" s="125"/>
      <c r="E488" s="124"/>
      <c r="F488" s="3"/>
      <c r="G488" s="130"/>
      <c r="H488" s="95" t="str">
        <f>IFERROR(IFERROR(VLOOKUP(D488,Lookup!$G$2:$H$7,2,FALSE),1)*IF(F488="Yes",VLOOKUP(A488,$A$21:$C$386,3,FALSE),VLOOKUP(A488,$A$21:$B$386,2,FALSE)),"")</f>
        <v/>
      </c>
      <c r="I488" s="95" t="str">
        <f t="shared" si="5"/>
        <v/>
      </c>
      <c r="J488" s="95" t="str">
        <f>IFERROR(IF(F488="Yes",0,I488*Lookup!$B$8),"")</f>
        <v/>
      </c>
      <c r="K488" s="95">
        <f>IF(IFERROR(VLOOKUP(A488,$A$2:$A$20,1,FALSE),0)&lt;&gt;0, IF(A488="Suballocation", G488, G488*IFERROR(VLOOKUP(D488,Lookup!$G$2:$H$7,2,FALSE),1)), SUM(I488:J488))</f>
        <v>0</v>
      </c>
      <c r="L488" s="95">
        <f>K488*(1+IFERROR(VLOOKUP(IF(OR(Funding!$H$5=Lookup!$A$20,Funding!$H$5=""),0,IF(AND(Lookup!$B$23&lt;&gt;1,M488="Full(Match)"),IF(D488="",Lookup!$G$2,D488)&amp;Expenses!M488,IF(Funding!$H$5=Lookup!$A$19,Lookup!$A$19,"")&amp;IF(M488="Full(Match)","Full",M488))),Lookup!$A$28:$F$36,6,FALSE),0))</f>
        <v>0</v>
      </c>
      <c r="M488" s="4" t="str">
        <f>IF(A488&lt;&gt;"",IF(OR(A488="Travel",AND(IFERROR(VLOOKUP(A488,$A$21:$A$386,1,FALSE),0)&lt;&gt;0,F488&lt;&gt;"Yes")),"Full(Match)",IFERROR(VLOOKUP(A488,Lookup!$D$2:$E$20,2,FALSE),"Full")),"")</f>
        <v/>
      </c>
    </row>
    <row r="489" spans="1:13" x14ac:dyDescent="0.25">
      <c r="A489" s="123"/>
      <c r="B489" s="123"/>
      <c r="C489" s="123"/>
      <c r="D489" s="125"/>
      <c r="E489" s="124"/>
      <c r="F489" s="3"/>
      <c r="G489" s="130"/>
      <c r="H489" s="95" t="str">
        <f>IFERROR(IFERROR(VLOOKUP(D489,Lookup!$G$2:$H$7,2,FALSE),1)*IF(F489="Yes",VLOOKUP(A489,$A$21:$C$386,3,FALSE),VLOOKUP(A489,$A$21:$B$386,2,FALSE)),"")</f>
        <v/>
      </c>
      <c r="I489" s="95" t="str">
        <f t="shared" si="5"/>
        <v/>
      </c>
      <c r="J489" s="95" t="str">
        <f>IFERROR(IF(F489="Yes",0,I489*Lookup!$B$8),"")</f>
        <v/>
      </c>
      <c r="K489" s="95">
        <f>IF(IFERROR(VLOOKUP(A489,$A$2:$A$20,1,FALSE),0)&lt;&gt;0, IF(A489="Suballocation", G489, G489*IFERROR(VLOOKUP(D489,Lookup!$G$2:$H$7,2,FALSE),1)), SUM(I489:J489))</f>
        <v>0</v>
      </c>
      <c r="L489" s="95">
        <f>K489*(1+IFERROR(VLOOKUP(IF(OR(Funding!$H$5=Lookup!$A$20,Funding!$H$5=""),0,IF(AND(Lookup!$B$23&lt;&gt;1,M489="Full(Match)"),IF(D489="",Lookup!$G$2,D489)&amp;Expenses!M489,IF(Funding!$H$5=Lookup!$A$19,Lookup!$A$19,"")&amp;IF(M489="Full(Match)","Full",M489))),Lookup!$A$28:$F$36,6,FALSE),0))</f>
        <v>0</v>
      </c>
      <c r="M489" s="4" t="str">
        <f>IF(A489&lt;&gt;"",IF(OR(A489="Travel",AND(IFERROR(VLOOKUP(A489,$A$21:$A$386,1,FALSE),0)&lt;&gt;0,F489&lt;&gt;"Yes")),"Full(Match)",IFERROR(VLOOKUP(A489,Lookup!$D$2:$E$20,2,FALSE),"Full")),"")</f>
        <v/>
      </c>
    </row>
    <row r="490" spans="1:13" x14ac:dyDescent="0.25">
      <c r="A490" s="123"/>
      <c r="B490" s="123"/>
      <c r="C490" s="123"/>
      <c r="D490" s="125"/>
      <c r="E490" s="124"/>
      <c r="F490" s="3"/>
      <c r="G490" s="130"/>
      <c r="H490" s="95" t="str">
        <f>IFERROR(IFERROR(VLOOKUP(D490,Lookup!$G$2:$H$7,2,FALSE),1)*IF(F490="Yes",VLOOKUP(A490,$A$21:$C$386,3,FALSE),VLOOKUP(A490,$A$21:$B$386,2,FALSE)),"")</f>
        <v/>
      </c>
      <c r="I490" s="95" t="str">
        <f t="shared" si="5"/>
        <v/>
      </c>
      <c r="J490" s="95" t="str">
        <f>IFERROR(IF(F490="Yes",0,I490*Lookup!$B$8),"")</f>
        <v/>
      </c>
      <c r="K490" s="95">
        <f>IF(IFERROR(VLOOKUP(A490,$A$2:$A$20,1,FALSE),0)&lt;&gt;0, IF(A490="Suballocation", G490, G490*IFERROR(VLOOKUP(D490,Lookup!$G$2:$H$7,2,FALSE),1)), SUM(I490:J490))</f>
        <v>0</v>
      </c>
      <c r="L490" s="95">
        <f>K490*(1+IFERROR(VLOOKUP(IF(OR(Funding!$H$5=Lookup!$A$20,Funding!$H$5=""),0,IF(AND(Lookup!$B$23&lt;&gt;1,M490="Full(Match)"),IF(D490="",Lookup!$G$2,D490)&amp;Expenses!M490,IF(Funding!$H$5=Lookup!$A$19,Lookup!$A$19,"")&amp;IF(M490="Full(Match)","Full",M490))),Lookup!$A$28:$F$36,6,FALSE),0))</f>
        <v>0</v>
      </c>
      <c r="M490" s="4" t="str">
        <f>IF(A490&lt;&gt;"",IF(OR(A490="Travel",AND(IFERROR(VLOOKUP(A490,$A$21:$A$386,1,FALSE),0)&lt;&gt;0,F490&lt;&gt;"Yes")),"Full(Match)",IFERROR(VLOOKUP(A490,Lookup!$D$2:$E$20,2,FALSE),"Full")),"")</f>
        <v/>
      </c>
    </row>
    <row r="491" spans="1:13" x14ac:dyDescent="0.25">
      <c r="A491" s="123"/>
      <c r="B491" s="123"/>
      <c r="C491" s="123"/>
      <c r="D491" s="125"/>
      <c r="E491" s="124"/>
      <c r="F491" s="3"/>
      <c r="G491" s="130"/>
      <c r="H491" s="95" t="str">
        <f>IFERROR(IFERROR(VLOOKUP(D491,Lookup!$G$2:$H$7,2,FALSE),1)*IF(F491="Yes",VLOOKUP(A491,$A$21:$C$386,3,FALSE),VLOOKUP(A491,$A$21:$B$386,2,FALSE)),"")</f>
        <v/>
      </c>
      <c r="I491" s="95" t="str">
        <f t="shared" si="5"/>
        <v/>
      </c>
      <c r="J491" s="95" t="str">
        <f>IFERROR(IF(F491="Yes",0,I491*Lookup!$B$8),"")</f>
        <v/>
      </c>
      <c r="K491" s="95">
        <f>IF(IFERROR(VLOOKUP(A491,$A$2:$A$20,1,FALSE),0)&lt;&gt;0, IF(A491="Suballocation", G491, G491*IFERROR(VLOOKUP(D491,Lookup!$G$2:$H$7,2,FALSE),1)), SUM(I491:J491))</f>
        <v>0</v>
      </c>
      <c r="L491" s="95">
        <f>K491*(1+IFERROR(VLOOKUP(IF(OR(Funding!$H$5=Lookup!$A$20,Funding!$H$5=""),0,IF(AND(Lookup!$B$23&lt;&gt;1,M491="Full(Match)"),IF(D491="",Lookup!$G$2,D491)&amp;Expenses!M491,IF(Funding!$H$5=Lookup!$A$19,Lookup!$A$19,"")&amp;IF(M491="Full(Match)","Full",M491))),Lookup!$A$28:$F$36,6,FALSE),0))</f>
        <v>0</v>
      </c>
      <c r="M491" s="4" t="str">
        <f>IF(A491&lt;&gt;"",IF(OR(A491="Travel",AND(IFERROR(VLOOKUP(A491,$A$21:$A$386,1,FALSE),0)&lt;&gt;0,F491&lt;&gt;"Yes")),"Full(Match)",IFERROR(VLOOKUP(A491,Lookup!$D$2:$E$20,2,FALSE),"Full")),"")</f>
        <v/>
      </c>
    </row>
    <row r="492" spans="1:13" x14ac:dyDescent="0.25">
      <c r="A492" s="123"/>
      <c r="B492" s="123"/>
      <c r="C492" s="123"/>
      <c r="D492" s="125"/>
      <c r="E492" s="124"/>
      <c r="F492" s="3"/>
      <c r="G492" s="130"/>
      <c r="H492" s="95" t="str">
        <f>IFERROR(IFERROR(VLOOKUP(D492,Lookup!$G$2:$H$7,2,FALSE),1)*IF(F492="Yes",VLOOKUP(A492,$A$21:$C$386,3,FALSE),VLOOKUP(A492,$A$21:$B$386,2,FALSE)),"")</f>
        <v/>
      </c>
      <c r="I492" s="95" t="str">
        <f t="shared" si="5"/>
        <v/>
      </c>
      <c r="J492" s="95" t="str">
        <f>IFERROR(IF(F492="Yes",0,I492*Lookup!$B$8),"")</f>
        <v/>
      </c>
      <c r="K492" s="95">
        <f>IF(IFERROR(VLOOKUP(A492,$A$2:$A$20,1,FALSE),0)&lt;&gt;0, IF(A492="Suballocation", G492, G492*IFERROR(VLOOKUP(D492,Lookup!$G$2:$H$7,2,FALSE),1)), SUM(I492:J492))</f>
        <v>0</v>
      </c>
      <c r="L492" s="95">
        <f>K492*(1+IFERROR(VLOOKUP(IF(OR(Funding!$H$5=Lookup!$A$20,Funding!$H$5=""),0,IF(AND(Lookup!$B$23&lt;&gt;1,M492="Full(Match)"),IF(D492="",Lookup!$G$2,D492)&amp;Expenses!M492,IF(Funding!$H$5=Lookup!$A$19,Lookup!$A$19,"")&amp;IF(M492="Full(Match)","Full",M492))),Lookup!$A$28:$F$36,6,FALSE),0))</f>
        <v>0</v>
      </c>
      <c r="M492" s="4" t="str">
        <f>IF(A492&lt;&gt;"",IF(OR(A492="Travel",AND(IFERROR(VLOOKUP(A492,$A$21:$A$386,1,FALSE),0)&lt;&gt;0,F492&lt;&gt;"Yes")),"Full(Match)",IFERROR(VLOOKUP(A492,Lookup!$D$2:$E$20,2,FALSE),"Full")),"")</f>
        <v/>
      </c>
    </row>
    <row r="493" spans="1:13" x14ac:dyDescent="0.25">
      <c r="A493" s="123"/>
      <c r="B493" s="123"/>
      <c r="C493" s="123"/>
      <c r="D493" s="125"/>
      <c r="E493" s="124"/>
      <c r="F493" s="3"/>
      <c r="G493" s="130"/>
      <c r="H493" s="95" t="str">
        <f>IFERROR(IFERROR(VLOOKUP(D493,Lookup!$G$2:$H$7,2,FALSE),1)*IF(F493="Yes",VLOOKUP(A493,$A$21:$C$386,3,FALSE),VLOOKUP(A493,$A$21:$B$386,2,FALSE)),"")</f>
        <v/>
      </c>
      <c r="I493" s="95" t="str">
        <f t="shared" si="5"/>
        <v/>
      </c>
      <c r="J493" s="95" t="str">
        <f>IFERROR(IF(F493="Yes",0,I493*Lookup!$B$8),"")</f>
        <v/>
      </c>
      <c r="K493" s="95">
        <f>IF(IFERROR(VLOOKUP(A493,$A$2:$A$20,1,FALSE),0)&lt;&gt;0, IF(A493="Suballocation", G493, G493*IFERROR(VLOOKUP(D493,Lookup!$G$2:$H$7,2,FALSE),1)), SUM(I493:J493))</f>
        <v>0</v>
      </c>
      <c r="L493" s="95">
        <f>K493*(1+IFERROR(VLOOKUP(IF(OR(Funding!$H$5=Lookup!$A$20,Funding!$H$5=""),0,IF(AND(Lookup!$B$23&lt;&gt;1,M493="Full(Match)"),IF(D493="",Lookup!$G$2,D493)&amp;Expenses!M493,IF(Funding!$H$5=Lookup!$A$19,Lookup!$A$19,"")&amp;IF(M493="Full(Match)","Full",M493))),Lookup!$A$28:$F$36,6,FALSE),0))</f>
        <v>0</v>
      </c>
      <c r="M493" s="4" t="str">
        <f>IF(A493&lt;&gt;"",IF(OR(A493="Travel",AND(IFERROR(VLOOKUP(A493,$A$21:$A$386,1,FALSE),0)&lt;&gt;0,F493&lt;&gt;"Yes")),"Full(Match)",IFERROR(VLOOKUP(A493,Lookup!$D$2:$E$20,2,FALSE),"Full")),"")</f>
        <v/>
      </c>
    </row>
    <row r="494" spans="1:13" x14ac:dyDescent="0.25">
      <c r="A494" s="123"/>
      <c r="B494" s="123"/>
      <c r="C494" s="123"/>
      <c r="D494" s="125"/>
      <c r="E494" s="124"/>
      <c r="F494" s="3"/>
      <c r="G494" s="130"/>
      <c r="H494" s="95" t="str">
        <f>IFERROR(IFERROR(VLOOKUP(D494,Lookup!$G$2:$H$7,2,FALSE),1)*IF(F494="Yes",VLOOKUP(A494,$A$21:$C$386,3,FALSE),VLOOKUP(A494,$A$21:$B$386,2,FALSE)),"")</f>
        <v/>
      </c>
      <c r="I494" s="95" t="str">
        <f t="shared" si="5"/>
        <v/>
      </c>
      <c r="J494" s="95" t="str">
        <f>IFERROR(IF(F494="Yes",0,I494*Lookup!$B$8),"")</f>
        <v/>
      </c>
      <c r="K494" s="95">
        <f>IF(IFERROR(VLOOKUP(A494,$A$2:$A$20,1,FALSE),0)&lt;&gt;0, IF(A494="Suballocation", G494, G494*IFERROR(VLOOKUP(D494,Lookup!$G$2:$H$7,2,FALSE),1)), SUM(I494:J494))</f>
        <v>0</v>
      </c>
      <c r="L494" s="95">
        <f>K494*(1+IFERROR(VLOOKUP(IF(OR(Funding!$H$5=Lookup!$A$20,Funding!$H$5=""),0,IF(AND(Lookup!$B$23&lt;&gt;1,M494="Full(Match)"),IF(D494="",Lookup!$G$2,D494)&amp;Expenses!M494,IF(Funding!$H$5=Lookup!$A$19,Lookup!$A$19,"")&amp;IF(M494="Full(Match)","Full",M494))),Lookup!$A$28:$F$36,6,FALSE),0))</f>
        <v>0</v>
      </c>
      <c r="M494" s="4" t="str">
        <f>IF(A494&lt;&gt;"",IF(OR(A494="Travel",AND(IFERROR(VLOOKUP(A494,$A$21:$A$386,1,FALSE),0)&lt;&gt;0,F494&lt;&gt;"Yes")),"Full(Match)",IFERROR(VLOOKUP(A494,Lookup!$D$2:$E$20,2,FALSE),"Full")),"")</f>
        <v/>
      </c>
    </row>
    <row r="495" spans="1:13" x14ac:dyDescent="0.25">
      <c r="A495" s="123"/>
      <c r="B495" s="123"/>
      <c r="C495" s="123"/>
      <c r="D495" s="125"/>
      <c r="E495" s="124"/>
      <c r="F495" s="3"/>
      <c r="G495" s="130"/>
      <c r="H495" s="95" t="str">
        <f>IFERROR(IFERROR(VLOOKUP(D495,Lookup!$G$2:$H$7,2,FALSE),1)*IF(F495="Yes",VLOOKUP(A495,$A$21:$C$386,3,FALSE),VLOOKUP(A495,$A$21:$B$386,2,FALSE)),"")</f>
        <v/>
      </c>
      <c r="I495" s="95" t="str">
        <f t="shared" si="5"/>
        <v/>
      </c>
      <c r="J495" s="95" t="str">
        <f>IFERROR(IF(F495="Yes",0,I495*Lookup!$B$8),"")</f>
        <v/>
      </c>
      <c r="K495" s="95">
        <f>IF(IFERROR(VLOOKUP(A495,$A$2:$A$20,1,FALSE),0)&lt;&gt;0, IF(A495="Suballocation", G495, G495*IFERROR(VLOOKUP(D495,Lookup!$G$2:$H$7,2,FALSE),1)), SUM(I495:J495))</f>
        <v>0</v>
      </c>
      <c r="L495" s="95">
        <f>K495*(1+IFERROR(VLOOKUP(IF(OR(Funding!$H$5=Lookup!$A$20,Funding!$H$5=""),0,IF(AND(Lookup!$B$23&lt;&gt;1,M495="Full(Match)"),IF(D495="",Lookup!$G$2,D495)&amp;Expenses!M495,IF(Funding!$H$5=Lookup!$A$19,Lookup!$A$19,"")&amp;IF(M495="Full(Match)","Full",M495))),Lookup!$A$28:$F$36,6,FALSE),0))</f>
        <v>0</v>
      </c>
      <c r="M495" s="4" t="str">
        <f>IF(A495&lt;&gt;"",IF(OR(A495="Travel",AND(IFERROR(VLOOKUP(A495,$A$21:$A$386,1,FALSE),0)&lt;&gt;0,F495&lt;&gt;"Yes")),"Full(Match)",IFERROR(VLOOKUP(A495,Lookup!$D$2:$E$20,2,FALSE),"Full")),"")</f>
        <v/>
      </c>
    </row>
    <row r="496" spans="1:13" x14ac:dyDescent="0.25">
      <c r="A496" s="123"/>
      <c r="B496" s="123"/>
      <c r="C496" s="123"/>
      <c r="D496" s="125"/>
      <c r="E496" s="124"/>
      <c r="F496" s="3"/>
      <c r="G496" s="130"/>
      <c r="H496" s="95" t="str">
        <f>IFERROR(IFERROR(VLOOKUP(D496,Lookup!$G$2:$H$7,2,FALSE),1)*IF(F496="Yes",VLOOKUP(A496,$A$21:$C$386,3,FALSE),VLOOKUP(A496,$A$21:$B$386,2,FALSE)),"")</f>
        <v/>
      </c>
      <c r="I496" s="95" t="str">
        <f t="shared" si="5"/>
        <v/>
      </c>
      <c r="J496" s="95" t="str">
        <f>IFERROR(IF(F496="Yes",0,I496*Lookup!$B$8),"")</f>
        <v/>
      </c>
      <c r="K496" s="95">
        <f>IF(IFERROR(VLOOKUP(A496,$A$2:$A$20,1,FALSE),0)&lt;&gt;0, IF(A496="Suballocation", G496, G496*IFERROR(VLOOKUP(D496,Lookup!$G$2:$H$7,2,FALSE),1)), SUM(I496:J496))</f>
        <v>0</v>
      </c>
      <c r="L496" s="95">
        <f>K496*(1+IFERROR(VLOOKUP(IF(OR(Funding!$H$5=Lookup!$A$20,Funding!$H$5=""),0,IF(AND(Lookup!$B$23&lt;&gt;1,M496="Full(Match)"),IF(D496="",Lookup!$G$2,D496)&amp;Expenses!M496,IF(Funding!$H$5=Lookup!$A$19,Lookup!$A$19,"")&amp;IF(M496="Full(Match)","Full",M496))),Lookup!$A$28:$F$36,6,FALSE),0))</f>
        <v>0</v>
      </c>
      <c r="M496" s="4" t="str">
        <f>IF(A496&lt;&gt;"",IF(OR(A496="Travel",AND(IFERROR(VLOOKUP(A496,$A$21:$A$386,1,FALSE),0)&lt;&gt;0,F496&lt;&gt;"Yes")),"Full(Match)",IFERROR(VLOOKUP(A496,Lookup!$D$2:$E$20,2,FALSE),"Full")),"")</f>
        <v/>
      </c>
    </row>
    <row r="497" spans="1:13" x14ac:dyDescent="0.25">
      <c r="A497" s="123"/>
      <c r="B497" s="123"/>
      <c r="C497" s="123"/>
      <c r="D497" s="125"/>
      <c r="E497" s="124"/>
      <c r="F497" s="3"/>
      <c r="G497" s="130"/>
      <c r="H497" s="95" t="str">
        <f>IFERROR(IFERROR(VLOOKUP(D497,Lookup!$G$2:$H$7,2,FALSE),1)*IF(F497="Yes",VLOOKUP(A497,$A$21:$C$386,3,FALSE),VLOOKUP(A497,$A$21:$B$386,2,FALSE)),"")</f>
        <v/>
      </c>
      <c r="I497" s="95" t="str">
        <f t="shared" si="5"/>
        <v/>
      </c>
      <c r="J497" s="95" t="str">
        <f>IFERROR(IF(F497="Yes",0,I497*Lookup!$B$8),"")</f>
        <v/>
      </c>
      <c r="K497" s="95">
        <f>IF(IFERROR(VLOOKUP(A497,$A$2:$A$20,1,FALSE),0)&lt;&gt;0, IF(A497="Suballocation", G497, G497*IFERROR(VLOOKUP(D497,Lookup!$G$2:$H$7,2,FALSE),1)), SUM(I497:J497))</f>
        <v>0</v>
      </c>
      <c r="L497" s="95">
        <f>K497*(1+IFERROR(VLOOKUP(IF(OR(Funding!$H$5=Lookup!$A$20,Funding!$H$5=""),0,IF(AND(Lookup!$B$23&lt;&gt;1,M497="Full(Match)"),IF(D497="",Lookup!$G$2,D497)&amp;Expenses!M497,IF(Funding!$H$5=Lookup!$A$19,Lookup!$A$19,"")&amp;IF(M497="Full(Match)","Full",M497))),Lookup!$A$28:$F$36,6,FALSE),0))</f>
        <v>0</v>
      </c>
      <c r="M497" s="4" t="str">
        <f>IF(A497&lt;&gt;"",IF(OR(A497="Travel",AND(IFERROR(VLOOKUP(A497,$A$21:$A$386,1,FALSE),0)&lt;&gt;0,F497&lt;&gt;"Yes")),"Full(Match)",IFERROR(VLOOKUP(A497,Lookup!$D$2:$E$20,2,FALSE),"Full")),"")</f>
        <v/>
      </c>
    </row>
    <row r="498" spans="1:13" x14ac:dyDescent="0.25">
      <c r="A498" s="123"/>
      <c r="B498" s="123"/>
      <c r="C498" s="123"/>
      <c r="D498" s="125"/>
      <c r="E498" s="124"/>
      <c r="F498" s="3"/>
      <c r="G498" s="130"/>
      <c r="H498" s="95" t="str">
        <f>IFERROR(IFERROR(VLOOKUP(D498,Lookup!$G$2:$H$7,2,FALSE),1)*IF(F498="Yes",VLOOKUP(A498,$A$21:$C$386,3,FALSE),VLOOKUP(A498,$A$21:$B$386,2,FALSE)),"")</f>
        <v/>
      </c>
      <c r="I498" s="95" t="str">
        <f t="shared" si="5"/>
        <v/>
      </c>
      <c r="J498" s="95" t="str">
        <f>IFERROR(IF(F498="Yes",0,I498*Lookup!$B$8),"")</f>
        <v/>
      </c>
      <c r="K498" s="95">
        <f>IF(IFERROR(VLOOKUP(A498,$A$2:$A$20,1,FALSE),0)&lt;&gt;0, IF(A498="Suballocation", G498, G498*IFERROR(VLOOKUP(D498,Lookup!$G$2:$H$7,2,FALSE),1)), SUM(I498:J498))</f>
        <v>0</v>
      </c>
      <c r="L498" s="95">
        <f>K498*(1+IFERROR(VLOOKUP(IF(OR(Funding!$H$5=Lookup!$A$20,Funding!$H$5=""),0,IF(AND(Lookup!$B$23&lt;&gt;1,M498="Full(Match)"),IF(D498="",Lookup!$G$2,D498)&amp;Expenses!M498,IF(Funding!$H$5=Lookup!$A$19,Lookup!$A$19,"")&amp;IF(M498="Full(Match)","Full",M498))),Lookup!$A$28:$F$36,6,FALSE),0))</f>
        <v>0</v>
      </c>
      <c r="M498" s="4" t="str">
        <f>IF(A498&lt;&gt;"",IF(OR(A498="Travel",AND(IFERROR(VLOOKUP(A498,$A$21:$A$386,1,FALSE),0)&lt;&gt;0,F498&lt;&gt;"Yes")),"Full(Match)",IFERROR(VLOOKUP(A498,Lookup!$D$2:$E$20,2,FALSE),"Full")),"")</f>
        <v/>
      </c>
    </row>
    <row r="499" spans="1:13" x14ac:dyDescent="0.25">
      <c r="A499" s="123"/>
      <c r="B499" s="123"/>
      <c r="C499" s="123"/>
      <c r="D499" s="125"/>
      <c r="E499" s="124"/>
      <c r="F499" s="3"/>
      <c r="G499" s="130"/>
      <c r="H499" s="95" t="str">
        <f>IFERROR(IFERROR(VLOOKUP(D499,Lookup!$G$2:$H$7,2,FALSE),1)*IF(F499="Yes",VLOOKUP(A499,$A$21:$C$386,3,FALSE),VLOOKUP(A499,$A$21:$B$386,2,FALSE)),"")</f>
        <v/>
      </c>
      <c r="I499" s="95" t="str">
        <f t="shared" si="5"/>
        <v/>
      </c>
      <c r="J499" s="95" t="str">
        <f>IFERROR(IF(F499="Yes",0,I499*Lookup!$B$8),"")</f>
        <v/>
      </c>
      <c r="K499" s="95">
        <f>IF(IFERROR(VLOOKUP(A499,$A$2:$A$20,1,FALSE),0)&lt;&gt;0, IF(A499="Suballocation", G499, G499*IFERROR(VLOOKUP(D499,Lookup!$G$2:$H$7,2,FALSE),1)), SUM(I499:J499))</f>
        <v>0</v>
      </c>
      <c r="L499" s="95">
        <f>K499*(1+IFERROR(VLOOKUP(IF(OR(Funding!$H$5=Lookup!$A$20,Funding!$H$5=""),0,IF(AND(Lookup!$B$23&lt;&gt;1,M499="Full(Match)"),IF(D499="",Lookup!$G$2,D499)&amp;Expenses!M499,IF(Funding!$H$5=Lookup!$A$19,Lookup!$A$19,"")&amp;IF(M499="Full(Match)","Full",M499))),Lookup!$A$28:$F$36,6,FALSE),0))</f>
        <v>0</v>
      </c>
      <c r="M499" s="4" t="str">
        <f>IF(A499&lt;&gt;"",IF(OR(A499="Travel",AND(IFERROR(VLOOKUP(A499,$A$21:$A$386,1,FALSE),0)&lt;&gt;0,F499&lt;&gt;"Yes")),"Full(Match)",IFERROR(VLOOKUP(A499,Lookup!$D$2:$E$20,2,FALSE),"Full")),"")</f>
        <v/>
      </c>
    </row>
    <row r="500" spans="1:13" x14ac:dyDescent="0.25">
      <c r="A500" s="123"/>
      <c r="B500" s="123"/>
      <c r="C500" s="123"/>
      <c r="D500" s="125"/>
      <c r="E500" s="124"/>
      <c r="F500" s="3"/>
      <c r="G500" s="130"/>
      <c r="H500" s="95" t="str">
        <f>IFERROR(IFERROR(VLOOKUP(D500,Lookup!$G$2:$H$7,2,FALSE),1)*IF(F500="Yes",VLOOKUP(A500,$A$21:$C$386,3,FALSE),VLOOKUP(A500,$A$21:$B$386,2,FALSE)),"")</f>
        <v/>
      </c>
      <c r="I500" s="95" t="str">
        <f t="shared" si="5"/>
        <v/>
      </c>
      <c r="J500" s="95" t="str">
        <f>IFERROR(IF(F500="Yes",0,I500*Lookup!$B$8),"")</f>
        <v/>
      </c>
      <c r="K500" s="95">
        <f>IF(IFERROR(VLOOKUP(A500,$A$2:$A$20,1,FALSE),0)&lt;&gt;0, IF(A500="Suballocation", G500, G500*IFERROR(VLOOKUP(D500,Lookup!$G$2:$H$7,2,FALSE),1)), SUM(I500:J500))</f>
        <v>0</v>
      </c>
      <c r="L500" s="95">
        <f>K500*(1+IFERROR(VLOOKUP(IF(OR(Funding!$H$5=Lookup!$A$20,Funding!$H$5=""),0,IF(AND(Lookup!$B$23&lt;&gt;1,M500="Full(Match)"),IF(D500="",Lookup!$G$2,D500)&amp;Expenses!M500,IF(Funding!$H$5=Lookup!$A$19,Lookup!$A$19,"")&amp;IF(M500="Full(Match)","Full",M500))),Lookup!$A$28:$F$36,6,FALSE),0))</f>
        <v>0</v>
      </c>
      <c r="M500" s="4" t="str">
        <f>IF(A500&lt;&gt;"",IF(OR(A500="Travel",AND(IFERROR(VLOOKUP(A500,$A$21:$A$386,1,FALSE),0)&lt;&gt;0,F500&lt;&gt;"Yes")),"Full(Match)",IFERROR(VLOOKUP(A500,Lookup!$D$2:$E$20,2,FALSE),"Full")),"")</f>
        <v/>
      </c>
    </row>
    <row r="501" spans="1:13" x14ac:dyDescent="0.25">
      <c r="A501" s="123"/>
      <c r="B501" s="123"/>
      <c r="C501" s="123"/>
      <c r="D501" s="125"/>
      <c r="E501" s="124"/>
      <c r="F501" s="3"/>
      <c r="G501" s="130"/>
      <c r="H501" s="95" t="str">
        <f>IFERROR(IFERROR(VLOOKUP(D501,Lookup!$G$2:$H$7,2,FALSE),1)*IF(F501="Yes",VLOOKUP(A501,$A$21:$C$386,3,FALSE),VLOOKUP(A501,$A$21:$B$386,2,FALSE)),"")</f>
        <v/>
      </c>
      <c r="I501" s="95" t="str">
        <f t="shared" si="5"/>
        <v/>
      </c>
      <c r="J501" s="95" t="str">
        <f>IFERROR(IF(F501="Yes",0,I501*Lookup!$B$8),"")</f>
        <v/>
      </c>
      <c r="K501" s="95">
        <f>IF(IFERROR(VLOOKUP(A501,$A$2:$A$20,1,FALSE),0)&lt;&gt;0, IF(A501="Suballocation", G501, G501*IFERROR(VLOOKUP(D501,Lookup!$G$2:$H$7,2,FALSE),1)), SUM(I501:J501))</f>
        <v>0</v>
      </c>
      <c r="L501" s="95">
        <f>K501*(1+IFERROR(VLOOKUP(IF(OR(Funding!$H$5=Lookup!$A$20,Funding!$H$5=""),0,IF(AND(Lookup!$B$23&lt;&gt;1,M501="Full(Match)"),IF(D501="",Lookup!$G$2,D501)&amp;Expenses!M501,IF(Funding!$H$5=Lookup!$A$19,Lookup!$A$19,"")&amp;IF(M501="Full(Match)","Full",M501))),Lookup!$A$28:$F$36,6,FALSE),0))</f>
        <v>0</v>
      </c>
      <c r="M501" s="4" t="str">
        <f>IF(A501&lt;&gt;"",IF(OR(A501="Travel",AND(IFERROR(VLOOKUP(A501,$A$21:$A$386,1,FALSE),0)&lt;&gt;0,F501&lt;&gt;"Yes")),"Full(Match)",IFERROR(VLOOKUP(A501,Lookup!$D$2:$E$20,2,FALSE),"Full")),"")</f>
        <v/>
      </c>
    </row>
    <row r="502" spans="1:13" x14ac:dyDescent="0.25">
      <c r="A502" s="123"/>
      <c r="B502" s="123"/>
      <c r="C502" s="123"/>
      <c r="D502" s="125"/>
      <c r="E502" s="124"/>
      <c r="F502" s="3"/>
      <c r="G502" s="130"/>
      <c r="H502" s="95" t="str">
        <f>IFERROR(IFERROR(VLOOKUP(D502,Lookup!$G$2:$H$7,2,FALSE),1)*IF(F502="Yes",VLOOKUP(A502,$A$21:$C$386,3,FALSE),VLOOKUP(A502,$A$21:$B$386,2,FALSE)),"")</f>
        <v/>
      </c>
      <c r="I502" s="95" t="str">
        <f t="shared" si="5"/>
        <v/>
      </c>
      <c r="J502" s="95" t="str">
        <f>IFERROR(IF(F502="Yes",0,I502*Lookup!$B$8),"")</f>
        <v/>
      </c>
      <c r="K502" s="95">
        <f>IF(IFERROR(VLOOKUP(A502,$A$2:$A$20,1,FALSE),0)&lt;&gt;0, IF(A502="Suballocation", G502, G502*IFERROR(VLOOKUP(D502,Lookup!$G$2:$H$7,2,FALSE),1)), SUM(I502:J502))</f>
        <v>0</v>
      </c>
      <c r="L502" s="95">
        <f>K502*(1+IFERROR(VLOOKUP(IF(OR(Funding!$H$5=Lookup!$A$20,Funding!$H$5=""),0,IF(AND(Lookup!$B$23&lt;&gt;1,M502="Full(Match)"),IF(D502="",Lookup!$G$2,D502)&amp;Expenses!M502,IF(Funding!$H$5=Lookup!$A$19,Lookup!$A$19,"")&amp;IF(M502="Full(Match)","Full",M502))),Lookup!$A$28:$F$36,6,FALSE),0))</f>
        <v>0</v>
      </c>
      <c r="M502" s="4" t="str">
        <f>IF(A502&lt;&gt;"",IF(OR(A502="Travel",AND(IFERROR(VLOOKUP(A502,$A$21:$A$386,1,FALSE),0)&lt;&gt;0,F502&lt;&gt;"Yes")),"Full(Match)",IFERROR(VLOOKUP(A502,Lookup!$D$2:$E$20,2,FALSE),"Full")),"")</f>
        <v/>
      </c>
    </row>
    <row r="503" spans="1:13" x14ac:dyDescent="0.25">
      <c r="A503" s="123"/>
      <c r="B503" s="123"/>
      <c r="C503" s="123"/>
      <c r="D503" s="125"/>
      <c r="E503" s="124"/>
      <c r="F503" s="3"/>
      <c r="G503" s="130"/>
      <c r="H503" s="95" t="str">
        <f>IFERROR(IFERROR(VLOOKUP(D503,Lookup!$G$2:$H$7,2,FALSE),1)*IF(F503="Yes",VLOOKUP(A503,$A$21:$C$386,3,FALSE),VLOOKUP(A503,$A$21:$B$386,2,FALSE)),"")</f>
        <v/>
      </c>
      <c r="I503" s="95" t="str">
        <f t="shared" si="5"/>
        <v/>
      </c>
      <c r="J503" s="95" t="str">
        <f>IFERROR(IF(F503="Yes",0,I503*Lookup!$B$8),"")</f>
        <v/>
      </c>
      <c r="K503" s="95">
        <f>IF(IFERROR(VLOOKUP(A503,$A$2:$A$20,1,FALSE),0)&lt;&gt;0, IF(A503="Suballocation", G503, G503*IFERROR(VLOOKUP(D503,Lookup!$G$2:$H$7,2,FALSE),1)), SUM(I503:J503))</f>
        <v>0</v>
      </c>
      <c r="L503" s="95">
        <f>K503*(1+IFERROR(VLOOKUP(IF(OR(Funding!$H$5=Lookup!$A$20,Funding!$H$5=""),0,IF(AND(Lookup!$B$23&lt;&gt;1,M503="Full(Match)"),IF(D503="",Lookup!$G$2,D503)&amp;Expenses!M503,IF(Funding!$H$5=Lookup!$A$19,Lookup!$A$19,"")&amp;IF(M503="Full(Match)","Full",M503))),Lookup!$A$28:$F$36,6,FALSE),0))</f>
        <v>0</v>
      </c>
      <c r="M503" s="4" t="str">
        <f>IF(A503&lt;&gt;"",IF(OR(A503="Travel",AND(IFERROR(VLOOKUP(A503,$A$21:$A$386,1,FALSE),0)&lt;&gt;0,F503&lt;&gt;"Yes")),"Full(Match)",IFERROR(VLOOKUP(A503,Lookup!$D$2:$E$20,2,FALSE),"Full")),"")</f>
        <v/>
      </c>
    </row>
    <row r="504" spans="1:13" x14ac:dyDescent="0.25">
      <c r="A504" s="123"/>
      <c r="B504" s="123"/>
      <c r="C504" s="123"/>
      <c r="D504" s="125"/>
      <c r="E504" s="124"/>
      <c r="F504" s="3"/>
      <c r="G504" s="130"/>
      <c r="H504" s="95" t="str">
        <f>IFERROR(IFERROR(VLOOKUP(D504,Lookup!$G$2:$H$7,2,FALSE),1)*IF(F504="Yes",VLOOKUP(A504,$A$21:$C$386,3,FALSE),VLOOKUP(A504,$A$21:$B$386,2,FALSE)),"")</f>
        <v/>
      </c>
      <c r="I504" s="95" t="str">
        <f t="shared" si="5"/>
        <v/>
      </c>
      <c r="J504" s="95" t="str">
        <f>IFERROR(IF(F504="Yes",0,I504*Lookup!$B$8),"")</f>
        <v/>
      </c>
      <c r="K504" s="95">
        <f>IF(IFERROR(VLOOKUP(A504,$A$2:$A$20,1,FALSE),0)&lt;&gt;0, IF(A504="Suballocation", G504, G504*IFERROR(VLOOKUP(D504,Lookup!$G$2:$H$7,2,FALSE),1)), SUM(I504:J504))</f>
        <v>0</v>
      </c>
      <c r="L504" s="95">
        <f>K504*(1+IFERROR(VLOOKUP(IF(OR(Funding!$H$5=Lookup!$A$20,Funding!$H$5=""),0,IF(AND(Lookup!$B$23&lt;&gt;1,M504="Full(Match)"),IF(D504="",Lookup!$G$2,D504)&amp;Expenses!M504,IF(Funding!$H$5=Lookup!$A$19,Lookup!$A$19,"")&amp;IF(M504="Full(Match)","Full",M504))),Lookup!$A$28:$F$36,6,FALSE),0))</f>
        <v>0</v>
      </c>
      <c r="M504" s="4" t="str">
        <f>IF(A504&lt;&gt;"",IF(OR(A504="Travel",AND(IFERROR(VLOOKUP(A504,$A$21:$A$386,1,FALSE),0)&lt;&gt;0,F504&lt;&gt;"Yes")),"Full(Match)",IFERROR(VLOOKUP(A504,Lookup!$D$2:$E$20,2,FALSE),"Full")),"")</f>
        <v/>
      </c>
    </row>
    <row r="505" spans="1:13" x14ac:dyDescent="0.25">
      <c r="A505" s="123"/>
      <c r="B505" s="123"/>
      <c r="C505" s="123"/>
      <c r="D505" s="125"/>
      <c r="E505" s="124"/>
      <c r="F505" s="3"/>
      <c r="G505" s="130"/>
      <c r="H505" s="95" t="str">
        <f>IFERROR(IFERROR(VLOOKUP(D505,Lookup!$G$2:$H$7,2,FALSE),1)*IF(F505="Yes",VLOOKUP(A505,$A$21:$C$386,3,FALSE),VLOOKUP(A505,$A$21:$B$386,2,FALSE)),"")</f>
        <v/>
      </c>
      <c r="I505" s="95" t="str">
        <f t="shared" si="5"/>
        <v/>
      </c>
      <c r="J505" s="95" t="str">
        <f>IFERROR(IF(F505="Yes",0,I505*Lookup!$B$8),"")</f>
        <v/>
      </c>
      <c r="K505" s="95">
        <f>IF(IFERROR(VLOOKUP(A505,$A$2:$A$20,1,FALSE),0)&lt;&gt;0, IF(A505="Suballocation", G505, G505*IFERROR(VLOOKUP(D505,Lookup!$G$2:$H$7,2,FALSE),1)), SUM(I505:J505))</f>
        <v>0</v>
      </c>
      <c r="L505" s="95">
        <f>K505*(1+IFERROR(VLOOKUP(IF(OR(Funding!$H$5=Lookup!$A$20,Funding!$H$5=""),0,IF(AND(Lookup!$B$23&lt;&gt;1,M505="Full(Match)"),IF(D505="",Lookup!$G$2,D505)&amp;Expenses!M505,IF(Funding!$H$5=Lookup!$A$19,Lookup!$A$19,"")&amp;IF(M505="Full(Match)","Full",M505))),Lookup!$A$28:$F$36,6,FALSE),0))</f>
        <v>0</v>
      </c>
      <c r="M505" s="4" t="str">
        <f>IF(A505&lt;&gt;"",IF(OR(A505="Travel",AND(IFERROR(VLOOKUP(A505,$A$21:$A$386,1,FALSE),0)&lt;&gt;0,F505&lt;&gt;"Yes")),"Full(Match)",IFERROR(VLOOKUP(A505,Lookup!$D$2:$E$20,2,FALSE),"Full")),"")</f>
        <v/>
      </c>
    </row>
    <row r="506" spans="1:13" x14ac:dyDescent="0.25">
      <c r="A506" s="123"/>
      <c r="B506" s="123"/>
      <c r="C506" s="123"/>
      <c r="D506" s="125"/>
      <c r="E506" s="124"/>
      <c r="F506" s="3"/>
      <c r="G506" s="130"/>
      <c r="H506" s="95" t="str">
        <f>IFERROR(IFERROR(VLOOKUP(D506,Lookup!$G$2:$H$7,2,FALSE),1)*IF(F506="Yes",VLOOKUP(A506,$A$21:$C$386,3,FALSE),VLOOKUP(A506,$A$21:$B$386,2,FALSE)),"")</f>
        <v/>
      </c>
      <c r="I506" s="95" t="str">
        <f t="shared" si="5"/>
        <v/>
      </c>
      <c r="J506" s="95" t="str">
        <f>IFERROR(IF(F506="Yes",0,I506*Lookup!$B$8),"")</f>
        <v/>
      </c>
      <c r="K506" s="95">
        <f>IF(IFERROR(VLOOKUP(A506,$A$2:$A$20,1,FALSE),0)&lt;&gt;0, IF(A506="Suballocation", G506, G506*IFERROR(VLOOKUP(D506,Lookup!$G$2:$H$7,2,FALSE),1)), SUM(I506:J506))</f>
        <v>0</v>
      </c>
      <c r="L506" s="95">
        <f>K506*(1+IFERROR(VLOOKUP(IF(OR(Funding!$H$5=Lookup!$A$20,Funding!$H$5=""),0,IF(AND(Lookup!$B$23&lt;&gt;1,M506="Full(Match)"),IF(D506="",Lookup!$G$2,D506)&amp;Expenses!M506,IF(Funding!$H$5=Lookup!$A$19,Lookup!$A$19,"")&amp;IF(M506="Full(Match)","Full",M506))),Lookup!$A$28:$F$36,6,FALSE),0))</f>
        <v>0</v>
      </c>
      <c r="M506" s="4" t="str">
        <f>IF(A506&lt;&gt;"",IF(OR(A506="Travel",AND(IFERROR(VLOOKUP(A506,$A$21:$A$386,1,FALSE),0)&lt;&gt;0,F506&lt;&gt;"Yes")),"Full(Match)",IFERROR(VLOOKUP(A506,Lookup!$D$2:$E$20,2,FALSE),"Full")),"")</f>
        <v/>
      </c>
    </row>
    <row r="507" spans="1:13" x14ac:dyDescent="0.25">
      <c r="A507" s="123"/>
      <c r="B507" s="123"/>
      <c r="C507" s="123"/>
      <c r="D507" s="125"/>
      <c r="E507" s="124"/>
      <c r="F507" s="3"/>
      <c r="G507" s="130"/>
      <c r="H507" s="95" t="str">
        <f>IFERROR(IFERROR(VLOOKUP(D507,Lookup!$G$2:$H$7,2,FALSE),1)*IF(F507="Yes",VLOOKUP(A507,$A$21:$C$386,3,FALSE),VLOOKUP(A507,$A$21:$B$386,2,FALSE)),"")</f>
        <v/>
      </c>
      <c r="I507" s="95" t="str">
        <f t="shared" si="5"/>
        <v/>
      </c>
      <c r="J507" s="95" t="str">
        <f>IFERROR(IF(F507="Yes",0,I507*Lookup!$B$8),"")</f>
        <v/>
      </c>
      <c r="K507" s="95">
        <f>IF(IFERROR(VLOOKUP(A507,$A$2:$A$20,1,FALSE),0)&lt;&gt;0, IF(A507="Suballocation", G507, G507*IFERROR(VLOOKUP(D507,Lookup!$G$2:$H$7,2,FALSE),1)), SUM(I507:J507))</f>
        <v>0</v>
      </c>
      <c r="L507" s="95">
        <f>K507*(1+IFERROR(VLOOKUP(IF(OR(Funding!$H$5=Lookup!$A$20,Funding!$H$5=""),0,IF(AND(Lookup!$B$23&lt;&gt;1,M507="Full(Match)"),IF(D507="",Lookup!$G$2,D507)&amp;Expenses!M507,IF(Funding!$H$5=Lookup!$A$19,Lookup!$A$19,"")&amp;IF(M507="Full(Match)","Full",M507))),Lookup!$A$28:$F$36,6,FALSE),0))</f>
        <v>0</v>
      </c>
      <c r="M507" s="4" t="str">
        <f>IF(A507&lt;&gt;"",IF(OR(A507="Travel",AND(IFERROR(VLOOKUP(A507,$A$21:$A$386,1,FALSE),0)&lt;&gt;0,F507&lt;&gt;"Yes")),"Full(Match)",IFERROR(VLOOKUP(A507,Lookup!$D$2:$E$20,2,FALSE),"Full")),"")</f>
        <v/>
      </c>
    </row>
    <row r="508" spans="1:13" x14ac:dyDescent="0.25">
      <c r="A508" s="123"/>
      <c r="B508" s="123"/>
      <c r="C508" s="123"/>
      <c r="D508" s="125"/>
      <c r="E508" s="124"/>
      <c r="F508" s="3"/>
      <c r="G508" s="130"/>
      <c r="H508" s="95" t="str">
        <f>IFERROR(IFERROR(VLOOKUP(D508,Lookup!$G$2:$H$7,2,FALSE),1)*IF(F508="Yes",VLOOKUP(A508,$A$21:$C$386,3,FALSE),VLOOKUP(A508,$A$21:$B$386,2,FALSE)),"")</f>
        <v/>
      </c>
      <c r="I508" s="95" t="str">
        <f t="shared" si="5"/>
        <v/>
      </c>
      <c r="J508" s="95" t="str">
        <f>IFERROR(IF(F508="Yes",0,I508*Lookup!$B$8),"")</f>
        <v/>
      </c>
      <c r="K508" s="95">
        <f>IF(IFERROR(VLOOKUP(A508,$A$2:$A$20,1,FALSE),0)&lt;&gt;0, IF(A508="Suballocation", G508, G508*IFERROR(VLOOKUP(D508,Lookup!$G$2:$H$7,2,FALSE),1)), SUM(I508:J508))</f>
        <v>0</v>
      </c>
      <c r="L508" s="95">
        <f>K508*(1+IFERROR(VLOOKUP(IF(OR(Funding!$H$5=Lookup!$A$20,Funding!$H$5=""),0,IF(AND(Lookup!$B$23&lt;&gt;1,M508="Full(Match)"),IF(D508="",Lookup!$G$2,D508)&amp;Expenses!M508,IF(Funding!$H$5=Lookup!$A$19,Lookup!$A$19,"")&amp;IF(M508="Full(Match)","Full",M508))),Lookup!$A$28:$F$36,6,FALSE),0))</f>
        <v>0</v>
      </c>
      <c r="M508" s="4" t="str">
        <f>IF(A508&lt;&gt;"",IF(OR(A508="Travel",AND(IFERROR(VLOOKUP(A508,$A$21:$A$386,1,FALSE),0)&lt;&gt;0,F508&lt;&gt;"Yes")),"Full(Match)",IFERROR(VLOOKUP(A508,Lookup!$D$2:$E$20,2,FALSE),"Full")),"")</f>
        <v/>
      </c>
    </row>
    <row r="509" spans="1:13" x14ac:dyDescent="0.25">
      <c r="A509" s="123"/>
      <c r="B509" s="123"/>
      <c r="C509" s="123"/>
      <c r="D509" s="125"/>
      <c r="E509" s="124"/>
      <c r="F509" s="3"/>
      <c r="G509" s="130"/>
      <c r="H509" s="95" t="str">
        <f>IFERROR(IFERROR(VLOOKUP(D509,Lookup!$G$2:$H$7,2,FALSE),1)*IF(F509="Yes",VLOOKUP(A509,$A$21:$C$386,3,FALSE),VLOOKUP(A509,$A$21:$B$386,2,FALSE)),"")</f>
        <v/>
      </c>
      <c r="I509" s="95" t="str">
        <f t="shared" si="5"/>
        <v/>
      </c>
      <c r="J509" s="95" t="str">
        <f>IFERROR(IF(F509="Yes",0,I509*Lookup!$B$8),"")</f>
        <v/>
      </c>
      <c r="K509" s="95">
        <f>IF(IFERROR(VLOOKUP(A509,$A$2:$A$20,1,FALSE),0)&lt;&gt;0, IF(A509="Suballocation", G509, G509*IFERROR(VLOOKUP(D509,Lookup!$G$2:$H$7,2,FALSE),1)), SUM(I509:J509))</f>
        <v>0</v>
      </c>
      <c r="L509" s="95">
        <f>K509*(1+IFERROR(VLOOKUP(IF(OR(Funding!$H$5=Lookup!$A$20,Funding!$H$5=""),0,IF(AND(Lookup!$B$23&lt;&gt;1,M509="Full(Match)"),IF(D509="",Lookup!$G$2,D509)&amp;Expenses!M509,IF(Funding!$H$5=Lookup!$A$19,Lookup!$A$19,"")&amp;IF(M509="Full(Match)","Full",M509))),Lookup!$A$28:$F$36,6,FALSE),0))</f>
        <v>0</v>
      </c>
      <c r="M509" s="4" t="str">
        <f>IF(A509&lt;&gt;"",IF(OR(A509="Travel",AND(IFERROR(VLOOKUP(A509,$A$21:$A$386,1,FALSE),0)&lt;&gt;0,F509&lt;&gt;"Yes")),"Full(Match)",IFERROR(VLOOKUP(A509,Lookup!$D$2:$E$20,2,FALSE),"Full")),"")</f>
        <v/>
      </c>
    </row>
    <row r="510" spans="1:13" x14ac:dyDescent="0.25">
      <c r="A510" s="123"/>
      <c r="B510" s="123"/>
      <c r="C510" s="123"/>
      <c r="D510" s="125"/>
      <c r="E510" s="124"/>
      <c r="F510" s="3"/>
      <c r="G510" s="130"/>
      <c r="H510" s="95" t="str">
        <f>IFERROR(IFERROR(VLOOKUP(D510,Lookup!$G$2:$H$7,2,FALSE),1)*IF(F510="Yes",VLOOKUP(A510,$A$21:$C$386,3,FALSE),VLOOKUP(A510,$A$21:$B$386,2,FALSE)),"")</f>
        <v/>
      </c>
      <c r="I510" s="95" t="str">
        <f t="shared" si="5"/>
        <v/>
      </c>
      <c r="J510" s="95" t="str">
        <f>IFERROR(IF(F510="Yes",0,I510*Lookup!$B$8),"")</f>
        <v/>
      </c>
      <c r="K510" s="95">
        <f>IF(IFERROR(VLOOKUP(A510,$A$2:$A$20,1,FALSE),0)&lt;&gt;0, IF(A510="Suballocation", G510, G510*IFERROR(VLOOKUP(D510,Lookup!$G$2:$H$7,2,FALSE),1)), SUM(I510:J510))</f>
        <v>0</v>
      </c>
      <c r="L510" s="95">
        <f>K510*(1+IFERROR(VLOOKUP(IF(OR(Funding!$H$5=Lookup!$A$20,Funding!$H$5=""),0,IF(AND(Lookup!$B$23&lt;&gt;1,M510="Full(Match)"),IF(D510="",Lookup!$G$2,D510)&amp;Expenses!M510,IF(Funding!$H$5=Lookup!$A$19,Lookup!$A$19,"")&amp;IF(M510="Full(Match)","Full",M510))),Lookup!$A$28:$F$36,6,FALSE),0))</f>
        <v>0</v>
      </c>
      <c r="M510" s="4" t="str">
        <f>IF(A510&lt;&gt;"",IF(OR(A510="Travel",AND(IFERROR(VLOOKUP(A510,$A$21:$A$386,1,FALSE),0)&lt;&gt;0,F510&lt;&gt;"Yes")),"Full(Match)",IFERROR(VLOOKUP(A510,Lookup!$D$2:$E$20,2,FALSE),"Full")),"")</f>
        <v/>
      </c>
    </row>
    <row r="511" spans="1:13" x14ac:dyDescent="0.25">
      <c r="A511" s="123"/>
      <c r="B511" s="123"/>
      <c r="C511" s="123"/>
      <c r="D511" s="125"/>
      <c r="E511" s="124"/>
      <c r="F511" s="3"/>
      <c r="G511" s="130"/>
      <c r="H511" s="95" t="str">
        <f>IFERROR(IFERROR(VLOOKUP(D511,Lookup!$G$2:$H$7,2,FALSE),1)*IF(F511="Yes",VLOOKUP(A511,$A$21:$C$386,3,FALSE),VLOOKUP(A511,$A$21:$B$386,2,FALSE)),"")</f>
        <v/>
      </c>
      <c r="I511" s="95" t="str">
        <f t="shared" si="5"/>
        <v/>
      </c>
      <c r="J511" s="95" t="str">
        <f>IFERROR(IF(F511="Yes",0,I511*Lookup!$B$8),"")</f>
        <v/>
      </c>
      <c r="K511" s="95">
        <f>IF(IFERROR(VLOOKUP(A511,$A$2:$A$20,1,FALSE),0)&lt;&gt;0, IF(A511="Suballocation", G511, G511*IFERROR(VLOOKUP(D511,Lookup!$G$2:$H$7,2,FALSE),1)), SUM(I511:J511))</f>
        <v>0</v>
      </c>
      <c r="L511" s="95">
        <f>K511*(1+IFERROR(VLOOKUP(IF(OR(Funding!$H$5=Lookup!$A$20,Funding!$H$5=""),0,IF(AND(Lookup!$B$23&lt;&gt;1,M511="Full(Match)"),IF(D511="",Lookup!$G$2,D511)&amp;Expenses!M511,IF(Funding!$H$5=Lookup!$A$19,Lookup!$A$19,"")&amp;IF(M511="Full(Match)","Full",M511))),Lookup!$A$28:$F$36,6,FALSE),0))</f>
        <v>0</v>
      </c>
      <c r="M511" s="4" t="str">
        <f>IF(A511&lt;&gt;"",IF(OR(A511="Travel",AND(IFERROR(VLOOKUP(A511,$A$21:$A$386,1,FALSE),0)&lt;&gt;0,F511&lt;&gt;"Yes")),"Full(Match)",IFERROR(VLOOKUP(A511,Lookup!$D$2:$E$20,2,FALSE),"Full")),"")</f>
        <v/>
      </c>
    </row>
    <row r="512" spans="1:13" x14ac:dyDescent="0.25">
      <c r="A512" s="123"/>
      <c r="B512" s="123"/>
      <c r="C512" s="123"/>
      <c r="D512" s="125"/>
      <c r="E512" s="124"/>
      <c r="F512" s="3"/>
      <c r="G512" s="130"/>
      <c r="H512" s="95" t="str">
        <f>IFERROR(IFERROR(VLOOKUP(D512,Lookup!$G$2:$H$7,2,FALSE),1)*IF(F512="Yes",VLOOKUP(A512,$A$21:$C$386,3,FALSE),VLOOKUP(A512,$A$21:$B$386,2,FALSE)),"")</f>
        <v/>
      </c>
      <c r="I512" s="95" t="str">
        <f t="shared" si="5"/>
        <v/>
      </c>
      <c r="J512" s="95" t="str">
        <f>IFERROR(IF(F512="Yes",0,I512*Lookup!$B$8),"")</f>
        <v/>
      </c>
      <c r="K512" s="95">
        <f>IF(IFERROR(VLOOKUP(A512,$A$2:$A$20,1,FALSE),0)&lt;&gt;0, IF(A512="Suballocation", G512, G512*IFERROR(VLOOKUP(D512,Lookup!$G$2:$H$7,2,FALSE),1)), SUM(I512:J512))</f>
        <v>0</v>
      </c>
      <c r="L512" s="95">
        <f>K512*(1+IFERROR(VLOOKUP(IF(OR(Funding!$H$5=Lookup!$A$20,Funding!$H$5=""),0,IF(AND(Lookup!$B$23&lt;&gt;1,M512="Full(Match)"),IF(D512="",Lookup!$G$2,D512)&amp;Expenses!M512,IF(Funding!$H$5=Lookup!$A$19,Lookup!$A$19,"")&amp;IF(M512="Full(Match)","Full",M512))),Lookup!$A$28:$F$36,6,FALSE),0))</f>
        <v>0</v>
      </c>
      <c r="M512" s="4" t="str">
        <f>IF(A512&lt;&gt;"",IF(OR(A512="Travel",AND(IFERROR(VLOOKUP(A512,$A$21:$A$386,1,FALSE),0)&lt;&gt;0,F512&lt;&gt;"Yes")),"Full(Match)",IFERROR(VLOOKUP(A512,Lookup!$D$2:$E$20,2,FALSE),"Full")),"")</f>
        <v/>
      </c>
    </row>
    <row r="513" spans="1:13" x14ac:dyDescent="0.25">
      <c r="A513" s="123"/>
      <c r="B513" s="123"/>
      <c r="C513" s="123"/>
      <c r="D513" s="125"/>
      <c r="E513" s="124"/>
      <c r="F513" s="3"/>
      <c r="G513" s="130"/>
      <c r="H513" s="95" t="str">
        <f>IFERROR(IFERROR(VLOOKUP(D513,Lookup!$G$2:$H$7,2,FALSE),1)*IF(F513="Yes",VLOOKUP(A513,$A$21:$C$386,3,FALSE),VLOOKUP(A513,$A$21:$B$386,2,FALSE)),"")</f>
        <v/>
      </c>
      <c r="I513" s="95" t="str">
        <f t="shared" si="5"/>
        <v/>
      </c>
      <c r="J513" s="95" t="str">
        <f>IFERROR(IF(F513="Yes",0,I513*Lookup!$B$8),"")</f>
        <v/>
      </c>
      <c r="K513" s="95">
        <f>IF(IFERROR(VLOOKUP(A513,$A$2:$A$20,1,FALSE),0)&lt;&gt;0, IF(A513="Suballocation", G513, G513*IFERROR(VLOOKUP(D513,Lookup!$G$2:$H$7,2,FALSE),1)), SUM(I513:J513))</f>
        <v>0</v>
      </c>
      <c r="L513" s="95">
        <f>K513*(1+IFERROR(VLOOKUP(IF(OR(Funding!$H$5=Lookup!$A$20,Funding!$H$5=""),0,IF(AND(Lookup!$B$23&lt;&gt;1,M513="Full(Match)"),IF(D513="",Lookup!$G$2,D513)&amp;Expenses!M513,IF(Funding!$H$5=Lookup!$A$19,Lookup!$A$19,"")&amp;IF(M513="Full(Match)","Full",M513))),Lookup!$A$28:$F$36,6,FALSE),0))</f>
        <v>0</v>
      </c>
      <c r="M513" s="4" t="str">
        <f>IF(A513&lt;&gt;"",IF(OR(A513="Travel",AND(IFERROR(VLOOKUP(A513,$A$21:$A$386,1,FALSE),0)&lt;&gt;0,F513&lt;&gt;"Yes")),"Full(Match)",IFERROR(VLOOKUP(A513,Lookup!$D$2:$E$20,2,FALSE),"Full")),"")</f>
        <v/>
      </c>
    </row>
    <row r="514" spans="1:13" x14ac:dyDescent="0.25">
      <c r="A514" s="123"/>
      <c r="B514" s="123"/>
      <c r="C514" s="123"/>
      <c r="D514" s="125"/>
      <c r="E514" s="124"/>
      <c r="F514" s="3"/>
      <c r="G514" s="130"/>
      <c r="H514" s="95" t="str">
        <f>IFERROR(IFERROR(VLOOKUP(D514,Lookup!$G$2:$H$7,2,FALSE),1)*IF(F514="Yes",VLOOKUP(A514,$A$21:$C$386,3,FALSE),VLOOKUP(A514,$A$21:$B$386,2,FALSE)),"")</f>
        <v/>
      </c>
      <c r="I514" s="95" t="str">
        <f t="shared" si="5"/>
        <v/>
      </c>
      <c r="J514" s="95" t="str">
        <f>IFERROR(IF(F514="Yes",0,I514*Lookup!$B$8),"")</f>
        <v/>
      </c>
      <c r="K514" s="95">
        <f>IF(IFERROR(VLOOKUP(A514,$A$2:$A$20,1,FALSE),0)&lt;&gt;0, IF(A514="Suballocation", G514, G514*IFERROR(VLOOKUP(D514,Lookup!$G$2:$H$7,2,FALSE),1)), SUM(I514:J514))</f>
        <v>0</v>
      </c>
      <c r="L514" s="95">
        <f>K514*(1+IFERROR(VLOOKUP(IF(OR(Funding!$H$5=Lookup!$A$20,Funding!$H$5=""),0,IF(AND(Lookup!$B$23&lt;&gt;1,M514="Full(Match)"),IF(D514="",Lookup!$G$2,D514)&amp;Expenses!M514,IF(Funding!$H$5=Lookup!$A$19,Lookup!$A$19,"")&amp;IF(M514="Full(Match)","Full",M514))),Lookup!$A$28:$F$36,6,FALSE),0))</f>
        <v>0</v>
      </c>
      <c r="M514" s="4" t="str">
        <f>IF(A514&lt;&gt;"",IF(OR(A514="Travel",AND(IFERROR(VLOOKUP(A514,$A$21:$A$386,1,FALSE),0)&lt;&gt;0,F514&lt;&gt;"Yes")),"Full(Match)",IFERROR(VLOOKUP(A514,Lookup!$D$2:$E$20,2,FALSE),"Full")),"")</f>
        <v/>
      </c>
    </row>
    <row r="515" spans="1:13" x14ac:dyDescent="0.25">
      <c r="A515" s="123"/>
      <c r="B515" s="123"/>
      <c r="C515" s="123"/>
      <c r="D515" s="125"/>
      <c r="E515" s="124"/>
      <c r="F515" s="3"/>
      <c r="G515" s="130"/>
      <c r="H515" s="95" t="str">
        <f>IFERROR(IFERROR(VLOOKUP(D515,Lookup!$G$2:$H$7,2,FALSE),1)*IF(F515="Yes",VLOOKUP(A515,$A$21:$C$386,3,FALSE),VLOOKUP(A515,$A$21:$B$386,2,FALSE)),"")</f>
        <v/>
      </c>
      <c r="I515" s="95" t="str">
        <f t="shared" si="5"/>
        <v/>
      </c>
      <c r="J515" s="95" t="str">
        <f>IFERROR(IF(F515="Yes",0,I515*Lookup!$B$8),"")</f>
        <v/>
      </c>
      <c r="K515" s="95">
        <f>IF(IFERROR(VLOOKUP(A515,$A$2:$A$20,1,FALSE),0)&lt;&gt;0, IF(A515="Suballocation", G515, G515*IFERROR(VLOOKUP(D515,Lookup!$G$2:$H$7,2,FALSE),1)), SUM(I515:J515))</f>
        <v>0</v>
      </c>
      <c r="L515" s="95">
        <f>K515*(1+IFERROR(VLOOKUP(IF(OR(Funding!$H$5=Lookup!$A$20,Funding!$H$5=""),0,IF(AND(Lookup!$B$23&lt;&gt;1,M515="Full(Match)"),IF(D515="",Lookup!$G$2,D515)&amp;Expenses!M515,IF(Funding!$H$5=Lookup!$A$19,Lookup!$A$19,"")&amp;IF(M515="Full(Match)","Full",M515))),Lookup!$A$28:$F$36,6,FALSE),0))</f>
        <v>0</v>
      </c>
      <c r="M515" s="4" t="str">
        <f>IF(A515&lt;&gt;"",IF(OR(A515="Travel",AND(IFERROR(VLOOKUP(A515,$A$21:$A$386,1,FALSE),0)&lt;&gt;0,F515&lt;&gt;"Yes")),"Full(Match)",IFERROR(VLOOKUP(A515,Lookup!$D$2:$E$20,2,FALSE),"Full")),"")</f>
        <v/>
      </c>
    </row>
    <row r="516" spans="1:13" x14ac:dyDescent="0.25">
      <c r="A516" s="123"/>
      <c r="B516" s="123"/>
      <c r="C516" s="123"/>
      <c r="D516" s="125"/>
      <c r="E516" s="124"/>
      <c r="F516" s="3"/>
      <c r="G516" s="130"/>
      <c r="H516" s="95" t="str">
        <f>IFERROR(IFERROR(VLOOKUP(D516,Lookup!$G$2:$H$7,2,FALSE),1)*IF(F516="Yes",VLOOKUP(A516,$A$21:$C$386,3,FALSE),VLOOKUP(A516,$A$21:$B$386,2,FALSE)),"")</f>
        <v/>
      </c>
      <c r="I516" s="95" t="str">
        <f t="shared" ref="I516:I532" si="6">IFERROR(E516*H516,"")</f>
        <v/>
      </c>
      <c r="J516" s="95" t="str">
        <f>IFERROR(IF(F516="Yes",0,I516*Lookup!$B$8),"")</f>
        <v/>
      </c>
      <c r="K516" s="95">
        <f>IF(IFERROR(VLOOKUP(A516,$A$2:$A$20,1,FALSE),0)&lt;&gt;0, IF(A516="Suballocation", G516, G516*IFERROR(VLOOKUP(D516,Lookup!$G$2:$H$7,2,FALSE),1)), SUM(I516:J516))</f>
        <v>0</v>
      </c>
      <c r="L516" s="95">
        <f>K516*(1+IFERROR(VLOOKUP(IF(OR(Funding!$H$5=Lookup!$A$20,Funding!$H$5=""),0,IF(AND(Lookup!$B$23&lt;&gt;1,M516="Full(Match)"),IF(D516="",Lookup!$G$2,D516)&amp;Expenses!M516,IF(Funding!$H$5=Lookup!$A$19,Lookup!$A$19,"")&amp;IF(M516="Full(Match)","Full",M516))),Lookup!$A$28:$F$36,6,FALSE),0))</f>
        <v>0</v>
      </c>
      <c r="M516" s="4" t="str">
        <f>IF(A516&lt;&gt;"",IF(OR(A516="Travel",AND(IFERROR(VLOOKUP(A516,$A$21:$A$386,1,FALSE),0)&lt;&gt;0,F516&lt;&gt;"Yes")),"Full(Match)",IFERROR(VLOOKUP(A516,Lookup!$D$2:$E$20,2,FALSE),"Full")),"")</f>
        <v/>
      </c>
    </row>
    <row r="517" spans="1:13" x14ac:dyDescent="0.25">
      <c r="A517" s="123"/>
      <c r="B517" s="123"/>
      <c r="C517" s="123"/>
      <c r="D517" s="125"/>
      <c r="E517" s="124"/>
      <c r="F517" s="3"/>
      <c r="G517" s="130"/>
      <c r="H517" s="95" t="str">
        <f>IFERROR(IFERROR(VLOOKUP(D517,Lookup!$G$2:$H$7,2,FALSE),1)*IF(F517="Yes",VLOOKUP(A517,$A$21:$C$386,3,FALSE),VLOOKUP(A517,$A$21:$B$386,2,FALSE)),"")</f>
        <v/>
      </c>
      <c r="I517" s="95" t="str">
        <f t="shared" si="6"/>
        <v/>
      </c>
      <c r="J517" s="95" t="str">
        <f>IFERROR(IF(F517="Yes",0,I517*Lookup!$B$8),"")</f>
        <v/>
      </c>
      <c r="K517" s="95">
        <f>IF(IFERROR(VLOOKUP(A517,$A$2:$A$20,1,FALSE),0)&lt;&gt;0, IF(A517="Suballocation", G517, G517*IFERROR(VLOOKUP(D517,Lookup!$G$2:$H$7,2,FALSE),1)), SUM(I517:J517))</f>
        <v>0</v>
      </c>
      <c r="L517" s="95">
        <f>K517*(1+IFERROR(VLOOKUP(IF(OR(Funding!$H$5=Lookup!$A$20,Funding!$H$5=""),0,IF(AND(Lookup!$B$23&lt;&gt;1,M517="Full(Match)"),IF(D517="",Lookup!$G$2,D517)&amp;Expenses!M517,IF(Funding!$H$5=Lookup!$A$19,Lookup!$A$19,"")&amp;IF(M517="Full(Match)","Full",M517))),Lookup!$A$28:$F$36,6,FALSE),0))</f>
        <v>0</v>
      </c>
      <c r="M517" s="4" t="str">
        <f>IF(A517&lt;&gt;"",IF(OR(A517="Travel",AND(IFERROR(VLOOKUP(A517,$A$21:$A$386,1,FALSE),0)&lt;&gt;0,F517&lt;&gt;"Yes")),"Full(Match)",IFERROR(VLOOKUP(A517,Lookup!$D$2:$E$20,2,FALSE),"Full")),"")</f>
        <v/>
      </c>
    </row>
    <row r="518" spans="1:13" x14ac:dyDescent="0.25">
      <c r="A518" s="123"/>
      <c r="B518" s="123"/>
      <c r="C518" s="123"/>
      <c r="D518" s="125"/>
      <c r="E518" s="124"/>
      <c r="F518" s="3"/>
      <c r="G518" s="130"/>
      <c r="H518" s="95" t="str">
        <f>IFERROR(IFERROR(VLOOKUP(D518,Lookup!$G$2:$H$7,2,FALSE),1)*IF(F518="Yes",VLOOKUP(A518,$A$21:$C$386,3,FALSE),VLOOKUP(A518,$A$21:$B$386,2,FALSE)),"")</f>
        <v/>
      </c>
      <c r="I518" s="95" t="str">
        <f t="shared" si="6"/>
        <v/>
      </c>
      <c r="J518" s="95" t="str">
        <f>IFERROR(IF(F518="Yes",0,I518*Lookup!$B$8),"")</f>
        <v/>
      </c>
      <c r="K518" s="95">
        <f>IF(IFERROR(VLOOKUP(A518,$A$2:$A$20,1,FALSE),0)&lt;&gt;0, IF(A518="Suballocation", G518, G518*IFERROR(VLOOKUP(D518,Lookup!$G$2:$H$7,2,FALSE),1)), SUM(I518:J518))</f>
        <v>0</v>
      </c>
      <c r="L518" s="95">
        <f>K518*(1+IFERROR(VLOOKUP(IF(OR(Funding!$H$5=Lookup!$A$20,Funding!$H$5=""),0,IF(AND(Lookup!$B$23&lt;&gt;1,M518="Full(Match)"),IF(D518="",Lookup!$G$2,D518)&amp;Expenses!M518,IF(Funding!$H$5=Lookup!$A$19,Lookup!$A$19,"")&amp;IF(M518="Full(Match)","Full",M518))),Lookup!$A$28:$F$36,6,FALSE),0))</f>
        <v>0</v>
      </c>
      <c r="M518" s="4" t="str">
        <f>IF(A518&lt;&gt;"",IF(OR(A518="Travel",AND(IFERROR(VLOOKUP(A518,$A$21:$A$386,1,FALSE),0)&lt;&gt;0,F518&lt;&gt;"Yes")),"Full(Match)",IFERROR(VLOOKUP(A518,Lookup!$D$2:$E$20,2,FALSE),"Full")),"")</f>
        <v/>
      </c>
    </row>
    <row r="519" spans="1:13" x14ac:dyDescent="0.25">
      <c r="A519" s="123"/>
      <c r="B519" s="123"/>
      <c r="C519" s="123"/>
      <c r="D519" s="125"/>
      <c r="E519" s="124"/>
      <c r="F519" s="3"/>
      <c r="G519" s="130"/>
      <c r="H519" s="95" t="str">
        <f>IFERROR(IFERROR(VLOOKUP(D519,Lookup!$G$2:$H$7,2,FALSE),1)*IF(F519="Yes",VLOOKUP(A519,$A$21:$C$386,3,FALSE),VLOOKUP(A519,$A$21:$B$386,2,FALSE)),"")</f>
        <v/>
      </c>
      <c r="I519" s="95" t="str">
        <f t="shared" si="6"/>
        <v/>
      </c>
      <c r="J519" s="95" t="str">
        <f>IFERROR(IF(F519="Yes",0,I519*Lookup!$B$8),"")</f>
        <v/>
      </c>
      <c r="K519" s="95">
        <f>IF(IFERROR(VLOOKUP(A519,$A$2:$A$20,1,FALSE),0)&lt;&gt;0, IF(A519="Suballocation", G519, G519*IFERROR(VLOOKUP(D519,Lookup!$G$2:$H$7,2,FALSE),1)), SUM(I519:J519))</f>
        <v>0</v>
      </c>
      <c r="L519" s="95">
        <f>K519*(1+IFERROR(VLOOKUP(IF(OR(Funding!$H$5=Lookup!$A$20,Funding!$H$5=""),0,IF(AND(Lookup!$B$23&lt;&gt;1,M519="Full(Match)"),IF(D519="",Lookup!$G$2,D519)&amp;Expenses!M519,IF(Funding!$H$5=Lookup!$A$19,Lookup!$A$19,"")&amp;IF(M519="Full(Match)","Full",M519))),Lookup!$A$28:$F$36,6,FALSE),0))</f>
        <v>0</v>
      </c>
      <c r="M519" s="4" t="str">
        <f>IF(A519&lt;&gt;"",IF(OR(A519="Travel",AND(IFERROR(VLOOKUP(A519,$A$21:$A$386,1,FALSE),0)&lt;&gt;0,F519&lt;&gt;"Yes")),"Full(Match)",IFERROR(VLOOKUP(A519,Lookup!$D$2:$E$20,2,FALSE),"Full")),"")</f>
        <v/>
      </c>
    </row>
    <row r="520" spans="1:13" x14ac:dyDescent="0.25">
      <c r="A520" s="123"/>
      <c r="B520" s="123"/>
      <c r="C520" s="123"/>
      <c r="D520" s="125"/>
      <c r="E520" s="124"/>
      <c r="F520" s="3"/>
      <c r="G520" s="130"/>
      <c r="H520" s="95" t="str">
        <f>IFERROR(IFERROR(VLOOKUP(D520,Lookup!$G$2:$H$7,2,FALSE),1)*IF(F520="Yes",VLOOKUP(A520,$A$21:$C$386,3,FALSE),VLOOKUP(A520,$A$21:$B$386,2,FALSE)),"")</f>
        <v/>
      </c>
      <c r="I520" s="95" t="str">
        <f t="shared" si="6"/>
        <v/>
      </c>
      <c r="J520" s="95" t="str">
        <f>IFERROR(IF(F520="Yes",0,I520*Lookup!$B$8),"")</f>
        <v/>
      </c>
      <c r="K520" s="95">
        <f>IF(IFERROR(VLOOKUP(A520,$A$2:$A$20,1,FALSE),0)&lt;&gt;0, IF(A520="Suballocation", G520, G520*IFERROR(VLOOKUP(D520,Lookup!$G$2:$H$7,2,FALSE),1)), SUM(I520:J520))</f>
        <v>0</v>
      </c>
      <c r="L520" s="95">
        <f>K520*(1+IFERROR(VLOOKUP(IF(OR(Funding!$H$5=Lookup!$A$20,Funding!$H$5=""),0,IF(AND(Lookup!$B$23&lt;&gt;1,M520="Full(Match)"),IF(D520="",Lookup!$G$2,D520)&amp;Expenses!M520,IF(Funding!$H$5=Lookup!$A$19,Lookup!$A$19,"")&amp;IF(M520="Full(Match)","Full",M520))),Lookup!$A$28:$F$36,6,FALSE),0))</f>
        <v>0</v>
      </c>
      <c r="M520" s="4" t="str">
        <f>IF(A520&lt;&gt;"",IF(OR(A520="Travel",AND(IFERROR(VLOOKUP(A520,$A$21:$A$386,1,FALSE),0)&lt;&gt;0,F520&lt;&gt;"Yes")),"Full(Match)",IFERROR(VLOOKUP(A520,Lookup!$D$2:$E$20,2,FALSE),"Full")),"")</f>
        <v/>
      </c>
    </row>
    <row r="521" spans="1:13" x14ac:dyDescent="0.25">
      <c r="A521" s="123"/>
      <c r="B521" s="123"/>
      <c r="C521" s="123"/>
      <c r="D521" s="125"/>
      <c r="E521" s="124"/>
      <c r="F521" s="3"/>
      <c r="G521" s="130"/>
      <c r="H521" s="95" t="str">
        <f>IFERROR(IFERROR(VLOOKUP(D521,Lookup!$G$2:$H$7,2,FALSE),1)*IF(F521="Yes",VLOOKUP(A521,$A$21:$C$386,3,FALSE),VLOOKUP(A521,$A$21:$B$386,2,FALSE)),"")</f>
        <v/>
      </c>
      <c r="I521" s="95" t="str">
        <f t="shared" si="6"/>
        <v/>
      </c>
      <c r="J521" s="95" t="str">
        <f>IFERROR(IF(F521="Yes",0,I521*Lookup!$B$8),"")</f>
        <v/>
      </c>
      <c r="K521" s="95">
        <f>IF(IFERROR(VLOOKUP(A521,$A$2:$A$20,1,FALSE),0)&lt;&gt;0, IF(A521="Suballocation", G521, G521*IFERROR(VLOOKUP(D521,Lookup!$G$2:$H$7,2,FALSE),1)), SUM(I521:J521))</f>
        <v>0</v>
      </c>
      <c r="L521" s="95">
        <f>K521*(1+IFERROR(VLOOKUP(IF(OR(Funding!$H$5=Lookup!$A$20,Funding!$H$5=""),0,IF(AND(Lookup!$B$23&lt;&gt;1,M521="Full(Match)"),IF(D521="",Lookup!$G$2,D521)&amp;Expenses!M521,IF(Funding!$H$5=Lookup!$A$19,Lookup!$A$19,"")&amp;IF(M521="Full(Match)","Full",M521))),Lookup!$A$28:$F$36,6,FALSE),0))</f>
        <v>0</v>
      </c>
      <c r="M521" s="4" t="str">
        <f>IF(A521&lt;&gt;"",IF(OR(A521="Travel",AND(IFERROR(VLOOKUP(A521,$A$21:$A$386,1,FALSE),0)&lt;&gt;0,F521&lt;&gt;"Yes")),"Full(Match)",IFERROR(VLOOKUP(A521,Lookup!$D$2:$E$20,2,FALSE),"Full")),"")</f>
        <v/>
      </c>
    </row>
    <row r="522" spans="1:13" x14ac:dyDescent="0.25">
      <c r="A522" s="123"/>
      <c r="B522" s="123"/>
      <c r="C522" s="123"/>
      <c r="D522" s="125"/>
      <c r="E522" s="124"/>
      <c r="F522" s="3"/>
      <c r="G522" s="130"/>
      <c r="H522" s="95" t="str">
        <f>IFERROR(IFERROR(VLOOKUP(D522,Lookup!$G$2:$H$7,2,FALSE),1)*IF(F522="Yes",VLOOKUP(A522,$A$21:$C$386,3,FALSE),VLOOKUP(A522,$A$21:$B$386,2,FALSE)),"")</f>
        <v/>
      </c>
      <c r="I522" s="95" t="str">
        <f t="shared" si="6"/>
        <v/>
      </c>
      <c r="J522" s="95" t="str">
        <f>IFERROR(IF(F522="Yes",0,I522*Lookup!$B$8),"")</f>
        <v/>
      </c>
      <c r="K522" s="95">
        <f>IF(IFERROR(VLOOKUP(A522,$A$2:$A$20,1,FALSE),0)&lt;&gt;0, IF(A522="Suballocation", G522, G522*IFERROR(VLOOKUP(D522,Lookup!$G$2:$H$7,2,FALSE),1)), SUM(I522:J522))</f>
        <v>0</v>
      </c>
      <c r="L522" s="95">
        <f>K522*(1+IFERROR(VLOOKUP(IF(OR(Funding!$H$5=Lookup!$A$20,Funding!$H$5=""),0,IF(AND(Lookup!$B$23&lt;&gt;1,M522="Full(Match)"),IF(D522="",Lookup!$G$2,D522)&amp;Expenses!M522,IF(Funding!$H$5=Lookup!$A$19,Lookup!$A$19,"")&amp;IF(M522="Full(Match)","Full",M522))),Lookup!$A$28:$F$36,6,FALSE),0))</f>
        <v>0</v>
      </c>
      <c r="M522" s="4" t="str">
        <f>IF(A522&lt;&gt;"",IF(OR(A522="Travel",AND(IFERROR(VLOOKUP(A522,$A$21:$A$386,1,FALSE),0)&lt;&gt;0,F522&lt;&gt;"Yes")),"Full(Match)",IFERROR(VLOOKUP(A522,Lookup!$D$2:$E$20,2,FALSE),"Full")),"")</f>
        <v/>
      </c>
    </row>
    <row r="523" spans="1:13" x14ac:dyDescent="0.25">
      <c r="A523" s="123"/>
      <c r="B523" s="123"/>
      <c r="C523" s="123"/>
      <c r="D523" s="125"/>
      <c r="E523" s="124"/>
      <c r="F523" s="3"/>
      <c r="G523" s="130"/>
      <c r="H523" s="95" t="str">
        <f>IFERROR(IFERROR(VLOOKUP(D523,Lookup!$G$2:$H$7,2,FALSE),1)*IF(F523="Yes",VLOOKUP(A523,$A$21:$C$386,3,FALSE),VLOOKUP(A523,$A$21:$B$386,2,FALSE)),"")</f>
        <v/>
      </c>
      <c r="I523" s="95" t="str">
        <f t="shared" si="6"/>
        <v/>
      </c>
      <c r="J523" s="95" t="str">
        <f>IFERROR(IF(F523="Yes",0,I523*Lookup!$B$8),"")</f>
        <v/>
      </c>
      <c r="K523" s="95">
        <f>IF(IFERROR(VLOOKUP(A523,$A$2:$A$20,1,FALSE),0)&lt;&gt;0, IF(A523="Suballocation", G523, G523*IFERROR(VLOOKUP(D523,Lookup!$G$2:$H$7,2,FALSE),1)), SUM(I523:J523))</f>
        <v>0</v>
      </c>
      <c r="L523" s="95">
        <f>K523*(1+IFERROR(VLOOKUP(IF(OR(Funding!$H$5=Lookup!$A$20,Funding!$H$5=""),0,IF(AND(Lookup!$B$23&lt;&gt;1,M523="Full(Match)"),IF(D523="",Lookup!$G$2,D523)&amp;Expenses!M523,IF(Funding!$H$5=Lookup!$A$19,Lookup!$A$19,"")&amp;IF(M523="Full(Match)","Full",M523))),Lookup!$A$28:$F$36,6,FALSE),0))</f>
        <v>0</v>
      </c>
      <c r="M523" s="4" t="str">
        <f>IF(A523&lt;&gt;"",IF(OR(A523="Travel",AND(IFERROR(VLOOKUP(A523,$A$21:$A$386,1,FALSE),0)&lt;&gt;0,F523&lt;&gt;"Yes")),"Full(Match)",IFERROR(VLOOKUP(A523,Lookup!$D$2:$E$20,2,FALSE),"Full")),"")</f>
        <v/>
      </c>
    </row>
    <row r="524" spans="1:13" x14ac:dyDescent="0.25">
      <c r="A524" s="123"/>
      <c r="B524" s="123"/>
      <c r="C524" s="123"/>
      <c r="D524" s="125"/>
      <c r="E524" s="124"/>
      <c r="F524" s="3"/>
      <c r="G524" s="130"/>
      <c r="H524" s="95" t="str">
        <f>IFERROR(IFERROR(VLOOKUP(D524,Lookup!$G$2:$H$7,2,FALSE),1)*IF(F524="Yes",VLOOKUP(A524,$A$21:$C$386,3,FALSE),VLOOKUP(A524,$A$21:$B$386,2,FALSE)),"")</f>
        <v/>
      </c>
      <c r="I524" s="95" t="str">
        <f t="shared" si="6"/>
        <v/>
      </c>
      <c r="J524" s="95" t="str">
        <f>IFERROR(IF(F524="Yes",0,I524*Lookup!$B$8),"")</f>
        <v/>
      </c>
      <c r="K524" s="95">
        <f>IF(IFERROR(VLOOKUP(A524,$A$2:$A$20,1,FALSE),0)&lt;&gt;0, IF(A524="Suballocation", G524, G524*IFERROR(VLOOKUP(D524,Lookup!$G$2:$H$7,2,FALSE),1)), SUM(I524:J524))</f>
        <v>0</v>
      </c>
      <c r="L524" s="95">
        <f>K524*(1+IFERROR(VLOOKUP(IF(OR(Funding!$H$5=Lookup!$A$20,Funding!$H$5=""),0,IF(AND(Lookup!$B$23&lt;&gt;1,M524="Full(Match)"),IF(D524="",Lookup!$G$2,D524)&amp;Expenses!M524,IF(Funding!$H$5=Lookup!$A$19,Lookup!$A$19,"")&amp;IF(M524="Full(Match)","Full",M524))),Lookup!$A$28:$F$36,6,FALSE),0))</f>
        <v>0</v>
      </c>
      <c r="M524" s="4" t="str">
        <f>IF(A524&lt;&gt;"",IF(OR(A524="Travel",AND(IFERROR(VLOOKUP(A524,$A$21:$A$386,1,FALSE),0)&lt;&gt;0,F524&lt;&gt;"Yes")),"Full(Match)",IFERROR(VLOOKUP(A524,Lookup!$D$2:$E$20,2,FALSE),"Full")),"")</f>
        <v/>
      </c>
    </row>
    <row r="525" spans="1:13" x14ac:dyDescent="0.25">
      <c r="A525" s="123"/>
      <c r="B525" s="123"/>
      <c r="C525" s="123"/>
      <c r="D525" s="125"/>
      <c r="E525" s="124"/>
      <c r="F525" s="3"/>
      <c r="G525" s="130"/>
      <c r="H525" s="95" t="str">
        <f>IFERROR(IFERROR(VLOOKUP(D525,Lookup!$G$2:$H$7,2,FALSE),1)*IF(F525="Yes",VLOOKUP(A525,$A$21:$C$386,3,FALSE),VLOOKUP(A525,$A$21:$B$386,2,FALSE)),"")</f>
        <v/>
      </c>
      <c r="I525" s="95" t="str">
        <f t="shared" si="6"/>
        <v/>
      </c>
      <c r="J525" s="95" t="str">
        <f>IFERROR(IF(F525="Yes",0,I525*Lookup!$B$8),"")</f>
        <v/>
      </c>
      <c r="K525" s="95">
        <f>IF(IFERROR(VLOOKUP(A525,$A$2:$A$20,1,FALSE),0)&lt;&gt;0, IF(A525="Suballocation", G525, G525*IFERROR(VLOOKUP(D525,Lookup!$G$2:$H$7,2,FALSE),1)), SUM(I525:J525))</f>
        <v>0</v>
      </c>
      <c r="L525" s="95">
        <f>K525*(1+IFERROR(VLOOKUP(IF(OR(Funding!$H$5=Lookup!$A$20,Funding!$H$5=""),0,IF(AND(Lookup!$B$23&lt;&gt;1,M525="Full(Match)"),IF(D525="",Lookup!$G$2,D525)&amp;Expenses!M525,IF(Funding!$H$5=Lookup!$A$19,Lookup!$A$19,"")&amp;IF(M525="Full(Match)","Full",M525))),Lookup!$A$28:$F$36,6,FALSE),0))</f>
        <v>0</v>
      </c>
      <c r="M525" s="4" t="str">
        <f>IF(A525&lt;&gt;"",IF(OR(A525="Travel",AND(IFERROR(VLOOKUP(A525,$A$21:$A$386,1,FALSE),0)&lt;&gt;0,F525&lt;&gt;"Yes")),"Full(Match)",IFERROR(VLOOKUP(A525,Lookup!$D$2:$E$20,2,FALSE),"Full")),"")</f>
        <v/>
      </c>
    </row>
    <row r="526" spans="1:13" x14ac:dyDescent="0.25">
      <c r="A526" s="123"/>
      <c r="B526" s="123"/>
      <c r="C526" s="123"/>
      <c r="D526" s="125"/>
      <c r="E526" s="124"/>
      <c r="F526" s="3"/>
      <c r="G526" s="130"/>
      <c r="H526" s="95" t="str">
        <f>IFERROR(IFERROR(VLOOKUP(D526,Lookup!$G$2:$H$7,2,FALSE),1)*IF(F526="Yes",VLOOKUP(A526,$A$21:$C$386,3,FALSE),VLOOKUP(A526,$A$21:$B$386,2,FALSE)),"")</f>
        <v/>
      </c>
      <c r="I526" s="95" t="str">
        <f t="shared" si="6"/>
        <v/>
      </c>
      <c r="J526" s="95" t="str">
        <f>IFERROR(IF(F526="Yes",0,I526*Lookup!$B$8),"")</f>
        <v/>
      </c>
      <c r="K526" s="95">
        <f>IF(IFERROR(VLOOKUP(A526,$A$2:$A$20,1,FALSE),0)&lt;&gt;0, IF(A526="Suballocation", G526, G526*IFERROR(VLOOKUP(D526,Lookup!$G$2:$H$7,2,FALSE),1)), SUM(I526:J526))</f>
        <v>0</v>
      </c>
      <c r="L526" s="95">
        <f>K526*(1+IFERROR(VLOOKUP(IF(OR(Funding!$H$5=Lookup!$A$20,Funding!$H$5=""),0,IF(AND(Lookup!$B$23&lt;&gt;1,M526="Full(Match)"),IF(D526="",Lookup!$G$2,D526)&amp;Expenses!M526,IF(Funding!$H$5=Lookup!$A$19,Lookup!$A$19,"")&amp;IF(M526="Full(Match)","Full",M526))),Lookup!$A$28:$F$36,6,FALSE),0))</f>
        <v>0</v>
      </c>
      <c r="M526" s="4" t="str">
        <f>IF(A526&lt;&gt;"",IF(OR(A526="Travel",AND(IFERROR(VLOOKUP(A526,$A$21:$A$386,1,FALSE),0)&lt;&gt;0,F526&lt;&gt;"Yes")),"Full(Match)",IFERROR(VLOOKUP(A526,Lookup!$D$2:$E$20,2,FALSE),"Full")),"")</f>
        <v/>
      </c>
    </row>
    <row r="527" spans="1:13" x14ac:dyDescent="0.25">
      <c r="A527" s="123"/>
      <c r="B527" s="123"/>
      <c r="C527" s="123"/>
      <c r="D527" s="125"/>
      <c r="E527" s="124"/>
      <c r="F527" s="3"/>
      <c r="G527" s="130"/>
      <c r="H527" s="95" t="str">
        <f>IFERROR(IFERROR(VLOOKUP(D527,Lookup!$G$2:$H$7,2,FALSE),1)*IF(F527="Yes",VLOOKUP(A527,$A$21:$C$386,3,FALSE),VLOOKUP(A527,$A$21:$B$386,2,FALSE)),"")</f>
        <v/>
      </c>
      <c r="I527" s="95" t="str">
        <f t="shared" si="6"/>
        <v/>
      </c>
      <c r="J527" s="95" t="str">
        <f>IFERROR(IF(F527="Yes",0,I527*Lookup!$B$8),"")</f>
        <v/>
      </c>
      <c r="K527" s="95">
        <f>IF(IFERROR(VLOOKUP(A527,$A$2:$A$20,1,FALSE),0)&lt;&gt;0, IF(A527="Suballocation", G527, G527*IFERROR(VLOOKUP(D527,Lookup!$G$2:$H$7,2,FALSE),1)), SUM(I527:J527))</f>
        <v>0</v>
      </c>
      <c r="L527" s="95">
        <f>K527*(1+IFERROR(VLOOKUP(IF(OR(Funding!$H$5=Lookup!$A$20,Funding!$H$5=""),0,IF(AND(Lookup!$B$23&lt;&gt;1,M527="Full(Match)"),IF(D527="",Lookup!$G$2,D527)&amp;Expenses!M527,IF(Funding!$H$5=Lookup!$A$19,Lookup!$A$19,"")&amp;IF(M527="Full(Match)","Full",M527))),Lookup!$A$28:$F$36,6,FALSE),0))</f>
        <v>0</v>
      </c>
      <c r="M527" s="4" t="str">
        <f>IF(A527&lt;&gt;"",IF(OR(A527="Travel",AND(IFERROR(VLOOKUP(A527,$A$21:$A$386,1,FALSE),0)&lt;&gt;0,F527&lt;&gt;"Yes")),"Full(Match)",IFERROR(VLOOKUP(A527,Lookup!$D$2:$E$20,2,FALSE),"Full")),"")</f>
        <v/>
      </c>
    </row>
    <row r="528" spans="1:13" x14ac:dyDescent="0.25">
      <c r="A528" s="123"/>
      <c r="B528" s="123"/>
      <c r="C528" s="123"/>
      <c r="D528" s="125"/>
      <c r="E528" s="124"/>
      <c r="F528" s="3"/>
      <c r="G528" s="130"/>
      <c r="H528" s="95" t="str">
        <f>IFERROR(IFERROR(VLOOKUP(D528,Lookup!$G$2:$H$7,2,FALSE),1)*IF(F528="Yes",VLOOKUP(A528,$A$21:$C$386,3,FALSE),VLOOKUP(A528,$A$21:$B$386,2,FALSE)),"")</f>
        <v/>
      </c>
      <c r="I528" s="95" t="str">
        <f t="shared" si="6"/>
        <v/>
      </c>
      <c r="J528" s="95" t="str">
        <f>IFERROR(IF(F528="Yes",0,I528*Lookup!$B$8),"")</f>
        <v/>
      </c>
      <c r="K528" s="95">
        <f>IF(IFERROR(VLOOKUP(A528,$A$2:$A$20,1,FALSE),0)&lt;&gt;0, IF(A528="Suballocation", G528, G528*IFERROR(VLOOKUP(D528,Lookup!$G$2:$H$7,2,FALSE),1)), SUM(I528:J528))</f>
        <v>0</v>
      </c>
      <c r="L528" s="95">
        <f>K528*(1+IFERROR(VLOOKUP(IF(OR(Funding!$H$5=Lookup!$A$20,Funding!$H$5=""),0,IF(AND(Lookup!$B$23&lt;&gt;1,M528="Full(Match)"),IF(D528="",Lookup!$G$2,D528)&amp;Expenses!M528,IF(Funding!$H$5=Lookup!$A$19,Lookup!$A$19,"")&amp;IF(M528="Full(Match)","Full",M528))),Lookup!$A$28:$F$36,6,FALSE),0))</f>
        <v>0</v>
      </c>
      <c r="M528" s="4" t="str">
        <f>IF(A528&lt;&gt;"",IF(OR(A528="Travel",AND(IFERROR(VLOOKUP(A528,$A$21:$A$386,1,FALSE),0)&lt;&gt;0,F528&lt;&gt;"Yes")),"Full(Match)",IFERROR(VLOOKUP(A528,Lookup!$D$2:$E$20,2,FALSE),"Full")),"")</f>
        <v/>
      </c>
    </row>
    <row r="529" spans="1:14" x14ac:dyDescent="0.25">
      <c r="A529" s="123"/>
      <c r="B529" s="123"/>
      <c r="C529" s="123"/>
      <c r="D529" s="125"/>
      <c r="E529" s="124"/>
      <c r="F529" s="3"/>
      <c r="G529" s="130"/>
      <c r="H529" s="95" t="str">
        <f>IFERROR(IFERROR(VLOOKUP(D529,Lookup!$G$2:$H$7,2,FALSE),1)*IF(F529="Yes",VLOOKUP(A529,$A$21:$C$386,3,FALSE),VLOOKUP(A529,$A$21:$B$386,2,FALSE)),"")</f>
        <v/>
      </c>
      <c r="I529" s="95" t="str">
        <f t="shared" si="6"/>
        <v/>
      </c>
      <c r="J529" s="95" t="str">
        <f>IFERROR(IF(F529="Yes",0,I529*Lookup!$B$8),"")</f>
        <v/>
      </c>
      <c r="K529" s="95">
        <f>IF(IFERROR(VLOOKUP(A529,$A$2:$A$20,1,FALSE),0)&lt;&gt;0, IF(A529="Suballocation", G529, G529*IFERROR(VLOOKUP(D529,Lookup!$G$2:$H$7,2,FALSE),1)), SUM(I529:J529))</f>
        <v>0</v>
      </c>
      <c r="L529" s="95">
        <f>K529*(1+IFERROR(VLOOKUP(IF(OR(Funding!$H$5=Lookup!$A$20,Funding!$H$5=""),0,IF(AND(Lookup!$B$23&lt;&gt;1,M529="Full(Match)"),IF(D529="",Lookup!$G$2,D529)&amp;Expenses!M529,IF(Funding!$H$5=Lookup!$A$19,Lookup!$A$19,"")&amp;IF(M529="Full(Match)","Full",M529))),Lookup!$A$28:$F$36,6,FALSE),0))</f>
        <v>0</v>
      </c>
      <c r="M529" s="4" t="str">
        <f>IF(A529&lt;&gt;"",IF(OR(A529="Travel",AND(IFERROR(VLOOKUP(A529,$A$21:$A$386,1,FALSE),0)&lt;&gt;0,F529&lt;&gt;"Yes")),"Full(Match)",IFERROR(VLOOKUP(A529,Lookup!$D$2:$E$20,2,FALSE),"Full")),"")</f>
        <v/>
      </c>
    </row>
    <row r="530" spans="1:14" x14ac:dyDescent="0.25">
      <c r="A530" s="123"/>
      <c r="B530" s="123"/>
      <c r="C530" s="123"/>
      <c r="D530" s="125"/>
      <c r="E530" s="124"/>
      <c r="F530" s="3"/>
      <c r="G530" s="130"/>
      <c r="H530" s="95" t="str">
        <f>IFERROR(IFERROR(VLOOKUP(D530,Lookup!$G$2:$H$7,2,FALSE),1)*IF(F530="Yes",VLOOKUP(A530,$A$21:$C$386,3,FALSE),VLOOKUP(A530,$A$21:$B$386,2,FALSE)),"")</f>
        <v/>
      </c>
      <c r="I530" s="95" t="str">
        <f t="shared" si="6"/>
        <v/>
      </c>
      <c r="J530" s="95" t="str">
        <f>IFERROR(IF(F530="Yes",0,I530*Lookup!$B$8),"")</f>
        <v/>
      </c>
      <c r="K530" s="95">
        <f>IF(IFERROR(VLOOKUP(A530,$A$2:$A$20,1,FALSE),0)&lt;&gt;0, IF(A530="Suballocation", G530, G530*IFERROR(VLOOKUP(D530,Lookup!$G$2:$H$7,2,FALSE),1)), SUM(I530:J530))</f>
        <v>0</v>
      </c>
      <c r="L530" s="95">
        <f>K530*(1+IFERROR(VLOOKUP(IF(OR(Funding!$H$5=Lookup!$A$20,Funding!$H$5=""),0,IF(AND(Lookup!$B$23&lt;&gt;1,M530="Full(Match)"),IF(D530="",Lookup!$G$2,D530)&amp;Expenses!M530,IF(Funding!$H$5=Lookup!$A$19,Lookup!$A$19,"")&amp;IF(M530="Full(Match)","Full",M530))),Lookup!$A$28:$F$36,6,FALSE),0))</f>
        <v>0</v>
      </c>
      <c r="M530" s="4" t="str">
        <f>IF(A530&lt;&gt;"",IF(OR(A530="Travel",AND(IFERROR(VLOOKUP(A530,$A$21:$A$386,1,FALSE),0)&lt;&gt;0,F530&lt;&gt;"Yes")),"Full(Match)",IFERROR(VLOOKUP(A530,Lookup!$D$2:$E$20,2,FALSE),"Full")),"")</f>
        <v/>
      </c>
    </row>
    <row r="531" spans="1:14" x14ac:dyDescent="0.25">
      <c r="A531" s="123"/>
      <c r="B531" s="123"/>
      <c r="C531" s="123"/>
      <c r="D531" s="125"/>
      <c r="E531" s="124"/>
      <c r="F531" s="3"/>
      <c r="G531" s="130"/>
      <c r="H531" s="95" t="str">
        <f>IFERROR(IFERROR(VLOOKUP(D531,Lookup!$G$2:$H$7,2,FALSE),1)*IF(F531="Yes",VLOOKUP(A531,$A$21:$C$386,3,FALSE),VLOOKUP(A531,$A$21:$B$386,2,FALSE)),"")</f>
        <v/>
      </c>
      <c r="I531" s="95" t="str">
        <f t="shared" si="6"/>
        <v/>
      </c>
      <c r="J531" s="95" t="str">
        <f>IFERROR(IF(F531="Yes",0,I531*Lookup!$B$8),"")</f>
        <v/>
      </c>
      <c r="K531" s="95">
        <f>IF(IFERROR(VLOOKUP(A531,$A$2:$A$20,1,FALSE),0)&lt;&gt;0, IF(A531="Suballocation", G531, G531*IFERROR(VLOOKUP(D531,Lookup!$G$2:$H$7,2,FALSE),1)), SUM(I531:J531))</f>
        <v>0</v>
      </c>
      <c r="L531" s="95">
        <f>K531*(1+IFERROR(VLOOKUP(IF(OR(Funding!$H$5=Lookup!$A$20,Funding!$H$5=""),0,IF(AND(Lookup!$B$23&lt;&gt;1,M531="Full(Match)"),IF(D531="",Lookup!$G$2,D531)&amp;Expenses!M531,IF(Funding!$H$5=Lookup!$A$19,Lookup!$A$19,"")&amp;IF(M531="Full(Match)","Full",M531))),Lookup!$A$28:$F$36,6,FALSE),0))</f>
        <v>0</v>
      </c>
      <c r="M531" s="4" t="str">
        <f>IF(A531&lt;&gt;"",IF(OR(A531="Travel",AND(IFERROR(VLOOKUP(A531,$A$21:$A$386,1,FALSE),0)&lt;&gt;0,F531&lt;&gt;"Yes")),"Full(Match)",IFERROR(VLOOKUP(A531,Lookup!$D$2:$E$20,2,FALSE),"Full")),"")</f>
        <v/>
      </c>
    </row>
    <row r="532" spans="1:14" x14ac:dyDescent="0.25">
      <c r="A532" s="123"/>
      <c r="B532" s="123"/>
      <c r="C532" s="123"/>
      <c r="D532" s="125"/>
      <c r="E532" s="124"/>
      <c r="F532" s="3"/>
      <c r="G532" s="130"/>
      <c r="H532" s="95" t="str">
        <f>IFERROR(IFERROR(VLOOKUP(D532,Lookup!$G$2:$H$7,2,FALSE),1)*IF(F532="Yes",VLOOKUP(A532,$A$21:$C$386,3,FALSE),VLOOKUP(A532,$A$21:$B$386,2,FALSE)),"")</f>
        <v/>
      </c>
      <c r="I532" s="95" t="str">
        <f t="shared" si="6"/>
        <v/>
      </c>
      <c r="J532" s="95" t="str">
        <f>IFERROR(IF(F532="Yes",0,I532*Lookup!$B$8),"")</f>
        <v/>
      </c>
      <c r="K532" s="95">
        <f>IF(IFERROR(VLOOKUP(A532,$A$2:$A$20,1,FALSE),0)&lt;&gt;0, IF(A532="Suballocation", G532, G532*IFERROR(VLOOKUP(D532,Lookup!$G$2:$H$7,2,FALSE),1)), SUM(I532:J532))</f>
        <v>0</v>
      </c>
      <c r="L532" s="95">
        <f>K532*(1+IFERROR(VLOOKUP(IF(OR(Funding!$H$5=Lookup!$A$20,Funding!$H$5=""),0,IF(AND(Lookup!$B$23&lt;&gt;1,M532="Full(Match)"),IF(D532="",Lookup!$G$2,D532)&amp;Expenses!M532,IF(Funding!$H$5=Lookup!$A$19,Lookup!$A$19,"")&amp;IF(M532="Full(Match)","Full",M532))),Lookup!$A$28:$F$36,6,FALSE),0))</f>
        <v>0</v>
      </c>
      <c r="M532" s="4" t="str">
        <f>IF(A532&lt;&gt;"",IF(OR(A532="Travel",AND(IFERROR(VLOOKUP(A532,$A$21:$A$386,1,FALSE),0)&lt;&gt;0,F532&lt;&gt;"Yes")),"Full(Match)",IFERROR(VLOOKUP(A532,Lookup!$D$2:$E$20,2,FALSE),"Full")),"")</f>
        <v/>
      </c>
    </row>
    <row r="533" spans="1:14" x14ac:dyDescent="0.25">
      <c r="A533" s="103"/>
      <c r="B533" s="103"/>
      <c r="C533" s="103"/>
      <c r="D533" s="103" t="s">
        <v>77</v>
      </c>
      <c r="E533" s="103"/>
      <c r="F533" s="8"/>
      <c r="G533" s="8"/>
      <c r="H533" s="8"/>
      <c r="I533" s="8"/>
      <c r="J533" s="8"/>
      <c r="K533" s="8"/>
      <c r="L533" s="8"/>
      <c r="M533" s="87"/>
      <c r="N533" s="8"/>
    </row>
  </sheetData>
  <sheetProtection algorithmName="SHA-512" hashValue="f9xNp1WXHk7lUGyRKHme70y7sKeuTX2T314nNbDoF2WdxT2qjsi2cM564BHhckn3ITSt/LFjNgvGcm1POffc/w==" saltValue="k78UFwYFLCHtmT1t+N1E6w==" spinCount="100000" sheet="1" objects="1" scenarios="1" formatCells="0" formatColumns="0" deleteRows="0"/>
  <conditionalFormatting sqref="H388:J532 E388:F532">
    <cfRule type="expression" dxfId="1" priority="19">
      <formula>IF(IFERROR(VLOOKUP($A388,$A$2:$A$20,1,FALSE),0)&lt;&gt;0,TRUE,FALSE)</formula>
    </cfRule>
  </conditionalFormatting>
  <conditionalFormatting sqref="G388:G532">
    <cfRule type="expression" dxfId="0" priority="42">
      <formula>IF(IFERROR(VLOOKUP($A388,$A$21:$A$387,1,FALSE),0)&lt;&gt;0,TRUE,FALSE)</formula>
    </cfRule>
  </conditionalFormatting>
  <dataValidations count="1">
    <dataValidation type="list" allowBlank="1" showInputMessage="1" showErrorMessage="1" sqref="A388:A532">
      <formula1>$A$2:$A$386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Lookup!$G$2:$G$6</xm:f>
          </x14:formula1>
          <xm:sqref>D388:D532</xm:sqref>
        </x14:dataValidation>
        <x14:dataValidation type="list" allowBlank="1" showInputMessage="1" showErrorMessage="1">
          <x14:formula1>
            <xm:f>Lookup!$L$2:$L$4</xm:f>
          </x14:formula1>
          <xm:sqref>F388:F532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11" sqref="E11"/>
    </sheetView>
  </sheetViews>
  <sheetFormatPr defaultRowHeight="15" x14ac:dyDescent="0.25"/>
  <cols>
    <col min="1" max="1" width="19.140625" customWidth="1"/>
    <col min="2" max="2" width="16.28515625" customWidth="1"/>
    <col min="3" max="3" width="11.28515625" customWidth="1"/>
    <col min="4" max="4" width="7.5703125" customWidth="1"/>
    <col min="5" max="6" width="11.28515625" customWidth="1"/>
    <col min="7" max="7" width="6.5703125" customWidth="1"/>
    <col min="8" max="8" width="7.28515625" customWidth="1"/>
    <col min="9" max="9" width="11.28515625" customWidth="1"/>
    <col min="10" max="10" width="17.42578125" bestFit="1" customWidth="1"/>
    <col min="11" max="11" width="19.140625" bestFit="1" customWidth="1"/>
    <col min="12" max="12" width="17.42578125" bestFit="1" customWidth="1"/>
    <col min="13" max="13" width="19.140625" bestFit="1" customWidth="1"/>
    <col min="14" max="14" width="17.42578125" bestFit="1" customWidth="1"/>
    <col min="15" max="15" width="19.140625" bestFit="1" customWidth="1"/>
    <col min="16" max="16" width="22.42578125" bestFit="1" customWidth="1"/>
    <col min="17" max="17" width="24.140625" bestFit="1" customWidth="1"/>
  </cols>
  <sheetData>
    <row r="1" spans="1:10" ht="15.75" x14ac:dyDescent="0.25">
      <c r="A1" s="114" t="s">
        <v>392</v>
      </c>
    </row>
    <row r="3" spans="1:10" ht="15.75" x14ac:dyDescent="0.25">
      <c r="A3" s="4"/>
      <c r="B3" s="4"/>
      <c r="C3" s="4"/>
      <c r="D3" s="4"/>
      <c r="E3" s="4"/>
      <c r="F3" s="4"/>
      <c r="G3" s="4"/>
      <c r="H3" s="4"/>
      <c r="I3" s="136" t="str">
        <f>"Budget Date: "&amp;Funding!$G$7</f>
        <v xml:space="preserve">Budget Date: </v>
      </c>
      <c r="J3" s="136"/>
    </row>
    <row r="4" spans="1:10" ht="15.75" x14ac:dyDescent="0.25">
      <c r="A4" s="135" t="str">
        <f>Funding!$E$7&amp;", by "&amp;Funding!$D$5</f>
        <v>, by Dina Saleh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0" ht="15.75" x14ac:dyDescent="0.25">
      <c r="A5" s="135" t="str">
        <f>Funding!$H$5&amp;" Agreement - Gross Figures, Budget by "&amp;Funding!$F$5</f>
        <v xml:space="preserve">Reimbursable Agreement - Gross Figures, Budget by </v>
      </c>
      <c r="B5" s="135"/>
      <c r="C5" s="135"/>
      <c r="D5" s="135"/>
      <c r="E5" s="135"/>
      <c r="F5" s="135"/>
      <c r="G5" s="135"/>
      <c r="H5" s="135"/>
      <c r="I5" s="135"/>
      <c r="J5" s="135"/>
    </row>
    <row r="7" spans="1:10" x14ac:dyDescent="0.25">
      <c r="A7" s="5" t="s">
        <v>94</v>
      </c>
      <c r="B7" s="5" t="s">
        <v>78</v>
      </c>
    </row>
    <row r="8" spans="1:10" x14ac:dyDescent="0.25">
      <c r="A8" s="5" t="s">
        <v>81</v>
      </c>
      <c r="B8" t="s">
        <v>79</v>
      </c>
      <c r="C8" t="s">
        <v>80</v>
      </c>
    </row>
    <row r="9" spans="1:10" x14ac:dyDescent="0.25">
      <c r="A9" s="6" t="s">
        <v>79</v>
      </c>
      <c r="B9" s="20">
        <v>0</v>
      </c>
      <c r="C9" s="20">
        <v>0</v>
      </c>
    </row>
    <row r="10" spans="1:10" x14ac:dyDescent="0.25">
      <c r="A10" s="7" t="s">
        <v>79</v>
      </c>
      <c r="B10" s="20">
        <v>0</v>
      </c>
      <c r="C10" s="20">
        <v>0</v>
      </c>
    </row>
    <row r="11" spans="1:10" x14ac:dyDescent="0.25">
      <c r="A11" s="6" t="s">
        <v>80</v>
      </c>
      <c r="B11" s="20">
        <v>0</v>
      </c>
      <c r="C11" s="20">
        <v>0</v>
      </c>
    </row>
  </sheetData>
  <sheetProtection pivotTables="0"/>
  <mergeCells count="3">
    <mergeCell ref="A4:J4"/>
    <mergeCell ref="A5:J5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4" sqref="A4:J4"/>
    </sheetView>
  </sheetViews>
  <sheetFormatPr defaultRowHeight="15" x14ac:dyDescent="0.25"/>
  <cols>
    <col min="1" max="1" width="17.42578125" customWidth="1"/>
    <col min="2" max="2" width="16.28515625" customWidth="1"/>
    <col min="3" max="3" width="11.28515625" customWidth="1"/>
    <col min="4" max="4" width="10.140625" customWidth="1"/>
    <col min="5" max="5" width="11.28515625" customWidth="1"/>
    <col min="6" max="6" width="11.7109375" customWidth="1"/>
    <col min="7" max="7" width="8.140625" customWidth="1"/>
    <col min="8" max="8" width="7.28515625" customWidth="1"/>
    <col min="9" max="9" width="11.28515625" customWidth="1"/>
    <col min="10" max="10" width="19.140625" bestFit="1" customWidth="1"/>
    <col min="11" max="11" width="17.42578125" bestFit="1" customWidth="1"/>
    <col min="12" max="12" width="19.140625" bestFit="1" customWidth="1"/>
    <col min="13" max="13" width="17.42578125" bestFit="1" customWidth="1"/>
    <col min="14" max="14" width="19.140625" bestFit="1" customWidth="1"/>
    <col min="15" max="15" width="17.42578125" bestFit="1" customWidth="1"/>
    <col min="16" max="16" width="24.140625" bestFit="1" customWidth="1"/>
    <col min="17" max="17" width="22.42578125" bestFit="1" customWidth="1"/>
  </cols>
  <sheetData>
    <row r="1" spans="1:10" ht="15.75" x14ac:dyDescent="0.25">
      <c r="A1" s="114" t="s">
        <v>392</v>
      </c>
    </row>
    <row r="3" spans="1:10" ht="15.75" x14ac:dyDescent="0.25">
      <c r="A3" s="4"/>
      <c r="B3" s="4"/>
      <c r="C3" s="4"/>
      <c r="D3" s="4"/>
      <c r="E3" s="4"/>
      <c r="F3" s="4"/>
      <c r="G3" s="4"/>
      <c r="H3" s="4"/>
      <c r="I3" s="136" t="str">
        <f>"Budget Date: "&amp;Funding!$G$7</f>
        <v xml:space="preserve">Budget Date: </v>
      </c>
      <c r="J3" s="136"/>
    </row>
    <row r="4" spans="1:10" ht="15.75" x14ac:dyDescent="0.25">
      <c r="A4" s="135" t="str">
        <f>Funding!$E$7&amp;", by "&amp;Funding!$D$5</f>
        <v>, by Dina Saleh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10" ht="15.75" x14ac:dyDescent="0.25">
      <c r="A5" s="135" t="str">
        <f>Funding!$H$5&amp;" Agreement - Net Figures, Budget by "&amp;Funding!$F$5</f>
        <v xml:space="preserve">Reimbursable Agreement - Net Figures, Budget by </v>
      </c>
      <c r="B5" s="135"/>
      <c r="C5" s="135"/>
      <c r="D5" s="135"/>
      <c r="E5" s="135"/>
      <c r="F5" s="135"/>
      <c r="G5" s="135"/>
      <c r="H5" s="135"/>
      <c r="I5" s="135"/>
      <c r="J5" s="135"/>
    </row>
    <row r="6" spans="1:10" ht="15.7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</row>
    <row r="7" spans="1:10" x14ac:dyDescent="0.25">
      <c r="A7" s="5" t="s">
        <v>115</v>
      </c>
      <c r="B7" s="5" t="s">
        <v>78</v>
      </c>
    </row>
    <row r="8" spans="1:10" x14ac:dyDescent="0.25">
      <c r="A8" s="5" t="s">
        <v>81</v>
      </c>
      <c r="B8" t="s">
        <v>79</v>
      </c>
      <c r="C8" t="s">
        <v>80</v>
      </c>
    </row>
    <row r="9" spans="1:10" x14ac:dyDescent="0.25">
      <c r="A9" s="6" t="s">
        <v>79</v>
      </c>
      <c r="B9" s="85">
        <v>0</v>
      </c>
      <c r="C9" s="85">
        <v>0</v>
      </c>
    </row>
    <row r="10" spans="1:10" x14ac:dyDescent="0.25">
      <c r="A10" s="7" t="s">
        <v>79</v>
      </c>
      <c r="B10" s="85">
        <v>0</v>
      </c>
      <c r="C10" s="85">
        <v>0</v>
      </c>
    </row>
    <row r="11" spans="1:10" x14ac:dyDescent="0.25">
      <c r="A11" s="6" t="s">
        <v>80</v>
      </c>
      <c r="B11" s="85">
        <v>0</v>
      </c>
      <c r="C11" s="85">
        <v>0</v>
      </c>
    </row>
  </sheetData>
  <mergeCells count="3">
    <mergeCell ref="I3:J3"/>
    <mergeCell ref="A4:J4"/>
    <mergeCell ref="A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workbookViewId="0">
      <selection activeCell="B1" sqref="B1"/>
    </sheetView>
  </sheetViews>
  <sheetFormatPr defaultRowHeight="15" x14ac:dyDescent="0.25"/>
  <cols>
    <col min="1" max="1" width="23.85546875" style="4" bestFit="1" customWidth="1"/>
    <col min="2" max="2" width="12.42578125" style="4" bestFit="1" customWidth="1"/>
    <col min="3" max="3" width="14.28515625" style="4" bestFit="1" customWidth="1"/>
    <col min="4" max="4" width="24.28515625" style="4" bestFit="1" customWidth="1"/>
    <col min="5" max="5" width="14.28515625" style="4" bestFit="1" customWidth="1"/>
    <col min="6" max="6" width="12" style="4" bestFit="1" customWidth="1"/>
    <col min="7" max="7" width="10.140625" style="4" bestFit="1" customWidth="1"/>
    <col min="8" max="8" width="7.5703125" style="4" bestFit="1" customWidth="1"/>
    <col min="9" max="9" width="9.140625" style="4"/>
    <col min="10" max="10" width="15.28515625" style="4" bestFit="1" customWidth="1"/>
    <col min="11" max="11" width="9.140625" style="4"/>
    <col min="12" max="12" width="6.7109375" style="4" bestFit="1" customWidth="1"/>
    <col min="13" max="16384" width="9.140625" style="4"/>
  </cols>
  <sheetData>
    <row r="1" spans="1:12" x14ac:dyDescent="0.25">
      <c r="A1" s="73" t="s">
        <v>54</v>
      </c>
      <c r="B1" s="73" t="s">
        <v>55</v>
      </c>
      <c r="D1" s="73" t="s">
        <v>56</v>
      </c>
      <c r="E1" s="74" t="s">
        <v>55</v>
      </c>
      <c r="G1" s="73" t="s">
        <v>74</v>
      </c>
      <c r="H1" s="73" t="s">
        <v>75</v>
      </c>
      <c r="J1" s="73" t="s">
        <v>104</v>
      </c>
      <c r="L1" s="73" t="s">
        <v>334</v>
      </c>
    </row>
    <row r="2" spans="1:12" x14ac:dyDescent="0.25">
      <c r="A2" s="4" t="s">
        <v>67</v>
      </c>
      <c r="B2" s="75">
        <v>0.88431000000000004</v>
      </c>
      <c r="D2" s="4" t="s">
        <v>59</v>
      </c>
      <c r="E2" s="4" t="s">
        <v>68</v>
      </c>
      <c r="G2" s="4">
        <v>2019</v>
      </c>
      <c r="H2" s="118">
        <v>1</v>
      </c>
      <c r="J2" s="4" t="s">
        <v>105</v>
      </c>
      <c r="L2" s="97"/>
    </row>
    <row r="3" spans="1:12" x14ac:dyDescent="0.25">
      <c r="A3" s="4" t="s">
        <v>93</v>
      </c>
      <c r="B3" s="77">
        <f>$B$2</f>
        <v>0.88431000000000004</v>
      </c>
      <c r="D3" s="4" t="s">
        <v>63</v>
      </c>
      <c r="E3" s="4" t="s">
        <v>68</v>
      </c>
      <c r="G3" s="4">
        <v>2020</v>
      </c>
      <c r="H3" s="118">
        <f>1.03*H2</f>
        <v>1.03</v>
      </c>
      <c r="J3" s="4" t="s">
        <v>109</v>
      </c>
      <c r="L3" s="4" t="s">
        <v>333</v>
      </c>
    </row>
    <row r="4" spans="1:12" x14ac:dyDescent="0.25">
      <c r="A4" s="4" t="s">
        <v>72</v>
      </c>
      <c r="B4" s="78">
        <v>0.12</v>
      </c>
      <c r="D4" s="4" t="s">
        <v>62</v>
      </c>
      <c r="E4" s="4" t="s">
        <v>68</v>
      </c>
      <c r="G4" s="4">
        <v>2021</v>
      </c>
      <c r="H4" s="118">
        <f>1.03*H3</f>
        <v>1.0609</v>
      </c>
      <c r="J4" s="4" t="s">
        <v>106</v>
      </c>
      <c r="L4" s="4" t="s">
        <v>332</v>
      </c>
    </row>
    <row r="5" spans="1:12" x14ac:dyDescent="0.25">
      <c r="A5" s="4" t="s">
        <v>391</v>
      </c>
      <c r="B5" s="75">
        <v>0.51232</v>
      </c>
      <c r="D5" s="4" t="s">
        <v>120</v>
      </c>
      <c r="E5" s="4" t="s">
        <v>68</v>
      </c>
      <c r="G5" s="4">
        <v>2022</v>
      </c>
      <c r="H5" s="118">
        <f t="shared" ref="H5:H6" si="0">1.03*H4</f>
        <v>1.092727</v>
      </c>
      <c r="J5" s="4" t="s">
        <v>107</v>
      </c>
    </row>
    <row r="6" spans="1:12" x14ac:dyDescent="0.25">
      <c r="A6" s="4" t="s">
        <v>70</v>
      </c>
      <c r="B6" s="77">
        <f>$B$5</f>
        <v>0.51232</v>
      </c>
      <c r="D6" s="4" t="s">
        <v>121</v>
      </c>
      <c r="E6" s="4" t="s">
        <v>68</v>
      </c>
      <c r="G6" s="4">
        <v>2023</v>
      </c>
      <c r="H6" s="118">
        <f t="shared" si="0"/>
        <v>1.1255088100000001</v>
      </c>
      <c r="J6" s="4" t="s">
        <v>108</v>
      </c>
    </row>
    <row r="7" spans="1:12" x14ac:dyDescent="0.25">
      <c r="A7" s="4" t="s">
        <v>73</v>
      </c>
      <c r="B7" s="77">
        <v>0</v>
      </c>
      <c r="D7" s="4" t="s">
        <v>69</v>
      </c>
      <c r="E7" s="4" t="s">
        <v>68</v>
      </c>
      <c r="H7" s="76"/>
    </row>
    <row r="8" spans="1:12" x14ac:dyDescent="0.25">
      <c r="A8" s="4" t="s">
        <v>50</v>
      </c>
      <c r="B8" s="78">
        <v>0.2</v>
      </c>
      <c r="D8" s="4" t="s">
        <v>60</v>
      </c>
      <c r="E8" s="4" t="s">
        <v>68</v>
      </c>
    </row>
    <row r="9" spans="1:12" x14ac:dyDescent="0.25">
      <c r="A9" s="4" t="s">
        <v>345</v>
      </c>
      <c r="B9" s="80">
        <v>125000</v>
      </c>
      <c r="D9" s="4" t="s">
        <v>58</v>
      </c>
      <c r="E9" s="4" t="s">
        <v>68</v>
      </c>
    </row>
    <row r="10" spans="1:12" x14ac:dyDescent="0.25">
      <c r="A10" s="4" t="s">
        <v>346</v>
      </c>
      <c r="B10" s="80">
        <v>20000</v>
      </c>
      <c r="D10" s="4" t="s">
        <v>61</v>
      </c>
      <c r="E10" s="4" t="s">
        <v>68</v>
      </c>
    </row>
    <row r="11" spans="1:12" x14ac:dyDescent="0.25">
      <c r="D11" s="4" t="s">
        <v>64</v>
      </c>
      <c r="E11" s="4" t="s">
        <v>68</v>
      </c>
    </row>
    <row r="12" spans="1:12" x14ac:dyDescent="0.25">
      <c r="D12" s="4" t="s">
        <v>57</v>
      </c>
      <c r="E12" s="4" t="s">
        <v>68</v>
      </c>
    </row>
    <row r="13" spans="1:12" x14ac:dyDescent="0.25">
      <c r="D13" s="4" t="s">
        <v>65</v>
      </c>
      <c r="E13" s="4" t="s">
        <v>68</v>
      </c>
    </row>
    <row r="14" spans="1:12" x14ac:dyDescent="0.25">
      <c r="D14" s="4" t="s">
        <v>119</v>
      </c>
      <c r="E14" s="4" t="s">
        <v>68</v>
      </c>
    </row>
    <row r="15" spans="1:12" x14ac:dyDescent="0.25">
      <c r="D15" s="4" t="s">
        <v>82</v>
      </c>
      <c r="E15" s="4" t="s">
        <v>82</v>
      </c>
    </row>
    <row r="16" spans="1:12" x14ac:dyDescent="0.25">
      <c r="A16" s="4" t="s">
        <v>397</v>
      </c>
      <c r="D16" s="4" t="s">
        <v>84</v>
      </c>
      <c r="E16" s="4" t="s">
        <v>53</v>
      </c>
    </row>
    <row r="17" spans="1:10" x14ac:dyDescent="0.25">
      <c r="A17" s="4" t="s">
        <v>396</v>
      </c>
      <c r="D17" s="4" t="s">
        <v>85</v>
      </c>
      <c r="E17" s="4" t="s">
        <v>53</v>
      </c>
    </row>
    <row r="18" spans="1:10" x14ac:dyDescent="0.25">
      <c r="A18" s="4" t="s">
        <v>71</v>
      </c>
      <c r="D18" s="102" t="s">
        <v>428</v>
      </c>
      <c r="E18" s="4" t="s">
        <v>53</v>
      </c>
    </row>
    <row r="19" spans="1:10" x14ac:dyDescent="0.25">
      <c r="A19" s="4" t="s">
        <v>70</v>
      </c>
      <c r="D19" s="4" t="s">
        <v>122</v>
      </c>
      <c r="E19" s="4" t="s">
        <v>53</v>
      </c>
    </row>
    <row r="20" spans="1:10" x14ac:dyDescent="0.25">
      <c r="A20" s="4" t="s">
        <v>91</v>
      </c>
      <c r="D20" s="4" t="s">
        <v>123</v>
      </c>
      <c r="E20" s="4" t="s">
        <v>53</v>
      </c>
    </row>
    <row r="22" spans="1:10" x14ac:dyDescent="0.25">
      <c r="B22" s="4" t="s">
        <v>112</v>
      </c>
    </row>
    <row r="23" spans="1:10" x14ac:dyDescent="0.25">
      <c r="A23" s="4" t="s">
        <v>113</v>
      </c>
      <c r="B23" s="4">
        <f>IFERROR(VLOOKUP(Funding!$H$5,Lookup!$A$24:$B$26,2,FALSE),1)</f>
        <v>1</v>
      </c>
      <c r="C23" s="79"/>
    </row>
    <row r="24" spans="1:10" x14ac:dyDescent="0.25">
      <c r="A24" s="80" t="s">
        <v>397</v>
      </c>
      <c r="B24" s="115">
        <f>100/(1+$B$2)/SUM(100/(1+$B$2),10/(1+$B$5))</f>
        <v>0.88920717965181262</v>
      </c>
      <c r="J24" s="115"/>
    </row>
    <row r="25" spans="1:10" x14ac:dyDescent="0.25">
      <c r="A25" s="80" t="s">
        <v>396</v>
      </c>
      <c r="B25" s="115">
        <f>100/(1+$B$2)/SUM(100/(1+$B$2),20/(1+$B$5))</f>
        <v>0.80051577878679758</v>
      </c>
      <c r="J25" s="115"/>
    </row>
    <row r="26" spans="1:10" x14ac:dyDescent="0.25">
      <c r="A26" s="116"/>
      <c r="B26" s="116"/>
      <c r="I26" s="115"/>
    </row>
    <row r="27" spans="1:10" x14ac:dyDescent="0.25">
      <c r="B27" s="4" t="s">
        <v>0</v>
      </c>
      <c r="C27" s="4" t="s">
        <v>111</v>
      </c>
      <c r="D27" s="4" t="s">
        <v>110</v>
      </c>
      <c r="E27" s="4" t="s">
        <v>112</v>
      </c>
      <c r="F27" s="4" t="s">
        <v>114</v>
      </c>
    </row>
    <row r="28" spans="1:10" x14ac:dyDescent="0.25">
      <c r="A28" s="4" t="str">
        <f>G2&amp;"Full(Match)"</f>
        <v>2019Full(Match)</v>
      </c>
      <c r="B28" s="81">
        <f>IF($B$23&lt;&gt;1,(SUMIFS(Expenses!$K$388:$K$532,Expenses!$M$388:$M$532,"Full(Match)",Expenses!$D$388:$D$532, Funding!D$10)+SUMIFS(Expenses!$K$388:$K$532,Expenses!$M$388:$M$532,"Full(Match)",Expenses!$D$388:$D$532, ""))*(1-$B$23),0)*(1+IFERROR(VLOOKUP(Funding!$C$12,Lookup!$A$2:$B$7,2,FALSE),0))</f>
        <v>0</v>
      </c>
      <c r="C28" s="81">
        <f>IF(AND(OR(Funding!$H$5=Lookup!$A$16,Funding!$H$5=Lookup!$A$18),B28&gt;$B$9),$B$9,IF(AND(Funding!$H$5=Lookup!$A$17,B28&gt;$B$10),$B$10,B28))</f>
        <v>0</v>
      </c>
      <c r="D28" s="81">
        <f>IF($B$23&lt;&gt;1,(SUMIFS(Expenses!$K$388:$K$532,Expenses!$M$388:$M$532,"Full(Match)",Expenses!$D$388:$D$532, Funding!D$10)+SUMIFS(Expenses!$K$388:$K$532,Expenses!$M$388:$M$532,"Full(Match)",Expenses!$D$388:$D$532, ""))-(Funding!D$12/(1+$B$5)),0)*(1+IFERROR(VLOOKUP(Funding!$C$11,$A$2:$B$7,2,FALSE),0))</f>
        <v>0</v>
      </c>
      <c r="E28" s="105" t="e">
        <f>D28/(1+$B$2)/SUM(D28/(1+$B$2),Funding!$D$12/(1+$B$5))</f>
        <v>#DIV/0!</v>
      </c>
      <c r="F28" s="82" t="e">
        <f>(E28*$B$2)+((1-E28)*$B$5)</f>
        <v>#DIV/0!</v>
      </c>
    </row>
    <row r="29" spans="1:10" x14ac:dyDescent="0.25">
      <c r="A29" s="4" t="str">
        <f>G3&amp;"Full(Match)"</f>
        <v>2020Full(Match)</v>
      </c>
      <c r="B29" s="81">
        <f>IF($B$23&lt;&gt;1,(SUMIFS(Expenses!$K$388:$K$532,Expenses!$M$388:$M$532,"Full(Match)",Expenses!$D$388:$D$532, Funding!E$10))*(1-$B$23),0)*(1+IFERROR(VLOOKUP(Funding!$C$12,Lookup!$A$2:$B$7,2,FALSE),0))</f>
        <v>0</v>
      </c>
      <c r="C29" s="81">
        <f>IF(AND(OR(Funding!$H$5=Lookup!$A$16,Funding!$H$5=Lookup!$A$18),B29&gt;$B$9),$B$9,IF(AND(Funding!$H$5=Lookup!$A$17,B29&gt;$B$10),$B$10,B29))</f>
        <v>0</v>
      </c>
      <c r="D29" s="81">
        <f>IF($B$23&lt;&gt;1,(SUMIFS(Expenses!$K$388:$K$532,Expenses!$M$388:$M$532,"Full(Match)",Expenses!$D$388:$D$532, Funding!E$10))-(Funding!E$12/(1+$B$5)),0)*(1+IFERROR(VLOOKUP(Funding!$C$11,$A$2:$B$7,2,FALSE),0))</f>
        <v>0</v>
      </c>
      <c r="E29" s="105" t="e">
        <f>D29/(1+$B$2)/SUM(D29/(1+$B$2),Funding!$E$12/(1+$B$5))</f>
        <v>#DIV/0!</v>
      </c>
      <c r="F29" s="82" t="e">
        <f t="shared" ref="F29:F32" si="1">(E29*$B$2)+((1-E29)*$B$5)</f>
        <v>#DIV/0!</v>
      </c>
    </row>
    <row r="30" spans="1:10" x14ac:dyDescent="0.25">
      <c r="A30" s="4" t="str">
        <f>G4&amp;"Full(Match)"</f>
        <v>2021Full(Match)</v>
      </c>
      <c r="B30" s="81">
        <f>IF($B$23&lt;&gt;1,(SUMIFS(Expenses!$K$388:$K$532,Expenses!$M$388:$M$532,"Full(Match)",Expenses!$D$388:$D$532, Funding!F$10))*(1-$B$23),0)*(1+IFERROR(VLOOKUP(Funding!$C$12,Lookup!$A$2:$B$7,2,FALSE),0))</f>
        <v>0</v>
      </c>
      <c r="C30" s="81">
        <f>IF(AND(OR(Funding!$H$5=Lookup!$A$16,Funding!$H$5=Lookup!$A$18),B30&gt;$B$9),$B$9,IF(AND(Funding!$H$5=Lookup!$A$17,B30&gt;$B$10),$B$10,B30))</f>
        <v>0</v>
      </c>
      <c r="D30" s="81">
        <f>IF($B$23&lt;&gt;1,(SUMIFS(Expenses!$K$388:$K$532,Expenses!$M$388:$M$532,"Full(Match)",Expenses!$D$388:$D$532, Funding!F$10))-(Funding!F$12/(1+$B$5)),0)*(1+IFERROR(VLOOKUP(Funding!$C$11,$A$2:$B$7,2,FALSE),0))</f>
        <v>0</v>
      </c>
      <c r="E30" s="105" t="e">
        <f>D30/(1+$B$2)/SUM(D30/(1+$B$2),Funding!$F$12/(1+$B$5))</f>
        <v>#DIV/0!</v>
      </c>
      <c r="F30" s="82" t="e">
        <f t="shared" si="1"/>
        <v>#DIV/0!</v>
      </c>
    </row>
    <row r="31" spans="1:10" x14ac:dyDescent="0.25">
      <c r="A31" s="4" t="str">
        <f>G5&amp;"Full(Match)"</f>
        <v>2022Full(Match)</v>
      </c>
      <c r="B31" s="81">
        <f>IF($B$23&lt;&gt;1,(SUMIFS(Expenses!$K$388:$K$532,Expenses!$M$388:$M$532,"Full(Match)",Expenses!$D$388:$D$532, Funding!G$10))*(1-$B$23),0)*(1+IFERROR(VLOOKUP(Funding!$C$12,Lookup!$A$2:$B$7,2,FALSE),0))</f>
        <v>0</v>
      </c>
      <c r="C31" s="81">
        <f>IF(AND(OR(Funding!$H$5=Lookup!$A$16,Funding!$H$5=Lookup!$A$18),B31&gt;$B$9),$B$9,IF(AND(Funding!$H$5=Lookup!$A$17,B31&gt;$B$10),$B$10,B31))</f>
        <v>0</v>
      </c>
      <c r="D31" s="81">
        <f>IF($B$23&lt;&gt;1,(SUMIFS(Expenses!$K$388:$K$532,Expenses!$M$388:$M$532,"Full(Match)",Expenses!$D$388:$D$532, Funding!G$10))-(Funding!G$12/(1+$B$5)),0)*(1+IFERROR(VLOOKUP(Funding!$C$11,$A$2:$B$7,2,FALSE),0))</f>
        <v>0</v>
      </c>
      <c r="E31" s="105" t="e">
        <f>D31/(1+$B$2)/SUM(D31/(1+$B$2),Funding!$G$12/(1+$B$5))</f>
        <v>#DIV/0!</v>
      </c>
      <c r="F31" s="82" t="e">
        <f t="shared" si="1"/>
        <v>#DIV/0!</v>
      </c>
    </row>
    <row r="32" spans="1:10" x14ac:dyDescent="0.25">
      <c r="A32" s="4" t="str">
        <f>G6&amp;"Full(Match)"</f>
        <v>2023Full(Match)</v>
      </c>
      <c r="B32" s="81">
        <f>IF($B$23&lt;&gt;1,(SUMIFS(Expenses!$K$388:$K$532,Expenses!$M$388:$M$532,"Full(Match)",Expenses!$D$388:$D$532, Funding!H$10))*(1-$B$23),0)*(1+IFERROR(VLOOKUP(Funding!$C$12,Lookup!$A$2:$B$7,2,FALSE),0))</f>
        <v>0</v>
      </c>
      <c r="C32" s="81">
        <f>IF(AND(OR(Funding!$H$5=Lookup!$A$16,Funding!$H$5=Lookup!$A$18),B32&gt;$B$9),$B$9,IF(AND(Funding!$H$5=Lookup!$A$17,B32&gt;$B$10),$B$10,B32))</f>
        <v>0</v>
      </c>
      <c r="D32" s="81">
        <f>IF($B$23&lt;&gt;1,(SUMIFS(Expenses!$K$388:$K$532,Expenses!$M$388:$M$532,"Full(Match)",Expenses!$D$388:$D$532, Funding!H$10))-(Funding!H$12/(1+$B$5)),0)*(1+IFERROR(VLOOKUP(Funding!$C$11,$A$2:$B$7,2,FALSE),0))</f>
        <v>0</v>
      </c>
      <c r="E32" s="105" t="e">
        <f>D32/(1+$B$2)/SUM(D32/(1+$B$2),Funding!$H$12/(1+$B$5))</f>
        <v>#DIV/0!</v>
      </c>
      <c r="F32" s="82" t="e">
        <f t="shared" si="1"/>
        <v>#DIV/0!</v>
      </c>
    </row>
    <row r="33" spans="1:6" x14ac:dyDescent="0.25">
      <c r="A33" s="4" t="s">
        <v>68</v>
      </c>
      <c r="F33" s="77">
        <f>$B$2</f>
        <v>0.88431000000000004</v>
      </c>
    </row>
    <row r="34" spans="1:6" x14ac:dyDescent="0.25">
      <c r="A34" s="4" t="s">
        <v>53</v>
      </c>
      <c r="F34" s="83">
        <f>$B$4</f>
        <v>0.12</v>
      </c>
    </row>
    <row r="35" spans="1:6" x14ac:dyDescent="0.25">
      <c r="A35" s="4" t="s">
        <v>88</v>
      </c>
      <c r="F35" s="77">
        <f>$B$5</f>
        <v>0.51232</v>
      </c>
    </row>
    <row r="36" spans="1:6" x14ac:dyDescent="0.25">
      <c r="A36" s="4" t="s">
        <v>89</v>
      </c>
      <c r="F36" s="84">
        <v>0</v>
      </c>
    </row>
  </sheetData>
  <sortState ref="I2:I28">
    <sortCondition ref="I1"/>
  </sortState>
  <dataValidations count="1">
    <dataValidation type="list" allowBlank="1" showInputMessage="1" showErrorMessage="1" sqref="D18">
      <formula1>$A$2:$A$377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7" workbookViewId="0">
      <selection activeCell="B35" sqref="B35"/>
    </sheetView>
  </sheetViews>
  <sheetFormatPr defaultRowHeight="15" x14ac:dyDescent="0.25"/>
  <cols>
    <col min="1" max="1" width="1.7109375" customWidth="1"/>
    <col min="2" max="2" width="1.85546875" customWidth="1"/>
    <col min="3" max="3" width="2.5703125" customWidth="1"/>
    <col min="11" max="11" width="9.7109375" bestFit="1" customWidth="1"/>
  </cols>
  <sheetData>
    <row r="1" spans="1:4" x14ac:dyDescent="0.25">
      <c r="A1" s="109" t="s">
        <v>369</v>
      </c>
    </row>
    <row r="3" spans="1:4" x14ac:dyDescent="0.25">
      <c r="A3" s="111" t="s">
        <v>362</v>
      </c>
      <c r="B3" t="s">
        <v>363</v>
      </c>
    </row>
    <row r="4" spans="1:4" x14ac:dyDescent="0.25">
      <c r="A4" s="111" t="s">
        <v>362</v>
      </c>
      <c r="B4" t="s">
        <v>388</v>
      </c>
    </row>
    <row r="5" spans="1:4" x14ac:dyDescent="0.25">
      <c r="A5" s="111" t="s">
        <v>362</v>
      </c>
      <c r="B5" s="113" t="s">
        <v>375</v>
      </c>
    </row>
    <row r="6" spans="1:4" x14ac:dyDescent="0.25">
      <c r="B6" s="111" t="s">
        <v>362</v>
      </c>
      <c r="C6" t="s">
        <v>376</v>
      </c>
    </row>
    <row r="7" spans="1:4" x14ac:dyDescent="0.25">
      <c r="B7" s="111"/>
      <c r="C7" s="111" t="s">
        <v>362</v>
      </c>
      <c r="D7" t="str">
        <f>"Current OH Rates: 1) Reimbursable ("&amp;TEXT(Lookup!B2,"0.000%")&amp;") and 2) Appropriated ("&amp;TEXT(Lookup!B6,"0.000%")&amp;")."</f>
        <v>Current OH Rates: 1) Reimbursable (88.431%) and 2) Appropriated (51.232%).</v>
      </c>
    </row>
    <row r="8" spans="1:4" x14ac:dyDescent="0.25">
      <c r="C8" s="111" t="s">
        <v>362</v>
      </c>
      <c r="D8" t="s">
        <v>364</v>
      </c>
    </row>
    <row r="9" spans="1:4" x14ac:dyDescent="0.25">
      <c r="C9" s="111" t="s">
        <v>362</v>
      </c>
      <c r="D9" t="s">
        <v>365</v>
      </c>
    </row>
    <row r="10" spans="1:4" x14ac:dyDescent="0.25">
      <c r="C10" s="111" t="s">
        <v>362</v>
      </c>
      <c r="D10" t="s">
        <v>366</v>
      </c>
    </row>
    <row r="11" spans="1:4" x14ac:dyDescent="0.25">
      <c r="C11" s="111" t="s">
        <v>362</v>
      </c>
      <c r="D11" t="s">
        <v>367</v>
      </c>
    </row>
    <row r="12" spans="1:4" x14ac:dyDescent="0.25">
      <c r="C12" s="111" t="s">
        <v>362</v>
      </c>
      <c r="D12" t="s">
        <v>368</v>
      </c>
    </row>
    <row r="13" spans="1:4" x14ac:dyDescent="0.25">
      <c r="B13" s="111" t="s">
        <v>362</v>
      </c>
      <c r="C13" s="112" t="s">
        <v>377</v>
      </c>
    </row>
    <row r="14" spans="1:4" x14ac:dyDescent="0.25">
      <c r="A14" s="111" t="s">
        <v>362</v>
      </c>
      <c r="B14" s="113" t="s">
        <v>378</v>
      </c>
    </row>
    <row r="15" spans="1:4" x14ac:dyDescent="0.25">
      <c r="B15" s="111" t="s">
        <v>362</v>
      </c>
      <c r="C15" s="112" t="s">
        <v>381</v>
      </c>
    </row>
    <row r="16" spans="1:4" x14ac:dyDescent="0.25">
      <c r="A16" s="110"/>
      <c r="B16" s="111" t="s">
        <v>362</v>
      </c>
      <c r="C16" t="s">
        <v>379</v>
      </c>
    </row>
    <row r="17" spans="1:11" x14ac:dyDescent="0.25">
      <c r="A17" s="110"/>
      <c r="B17" s="111" t="s">
        <v>362</v>
      </c>
      <c r="C17" t="s">
        <v>380</v>
      </c>
    </row>
    <row r="18" spans="1:11" x14ac:dyDescent="0.25">
      <c r="A18" s="110"/>
      <c r="B18" s="111" t="s">
        <v>362</v>
      </c>
      <c r="C18" t="s">
        <v>382</v>
      </c>
    </row>
    <row r="19" spans="1:11" x14ac:dyDescent="0.25">
      <c r="A19" s="110"/>
      <c r="B19" s="111" t="s">
        <v>362</v>
      </c>
      <c r="C19" t="s">
        <v>383</v>
      </c>
    </row>
    <row r="20" spans="1:11" x14ac:dyDescent="0.25">
      <c r="A20" s="110"/>
      <c r="B20" s="111" t="s">
        <v>362</v>
      </c>
      <c r="C20" t="s">
        <v>384</v>
      </c>
    </row>
    <row r="21" spans="1:11" x14ac:dyDescent="0.25">
      <c r="A21" s="110"/>
      <c r="B21" s="111" t="s">
        <v>362</v>
      </c>
      <c r="C21" t="s">
        <v>385</v>
      </c>
    </row>
    <row r="22" spans="1:11" x14ac:dyDescent="0.25">
      <c r="A22" s="110"/>
      <c r="B22" s="111" t="s">
        <v>362</v>
      </c>
      <c r="C22" t="s">
        <v>386</v>
      </c>
    </row>
    <row r="23" spans="1:11" x14ac:dyDescent="0.25">
      <c r="A23" s="110"/>
      <c r="B23" s="111" t="s">
        <v>362</v>
      </c>
      <c r="C23" t="s">
        <v>387</v>
      </c>
    </row>
    <row r="24" spans="1:11" x14ac:dyDescent="0.25">
      <c r="A24" s="111" t="s">
        <v>362</v>
      </c>
      <c r="B24" s="111" t="s">
        <v>389</v>
      </c>
    </row>
    <row r="25" spans="1:11" x14ac:dyDescent="0.25">
      <c r="A25" s="110"/>
      <c r="B25" s="111"/>
    </row>
    <row r="26" spans="1:11" x14ac:dyDescent="0.25">
      <c r="A26" s="110"/>
      <c r="B26" s="111"/>
    </row>
    <row r="27" spans="1:11" x14ac:dyDescent="0.25">
      <c r="A27" s="110"/>
      <c r="B27" s="111"/>
    </row>
    <row r="28" spans="1:11" x14ac:dyDescent="0.25">
      <c r="A28" s="110"/>
      <c r="B28" s="111"/>
    </row>
    <row r="29" spans="1:11" x14ac:dyDescent="0.25">
      <c r="A29" s="110"/>
      <c r="B29" s="111"/>
    </row>
    <row r="30" spans="1:11" x14ac:dyDescent="0.25">
      <c r="A30" s="110"/>
    </row>
    <row r="31" spans="1:11" x14ac:dyDescent="0.25">
      <c r="A31" s="109" t="s">
        <v>370</v>
      </c>
      <c r="K31" s="109" t="s">
        <v>393</v>
      </c>
    </row>
    <row r="32" spans="1:11" x14ac:dyDescent="0.25">
      <c r="A32" s="111" t="s">
        <v>362</v>
      </c>
      <c r="B32" t="s">
        <v>517</v>
      </c>
      <c r="K32" s="117" t="s">
        <v>516</v>
      </c>
    </row>
    <row r="33" spans="1:11" x14ac:dyDescent="0.25">
      <c r="A33" s="111" t="s">
        <v>362</v>
      </c>
      <c r="B33" t="s">
        <v>518</v>
      </c>
      <c r="K33" s="117" t="s">
        <v>516</v>
      </c>
    </row>
    <row r="34" spans="1:11" x14ac:dyDescent="0.25">
      <c r="A34" s="111" t="s">
        <v>362</v>
      </c>
      <c r="B34" t="s">
        <v>519</v>
      </c>
      <c r="K34" s="117" t="s">
        <v>516</v>
      </c>
    </row>
    <row r="35" spans="1:11" x14ac:dyDescent="0.25">
      <c r="A35" s="111" t="s">
        <v>362</v>
      </c>
      <c r="B35" t="s">
        <v>486</v>
      </c>
      <c r="K35" s="117" t="s">
        <v>487</v>
      </c>
    </row>
    <row r="36" spans="1:11" x14ac:dyDescent="0.25">
      <c r="A36" s="111" t="s">
        <v>362</v>
      </c>
      <c r="B36" t="s">
        <v>488</v>
      </c>
      <c r="K36" s="117" t="s">
        <v>487</v>
      </c>
    </row>
    <row r="37" spans="1:11" x14ac:dyDescent="0.25">
      <c r="A37" s="111" t="s">
        <v>362</v>
      </c>
      <c r="B37" t="s">
        <v>437</v>
      </c>
      <c r="K37" s="117" t="s">
        <v>485</v>
      </c>
    </row>
    <row r="38" spans="1:11" x14ac:dyDescent="0.25">
      <c r="A38" s="111" t="s">
        <v>362</v>
      </c>
      <c r="B38" t="s">
        <v>467</v>
      </c>
      <c r="K38" s="119" t="s">
        <v>468</v>
      </c>
    </row>
    <row r="39" spans="1:11" x14ac:dyDescent="0.25">
      <c r="A39" s="111" t="s">
        <v>362</v>
      </c>
      <c r="B39" t="s">
        <v>437</v>
      </c>
      <c r="K39" s="117" t="s">
        <v>466</v>
      </c>
    </row>
    <row r="40" spans="1:11" x14ac:dyDescent="0.25">
      <c r="A40" s="111" t="s">
        <v>362</v>
      </c>
      <c r="B40" t="s">
        <v>437</v>
      </c>
      <c r="K40" s="117" t="s">
        <v>443</v>
      </c>
    </row>
    <row r="41" spans="1:11" x14ac:dyDescent="0.25">
      <c r="A41" s="111" t="s">
        <v>362</v>
      </c>
      <c r="B41" t="s">
        <v>441</v>
      </c>
      <c r="K41" s="119" t="s">
        <v>442</v>
      </c>
    </row>
    <row r="42" spans="1:11" x14ac:dyDescent="0.25">
      <c r="A42" s="111" t="s">
        <v>362</v>
      </c>
      <c r="B42" t="s">
        <v>437</v>
      </c>
      <c r="K42" s="117" t="s">
        <v>440</v>
      </c>
    </row>
    <row r="43" spans="1:11" x14ac:dyDescent="0.25">
      <c r="A43" s="111" t="s">
        <v>362</v>
      </c>
      <c r="B43" t="s">
        <v>437</v>
      </c>
      <c r="K43" s="117" t="s">
        <v>438</v>
      </c>
    </row>
    <row r="44" spans="1:11" x14ac:dyDescent="0.25">
      <c r="A44" s="111" t="s">
        <v>362</v>
      </c>
      <c r="B44" t="s">
        <v>430</v>
      </c>
      <c r="K44" s="117" t="s">
        <v>429</v>
      </c>
    </row>
    <row r="45" spans="1:11" x14ac:dyDescent="0.25">
      <c r="A45" s="111" t="s">
        <v>362</v>
      </c>
      <c r="B45" t="s">
        <v>426</v>
      </c>
      <c r="K45" s="117" t="s">
        <v>427</v>
      </c>
    </row>
    <row r="46" spans="1:11" x14ac:dyDescent="0.25">
      <c r="A46" s="111" t="s">
        <v>362</v>
      </c>
      <c r="B46" t="s">
        <v>419</v>
      </c>
      <c r="K46" s="117" t="s">
        <v>420</v>
      </c>
    </row>
    <row r="47" spans="1:11" x14ac:dyDescent="0.25">
      <c r="A47" s="111" t="s">
        <v>362</v>
      </c>
      <c r="B47" t="s">
        <v>407</v>
      </c>
      <c r="K47" s="117" t="s">
        <v>408</v>
      </c>
    </row>
    <row r="48" spans="1:11" x14ac:dyDescent="0.25">
      <c r="A48" s="111" t="s">
        <v>362</v>
      </c>
      <c r="B48" t="s">
        <v>399</v>
      </c>
      <c r="K48" s="117" t="s">
        <v>406</v>
      </c>
    </row>
    <row r="49" spans="1:11" x14ac:dyDescent="0.25">
      <c r="A49" s="111" t="s">
        <v>362</v>
      </c>
      <c r="B49" t="s">
        <v>399</v>
      </c>
      <c r="K49" s="117" t="s">
        <v>398</v>
      </c>
    </row>
    <row r="50" spans="1:11" x14ac:dyDescent="0.25">
      <c r="A50" s="111" t="s">
        <v>362</v>
      </c>
      <c r="B50" t="s">
        <v>400</v>
      </c>
      <c r="K50" s="117" t="s">
        <v>398</v>
      </c>
    </row>
    <row r="51" spans="1:11" x14ac:dyDescent="0.25">
      <c r="A51" s="111" t="s">
        <v>362</v>
      </c>
      <c r="B51" t="s">
        <v>371</v>
      </c>
      <c r="K51" t="s">
        <v>394</v>
      </c>
    </row>
    <row r="52" spans="1:11" x14ac:dyDescent="0.25">
      <c r="A52" s="111" t="s">
        <v>362</v>
      </c>
      <c r="B52" t="s">
        <v>395</v>
      </c>
      <c r="K52" t="s">
        <v>394</v>
      </c>
    </row>
    <row r="53" spans="1:11" x14ac:dyDescent="0.25">
      <c r="A53" s="111" t="s">
        <v>362</v>
      </c>
      <c r="B53" t="s">
        <v>372</v>
      </c>
      <c r="K53" t="s">
        <v>394</v>
      </c>
    </row>
    <row r="54" spans="1:11" x14ac:dyDescent="0.25">
      <c r="A54" s="111" t="s">
        <v>362</v>
      </c>
      <c r="B54" t="s">
        <v>373</v>
      </c>
      <c r="K54" t="s">
        <v>394</v>
      </c>
    </row>
    <row r="55" spans="1:11" x14ac:dyDescent="0.25">
      <c r="A55" s="111" t="s">
        <v>362</v>
      </c>
      <c r="B55" t="s">
        <v>374</v>
      </c>
      <c r="K55" t="s">
        <v>394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f3cc70-103c-4f30-ab17-2df0d013ae50">FFAN2MWSQDYC-16-959</_dlc_DocId>
    <_dlc_DocIdUrl xmlns="e9f3cc70-103c-4f30-ab17-2df0d013ae50">
      <Url>https://cawscportal.wr.usgs.gov/admin/_layouts/15/DocIdRedir.aspx?ID=FFAN2MWSQDYC-16-959</Url>
      <Description>FFAN2MWSQDYC-16-959</Description>
    </_dlc_DocIdUrl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8CDDE1B2A1014C9DEBCB1CA7C81DD5" ma:contentTypeVersion="2" ma:contentTypeDescription="Create a new document." ma:contentTypeScope="" ma:versionID="af6ff6bae9b5daf1aa6fb06789d38f66">
  <xsd:schema xmlns:xsd="http://www.w3.org/2001/XMLSchema" xmlns:xs="http://www.w3.org/2001/XMLSchema" xmlns:p="http://schemas.microsoft.com/office/2006/metadata/properties" xmlns:ns1="http://schemas.microsoft.com/sharepoint/v3" xmlns:ns2="e9f3cc70-103c-4f30-ab17-2df0d013ae50" targetNamespace="http://schemas.microsoft.com/office/2006/metadata/properties" ma:root="true" ma:fieldsID="d45cc26767d30dc820a50f6da889715d" ns1:_="" ns2:_="">
    <xsd:import namespace="http://schemas.microsoft.com/sharepoint/v3"/>
    <xsd:import namespace="e9f3cc70-103c-4f30-ab17-2df0d013ae5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3cc70-103c-4f30-ab17-2df0d013ae50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7C6FFB-9CCB-479D-A877-7E5C022D292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146A011-A2A7-4851-B714-D506946B9EE4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e9f3cc70-103c-4f30-ab17-2df0d013ae50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179B78E-87C3-4E66-8AA9-AAB827BC44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AE18A0-45E5-41C0-B274-B44102E5E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3cc70-103c-4f30-ab17-2df0d013a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Funding</vt:lpstr>
      <vt:lpstr>Expenses</vt:lpstr>
      <vt:lpstr>Pvt_Gross_Exp</vt:lpstr>
      <vt:lpstr>Pvt_Net_Exp</vt:lpstr>
      <vt:lpstr>Lookup</vt:lpstr>
      <vt:lpstr>Help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Henz, Glenn A.</dc:creator>
  <cp:lastModifiedBy>Wu, Victoria</cp:lastModifiedBy>
  <dcterms:created xsi:type="dcterms:W3CDTF">2012-03-22T20:56:58Z</dcterms:created>
  <dcterms:modified xsi:type="dcterms:W3CDTF">2019-05-06T13:13:55Z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45a954e8-959e-4ae8-a840-5925cd9454de</vt:lpwstr>
  </property>
  <property fmtid="{D5CDD505-2E9C-101B-9397-08002B2CF9AE}" pid="3" name="ContentTypeId">
    <vt:lpwstr>0x010100A38CDDE1B2A1014C9DEBCB1CA7C81DD5</vt:lpwstr>
  </property>
</Properties>
</file>