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leeds365-my.sharepoint.com/personal/mn19juoe_leeds_ac_uk/Documents/CV/"/>
    </mc:Choice>
  </mc:AlternateContent>
  <xr:revisionPtr revIDLastSave="718" documentId="8_{35251219-AFEF-4E84-8614-533763C04DA9}" xr6:coauthVersionLast="47" xr6:coauthVersionMax="47" xr10:uidLastSave="{E5FF7CC3-8C45-4125-89E9-373C05B3B9CE}"/>
  <bookViews>
    <workbookView xWindow="-110" yWindow="-110" windowWidth="19420" windowHeight="11500" xr2:uid="{00000000-000D-0000-FFFF-FFFF00000000}"/>
  </bookViews>
  <sheets>
    <sheet name="Assumptions" sheetId="1" r:id="rId1"/>
    <sheet name="Revenue Cost Calculation" sheetId="2" r:id="rId2"/>
    <sheet name="Depreciation" sheetId="3" r:id="rId3"/>
    <sheet name="Profit and Loss Statement" sheetId="4" r:id="rId4"/>
    <sheet name="Cash Flow Statement" sheetId="5" r:id="rId5"/>
    <sheet name="Key Performance Indicators" sheetId="6" r:id="rId6"/>
  </sheets>
  <definedNames>
    <definedName name="Discount_rate">Assumptions!$B$16</definedName>
    <definedName name="InitialInvestment">Assumptions!$B$2</definedName>
    <definedName name="InterestRate">Assumptions!$B$13</definedName>
    <definedName name="PricePerBarrel">Assumptions!$B$6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c r="B3" i="3" s="1"/>
  <c r="C3" i="3" s="1"/>
  <c r="B4" i="2"/>
  <c r="B5" i="2"/>
  <c r="B6" i="2"/>
  <c r="B7" i="2"/>
  <c r="B8" i="2"/>
  <c r="B3" i="2"/>
  <c r="C2" i="6"/>
  <c r="C3" i="6"/>
  <c r="C4" i="6"/>
  <c r="C5" i="6"/>
  <c r="C6" i="6"/>
  <c r="C7" i="6"/>
  <c r="C8" i="6"/>
  <c r="C9" i="6"/>
  <c r="F2" i="5"/>
  <c r="C13" i="5" s="1"/>
  <c r="E2" i="5"/>
  <c r="C9" i="5"/>
  <c r="C2" i="5"/>
  <c r="D2" i="3"/>
  <c r="C2" i="3"/>
  <c r="D9" i="4"/>
  <c r="D2" i="4"/>
  <c r="B4" i="3"/>
  <c r="D4" i="4" s="1"/>
  <c r="C4" i="5" s="1"/>
  <c r="B5" i="3"/>
  <c r="D5" i="4" s="1"/>
  <c r="C5" i="5" s="1"/>
  <c r="B6" i="3"/>
  <c r="D6" i="4" s="1"/>
  <c r="C6" i="5" s="1"/>
  <c r="B7" i="3"/>
  <c r="D7" i="4" s="1"/>
  <c r="C7" i="5" s="1"/>
  <c r="B8" i="3"/>
  <c r="D8" i="4" s="1"/>
  <c r="C8" i="5" s="1"/>
  <c r="E5" i="2"/>
  <c r="E6" i="2"/>
  <c r="E7" i="2"/>
  <c r="E8" i="2"/>
  <c r="E9" i="2"/>
  <c r="E3" i="2"/>
  <c r="E4" i="2"/>
  <c r="E2" i="2"/>
  <c r="H3" i="2"/>
  <c r="H9" i="2"/>
  <c r="C4" i="3" l="1"/>
  <c r="D3" i="4"/>
  <c r="C3" i="5" s="1"/>
  <c r="G2" i="5"/>
  <c r="D3" i="3"/>
  <c r="D4" i="3"/>
  <c r="C5" i="3"/>
  <c r="I2" i="5" l="1"/>
  <c r="G3" i="5"/>
  <c r="H3" i="5"/>
  <c r="C6" i="3"/>
  <c r="D5" i="3"/>
  <c r="G4" i="5" l="1"/>
  <c r="I3" i="5"/>
  <c r="D6" i="3"/>
  <c r="C7" i="3"/>
  <c r="G5" i="5" l="1"/>
  <c r="C8" i="3"/>
  <c r="D7" i="3"/>
  <c r="C9" i="3" l="1"/>
  <c r="D9" i="3" s="1"/>
  <c r="D8" i="3"/>
  <c r="G6" i="5"/>
  <c r="C3" i="2"/>
  <c r="C4" i="2"/>
  <c r="D4" i="2" s="1"/>
  <c r="F4" i="2" s="1"/>
  <c r="C5" i="2"/>
  <c r="D5" i="2" s="1"/>
  <c r="F5" i="2" s="1"/>
  <c r="C6" i="2"/>
  <c r="D6" i="2" s="1"/>
  <c r="F6" i="2" s="1"/>
  <c r="C7" i="2"/>
  <c r="D7" i="2" s="1"/>
  <c r="F7" i="2" s="1"/>
  <c r="C8" i="2"/>
  <c r="D8" i="2" s="1"/>
  <c r="F8" i="2" s="1"/>
  <c r="C9" i="2"/>
  <c r="D9" i="2" s="1"/>
  <c r="C2" i="2"/>
  <c r="D2" i="2" s="1"/>
  <c r="H4" i="2"/>
  <c r="H5" i="2"/>
  <c r="H6" i="2"/>
  <c r="H7" i="2"/>
  <c r="H8" i="2"/>
  <c r="G4" i="2"/>
  <c r="G5" i="2"/>
  <c r="G6" i="2"/>
  <c r="G7" i="2"/>
  <c r="G8" i="2"/>
  <c r="G3" i="2"/>
  <c r="D3" i="2" l="1"/>
  <c r="F3" i="2" s="1"/>
  <c r="B3" i="4" s="1"/>
  <c r="B8" i="4"/>
  <c r="B7" i="4"/>
  <c r="I2" i="2"/>
  <c r="C2" i="4" s="1"/>
  <c r="F2" i="2"/>
  <c r="B6" i="4"/>
  <c r="I7" i="2"/>
  <c r="C7" i="4" s="1"/>
  <c r="I9" i="2"/>
  <c r="C9" i="4" s="1"/>
  <c r="F9" i="2"/>
  <c r="B5" i="4"/>
  <c r="B4" i="4"/>
  <c r="G7" i="5"/>
  <c r="I4" i="2"/>
  <c r="C4" i="4" s="1"/>
  <c r="I6" i="2"/>
  <c r="C6" i="4" s="1"/>
  <c r="I5" i="2"/>
  <c r="C5" i="4" s="1"/>
  <c r="I8" i="2"/>
  <c r="C8" i="4" s="1"/>
  <c r="I3" i="2"/>
  <c r="C3" i="4" s="1"/>
  <c r="E5" i="4" l="1"/>
  <c r="F5" i="4" s="1"/>
  <c r="G5" i="4" s="1"/>
  <c r="B5" i="5" s="1"/>
  <c r="D5" i="5" s="1"/>
  <c r="J5" i="2"/>
  <c r="J6" i="2"/>
  <c r="E6" i="4"/>
  <c r="F6" i="4" s="1"/>
  <c r="G6" i="4" s="1"/>
  <c r="B6" i="5" s="1"/>
  <c r="D6" i="5" s="1"/>
  <c r="J4" i="2"/>
  <c r="B9" i="4"/>
  <c r="E9" i="4" s="1"/>
  <c r="G9" i="4" s="1"/>
  <c r="B9" i="5" s="1"/>
  <c r="D9" i="5" s="1"/>
  <c r="J9" i="2"/>
  <c r="J2" i="2"/>
  <c r="B2" i="4"/>
  <c r="E2" i="4" s="1"/>
  <c r="F2" i="4" s="1"/>
  <c r="G2" i="4" s="1"/>
  <c r="B2" i="5" s="1"/>
  <c r="D2" i="5" s="1"/>
  <c r="E3" i="4"/>
  <c r="J7" i="2"/>
  <c r="E8" i="4"/>
  <c r="F8" i="4" s="1"/>
  <c r="G8" i="4" s="1"/>
  <c r="B8" i="5" s="1"/>
  <c r="D8" i="5" s="1"/>
  <c r="J3" i="2"/>
  <c r="E7" i="4"/>
  <c r="E4" i="4"/>
  <c r="F4" i="4" s="1"/>
  <c r="G4" i="4" s="1"/>
  <c r="B4" i="5" s="1"/>
  <c r="D4" i="5" s="1"/>
  <c r="J8" i="2"/>
  <c r="G8" i="5"/>
  <c r="H5" i="5"/>
  <c r="I5" i="5" s="1"/>
  <c r="H4" i="5"/>
  <c r="I4" i="5" s="1"/>
  <c r="J5" i="5" l="1"/>
  <c r="J4" i="5"/>
  <c r="F7" i="4"/>
  <c r="G7" i="4" s="1"/>
  <c r="B7" i="5" s="1"/>
  <c r="D7" i="5" s="1"/>
  <c r="F3" i="4"/>
  <c r="G3" i="4" s="1"/>
  <c r="B3" i="5" s="1"/>
  <c r="D3" i="5" s="1"/>
  <c r="J2" i="5"/>
  <c r="K2" i="5"/>
  <c r="B2" i="6" s="1"/>
  <c r="G9" i="5"/>
  <c r="I9" i="5" s="1"/>
  <c r="J9" i="5" s="1"/>
  <c r="K5" i="5"/>
  <c r="B5" i="6" s="1"/>
  <c r="D5" i="6" s="1"/>
  <c r="K4" i="5"/>
  <c r="B4" i="6" s="1"/>
  <c r="H6" i="5"/>
  <c r="I6" i="5" s="1"/>
  <c r="J6" i="5" s="1"/>
  <c r="D2" i="6" l="1"/>
  <c r="K3" i="5"/>
  <c r="B3" i="6" s="1"/>
  <c r="D3" i="6" s="1"/>
  <c r="J3" i="5"/>
  <c r="D4" i="6"/>
  <c r="K6" i="5"/>
  <c r="B6" i="6" s="1"/>
  <c r="D6" i="6" s="1"/>
  <c r="H7" i="5"/>
  <c r="I7" i="5" s="1"/>
  <c r="J7" i="5" s="1"/>
  <c r="K7" i="5" l="1"/>
  <c r="B7" i="6" s="1"/>
  <c r="H8" i="5"/>
  <c r="I8" i="5" s="1"/>
  <c r="J8" i="5" s="1"/>
  <c r="E2" i="6" s="1" a="1"/>
  <c r="E2" i="6" l="1"/>
  <c r="B12" i="6"/>
  <c r="I4" i="1" s="1"/>
  <c r="I12" i="1" s="1"/>
  <c r="D7" i="6"/>
  <c r="H9" i="5"/>
  <c r="K8" i="5"/>
  <c r="B8" i="6" s="1"/>
  <c r="D8" i="6" s="1"/>
  <c r="K9" i="5" l="1"/>
  <c r="B9" i="6" s="1"/>
  <c r="B11" i="6" s="1"/>
  <c r="H12" i="1" s="1"/>
  <c r="D9" i="6" l="1"/>
  <c r="H4" i="1"/>
  <c r="B10" i="6"/>
  <c r="G4" i="1" l="1"/>
  <c r="G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tc={05C7D591-5506-47F1-A4F7-001203010D36}</author>
  </authors>
  <commentList>
    <comment ref="B13" authorId="0" shapeId="0" xr:uid="{05C7D591-5506-47F1-A4F7-001203010D36}">
      <text>
        <t>[Threaded comment]
Your version of Excel allows you to read this threaded comment; however, any edits to it will get removed if the file is opened in a newer version of Excel. Learn more: https://go.microsoft.com/fwlink/?linkid=870924
Comment:
    Standard market rate for similar loans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tc={12928C85-9754-40B3-B65D-A6B66E30AA98}</author>
  </authors>
  <commentList>
    <comment ref="H2" authorId="0" shapeId="0" xr:uid="{12928C85-9754-40B3-B65D-A6B66E30AA98}">
      <text>
        <t>[Threaded comment]
Your version of Excel allows you to read this threaded comment; however, any edits to it will get removed if the file is opened in a newer version of Excel. Learn more: https://go.microsoft.com/fwlink/?linkid=870924
Comment:
    Joseph Ezeigbo:
Captial expenditure of $120m is not classed as an operating cost.
Fixed operating costs begin in Year 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tc={10D6B6E9-7DD2-4F4E-9C10-8F58CED3053C}</author>
  </authors>
  <commentList>
    <comment ref="A2" authorId="0" shapeId="0" xr:uid="{10D6B6E9-7DD2-4F4E-9C10-8F58CED3053C}">
      <text>
        <t>[Threaded comment]
Your version of Excel allows you to read this threaded comment; however, any edits to it will get removed if the file is opened in a newer version of Excel. Learn more: https://go.microsoft.com/fwlink/?linkid=870924
Comment:
    Depreciation = 0 as assets are not in use until Year 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tc={9D1318DD-7291-47BE-89C7-C1FF16278C6D}</author>
    <author>tc={B9E14AE3-C007-43C2-B552-67E34BDA4F49}</author>
    <author>tc={8F2BC96C-54B6-4D61-9A9F-3427B2C74B20}</author>
    <author>tc={4EDA101E-04B5-4B4C-A911-EFE057FADDCE}</author>
    <author>tc={57B3B381-5739-43A1-AB06-CC20CCA9F383}</author>
    <author>tc={7AF6E6F1-44C3-4DC2-91D0-6867A66A39E6}</author>
  </authors>
  <commentList>
    <comment ref="B1" authorId="0" shapeId="0" xr:uid="{9D1318DD-7291-47BE-89C7-C1FF16278C6D}">
      <text>
        <t xml:space="preserve">[Threaded comment]
Your version of Excel allows you to read this threaded comment; however, any edits to it will get removed if the file is opened in a newer version of Excel. Learn more: https://go.microsoft.com/fwlink/?linkid=870924
Comment:
    total income generated from selling oil </t>
      </text>
    </comment>
    <comment ref="E1" authorId="1" shapeId="0" xr:uid="{B9E14AE3-C007-43C2-B552-67E34BDA4F49}">
      <text>
        <t>[Threaded comment]
Your version of Excel allows you to read this threaded comment; however, any edits to it will get removed if the file is opened in a newer version of Excel. Learn more: https://go.microsoft.com/fwlink/?linkid=870924
Comment:
    Revenue - (total operating cost + depreciation)
Reply:
    In this case, is the exact same as the taxable profit</t>
      </text>
    </comment>
    <comment ref="F1" authorId="2" shapeId="0" xr:uid="{8F2BC96C-54B6-4D61-9A9F-3427B2C74B20}">
      <text>
        <t xml:space="preserve">[Threaded comment]
Your version of Excel allows you to read this threaded comment; however, any edits to it will get removed if the file is opened in a newer version of Excel. Learn more: https://go.microsoft.com/fwlink/?linkid=870924
Comment:
    Income tax on taxable profit (30% rate)
</t>
      </text>
    </comment>
    <comment ref="G1" authorId="3" shapeId="0" xr:uid="{4EDA101E-04B5-4B4C-A911-EFE057FADDCE}">
      <text>
        <t xml:space="preserve">[Threaded comment]
Your version of Excel allows you to read this threaded comment; however, any edits to it will get removed if the file is opened in a newer version of Excel. Learn more: https://go.microsoft.com/fwlink/?linkid=870924
Comment:
    Profit after tax
Reply:
    Operating profit - tax
</t>
      </text>
    </comment>
    <comment ref="B9" authorId="4" shapeId="0" xr:uid="{57B3B381-5739-43A1-AB06-CC20CCA9F383}">
      <text>
        <t>[Threaded comment]
Your version of Excel allows you to read this threaded comment; however, any edits to it will get removed if the file is opened in a newer version of Excel. Learn more: https://go.microsoft.com/fwlink/?linkid=870924
Comment:
    As oil production as ended</t>
      </text>
    </comment>
    <comment ref="F9" authorId="5" shapeId="0" xr:uid="{7AF6E6F1-44C3-4DC2-91D0-6867A66A39E6}">
      <text>
        <t>[Threaded comment]
Your version of Excel allows you to read this threaded comment; however, any edits to it will get removed if the file is opened in a newer version of Excel. Learn more: https://go.microsoft.com/fwlink/?linkid=870924
Comment:
    Given project is at a loss this year, no income tax is payable and is set as $0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tc={0F985430-694E-4487-A124-38E77FBD9AE4}</author>
    <author>tc={A611203F-0BDC-48E4-BB58-47848674264C}</author>
    <author>tc={F28A1AEF-A6F4-4FA0-AB9D-E796CD99CA0E}</author>
    <author>tc={23265674-787C-471F-BA0F-6F3C0CFBCC94}</author>
    <author>tc={3952D6F1-EC08-46BC-8374-C5CE1D7B8E26}</author>
    <author>tc={84D7AC7A-4D44-43C9-846B-83E451774EC9}</author>
    <author>tc={53D5E8A4-C738-4E6F-8C66-D430A567E3E5}</author>
  </authors>
  <commentList>
    <comment ref="D1" authorId="0" shapeId="0" xr:uid="{0F985430-694E-4487-A124-38E77FBD9AE4}">
      <text>
        <t>[Threaded comment]
Your version of Excel allows you to read this threaded comment; however, any edits to it will get removed if the file is opened in a newer version of Excel. Learn more: https://go.microsoft.com/fwlink/?linkid=870924
Comment:
    Cash generated from the core operations of the project. Net profit + depreciation</t>
      </text>
    </comment>
    <comment ref="E1" authorId="1" shapeId="0" xr:uid="{A611203F-0BDC-48E4-BB58-47848674264C}">
      <text>
        <t>[Threaded comment]
Your version of Excel allows you to read this threaded comment; however, any edits to it will get removed if the file is opened in a newer version of Excel. Learn more: https://go.microsoft.com/fwlink/?linkid=870924
Comment:
    Amount spent on fixed assets like equipment. For this project, this is the cash outflow from year 1 when the $120 million investment is made</t>
      </text>
    </comment>
    <comment ref="F1" authorId="2" shapeId="0" xr:uid="{F28A1AEF-A6F4-4FA0-AB9D-E796CD99CA0E}">
      <text>
        <t>[Threaded comment]
Your version of Excel allows you to read this threaded comment; however, any edits to it will get removed if the file is opened in a newer version of Excel. Learn more: https://go.microsoft.com/fwlink/?linkid=870924
Comment:
    Amount of loan taken by the project, recorded as a cash inflow in Year 1</t>
      </text>
    </comment>
    <comment ref="H1" authorId="3" shapeId="0" xr:uid="{23265674-787C-471F-BA0F-6F3C0CFBCC94}">
      <text>
        <t>[Threaded comment]
Your version of Excel allows you to read this threaded comment; however, any edits to it will get removed if the file is opened in a newer version of Excel. Learn more: https://go.microsoft.com/fwlink/?linkid=870924
Comment:
    Interest on loan. This is a cash outflow
Reply:
    Amount of loan unpaid 
Reply:
    Calculated on year starting balance</t>
      </text>
    </comment>
    <comment ref="I1" authorId="4" shapeId="0" xr:uid="{3952D6F1-EC08-46BC-8374-C5CE1D7B8E26}">
      <text>
        <t>[Threaded comment]
Your version of Excel allows you to read this threaded comment; however, any edits to it will get removed if the file is opened in a newer version of Excel. Learn more: https://go.microsoft.com/fwlink/?linkid=870924
Comment:
    Cash outflow in the years the loan is being repaid. This is the principal (amount borrowed) and interest (cost of borrowing) payment toward the loan repayment
Continues until loan Is fully repaid
Reply:
    IF statement - if there is no loan balance, then no total loan repayment is deducted</t>
      </text>
    </comment>
    <comment ref="K1" authorId="5" shapeId="0" xr:uid="{84D7AC7A-4D44-43C9-846B-83E451774EC9}">
      <text>
        <t>[Threaded comment]
Your version of Excel allows you to read this threaded comment; however, any edits to it will get removed if the file is opened in a newer version of Excel. Learn more: https://go.microsoft.com/fwlink/?linkid=870924
Comment:
    Net: All cash inflows - all cash outflows</t>
      </text>
    </comment>
    <comment ref="H2" authorId="6" shapeId="0" xr:uid="{53D5E8A4-C738-4E6F-8C66-D430A567E3E5}">
      <text>
        <t>[Threaded comment]
Your version of Excel allows you to read this threaded comment; however, any edits to it will get removed if the file is opened in a newer version of Excel. Learn more: https://go.microsoft.com/fwlink/?linkid=870924
Comment:
    No interest is paid in year 1</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tc={BFAD8023-14BC-4B23-99DC-B8C64B9D56A6}</author>
    <author>tc={E30C1432-EAC7-4712-BC63-8BBD7085874B}</author>
    <author>tc={62456AFC-523F-4DDE-9EEE-4DD3BC54A7D9}</author>
    <author>tc={F58BA651-A063-45BC-93A9-B863152C0650}</author>
  </authors>
  <commentList>
    <comment ref="C1" authorId="0" shapeId="0" xr:uid="{BFAD8023-14BC-4B23-99DC-B8C64B9D56A6}">
      <text>
        <t xml:space="preserve">[Threaded comment]
Your version of Excel allows you to read this threaded comment; however, any edits to it will get removed if the file is opened in a newer version of Excel. Learn more: https://go.microsoft.com/fwlink/?linkid=870924
Comment:
    The discount factor accounts for the time value of money. </t>
      </text>
    </comment>
    <comment ref="D1" authorId="1" shapeId="0" xr:uid="{E30C1432-EAC7-4712-BC63-8BBD7085874B}">
      <text>
        <t xml:space="preserve">[Threaded comment]
Your version of Excel allows you to read this threaded comment; however, any edits to it will get removed if the file is opened in a newer version of Excel. Learn more: https://go.microsoft.com/fwlink/?linkid=870924
Comment:
    value of future cash flows in today’s terms. It’s calculated by multiplying the Net Cash Flow by the Discount Factor for each year. </t>
      </text>
    </comment>
    <comment ref="A10" authorId="2" shapeId="0" xr:uid="{62456AFC-523F-4DDE-9EEE-4DD3BC54A7D9}">
      <text>
        <t xml:space="preserve">[Threaded comment]
Your version of Excel allows you to read this threaded comment; however, any edits to it will get removed if the file is opened in a newer version of Excel. Learn more: https://go.microsoft.com/fwlink/?linkid=870924
Comment:
    sum of all the present values across the project’s duration </t>
      </text>
    </comment>
    <comment ref="A11" authorId="3" shapeId="0" xr:uid="{F58BA651-A063-45BC-93A9-B863152C0650}">
      <text>
        <t xml:space="preserve">[Threaded comment]
Your version of Excel allows you to read this threaded comment; however, any edits to it will get removed if the file is opened in a newer version of Excel. Learn more: https://go.microsoft.com/fwlink/?linkid=870924
Comment:
    IRR is the discount rate that makes the NPV of all cash flows equal to zero. It’s essentially the project’s expected rate of return.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<sst xmlns="http://schemas.openxmlformats.org/spreadsheetml/2006/main" count="93" uniqueCount="74">
  <si>
    <t>Assumption</t>
  </si>
  <si>
    <t>Value</t>
  </si>
  <si>
    <t>Notes</t>
  </si>
  <si>
    <t>Investment Cost (Year 1)</t>
  </si>
  <si>
    <t>Production Period</t>
  </si>
  <si>
    <t>Price per Barrel</t>
  </si>
  <si>
    <t>Operating Cost per Barrel</t>
  </si>
  <si>
    <t>Fixed Operating Costs</t>
  </si>
  <si>
    <t>Depreciation Period</t>
  </si>
  <si>
    <t>Tax Rate</t>
  </si>
  <si>
    <t>Restoration Cost (Final Year)</t>
  </si>
  <si>
    <t>Loan Amount</t>
  </si>
  <si>
    <t>Interest Rate</t>
  </si>
  <si>
    <t>Loan Term</t>
  </si>
  <si>
    <t>Salvage Value of Equipment</t>
  </si>
  <si>
    <t>Fixed assets</t>
  </si>
  <si>
    <t>Barrels per day</t>
  </si>
  <si>
    <t>Duration of oil production</t>
  </si>
  <si>
    <t>Revenue per barrel of oil</t>
  </si>
  <si>
    <t>Cost of production per barrel</t>
  </si>
  <si>
    <t>Annual fixed costs</t>
  </si>
  <si>
    <t>Straight-line depreciation</t>
  </si>
  <si>
    <t>Tax on taxable profit</t>
  </si>
  <si>
    <t>Cost to restore the field</t>
  </si>
  <si>
    <t>Loan principal</t>
  </si>
  <si>
    <t>Annual interest rate on loan</t>
  </si>
  <si>
    <t>Duration for loan repayment</t>
  </si>
  <si>
    <t>Assumed no salvage value</t>
  </si>
  <si>
    <t>Year</t>
  </si>
  <si>
    <t>Production (bpd)</t>
  </si>
  <si>
    <t>Days</t>
  </si>
  <si>
    <t>Total Production (Barrels)</t>
  </si>
  <si>
    <t>Revenue</t>
  </si>
  <si>
    <t>Fixed Costs</t>
  </si>
  <si>
    <t>Total Operating Cost</t>
  </si>
  <si>
    <t>Gross Profit</t>
  </si>
  <si>
    <t>Depreciation Expense</t>
  </si>
  <si>
    <t>Cumulative Depreciation</t>
  </si>
  <si>
    <t>Net Book Value</t>
  </si>
  <si>
    <t>Total Operating Costs</t>
  </si>
  <si>
    <t>Depreciation</t>
  </si>
  <si>
    <t>Tax (30%)</t>
  </si>
  <si>
    <t>Net Profit</t>
  </si>
  <si>
    <t>Operating Cash Flow</t>
  </si>
  <si>
    <t>Capital Expenditure</t>
  </si>
  <si>
    <t>Loan Drawdown</t>
  </si>
  <si>
    <t>Interest Payment</t>
  </si>
  <si>
    <t>Net Cash Flow</t>
  </si>
  <si>
    <t>Discount Factor (r%)</t>
  </si>
  <si>
    <t>Present Value</t>
  </si>
  <si>
    <t>Production Daily Rate</t>
  </si>
  <si>
    <t>Production Yearly Rate</t>
  </si>
  <si>
    <t>Operational days per production year</t>
  </si>
  <si>
    <t>Useful Life</t>
  </si>
  <si>
    <t>Operating/taxable Profit</t>
  </si>
  <si>
    <t>Loan repayment is assumed to be structured in equal installments over the term of the load</t>
  </si>
  <si>
    <t>Annual Principal Repayment</t>
  </si>
  <si>
    <t>Loan Balance</t>
  </si>
  <si>
    <t>Total Loan Repayment</t>
  </si>
  <si>
    <t>IRR</t>
  </si>
  <si>
    <t>Discount rate</t>
  </si>
  <si>
    <t>(Total) NPV</t>
  </si>
  <si>
    <t>DSCR</t>
  </si>
  <si>
    <r>
      <t>DSCR &gt; 1</t>
    </r>
    <r>
      <rPr>
        <sz val="11"/>
        <color theme="1"/>
        <rFont val="Calibri"/>
        <family val="2"/>
        <scheme val="minor"/>
      </rPr>
      <t>: The project generates more cash flow than needed to cover its debt payments, indicating a lower risk for lenders.</t>
    </r>
  </si>
  <si>
    <r>
      <t>DSCR = 1</t>
    </r>
    <r>
      <rPr>
        <sz val="11"/>
        <color theme="1"/>
        <rFont val="Calibri"/>
        <family val="2"/>
        <scheme val="minor"/>
      </rPr>
      <t>: The project generates just enough cash flow to cover debt payments, but there’s no margin for error.</t>
    </r>
  </si>
  <si>
    <r>
      <t>DSCR &lt; 1</t>
    </r>
    <r>
      <rPr>
        <sz val="11"/>
        <color theme="1"/>
        <rFont val="Calibri"/>
        <family val="2"/>
        <scheme val="minor"/>
      </rPr>
      <t>: The project does not generate enough cash flow to cover its debt obligations, which is a red flag for lenders.</t>
    </r>
  </si>
  <si>
    <t>NPV</t>
  </si>
  <si>
    <t>Price per Barrel ($)</t>
  </si>
  <si>
    <t>Average DSCR</t>
  </si>
  <si>
    <t>Determine the profitability and viability of a project</t>
  </si>
  <si>
    <t xml:space="preserve">Interest is calculated on the reamining loan balance at the start of each period </t>
  </si>
  <si>
    <t>Summary of the actual cash inflows and outflows for the project over time, helping to assess the project's liquidity and ability to meet financial obligations such as debt repayments.</t>
  </si>
  <si>
    <t>Sensitivity Analysis (With Government Grant)</t>
  </si>
  <si>
    <t>Sensitivity Analysis (Base Scenario - No government 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</si>
</sst>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5">
    <font>
      <sz val="11"/>
      <color theme="1"/>
      <name val="Calibri"/>
      <family val="2"/>
      <scheme val="minor"/>
    </font>
    <font>
      <b/>
      <sz val="11"/>
      <color theme="1"/>
      <name val="Calibri"/>
      <family val="2"/>
      <scheme val="minor"/>
    </font>
    <font>
      <sz val="10"/>
      <color theme="1"/>
      <name val="Arial Unicode MS"/>
    </font>
    <font>
      <b/>
      <u/>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top"/>
    </xf>
    <xf numFmtId="0" fontId="1" fillId="0" borderId="0" xfId="0" applyFont="1"/>
    <xf numFmtId="0" fontId="1" fillId="0" borderId="2"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2" borderId="1" xfId="0" applyFont="1" applyFill="1" applyBorder="1" applyAlignment="1">
      <alignment horizontal="center" vertical="top"/>
    </xf>
    <xf numFmtId="0" fontId="1" fillId="0" borderId="0" xfId="0" applyFont="1" applyAlignment="1">
      <alignment wrapText="1"/>
    </xf>
    <xf numFmtId="8" fontId="0" fillId="0" borderId="0" xfId="0" applyNumberFormat="1"/>
    <xf numFmtId="9" fontId="0" fillId="0" borderId="0" xfId="0" applyNumberFormat="1"/>
    <xf numFmtId="0" fontId="0" fillId="0" borderId="0" xfId="0" applyAlignment="1">
      <alignment vertical="center" wrapText="1"/>
    </xf>
    <xf numFmtId="0" fontId="2" fillId="0" borderId="0" xfId="0" applyFont="1" applyAlignment="1">
      <alignment vertical="center" wrapText="1"/>
    </xf>
    <xf numFmtId="0" fontId="1" fillId="0" borderId="3" xfId="0" applyFont="1" applyBorder="1" applyAlignment="1">
      <alignment horizontal="center" vertical="top"/>
    </xf>
    <xf numFmtId="0" fontId="4" fillId="0" borderId="0" xfId="0" applyFont="1"/>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8" fontId="0" fillId="0" borderId="0" xfId="0" applyNumberFormat="1" applyAlignment="1">
      <alignment horizontal="center" vertical="center" wrapText="1"/>
    </xf>
    <xf numFmtId="9" fontId="0" fillId="0" borderId="0" xfId="0" applyNumberFormat="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xf>
    <xf numFmtId="0" fontId="1" fillId="0" borderId="2" xfId="0" applyFont="1" applyBorder="1" applyAlignment="1">
      <alignment horizontal="center" vertical="center"/>
    </xf>
    <xf numFmtId="8" fontId="0" fillId="0" borderId="4" xfId="0" applyNumberForma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4" fillId="0" borderId="0" xfId="0" applyFont="1" applyAlignment="1">
      <alignment horizontal="center" vertical="center"/>
    </xf>
    <xf numFmtId="0" fontId="0" fillId="0" borderId="5"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NPV Sensitivity against Price Per Barrel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Government Grant</c:v>
          </c:tx>
          <c:spPr>
            <a:ln w="19050" cap="rnd">
              <a:solidFill>
                <a:schemeClr val="accent1"/>
              </a:solidFill>
              <a:round/>
            </a:ln>
            <a:effectLst/>
          </c:spPr>
          <c:marker>
            <c:symbol val="none"/>
          </c:marker>
          <c:xVal>
            <c:numRef>
              <c:f>Assumptions!$F$5:$F$10</c:f>
              <c:numCache>
                <c:formatCode>General</c:formatCode>
                <c:ptCount val="6"/>
                <c:pt idx="0">
                  <c:v>50</c:v>
                </c:pt>
                <c:pt idx="1">
                  <c:v>60</c:v>
                </c:pt>
                <c:pt idx="2">
                  <c:v>70</c:v>
                </c:pt>
                <c:pt idx="3">
                  <c:v>80</c:v>
                </c:pt>
                <c:pt idx="4">
                  <c:v>90</c:v>
                </c:pt>
                <c:pt idx="5">
                  <c:v>100</c:v>
                </c:pt>
              </c:numCache>
            </c:numRef>
          </c:xVal>
          <c:yVal>
            <c:numRef>
              <c:f>Assumptions!$G$4:$G$10</c:f>
              <c:numCache>
                <c:formatCode>General</c:formatCode>
                <c:ptCount val="7"/>
                <c:pt idx="0" formatCode="&quot;£&quot;#,##0.00_);[Red]\(&quot;£&quot;#,##0.00\)">
                  <c:v>138995540.61396691</c:v>
                </c:pt>
                <c:pt idx="1">
                  <c:v>98531209.388054222</c:v>
                </c:pt>
                <c:pt idx="2">
                  <c:v>138995540.61396691</c:v>
                </c:pt>
                <c:pt idx="3">
                  <c:v>179459871.83987954</c:v>
                </c:pt>
                <c:pt idx="4">
                  <c:v>219924203.06579223</c:v>
                </c:pt>
                <c:pt idx="5">
                  <c:v>260388534.29170486</c:v>
                </c:pt>
                <c:pt idx="6">
                  <c:v>300852865.51761752</c:v>
                </c:pt>
              </c:numCache>
            </c:numRef>
          </c:yVal>
          <c:smooth val="1"/>
          <c:extLst>
            <c:ext xmlns:c16="http://schemas.microsoft.com/office/drawing/2014/chart" uri="{C3380CC4-5D6E-409C-BE32-E72D297353CC}">
              <c16:uniqueId val="{00000000-5ADB-4C0D-B081-475099A6A179}"/>
            </c:ext>
          </c:extLst>
        </c:ser>
        <c:ser>
          <c:idx val="1"/>
          <c:order val="1"/>
          <c:tx>
            <c:v>No government Grant</c:v>
          </c:tx>
          <c:spPr>
            <a:ln w="19050" cap="rnd">
              <a:solidFill>
                <a:schemeClr val="accent2"/>
              </a:solidFill>
              <a:round/>
            </a:ln>
            <a:effectLst/>
          </c:spPr>
          <c:marker>
            <c:symbol val="none"/>
          </c:marker>
          <c:xVal>
            <c:numRef>
              <c:f>Assumptions!$F$5:$F$10</c:f>
              <c:numCache>
                <c:formatCode>General</c:formatCode>
                <c:ptCount val="6"/>
                <c:pt idx="0">
                  <c:v>50</c:v>
                </c:pt>
                <c:pt idx="1">
                  <c:v>60</c:v>
                </c:pt>
                <c:pt idx="2">
                  <c:v>70</c:v>
                </c:pt>
                <c:pt idx="3">
                  <c:v>80</c:v>
                </c:pt>
                <c:pt idx="4">
                  <c:v>90</c:v>
                </c:pt>
                <c:pt idx="5">
                  <c:v>100</c:v>
                </c:pt>
              </c:numCache>
            </c:numRef>
          </c:xVal>
          <c:yVal>
            <c:numRef>
              <c:f>Assumptions!$G$21:$G$27</c:f>
              <c:numCache>
                <c:formatCode>General</c:formatCode>
                <c:ptCount val="7"/>
                <c:pt idx="0">
                  <c:v>62194093.138599634</c:v>
                </c:pt>
                <c:pt idx="1">
                  <c:v>21729761.912686974</c:v>
                </c:pt>
                <c:pt idx="2">
                  <c:v>62194093.138599634</c:v>
                </c:pt>
                <c:pt idx="3">
                  <c:v>102658424.36451228</c:v>
                </c:pt>
                <c:pt idx="4">
                  <c:v>143122755.59042495</c:v>
                </c:pt>
                <c:pt idx="5">
                  <c:v>183587086.81633762</c:v>
                </c:pt>
                <c:pt idx="6">
                  <c:v>224051418.04225028</c:v>
                </c:pt>
              </c:numCache>
            </c:numRef>
          </c:yVal>
          <c:smooth val="1"/>
          <c:extLst>
            <c:ext xmlns:c16="http://schemas.microsoft.com/office/drawing/2014/chart" uri="{C3380CC4-5D6E-409C-BE32-E72D297353CC}">
              <c16:uniqueId val="{00000001-5ADB-4C0D-B081-475099A6A179}"/>
            </c:ext>
          </c:extLst>
        </c:ser>
        <c:dLbls>
          <c:showLegendKey val="0"/>
          <c:showVal val="0"/>
          <c:showCatName val="0"/>
          <c:showSerName val="0"/>
          <c:showPercent val="0"/>
          <c:showBubbleSize val="0"/>
        </c:dLbls>
        <c:axId val="898942528"/>
        <c:axId val="898941088"/>
        <c:extLst>
          <c:ext xmlns:c15="http://schemas.microsoft.com/office/drawing/2012/chart" uri="{02D57815-91ED-43cb-92C2-25804820EDAC}">
            <c15:filteredScatterSeries>
              <c15:ser>
                <c:idx val="2"/>
                <c:order val="2"/>
                <c:tx>
                  <c:strRef>
                    <c:extLst>
                      <c:ext uri="{02D57815-91ED-43cb-92C2-25804820EDAC}">
                        <c15:formulaRef>
                          <c15:sqref>Assumptions!$H$2:$H$3</c15:sqref>
                        </c15:formulaRef>
                      </c:ext>
                    </c:extLst>
                    <c:strCache>
                      <c:ptCount val="2"/>
                      <c:pt idx="0">
                        <c:v>Sensitivity Analysis (With Government Grant)</c:v>
                      </c:pt>
                      <c:pt idx="1">
                        <c:v>IRR</c:v>
                      </c:pt>
                    </c:strCache>
                  </c:strRef>
                </c:tx>
                <c:spPr>
                  <a:ln w="19050" cap="rnd">
                    <a:solidFill>
                      <a:schemeClr val="accent3"/>
                    </a:solidFill>
                    <a:round/>
                  </a:ln>
                  <a:effectLst/>
                </c:spPr>
                <c:marker>
                  <c:symbol val="none"/>
                </c:marker>
                <c:yVal>
                  <c:numRef>
                    <c:extLst>
                      <c:ext uri="{02D57815-91ED-43cb-92C2-25804820EDAC}">
                        <c15:formulaRef>
                          <c15:sqref>Assumptions!$H$4:$H$10</c15:sqref>
                        </c15:formulaRef>
                      </c:ext>
                    </c:extLst>
                    <c:numCache>
                      <c:formatCode>General</c:formatCode>
                      <c:ptCount val="7"/>
                      <c:pt idx="0" formatCode="0%">
                        <c:v>0</c:v>
                      </c:pt>
                      <c:pt idx="1">
                        <c:v>-0.33781855908475777</c:v>
                      </c:pt>
                      <c:pt idx="2">
                        <c:v>0</c:v>
                      </c:pt>
                      <c:pt idx="3">
                        <c:v>0</c:v>
                      </c:pt>
                      <c:pt idx="4">
                        <c:v>0</c:v>
                      </c:pt>
                      <c:pt idx="5">
                        <c:v>0</c:v>
                      </c:pt>
                      <c:pt idx="6">
                        <c:v>0</c:v>
                      </c:pt>
                    </c:numCache>
                  </c:numRef>
                </c:yVal>
                <c:smooth val="1"/>
                <c:extLst>
                  <c:ext xmlns:c16="http://schemas.microsoft.com/office/drawing/2014/chart" uri="{C3380CC4-5D6E-409C-BE32-E72D297353CC}">
                    <c16:uniqueId val="{00000002-5ADB-4C0D-B081-475099A6A179}"/>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Assumptions!$I$2:$I$3</c15:sqref>
                        </c15:formulaRef>
                      </c:ext>
                    </c:extLst>
                    <c:strCache>
                      <c:ptCount val="2"/>
                      <c:pt idx="0">
                        <c:v>Sensitivity Analysis (With Government Grant)</c:v>
                      </c:pt>
                      <c:pt idx="1">
                        <c:v>Average DSCR</c:v>
                      </c:pt>
                    </c:strCache>
                  </c:strRef>
                </c:tx>
                <c:spPr>
                  <a:ln w="19050" cap="rnd">
                    <a:solidFill>
                      <a:schemeClr val="accent4"/>
                    </a:solidFill>
                    <a:round/>
                  </a:ln>
                  <a:effectLst/>
                </c:spPr>
                <c:marker>
                  <c:symbol val="none"/>
                </c:marker>
                <c:yVal>
                  <c:numRef>
                    <c:extLst xmlns:c15="http://schemas.microsoft.com/office/drawing/2012/chart">
                      <c:ext xmlns:c15="http://schemas.microsoft.com/office/drawing/2012/chart" uri="{02D57815-91ED-43cb-92C2-25804820EDAC}">
                        <c15:formulaRef>
                          <c15:sqref>Assumptions!$I$4:$I$10</c15:sqref>
                        </c15:formulaRef>
                      </c:ext>
                    </c:extLst>
                    <c:numCache>
                      <c:formatCode>General</c:formatCode>
                      <c:ptCount val="7"/>
                      <c:pt idx="0">
                        <c:v>1.8829971860568195</c:v>
                      </c:pt>
                      <c:pt idx="1">
                        <c:v>1.3725401239480479</c:v>
                      </c:pt>
                      <c:pt idx="2">
                        <c:v>1.8829971860568195</c:v>
                      </c:pt>
                      <c:pt idx="3">
                        <c:v>2.3934542481655918</c:v>
                      </c:pt>
                      <c:pt idx="4">
                        <c:v>2.9039113102743634</c:v>
                      </c:pt>
                      <c:pt idx="5">
                        <c:v>3.4143683723831355</c:v>
                      </c:pt>
                      <c:pt idx="6">
                        <c:v>3.9248254344919071</c:v>
                      </c:pt>
                    </c:numCache>
                  </c:numRef>
                </c:yVal>
                <c:smooth val="1"/>
                <c:extLst xmlns:c15="http://schemas.microsoft.com/office/drawing/2012/chart">
                  <c:ext xmlns:c16="http://schemas.microsoft.com/office/drawing/2014/chart" uri="{C3380CC4-5D6E-409C-BE32-E72D297353CC}">
                    <c16:uniqueId val="{00000003-5ADB-4C0D-B081-475099A6A179}"/>
                  </c:ext>
                </c:extLst>
              </c15:ser>
            </c15:filteredScatterSeries>
          </c:ext>
        </c:extLst>
      </c:scatterChart>
      <c:valAx>
        <c:axId val="898942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Price Per Barrel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941088"/>
        <c:crosses val="autoZero"/>
        <c:crossBetween val="midCat"/>
      </c:valAx>
      <c:valAx>
        <c:axId val="898941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9425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2"/>
          <c:order val="2"/>
          <c:tx>
            <c:v>No government Grant</c:v>
          </c:tx>
          <c:spPr>
            <a:ln w="19050" cap="rnd">
              <a:solidFill>
                <a:schemeClr val="accent3"/>
              </a:solidFill>
              <a:round/>
            </a:ln>
            <a:effectLst/>
          </c:spPr>
          <c:marker>
            <c:symbol val="none"/>
          </c:marker>
          <c:xVal>
            <c:numRef>
              <c:f>Assumptions!$F$13:$F$16</c:f>
              <c:numCache>
                <c:formatCode>General</c:formatCode>
                <c:ptCount val="4"/>
                <c:pt idx="0">
                  <c:v>365</c:v>
                </c:pt>
                <c:pt idx="1">
                  <c:v>300</c:v>
                </c:pt>
                <c:pt idx="2">
                  <c:v>250</c:v>
                </c:pt>
                <c:pt idx="3">
                  <c:v>100</c:v>
                </c:pt>
              </c:numCache>
            </c:numRef>
          </c:xVal>
          <c:yVal>
            <c:numRef>
              <c:f>Assumptions!$I$30:$I$33</c:f>
              <c:numCache>
                <c:formatCode>General</c:formatCode>
                <c:ptCount val="4"/>
                <c:pt idx="0">
                  <c:v>2.1527103108501042</c:v>
                </c:pt>
                <c:pt idx="1">
                  <c:v>1.698193748698458</c:v>
                </c:pt>
                <c:pt idx="2">
                  <c:v>1.3485656239664223</c:v>
                </c:pt>
                <c:pt idx="3">
                  <c:v>0.29968124977031613</c:v>
                </c:pt>
              </c:numCache>
            </c:numRef>
          </c:yVal>
          <c:smooth val="1"/>
          <c:extLst>
            <c:ext xmlns:c16="http://schemas.microsoft.com/office/drawing/2014/chart" uri="{C3380CC4-5D6E-409C-BE32-E72D297353CC}">
              <c16:uniqueId val="{00000002-0EE2-4ABF-8EA6-C438FE95CFBA}"/>
            </c:ext>
          </c:extLst>
        </c:ser>
        <c:ser>
          <c:idx val="3"/>
          <c:order val="3"/>
          <c:tx>
            <c:v>Government Grant</c:v>
          </c:tx>
          <c:spPr>
            <a:ln w="19050" cap="rnd">
              <a:solidFill>
                <a:schemeClr val="accent4"/>
              </a:solidFill>
              <a:round/>
            </a:ln>
            <a:effectLst/>
          </c:spPr>
          <c:marker>
            <c:symbol val="none"/>
          </c:marker>
          <c:xVal>
            <c:numRef>
              <c:f>Assumptions!$F$13:$F$16</c:f>
              <c:numCache>
                <c:formatCode>General</c:formatCode>
                <c:ptCount val="4"/>
                <c:pt idx="0">
                  <c:v>365</c:v>
                </c:pt>
                <c:pt idx="1">
                  <c:v>300</c:v>
                </c:pt>
                <c:pt idx="2">
                  <c:v>250</c:v>
                </c:pt>
                <c:pt idx="3">
                  <c:v>100</c:v>
                </c:pt>
              </c:numCache>
            </c:numRef>
          </c:xVal>
          <c:yVal>
            <c:numRef>
              <c:f>Assumptions!$I$13:$I$16</c:f>
              <c:numCache>
                <c:formatCode>General</c:formatCode>
                <c:ptCount val="4"/>
                <c:pt idx="0">
                  <c:v>1.8829971860568195</c:v>
                </c:pt>
                <c:pt idx="1">
                  <c:v>1.4284806239051735</c:v>
                </c:pt>
                <c:pt idx="2">
                  <c:v>1.0788524991731381</c:v>
                </c:pt>
                <c:pt idx="3">
                  <c:v>2.9968124977031611E-2</c:v>
                </c:pt>
              </c:numCache>
            </c:numRef>
          </c:yVal>
          <c:smooth val="1"/>
          <c:extLst>
            <c:ext xmlns:c16="http://schemas.microsoft.com/office/drawing/2014/chart" uri="{C3380CC4-5D6E-409C-BE32-E72D297353CC}">
              <c16:uniqueId val="{00000003-0EE2-4ABF-8EA6-C438FE95CFBA}"/>
            </c:ext>
          </c:extLst>
        </c:ser>
        <c:dLbls>
          <c:showLegendKey val="0"/>
          <c:showVal val="0"/>
          <c:showCatName val="0"/>
          <c:showSerName val="0"/>
          <c:showPercent val="0"/>
          <c:showBubbleSize val="0"/>
        </c:dLbls>
        <c:axId val="898942528"/>
        <c:axId val="898941088"/>
        <c:extLst>
          <c:ext xmlns:c15="http://schemas.microsoft.com/office/drawing/2012/chart" uri="{02D57815-91ED-43cb-92C2-25804820EDAC}">
            <c15:filteredScatterSeries>
              <c15:ser>
                <c:idx val="0"/>
                <c:order val="0"/>
                <c:tx>
                  <c:strRef>
                    <c:extLst>
                      <c:ext uri="{02D57815-91ED-43cb-92C2-25804820EDAC}">
                        <c15:formulaRef>
                          <c15:sqref>Assumptions!$F$2:$F$3</c15:sqref>
                        </c15:formulaRef>
                      </c:ext>
                    </c:extLst>
                    <c:strCache>
                      <c:ptCount val="2"/>
                      <c:pt idx="0">
                        <c:v>Sensitivity Analysis (With Government Grant)</c:v>
                      </c:pt>
                    </c:strCache>
                  </c:strRef>
                </c:tx>
                <c:spPr>
                  <a:ln w="19050" cap="rnd">
                    <a:solidFill>
                      <a:schemeClr val="accent1"/>
                    </a:solidFill>
                    <a:round/>
                  </a:ln>
                  <a:effectLst/>
                </c:spPr>
                <c:marker>
                  <c:symbol val="none"/>
                </c:marker>
                <c:yVal>
                  <c:numRef>
                    <c:extLst>
                      <c:ext uri="{02D57815-91ED-43cb-92C2-25804820EDAC}">
                        <c15:formulaRef>
                          <c15:sqref>Assumptions!$F$4:$F$10</c15:sqref>
                        </c15:formulaRef>
                      </c:ext>
                    </c:extLst>
                    <c:numCache>
                      <c:formatCode>General</c:formatCode>
                      <c:ptCount val="7"/>
                      <c:pt idx="0">
                        <c:v>0</c:v>
                      </c:pt>
                      <c:pt idx="1">
                        <c:v>50</c:v>
                      </c:pt>
                      <c:pt idx="2">
                        <c:v>60</c:v>
                      </c:pt>
                      <c:pt idx="3">
                        <c:v>70</c:v>
                      </c:pt>
                      <c:pt idx="4">
                        <c:v>80</c:v>
                      </c:pt>
                      <c:pt idx="5">
                        <c:v>90</c:v>
                      </c:pt>
                      <c:pt idx="6">
                        <c:v>100</c:v>
                      </c:pt>
                    </c:numCache>
                  </c:numRef>
                </c:yVal>
                <c:smooth val="1"/>
                <c:extLst>
                  <c:ext xmlns:c16="http://schemas.microsoft.com/office/drawing/2014/chart" uri="{C3380CC4-5D6E-409C-BE32-E72D297353CC}">
                    <c16:uniqueId val="{00000000-0EE2-4ABF-8EA6-C438FE95CFBA}"/>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Assumptions!$G$2:$G$3</c15:sqref>
                        </c15:formulaRef>
                      </c:ext>
                    </c:extLst>
                    <c:strCache>
                      <c:ptCount val="2"/>
                      <c:pt idx="0">
                        <c:v>Sensitivity Analysis (With Government Grant)</c:v>
                      </c:pt>
                      <c:pt idx="1">
                        <c:v>NPV</c:v>
                      </c:pt>
                    </c:strCache>
                  </c:strRef>
                </c:tx>
                <c:spPr>
                  <a:ln w="19050" cap="rnd">
                    <a:solidFill>
                      <a:schemeClr val="accent2"/>
                    </a:solidFill>
                    <a:round/>
                  </a:ln>
                  <a:effectLst/>
                </c:spPr>
                <c:marker>
                  <c:symbol val="none"/>
                </c:marker>
                <c:yVal>
                  <c:numRef>
                    <c:extLst xmlns:c15="http://schemas.microsoft.com/office/drawing/2012/chart">
                      <c:ext xmlns:c15="http://schemas.microsoft.com/office/drawing/2012/chart" uri="{02D57815-91ED-43cb-92C2-25804820EDAC}">
                        <c15:formulaRef>
                          <c15:sqref>Assumptions!$G$4:$G$10</c15:sqref>
                        </c15:formulaRef>
                      </c:ext>
                    </c:extLst>
                    <c:numCache>
                      <c:formatCode>General</c:formatCode>
                      <c:ptCount val="7"/>
                      <c:pt idx="0" formatCode="&quot;£&quot;#,##0.00_);[Red]\(&quot;£&quot;#,##0.00\)">
                        <c:v>138995540.61396691</c:v>
                      </c:pt>
                      <c:pt idx="1">
                        <c:v>98531209.388054222</c:v>
                      </c:pt>
                      <c:pt idx="2">
                        <c:v>138995540.61396691</c:v>
                      </c:pt>
                      <c:pt idx="3">
                        <c:v>179459871.83987954</c:v>
                      </c:pt>
                      <c:pt idx="4">
                        <c:v>219924203.06579223</c:v>
                      </c:pt>
                      <c:pt idx="5">
                        <c:v>260388534.29170486</c:v>
                      </c:pt>
                      <c:pt idx="6">
                        <c:v>300852865.51761752</c:v>
                      </c:pt>
                    </c:numCache>
                  </c:numRef>
                </c:yVal>
                <c:smooth val="1"/>
                <c:extLst xmlns:c15="http://schemas.microsoft.com/office/drawing/2012/chart">
                  <c:ext xmlns:c16="http://schemas.microsoft.com/office/drawing/2014/chart" uri="{C3380CC4-5D6E-409C-BE32-E72D297353CC}">
                    <c16:uniqueId val="{00000001-0EE2-4ABF-8EA6-C438FE95CFBA}"/>
                  </c:ext>
                </c:extLst>
              </c15:ser>
            </c15:filteredScatterSeries>
          </c:ext>
        </c:extLst>
      </c:scatterChart>
      <c:valAx>
        <c:axId val="898942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Yearly Production</a:t>
                </a:r>
                <a:r>
                  <a:rPr lang="en-GB" baseline="0"/>
                  <a:t> Rate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941088"/>
        <c:crosses val="autoZero"/>
        <c:crossBetween val="midCat"/>
      </c:valAx>
      <c:valAx>
        <c:axId val="898941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a:t>
                </a:r>
                <a:r>
                  <a:rPr lang="en-GB" baseline="0"/>
                  <a:t> DSCR</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9425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484909</xdr:colOff>
      <xdr:row>1</xdr:row>
      <xdr:rowOff>169718</xdr:rowOff>
    </xdr:from>
    <xdr:to>
      <xdr:col>17</xdr:col>
      <xdr:colOff>161636</xdr:colOff>
      <xdr:row>14</xdr:row>
      <xdr:rowOff>142009</xdr:rowOff>
    </xdr:to>
    <xdr:graphicFrame macro="">
      <xdr:nvGraphicFramePr>
        <xdr:cNvPr id="3" name="Chart 2">
          <a:extLst>
            <a:ext uri="{FF2B5EF4-FFF2-40B4-BE49-F238E27FC236}">
              <a16:creationId xmlns:a16="http://schemas.microsoft.com/office/drawing/2014/main" id="{87521DB7-5B3F-2E3E-2B7C-072E96D68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484910</xdr:colOff>
      <xdr:row>16</xdr:row>
      <xdr:rowOff>80819</xdr:rowOff>
    </xdr:from>
    <xdr:to>
      <xdr:col>17</xdr:col>
      <xdr:colOff>161637</xdr:colOff>
      <xdr:row>31</xdr:row>
      <xdr:rowOff>53110</xdr:rowOff>
    </xdr:to>
    <xdr:graphicFrame macro="">
      <xdr:nvGraphicFramePr>
        <xdr:cNvPr id="4" name="Chart 3">
          <a:extLst>
            <a:ext uri="{FF2B5EF4-FFF2-40B4-BE49-F238E27FC236}">
              <a16:creationId xmlns:a16="http://schemas.microsoft.com/office/drawing/2014/main" id="{E931D800-BC4B-4683-B91E-D11836FC8E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oseph Ezeigbo [mn19juoe]" id="{0CFC9869-7703-4A27-8823-1338BAC29FB9}" userId="S::mn19juoe@leeds.ac.uk::b17d664c-9bd4-43b3-84b5-7069f226e56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3" dT="2024-08-21T19:28:32.24" personId="{0CFC9869-7703-4A27-8823-1338BAC29FB9}" id="{05C7D591-5506-47F1-A4F7-001203010D36}">
    <text>Standard market rate for similar loans</text>
  </threadedComment>
</ThreadedComments>
</file>

<file path=xl/threadedComments/threadedComment2.xml><?xml version="1.0" encoding="utf-8"?>
<ThreadedComments xmlns="http://schemas.microsoft.com/office/spreadsheetml/2018/threadedcomments" xmlns:x="http://schemas.openxmlformats.org/spreadsheetml/2006/main">
  <threadedComment ref="H2" dT="2024-08-21T15:36:11.63" personId="{0CFC9869-7703-4A27-8823-1338BAC29FB9}" id="{12928C85-9754-40B3-B65D-A6B66E30AA98}">
    <text>Joseph Ezeigbo:
Captial expenditure of $120m is not classed as an operating cost.
Fixed operating costs begin in Year 2</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4-08-21T20:34:29.91" personId="{0CFC9869-7703-4A27-8823-1338BAC29FB9}" id="{10D6B6E9-7DD2-4F4E-9C10-8F58CED3053C}">
    <text>Depreciation = 0 as assets are not in use until Year 2</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4-08-21T19:57:57.23" personId="{0CFC9869-7703-4A27-8823-1338BAC29FB9}" id="{9D1318DD-7291-47BE-89C7-C1FF16278C6D}">
    <text xml:space="preserve">total income generated from selling oil </text>
  </threadedComment>
  <threadedComment ref="E1" dT="2024-08-21T19:59:29.41" personId="{0CFC9869-7703-4A27-8823-1338BAC29FB9}" id="{B9E14AE3-C007-43C2-B552-67E34BDA4F49}">
    <text>Revenue - (total operating cost + depreciation)</text>
  </threadedComment>
  <threadedComment ref="E1" dT="2024-08-21T20:00:59.90" personId="{0CFC9869-7703-4A27-8823-1338BAC29FB9}" id="{573328EF-CCC3-4FA6-B8AE-59784F577506}" parentId="{B9E14AE3-C007-43C2-B552-67E34BDA4F49}">
    <text>In this case, is the exact same as the taxable profit</text>
  </threadedComment>
  <threadedComment ref="F1" dT="2024-08-21T20:01:48.68" personId="{0CFC9869-7703-4A27-8823-1338BAC29FB9}" id="{8F2BC96C-54B6-4D61-9A9F-3427B2C74B20}">
    <text xml:space="preserve">Income tax on taxable profit (30% rate)
</text>
  </threadedComment>
  <threadedComment ref="G1" dT="2024-08-21T20:02:07.35" personId="{0CFC9869-7703-4A27-8823-1338BAC29FB9}" id="{4EDA101E-04B5-4B4C-A911-EFE057FADDCE}">
    <text>Profit after tax</text>
  </threadedComment>
  <threadedComment ref="G1" dT="2024-08-21T20:02:31.96" personId="{0CFC9869-7703-4A27-8823-1338BAC29FB9}" id="{091550E7-1DCF-477A-BA78-EBC2D27FD2BE}" parentId="{4EDA101E-04B5-4B4C-A911-EFE057FADDCE}">
    <text xml:space="preserve">Operating profit - tax
</text>
  </threadedComment>
  <threadedComment ref="B9" dT="2024-08-21T20:39:02.97" personId="{0CFC9869-7703-4A27-8823-1338BAC29FB9}" id="{57B3B381-5739-43A1-AB06-CC20CCA9F383}">
    <text>As oil production as ended</text>
  </threadedComment>
  <threadedComment ref="F9" dT="2024-08-21T20:40:18.29" personId="{0CFC9869-7703-4A27-8823-1338BAC29FB9}" id="{7AF6E6F1-44C3-4DC2-91D0-6867A66A39E6}">
    <text>Given project is at a loss this year, no income tax is payable and is set as $0</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4-08-21T20:48:31.25" personId="{0CFC9869-7703-4A27-8823-1338BAC29FB9}" id="{0F985430-694E-4487-A124-38E77FBD9AE4}">
    <text>Cash generated from the core operations of the project. Net profit + depreciation</text>
  </threadedComment>
  <threadedComment ref="E1" dT="2024-08-21T20:50:11.92" personId="{0CFC9869-7703-4A27-8823-1338BAC29FB9}" id="{A611203F-0BDC-48E4-BB58-47848674264C}">
    <text>Amount spent on fixed assets like equipment. For this project, this is the cash outflow from year 1 when the $120 million investment is made</text>
  </threadedComment>
  <threadedComment ref="F1" dT="2024-08-21T20:52:26.97" personId="{0CFC9869-7703-4A27-8823-1338BAC29FB9}" id="{F28A1AEF-A6F4-4FA0-AB9D-E796CD99CA0E}">
    <text>Amount of loan taken by the project, recorded as a cash inflow in Year 1</text>
  </threadedComment>
  <threadedComment ref="H1" dT="2024-08-21T20:55:02.10" personId="{0CFC9869-7703-4A27-8823-1338BAC29FB9}" id="{23265674-787C-471F-BA0F-6F3C0CFBCC94}">
    <text>Interest on loan. This is a cash outflow</text>
  </threadedComment>
  <threadedComment ref="H1" dT="2024-08-21T21:01:51.28" personId="{0CFC9869-7703-4A27-8823-1338BAC29FB9}" id="{D7FC7A63-C76B-4352-8061-772DB2E292ED}" parentId="{23265674-787C-471F-BA0F-6F3C0CFBCC94}">
    <text xml:space="preserve">Amount of loan unpaid </text>
  </threadedComment>
  <threadedComment ref="H1" dT="2024-08-21T22:15:26.65" personId="{0CFC9869-7703-4A27-8823-1338BAC29FB9}" id="{73B78018-B632-45FA-B9A0-443552AAF3E6}" parentId="{23265674-787C-471F-BA0F-6F3C0CFBCC94}">
    <text>Calculated on year starting balance</text>
  </threadedComment>
  <threadedComment ref="I1" dT="2024-08-21T20:54:07.16" personId="{0CFC9869-7703-4A27-8823-1338BAC29FB9}" id="{3952D6F1-EC08-46BC-8374-C5CE1D7B8E26}">
    <text>Cash outflow in the years the loan is being repaid. This is the principal (amount borrowed) and interest (cost of borrowing) payment toward the loan repayment
Continues until loan Is fully repaid</text>
  </threadedComment>
  <threadedComment ref="I1" dT="2024-08-21T22:04:45.33" personId="{0CFC9869-7703-4A27-8823-1338BAC29FB9}" id="{12D0BB18-3A3D-40B6-BD75-8E8FEE1BF561}" parentId="{3952D6F1-EC08-46BC-8374-C5CE1D7B8E26}">
    <text>IF statement - if there is no loan balance, then no total loan repayment is deducted</text>
  </threadedComment>
  <threadedComment ref="K1" dT="2024-08-21T20:56:04.76" personId="{0CFC9869-7703-4A27-8823-1338BAC29FB9}" id="{84D7AC7A-4D44-43C9-846B-83E451774EC9}">
    <text>Net: All cash inflows - all cash outflows</text>
  </threadedComment>
  <threadedComment ref="H2" dT="2024-08-21T21:37:29.04" personId="{0CFC9869-7703-4A27-8823-1338BAC29FB9}" id="{53D5E8A4-C738-4E6F-8C66-D430A567E3E5}">
    <text>No interest is paid in year 1</text>
  </threadedComment>
</ThreadedComments>
</file>

<file path=xl/threadedComments/threadedComment6.xml><?xml version="1.0" encoding="utf-8"?>
<ThreadedComments xmlns="http://schemas.microsoft.com/office/spreadsheetml/2018/threadedcomments" xmlns:x="http://schemas.openxmlformats.org/spreadsheetml/2006/main">
  <threadedComment ref="C1" dT="2024-08-21T22:56:49.20" personId="{0CFC9869-7703-4A27-8823-1338BAC29FB9}" id="{BFAD8023-14BC-4B23-99DC-B8C64B9D56A6}">
    <text xml:space="preserve">The discount factor accounts for the time value of money. </text>
  </threadedComment>
  <threadedComment ref="D1" dT="2024-08-21T22:57:59.58" personId="{0CFC9869-7703-4A27-8823-1338BAC29FB9}" id="{E30C1432-EAC7-4712-BC63-8BBD7085874B}">
    <text xml:space="preserve">value of future cash flows in today’s terms. It’s calculated by multiplying the Net Cash Flow by the Discount Factor for each year. </text>
  </threadedComment>
  <threadedComment ref="A10" dT="2024-08-21T22:58:58.96" personId="{0CFC9869-7703-4A27-8823-1338BAC29FB9}" id="{62456AFC-523F-4DDE-9EEE-4DD3BC54A7D9}">
    <text xml:space="preserve">sum of all the present values across the project’s duration </text>
  </threadedComment>
  <threadedComment ref="A11" dT="2024-08-21T22:59:27.37" personId="{0CFC9869-7703-4A27-8823-1338BAC29FB9}" id="{F58BA651-A063-45BC-93A9-B863152C0650}">
    <text xml:space="preserve">IRR is the discount rate that makes the NPV of all cash flows equal to zero. It’s essentially the project’s expected rate of return.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zoomScale="85" zoomScaleNormal="85" workbookViewId="0">
      <selection activeCell="C10" sqref="C10"/>
    </sheetView>
  </sheetViews>
  <sheetFormatPr defaultRowHeight="14.5"/>
  <cols>
    <col min="1" max="1" width="26.08984375" style="19" customWidth="1"/>
    <col min="2" max="2" width="15.54296875" style="19" customWidth="1"/>
    <col min="3" max="3" width="32.6328125" style="19" customWidth="1"/>
    <col min="4" max="4" width="11.36328125" style="19" bestFit="1" customWidth="1"/>
    <col min="5" max="5" width="8.7265625" style="19"/>
    <col min="6" max="6" width="20.08984375" style="19" bestFit="1" customWidth="1"/>
    <col min="7" max="7" width="18.7265625" style="19" customWidth="1"/>
    <col min="8" max="9" width="11.81640625" style="19" bestFit="1" customWidth="1"/>
    <col min="10" max="16384" width="8.7265625" style="19"/>
  </cols>
  <sheetData>
    <row r="1" spans="1:9">
      <c r="A1" s="18" t="s">
        <v>0</v>
      </c>
      <c r="B1" s="18" t="s">
        <v>1</v>
      </c>
      <c r="C1" s="18" t="s">
        <v>2</v>
      </c>
    </row>
    <row r="2" spans="1:9">
      <c r="A2" s="19" t="s">
        <v>3</v>
      </c>
      <c r="B2" s="19">
        <f>12000000</f>
        <v>12000000</v>
      </c>
      <c r="C2" s="19" t="s">
        <v>15</v>
      </c>
      <c r="F2" s="34" t="s">
        <v>72</v>
      </c>
      <c r="G2" s="35"/>
      <c r="H2" s="35"/>
      <c r="I2" s="36"/>
    </row>
    <row r="3" spans="1:9" ht="29">
      <c r="A3" s="19" t="s">
        <v>50</v>
      </c>
      <c r="B3" s="19">
        <v>4000</v>
      </c>
      <c r="C3" s="19" t="s">
        <v>16</v>
      </c>
      <c r="F3" s="20"/>
      <c r="G3" s="15" t="s">
        <v>66</v>
      </c>
      <c r="H3" s="15" t="s">
        <v>59</v>
      </c>
      <c r="I3" s="16" t="s">
        <v>68</v>
      </c>
    </row>
    <row r="4" spans="1:9">
      <c r="A4" s="19" t="s">
        <v>51</v>
      </c>
      <c r="B4" s="19">
        <v>365</v>
      </c>
      <c r="C4" s="19" t="s">
        <v>52</v>
      </c>
      <c r="F4" s="17" t="s">
        <v>67</v>
      </c>
      <c r="G4" s="21">
        <f>'Key Performance Indicators'!B10</f>
        <v>138995540.61396691</v>
      </c>
      <c r="H4" s="22" t="e">
        <f>'Key Performance Indicators'!B11</f>
        <v>#NUM!</v>
      </c>
      <c r="I4" s="23">
        <f>'Key Performance Indicators'!B12</f>
        <v>1.8829971860568195</v>
      </c>
    </row>
    <row r="5" spans="1:9">
      <c r="A5" s="19" t="s">
        <v>4</v>
      </c>
      <c r="B5" s="19">
        <v>6</v>
      </c>
      <c r="C5" s="19" t="s">
        <v>17</v>
      </c>
      <c r="F5" s="20">
        <v>50</v>
      </c>
      <c r="G5" s="19">
        <f t="dataTable" ref="G5:I10" dt2D="0" dtr="0" r1="B6"/>
        <v>98531209.388054222</v>
      </c>
      <c r="H5" s="19">
        <v>-0.33781855908475777</v>
      </c>
      <c r="I5" s="24">
        <v>1.3725401239480479</v>
      </c>
    </row>
    <row r="6" spans="1:9">
      <c r="A6" s="19" t="s">
        <v>5</v>
      </c>
      <c r="B6" s="19">
        <v>60</v>
      </c>
      <c r="C6" s="19" t="s">
        <v>18</v>
      </c>
      <c r="F6" s="20">
        <v>60</v>
      </c>
      <c r="G6" s="25">
        <v>138995540.61396691</v>
      </c>
      <c r="H6" s="19" t="e">
        <v>#NUM!</v>
      </c>
      <c r="I6" s="24">
        <v>1.8829971860568195</v>
      </c>
    </row>
    <row r="7" spans="1:9">
      <c r="A7" s="19" t="s">
        <v>6</v>
      </c>
      <c r="B7" s="19">
        <v>10</v>
      </c>
      <c r="C7" s="19" t="s">
        <v>19</v>
      </c>
      <c r="F7" s="20">
        <v>70</v>
      </c>
      <c r="G7" s="25">
        <v>179459871.83987954</v>
      </c>
      <c r="H7" s="19" t="e">
        <v>#NUM!</v>
      </c>
      <c r="I7" s="24">
        <v>2.3934542481655918</v>
      </c>
    </row>
    <row r="8" spans="1:9">
      <c r="A8" s="19" t="s">
        <v>7</v>
      </c>
      <c r="B8" s="19">
        <v>20000000</v>
      </c>
      <c r="C8" s="19" t="s">
        <v>20</v>
      </c>
      <c r="F8" s="20">
        <v>80</v>
      </c>
      <c r="G8" s="25">
        <v>219924203.06579223</v>
      </c>
      <c r="H8" s="19" t="e">
        <v>#NUM!</v>
      </c>
      <c r="I8" s="24">
        <v>2.9039113102743634</v>
      </c>
    </row>
    <row r="9" spans="1:9">
      <c r="A9" s="19" t="s">
        <v>8</v>
      </c>
      <c r="B9" s="19">
        <v>6</v>
      </c>
      <c r="C9" s="19" t="s">
        <v>21</v>
      </c>
      <c r="F9" s="20">
        <v>90</v>
      </c>
      <c r="G9" s="25">
        <v>260388534.29170486</v>
      </c>
      <c r="H9" s="19" t="e">
        <v>#NUM!</v>
      </c>
      <c r="I9" s="24">
        <v>3.4143683723831355</v>
      </c>
    </row>
    <row r="10" spans="1:9">
      <c r="A10" s="19" t="s">
        <v>9</v>
      </c>
      <c r="B10" s="19">
        <v>0.3</v>
      </c>
      <c r="C10" s="19" t="s">
        <v>22</v>
      </c>
      <c r="F10" s="20">
        <v>100</v>
      </c>
      <c r="G10" s="25">
        <v>300852865.51761752</v>
      </c>
      <c r="H10" s="19" t="e">
        <v>#NUM!</v>
      </c>
      <c r="I10" s="24">
        <v>3.9248254344919071</v>
      </c>
    </row>
    <row r="11" spans="1:9">
      <c r="A11" s="19" t="s">
        <v>10</v>
      </c>
      <c r="B11" s="19">
        <v>20000000</v>
      </c>
      <c r="C11" s="19" t="s">
        <v>23</v>
      </c>
      <c r="F11" s="26"/>
      <c r="I11" s="24"/>
    </row>
    <row r="12" spans="1:9">
      <c r="A12" s="19" t="s">
        <v>11</v>
      </c>
      <c r="B12" s="19">
        <v>100000000</v>
      </c>
      <c r="C12" s="19" t="s">
        <v>24</v>
      </c>
      <c r="F12" s="27" t="s">
        <v>51</v>
      </c>
      <c r="G12" s="21">
        <f>'Key Performance Indicators'!B10</f>
        <v>138995540.61396691</v>
      </c>
      <c r="H12" s="22" t="e">
        <f>'Key Performance Indicators'!B11</f>
        <v>#NUM!</v>
      </c>
      <c r="I12" s="28">
        <f t="shared" ref="I12" si="0">I4</f>
        <v>1.8829971860568195</v>
      </c>
    </row>
    <row r="13" spans="1:9">
      <c r="A13" s="19" t="s">
        <v>12</v>
      </c>
      <c r="B13" s="19">
        <v>0.06</v>
      </c>
      <c r="C13" s="19" t="s">
        <v>25</v>
      </c>
      <c r="F13" s="20">
        <v>365</v>
      </c>
      <c r="G13" s="19">
        <f t="dataTable" ref="G13:I16" dt2D="0" dtr="0" r1="B4" ca="1"/>
        <v>138995540.61396691</v>
      </c>
      <c r="H13" s="19" t="e">
        <v>#NUM!</v>
      </c>
      <c r="I13" s="24">
        <v>1.8829971860568195</v>
      </c>
    </row>
    <row r="14" spans="1:9">
      <c r="A14" s="19" t="s">
        <v>13</v>
      </c>
      <c r="B14" s="19">
        <v>6</v>
      </c>
      <c r="C14" s="19" t="s">
        <v>26</v>
      </c>
      <c r="F14" s="20">
        <v>300</v>
      </c>
      <c r="G14" s="21">
        <v>102965656.64568849</v>
      </c>
      <c r="H14" s="22" t="e">
        <v>#NUM!</v>
      </c>
      <c r="I14" s="23">
        <v>1.4284806239051735</v>
      </c>
    </row>
    <row r="15" spans="1:9">
      <c r="A15" s="19" t="s">
        <v>14</v>
      </c>
      <c r="B15" s="19">
        <v>0</v>
      </c>
      <c r="C15" s="19" t="s">
        <v>27</v>
      </c>
      <c r="F15" s="20">
        <v>250</v>
      </c>
      <c r="G15" s="19">
        <v>75250361.285474345</v>
      </c>
      <c r="H15" s="19">
        <v>-0.22901092661420364</v>
      </c>
      <c r="I15" s="24">
        <v>1.0788524991731381</v>
      </c>
    </row>
    <row r="16" spans="1:9">
      <c r="A16" s="19" t="s">
        <v>60</v>
      </c>
      <c r="B16" s="19">
        <v>0.1</v>
      </c>
      <c r="F16" s="29">
        <v>100</v>
      </c>
      <c r="G16" s="30">
        <v>-7895524.7951681195</v>
      </c>
      <c r="H16" s="30">
        <v>0.13049980989509424</v>
      </c>
      <c r="I16" s="31">
        <v>2.9968124977031611E-2</v>
      </c>
    </row>
    <row r="18" spans="1:9">
      <c r="A18" s="32"/>
    </row>
    <row r="19" spans="1:9">
      <c r="F19" s="37" t="s">
        <v>73</v>
      </c>
      <c r="G19" s="38"/>
      <c r="H19" s="38"/>
      <c r="I19" s="39"/>
    </row>
    <row r="20" spans="1:9">
      <c r="F20" s="26"/>
      <c r="G20" s="19" t="s">
        <v>66</v>
      </c>
      <c r="H20" s="19" t="s">
        <v>59</v>
      </c>
      <c r="I20" s="24" t="s">
        <v>68</v>
      </c>
    </row>
    <row r="21" spans="1:9">
      <c r="F21" s="26" t="s">
        <v>67</v>
      </c>
      <c r="G21" s="19">
        <v>62194093.138599634</v>
      </c>
      <c r="H21" s="19">
        <v>1.0437693121330609</v>
      </c>
      <c r="I21" s="24">
        <v>2.1527103108501042</v>
      </c>
    </row>
    <row r="22" spans="1:9">
      <c r="F22" s="26">
        <v>50</v>
      </c>
      <c r="G22" s="19">
        <v>21729761.912686974</v>
      </c>
      <c r="H22" s="19">
        <v>0.50185084854022155</v>
      </c>
      <c r="I22" s="24">
        <v>1.6422532487413326</v>
      </c>
    </row>
    <row r="23" spans="1:9">
      <c r="F23" s="26">
        <v>60</v>
      </c>
      <c r="G23" s="19">
        <v>62194093.138599634</v>
      </c>
      <c r="H23" s="19">
        <v>1.0437693121330609</v>
      </c>
      <c r="I23" s="24">
        <v>2.1527103108501042</v>
      </c>
    </row>
    <row r="24" spans="1:9">
      <c r="F24" s="26">
        <v>70</v>
      </c>
      <c r="G24" s="19">
        <v>102658424.36451228</v>
      </c>
      <c r="H24" s="19">
        <v>1.5559296605564437</v>
      </c>
      <c r="I24" s="24">
        <v>2.6631673729588763</v>
      </c>
    </row>
    <row r="25" spans="1:9">
      <c r="F25" s="26">
        <v>80</v>
      </c>
      <c r="G25" s="19">
        <v>143122755.59042495</v>
      </c>
      <c r="H25" s="19">
        <v>2.0642146204283685</v>
      </c>
      <c r="I25" s="24">
        <v>3.1736244350676479</v>
      </c>
    </row>
    <row r="26" spans="1:9">
      <c r="F26" s="26">
        <v>90</v>
      </c>
      <c r="G26" s="19">
        <v>183587086.81633762</v>
      </c>
      <c r="H26" s="19">
        <v>2.5723747101979981</v>
      </c>
      <c r="I26" s="24">
        <v>3.68408149717642</v>
      </c>
    </row>
    <row r="27" spans="1:9">
      <c r="F27" s="26">
        <v>100</v>
      </c>
      <c r="G27" s="19">
        <v>224051418.04225028</v>
      </c>
      <c r="H27" s="19">
        <v>3.0809996542069644</v>
      </c>
      <c r="I27" s="24">
        <v>4.194538559285192</v>
      </c>
    </row>
    <row r="28" spans="1:9">
      <c r="F28" s="26"/>
      <c r="I28" s="24"/>
    </row>
    <row r="29" spans="1:9">
      <c r="F29" s="26" t="s">
        <v>51</v>
      </c>
      <c r="G29" s="19">
        <v>62194093.138599634</v>
      </c>
      <c r="H29" s="19">
        <v>1.0437693121330609</v>
      </c>
      <c r="I29" s="24">
        <v>2.1527103108501042</v>
      </c>
    </row>
    <row r="30" spans="1:9">
      <c r="F30" s="26">
        <v>365</v>
      </c>
      <c r="G30" s="19">
        <v>62194093.138599634</v>
      </c>
      <c r="H30" s="19">
        <v>1.0437693121330609</v>
      </c>
      <c r="I30" s="24">
        <v>2.1527103108501042</v>
      </c>
    </row>
    <row r="31" spans="1:9">
      <c r="F31" s="26">
        <v>300</v>
      </c>
      <c r="G31" s="19">
        <v>26164209.170321237</v>
      </c>
      <c r="H31" s="19">
        <v>0.56569609652555375</v>
      </c>
      <c r="I31" s="24">
        <v>1.698193748698458</v>
      </c>
    </row>
    <row r="32" spans="1:9">
      <c r="F32" s="26">
        <v>250</v>
      </c>
      <c r="G32" s="19">
        <v>-1551086.1898929167</v>
      </c>
      <c r="H32" s="19">
        <v>4.0879633965317241E-2</v>
      </c>
      <c r="I32" s="24">
        <v>1.3485656239664223</v>
      </c>
    </row>
    <row r="33" spans="5:9">
      <c r="F33" s="33">
        <v>100</v>
      </c>
      <c r="G33" s="30">
        <v>-84696972.27053538</v>
      </c>
      <c r="H33" s="30" t="e">
        <v>#NUM!</v>
      </c>
      <c r="I33" s="31">
        <v>0.29968124977031613</v>
      </c>
    </row>
    <row r="40" spans="5:9">
      <c r="E40" s="25"/>
      <c r="F40" s="25"/>
    </row>
    <row r="41" spans="5:9">
      <c r="E41" s="25"/>
      <c r="F41" s="25"/>
    </row>
    <row r="42" spans="5:9">
      <c r="E42" s="25"/>
      <c r="F42" s="25"/>
    </row>
    <row r="43" spans="5:9">
      <c r="E43" s="25"/>
      <c r="F43" s="25"/>
    </row>
    <row r="44" spans="5:9">
      <c r="E44" s="25"/>
      <c r="F44" s="25"/>
    </row>
  </sheetData>
  <mergeCells count="2">
    <mergeCell ref="F2:I2"/>
    <mergeCell ref="F19:I19"/>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zoomScale="85" zoomScaleNormal="85" workbookViewId="0">
      <selection activeCell="B24" sqref="B24"/>
    </sheetView>
  </sheetViews>
  <sheetFormatPr defaultRowHeight="14.5"/>
  <cols>
    <col min="1" max="1" width="16.08984375" customWidth="1"/>
    <col min="2" max="2" width="17.1796875" customWidth="1"/>
    <col min="4" max="4" width="25.54296875" customWidth="1"/>
    <col min="5" max="5" width="16.26953125" customWidth="1"/>
    <col min="6" max="6" width="15.26953125" customWidth="1"/>
    <col min="7" max="7" width="21.7265625" customWidth="1"/>
    <col min="8" max="8" width="16.90625" customWidth="1"/>
    <col min="9" max="9" width="23.1796875" customWidth="1"/>
    <col min="10" max="10" width="16.26953125" customWidth="1"/>
  </cols>
  <sheetData>
    <row r="1" spans="1:10">
      <c r="A1" s="1" t="s">
        <v>28</v>
      </c>
      <c r="B1" s="1" t="s">
        <v>29</v>
      </c>
      <c r="C1" s="1" t="s">
        <v>30</v>
      </c>
      <c r="D1" s="1" t="s">
        <v>31</v>
      </c>
      <c r="E1" s="1" t="s">
        <v>5</v>
      </c>
      <c r="F1" s="1" t="s">
        <v>32</v>
      </c>
      <c r="G1" s="1" t="s">
        <v>6</v>
      </c>
      <c r="H1" s="1" t="s">
        <v>33</v>
      </c>
      <c r="I1" s="1" t="s">
        <v>34</v>
      </c>
      <c r="J1" s="1" t="s">
        <v>35</v>
      </c>
    </row>
    <row r="2" spans="1:10">
      <c r="A2">
        <v>1</v>
      </c>
      <c r="B2">
        <v>0</v>
      </c>
      <c r="C2">
        <f>Assumptions!$B$4</f>
        <v>365</v>
      </c>
      <c r="D2">
        <f>B2*C2</f>
        <v>0</v>
      </c>
      <c r="E2">
        <f t="shared" ref="E2:E9" si="0">PricePerBarrel</f>
        <v>60</v>
      </c>
      <c r="F2">
        <f>E2*D2</f>
        <v>0</v>
      </c>
      <c r="G2">
        <v>10</v>
      </c>
      <c r="H2">
        <v>0</v>
      </c>
      <c r="I2">
        <f>H2+G2*D2</f>
        <v>0</v>
      </c>
      <c r="J2">
        <f>F2-I2</f>
        <v>0</v>
      </c>
    </row>
    <row r="3" spans="1:10">
      <c r="A3">
        <v>2</v>
      </c>
      <c r="B3">
        <f>Assumptions!$B$3</f>
        <v>4000</v>
      </c>
      <c r="C3">
        <f>Assumptions!$B$4</f>
        <v>365</v>
      </c>
      <c r="D3">
        <f>B3*C3</f>
        <v>1460000</v>
      </c>
      <c r="E3">
        <f t="shared" si="0"/>
        <v>60</v>
      </c>
      <c r="F3">
        <f t="shared" ref="F3:F9" si="1">E3*D3</f>
        <v>87600000</v>
      </c>
      <c r="G3">
        <f>Assumptions!$B$7</f>
        <v>10</v>
      </c>
      <c r="H3">
        <f>Assumptions!$B$8</f>
        <v>20000000</v>
      </c>
      <c r="I3">
        <f>G3*D3+H3</f>
        <v>34600000</v>
      </c>
      <c r="J3">
        <f t="shared" ref="J3:J9" si="2">F3-I3</f>
        <v>53000000</v>
      </c>
    </row>
    <row r="4" spans="1:10">
      <c r="A4">
        <v>3</v>
      </c>
      <c r="B4">
        <f>Assumptions!$B$3</f>
        <v>4000</v>
      </c>
      <c r="C4">
        <f>Assumptions!$B$4</f>
        <v>365</v>
      </c>
      <c r="D4">
        <f t="shared" ref="D4:D9" si="3">B4*C4</f>
        <v>1460000</v>
      </c>
      <c r="E4">
        <f t="shared" si="0"/>
        <v>60</v>
      </c>
      <c r="F4">
        <f t="shared" si="1"/>
        <v>87600000</v>
      </c>
      <c r="G4">
        <f>Assumptions!$B$7</f>
        <v>10</v>
      </c>
      <c r="H4">
        <f>Assumptions!$B$8</f>
        <v>20000000</v>
      </c>
      <c r="I4">
        <f t="shared" ref="I4:I9" si="4">G4*D4+H4</f>
        <v>34600000</v>
      </c>
      <c r="J4">
        <f t="shared" si="2"/>
        <v>53000000</v>
      </c>
    </row>
    <row r="5" spans="1:10">
      <c r="A5">
        <v>4</v>
      </c>
      <c r="B5">
        <f>Assumptions!$B$3</f>
        <v>4000</v>
      </c>
      <c r="C5">
        <f>Assumptions!$B$4</f>
        <v>365</v>
      </c>
      <c r="D5">
        <f t="shared" si="3"/>
        <v>1460000</v>
      </c>
      <c r="E5">
        <f t="shared" si="0"/>
        <v>60</v>
      </c>
      <c r="F5">
        <f t="shared" si="1"/>
        <v>87600000</v>
      </c>
      <c r="G5">
        <f>Assumptions!$B$7</f>
        <v>10</v>
      </c>
      <c r="H5">
        <f>Assumptions!$B$8</f>
        <v>20000000</v>
      </c>
      <c r="I5">
        <f t="shared" si="4"/>
        <v>34600000</v>
      </c>
      <c r="J5">
        <f t="shared" si="2"/>
        <v>53000000</v>
      </c>
    </row>
    <row r="6" spans="1:10">
      <c r="A6">
        <v>5</v>
      </c>
      <c r="B6">
        <f>Assumptions!$B$3</f>
        <v>4000</v>
      </c>
      <c r="C6">
        <f>Assumptions!$B$4</f>
        <v>365</v>
      </c>
      <c r="D6">
        <f t="shared" si="3"/>
        <v>1460000</v>
      </c>
      <c r="E6">
        <f t="shared" si="0"/>
        <v>60</v>
      </c>
      <c r="F6">
        <f t="shared" si="1"/>
        <v>87600000</v>
      </c>
      <c r="G6">
        <f>Assumptions!$B$7</f>
        <v>10</v>
      </c>
      <c r="H6">
        <f>Assumptions!$B$8</f>
        <v>20000000</v>
      </c>
      <c r="I6">
        <f t="shared" si="4"/>
        <v>34600000</v>
      </c>
      <c r="J6">
        <f t="shared" si="2"/>
        <v>53000000</v>
      </c>
    </row>
    <row r="7" spans="1:10">
      <c r="A7">
        <v>6</v>
      </c>
      <c r="B7">
        <f>Assumptions!$B$3</f>
        <v>4000</v>
      </c>
      <c r="C7">
        <f>Assumptions!$B$4</f>
        <v>365</v>
      </c>
      <c r="D7">
        <f t="shared" si="3"/>
        <v>1460000</v>
      </c>
      <c r="E7">
        <f t="shared" si="0"/>
        <v>60</v>
      </c>
      <c r="F7">
        <f t="shared" si="1"/>
        <v>87600000</v>
      </c>
      <c r="G7">
        <f>Assumptions!$B$7</f>
        <v>10</v>
      </c>
      <c r="H7">
        <f>Assumptions!$B$8</f>
        <v>20000000</v>
      </c>
      <c r="I7">
        <f t="shared" si="4"/>
        <v>34600000</v>
      </c>
      <c r="J7">
        <f t="shared" si="2"/>
        <v>53000000</v>
      </c>
    </row>
    <row r="8" spans="1:10">
      <c r="A8">
        <v>7</v>
      </c>
      <c r="B8">
        <f>Assumptions!$B$3</f>
        <v>4000</v>
      </c>
      <c r="C8">
        <f>Assumptions!$B$4</f>
        <v>365</v>
      </c>
      <c r="D8">
        <f t="shared" si="3"/>
        <v>1460000</v>
      </c>
      <c r="E8">
        <f t="shared" si="0"/>
        <v>60</v>
      </c>
      <c r="F8">
        <f t="shared" si="1"/>
        <v>87600000</v>
      </c>
      <c r="G8">
        <f>Assumptions!$B$7</f>
        <v>10</v>
      </c>
      <c r="H8">
        <f>Assumptions!$B$8</f>
        <v>20000000</v>
      </c>
      <c r="I8">
        <f t="shared" si="4"/>
        <v>34600000</v>
      </c>
      <c r="J8">
        <f t="shared" si="2"/>
        <v>53000000</v>
      </c>
    </row>
    <row r="9" spans="1:10">
      <c r="A9">
        <v>8</v>
      </c>
      <c r="B9">
        <v>0</v>
      </c>
      <c r="C9">
        <f>Assumptions!$B$4</f>
        <v>365</v>
      </c>
      <c r="D9">
        <f t="shared" si="3"/>
        <v>0</v>
      </c>
      <c r="E9">
        <f t="shared" si="0"/>
        <v>60</v>
      </c>
      <c r="F9">
        <f t="shared" si="1"/>
        <v>0</v>
      </c>
      <c r="G9">
        <v>0</v>
      </c>
      <c r="H9">
        <f>Assumptions!$B$8</f>
        <v>20000000</v>
      </c>
      <c r="I9">
        <f t="shared" si="4"/>
        <v>20000000</v>
      </c>
      <c r="J9">
        <f t="shared" si="2"/>
        <v>-20000000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85" zoomScaleNormal="85" workbookViewId="0">
      <selection activeCell="D7" sqref="D7"/>
    </sheetView>
  </sheetViews>
  <sheetFormatPr defaultRowHeight="14.5"/>
  <cols>
    <col min="2" max="2" width="18.26953125" customWidth="1"/>
    <col min="3" max="3" width="25.453125" customWidth="1"/>
    <col min="4" max="4" width="24.6328125" customWidth="1"/>
  </cols>
  <sheetData>
    <row r="1" spans="1:7">
      <c r="A1" s="1" t="s">
        <v>28</v>
      </c>
      <c r="B1" s="1" t="s">
        <v>36</v>
      </c>
      <c r="C1" s="1" t="s">
        <v>37</v>
      </c>
      <c r="D1" s="1" t="s">
        <v>38</v>
      </c>
      <c r="F1" s="3" t="s">
        <v>53</v>
      </c>
      <c r="G1">
        <v>6</v>
      </c>
    </row>
    <row r="2" spans="1:7">
      <c r="A2">
        <v>1</v>
      </c>
      <c r="B2">
        <v>0</v>
      </c>
      <c r="C2">
        <f>B2</f>
        <v>0</v>
      </c>
      <c r="D2">
        <f t="shared" ref="D2:D9" si="0">InitialInvestment-C2</f>
        <v>12000000</v>
      </c>
    </row>
    <row r="3" spans="1:7">
      <c r="A3">
        <v>2</v>
      </c>
      <c r="B3">
        <f>Assumptions!$B$2/Assumptions!$B$5</f>
        <v>2000000</v>
      </c>
      <c r="C3">
        <f>SUM(C2+B3)</f>
        <v>2000000</v>
      </c>
      <c r="D3">
        <f t="shared" si="0"/>
        <v>10000000</v>
      </c>
    </row>
    <row r="4" spans="1:7">
      <c r="A4">
        <v>3</v>
      </c>
      <c r="B4">
        <f>Assumptions!$B$2/Assumptions!$B$5</f>
        <v>2000000</v>
      </c>
      <c r="C4">
        <f>SUM(C3+B4)</f>
        <v>4000000</v>
      </c>
      <c r="D4">
        <f t="shared" si="0"/>
        <v>8000000</v>
      </c>
    </row>
    <row r="5" spans="1:7">
      <c r="A5">
        <v>4</v>
      </c>
      <c r="B5">
        <f>Assumptions!$B$2/Assumptions!$B$5</f>
        <v>2000000</v>
      </c>
      <c r="C5">
        <f t="shared" ref="C5:C9" si="1">SUM(C4+B5)</f>
        <v>6000000</v>
      </c>
      <c r="D5">
        <f t="shared" si="0"/>
        <v>6000000</v>
      </c>
    </row>
    <row r="6" spans="1:7">
      <c r="A6">
        <v>5</v>
      </c>
      <c r="B6">
        <f>Assumptions!$B$2/Assumptions!$B$5</f>
        <v>2000000</v>
      </c>
      <c r="C6">
        <f t="shared" si="1"/>
        <v>8000000</v>
      </c>
      <c r="D6">
        <f t="shared" si="0"/>
        <v>4000000</v>
      </c>
    </row>
    <row r="7" spans="1:7">
      <c r="A7">
        <v>6</v>
      </c>
      <c r="B7">
        <f>Assumptions!$B$2/Assumptions!$B$5</f>
        <v>2000000</v>
      </c>
      <c r="C7">
        <f t="shared" si="1"/>
        <v>10000000</v>
      </c>
      <c r="D7">
        <f t="shared" si="0"/>
        <v>2000000</v>
      </c>
    </row>
    <row r="8" spans="1:7">
      <c r="A8">
        <v>7</v>
      </c>
      <c r="B8">
        <f>Assumptions!$B$2/Assumptions!$B$5</f>
        <v>2000000</v>
      </c>
      <c r="C8">
        <f t="shared" si="1"/>
        <v>12000000</v>
      </c>
      <c r="D8">
        <f t="shared" si="0"/>
        <v>0</v>
      </c>
    </row>
    <row r="9" spans="1:7">
      <c r="A9">
        <v>8</v>
      </c>
      <c r="B9">
        <v>0</v>
      </c>
      <c r="C9">
        <f t="shared" si="1"/>
        <v>12000000</v>
      </c>
      <c r="D9">
        <f t="shared" si="0"/>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zoomScale="70" zoomScaleNormal="70" workbookViewId="0">
      <selection activeCell="K6" sqref="K6"/>
    </sheetView>
  </sheetViews>
  <sheetFormatPr defaultRowHeight="14.5"/>
  <cols>
    <col min="2" max="2" width="9.81640625" bestFit="1" customWidth="1"/>
    <col min="3" max="3" width="19.08984375" bestFit="1" customWidth="1"/>
    <col min="4" max="4" width="11.54296875" bestFit="1" customWidth="1"/>
    <col min="5" max="5" width="14.453125" bestFit="1" customWidth="1"/>
    <col min="6" max="6" width="8.90625" bestFit="1" customWidth="1"/>
    <col min="7" max="7" width="12.08984375" customWidth="1"/>
  </cols>
  <sheetData>
    <row r="1" spans="1:7">
      <c r="A1" s="1" t="s">
        <v>28</v>
      </c>
      <c r="B1" s="1" t="s">
        <v>32</v>
      </c>
      <c r="C1" s="1" t="s">
        <v>39</v>
      </c>
      <c r="D1" s="1" t="s">
        <v>40</v>
      </c>
      <c r="E1" s="1" t="s">
        <v>54</v>
      </c>
      <c r="F1" s="1" t="s">
        <v>41</v>
      </c>
      <c r="G1" s="1" t="s">
        <v>42</v>
      </c>
    </row>
    <row r="2" spans="1:7">
      <c r="A2">
        <v>1</v>
      </c>
      <c r="B2">
        <f>'Revenue Cost Calculation'!F2</f>
        <v>0</v>
      </c>
      <c r="C2">
        <f>'Revenue Cost Calculation'!I2</f>
        <v>0</v>
      </c>
      <c r="D2">
        <f>Depreciation!B2</f>
        <v>0</v>
      </c>
      <c r="E2">
        <f>B2-(C2+D2)</f>
        <v>0</v>
      </c>
      <c r="F2">
        <f>0.3*E2</f>
        <v>0</v>
      </c>
      <c r="G2">
        <f>E2-F2</f>
        <v>0</v>
      </c>
    </row>
    <row r="3" spans="1:7">
      <c r="A3">
        <v>2</v>
      </c>
      <c r="B3">
        <f>'Revenue Cost Calculation'!F3</f>
        <v>87600000</v>
      </c>
      <c r="C3">
        <f>'Revenue Cost Calculation'!I3</f>
        <v>34600000</v>
      </c>
      <c r="D3">
        <f>Depreciation!B3</f>
        <v>2000000</v>
      </c>
      <c r="E3">
        <f t="shared" ref="E3:E9" si="0">B3-(C3+D3)</f>
        <v>51000000</v>
      </c>
      <c r="F3">
        <f t="shared" ref="F3:F8" si="1">0.3*E3</f>
        <v>15300000</v>
      </c>
      <c r="G3">
        <f t="shared" ref="G3:G9" si="2">E3-F3</f>
        <v>35700000</v>
      </c>
    </row>
    <row r="4" spans="1:7">
      <c r="A4">
        <v>3</v>
      </c>
      <c r="B4">
        <f>'Revenue Cost Calculation'!F4</f>
        <v>87600000</v>
      </c>
      <c r="C4">
        <f>'Revenue Cost Calculation'!I4</f>
        <v>34600000</v>
      </c>
      <c r="D4">
        <f>Depreciation!B4</f>
        <v>2000000</v>
      </c>
      <c r="E4">
        <f t="shared" si="0"/>
        <v>51000000</v>
      </c>
      <c r="F4">
        <f t="shared" si="1"/>
        <v>15300000</v>
      </c>
      <c r="G4">
        <f t="shared" si="2"/>
        <v>35700000</v>
      </c>
    </row>
    <row r="5" spans="1:7">
      <c r="A5">
        <v>4</v>
      </c>
      <c r="B5">
        <f>'Revenue Cost Calculation'!F5</f>
        <v>87600000</v>
      </c>
      <c r="C5">
        <f>'Revenue Cost Calculation'!I5</f>
        <v>34600000</v>
      </c>
      <c r="D5">
        <f>Depreciation!B5</f>
        <v>2000000</v>
      </c>
      <c r="E5">
        <f t="shared" si="0"/>
        <v>51000000</v>
      </c>
      <c r="F5">
        <f t="shared" si="1"/>
        <v>15300000</v>
      </c>
      <c r="G5">
        <f t="shared" si="2"/>
        <v>35700000</v>
      </c>
    </row>
    <row r="6" spans="1:7">
      <c r="A6">
        <v>5</v>
      </c>
      <c r="B6">
        <f>'Revenue Cost Calculation'!F6</f>
        <v>87600000</v>
      </c>
      <c r="C6">
        <f>'Revenue Cost Calculation'!I6</f>
        <v>34600000</v>
      </c>
      <c r="D6">
        <f>Depreciation!B6</f>
        <v>2000000</v>
      </c>
      <c r="E6">
        <f t="shared" si="0"/>
        <v>51000000</v>
      </c>
      <c r="F6">
        <f t="shared" si="1"/>
        <v>15300000</v>
      </c>
      <c r="G6">
        <f t="shared" si="2"/>
        <v>35700000</v>
      </c>
    </row>
    <row r="7" spans="1:7">
      <c r="A7">
        <v>6</v>
      </c>
      <c r="B7">
        <f>'Revenue Cost Calculation'!F7</f>
        <v>87600000</v>
      </c>
      <c r="C7">
        <f>'Revenue Cost Calculation'!I7</f>
        <v>34600000</v>
      </c>
      <c r="D7">
        <f>Depreciation!B7</f>
        <v>2000000</v>
      </c>
      <c r="E7">
        <f t="shared" si="0"/>
        <v>51000000</v>
      </c>
      <c r="F7">
        <f t="shared" si="1"/>
        <v>15300000</v>
      </c>
      <c r="G7">
        <f t="shared" si="2"/>
        <v>35700000</v>
      </c>
    </row>
    <row r="8" spans="1:7">
      <c r="A8">
        <v>7</v>
      </c>
      <c r="B8">
        <f>'Revenue Cost Calculation'!F8</f>
        <v>87600000</v>
      </c>
      <c r="C8">
        <f>'Revenue Cost Calculation'!I8</f>
        <v>34600000</v>
      </c>
      <c r="D8">
        <f>Depreciation!B8</f>
        <v>2000000</v>
      </c>
      <c r="E8">
        <f t="shared" si="0"/>
        <v>51000000</v>
      </c>
      <c r="F8">
        <f t="shared" si="1"/>
        <v>15300000</v>
      </c>
      <c r="G8">
        <f t="shared" si="2"/>
        <v>35700000</v>
      </c>
    </row>
    <row r="9" spans="1:7">
      <c r="A9">
        <v>8</v>
      </c>
      <c r="B9">
        <f>'Revenue Cost Calculation'!F9</f>
        <v>0</v>
      </c>
      <c r="C9">
        <f>'Revenue Cost Calculation'!I9</f>
        <v>20000000</v>
      </c>
      <c r="D9">
        <f>Depreciation!B9</f>
        <v>0</v>
      </c>
      <c r="E9">
        <f t="shared" si="0"/>
        <v>-20000000</v>
      </c>
      <c r="F9">
        <v>0</v>
      </c>
      <c r="G9">
        <f t="shared" si="2"/>
        <v>-20000000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4"/>
  <sheetViews>
    <sheetView zoomScaleNormal="100" workbookViewId="0">
      <selection activeCell="G14" sqref="G14"/>
    </sheetView>
  </sheetViews>
  <sheetFormatPr defaultRowHeight="14.5"/>
  <cols>
    <col min="2" max="2" width="15.26953125" customWidth="1"/>
    <col min="3" max="3" width="13.08984375" bestFit="1" customWidth="1"/>
    <col min="4" max="4" width="18.1796875" bestFit="1" customWidth="1"/>
    <col min="5" max="5" width="17.453125" bestFit="1" customWidth="1"/>
    <col min="6" max="6" width="14.54296875" bestFit="1" customWidth="1"/>
    <col min="7" max="7" width="23" customWidth="1"/>
    <col min="8" max="8" width="15.453125" bestFit="1" customWidth="1"/>
    <col min="9" max="10" width="21.81640625" customWidth="1"/>
    <col min="11" max="11" width="12.6328125" bestFit="1" customWidth="1"/>
  </cols>
  <sheetData>
    <row r="1" spans="1:11">
      <c r="A1" s="1" t="s">
        <v>28</v>
      </c>
      <c r="B1" s="1" t="s">
        <v>42</v>
      </c>
      <c r="C1" s="1" t="s">
        <v>40</v>
      </c>
      <c r="D1" s="5" t="s">
        <v>43</v>
      </c>
      <c r="E1" s="7" t="s">
        <v>44</v>
      </c>
      <c r="F1" s="5" t="s">
        <v>45</v>
      </c>
      <c r="G1" s="1" t="s">
        <v>57</v>
      </c>
      <c r="H1" s="1" t="s">
        <v>46</v>
      </c>
      <c r="I1" s="7" t="s">
        <v>58</v>
      </c>
      <c r="J1" s="2" t="s">
        <v>62</v>
      </c>
      <c r="K1" s="1" t="s">
        <v>47</v>
      </c>
    </row>
    <row r="2" spans="1:11">
      <c r="A2">
        <v>1</v>
      </c>
      <c r="B2">
        <f>'Profit and Loss Statement'!G2</f>
        <v>0</v>
      </c>
      <c r="C2">
        <f>'Profit and Loss Statement'!D2</f>
        <v>0</v>
      </c>
      <c r="D2" s="6">
        <f>B2+C2</f>
        <v>0</v>
      </c>
      <c r="E2" s="4">
        <f>InitialInvestment</f>
        <v>12000000</v>
      </c>
      <c r="F2" s="6">
        <f>Assumptions!B12</f>
        <v>100000000</v>
      </c>
      <c r="G2">
        <f>F2</f>
        <v>100000000</v>
      </c>
      <c r="H2">
        <v>0</v>
      </c>
      <c r="I2" s="4">
        <f>IF(OR(G1=0,G2=$F$2),0, H2+$C$13)</f>
        <v>0</v>
      </c>
      <c r="J2" t="e">
        <f t="shared" ref="J2:J9" si="0">D2/I2</f>
        <v>#DIV/0!</v>
      </c>
      <c r="K2">
        <f t="shared" ref="K2:K9" si="1">(D2+F2)-(I2+E2)</f>
        <v>88000000</v>
      </c>
    </row>
    <row r="3" spans="1:11">
      <c r="A3">
        <v>2</v>
      </c>
      <c r="B3">
        <f>'Profit and Loss Statement'!G3</f>
        <v>35700000</v>
      </c>
      <c r="C3">
        <f>'Profit and Loss Statement'!D3</f>
        <v>2000000</v>
      </c>
      <c r="D3" s="6">
        <f>B3+C3</f>
        <v>37700000</v>
      </c>
      <c r="E3" s="4">
        <v>0</v>
      </c>
      <c r="F3" s="6">
        <v>0</v>
      </c>
      <c r="G3">
        <f>G2-$C$13</f>
        <v>83333333.333333328</v>
      </c>
      <c r="H3">
        <f t="shared" ref="H3:H9" si="2">G2*InterestRate</f>
        <v>6000000</v>
      </c>
      <c r="I3" s="4">
        <f t="shared" ref="I3:I9" si="3">IF(OR(G2=0,G3=$F$2),0, H3+$C$13)</f>
        <v>22666666.666666664</v>
      </c>
      <c r="J3">
        <f t="shared" si="0"/>
        <v>1.6632352941176471</v>
      </c>
      <c r="K3">
        <f t="shared" si="1"/>
        <v>15033333.333333336</v>
      </c>
    </row>
    <row r="4" spans="1:11">
      <c r="A4">
        <v>3</v>
      </c>
      <c r="B4">
        <f>'Profit and Loss Statement'!G4</f>
        <v>35700000</v>
      </c>
      <c r="C4">
        <f>'Profit and Loss Statement'!D4</f>
        <v>2000000</v>
      </c>
      <c r="D4" s="6">
        <f>B4+C4</f>
        <v>37700000</v>
      </c>
      <c r="E4" s="4">
        <v>0</v>
      </c>
      <c r="F4" s="6">
        <v>0</v>
      </c>
      <c r="G4">
        <f t="shared" ref="G4:G9" si="4">G3-$C$13</f>
        <v>66666666.666666664</v>
      </c>
      <c r="H4">
        <f t="shared" si="2"/>
        <v>4999999.9999999991</v>
      </c>
      <c r="I4" s="4">
        <f t="shared" si="3"/>
        <v>21666666.666666664</v>
      </c>
      <c r="J4">
        <f t="shared" si="0"/>
        <v>1.7400000000000002</v>
      </c>
      <c r="K4">
        <f t="shared" si="1"/>
        <v>16033333.333333336</v>
      </c>
    </row>
    <row r="5" spans="1:11">
      <c r="A5">
        <v>4</v>
      </c>
      <c r="B5">
        <f>'Profit and Loss Statement'!G5</f>
        <v>35700000</v>
      </c>
      <c r="C5">
        <f>'Profit and Loss Statement'!D5</f>
        <v>2000000</v>
      </c>
      <c r="D5" s="6">
        <f t="shared" ref="D5:D9" si="5">B5+C5</f>
        <v>37700000</v>
      </c>
      <c r="E5" s="4">
        <v>0</v>
      </c>
      <c r="F5" s="6">
        <v>0</v>
      </c>
      <c r="G5">
        <f t="shared" si="4"/>
        <v>50000000</v>
      </c>
      <c r="H5">
        <f t="shared" si="2"/>
        <v>3999999.9999999995</v>
      </c>
      <c r="I5" s="4">
        <f t="shared" si="3"/>
        <v>20666666.666666664</v>
      </c>
      <c r="J5">
        <f t="shared" si="0"/>
        <v>1.824193548387097</v>
      </c>
      <c r="K5">
        <f t="shared" si="1"/>
        <v>17033333.333333336</v>
      </c>
    </row>
    <row r="6" spans="1:11">
      <c r="A6">
        <v>5</v>
      </c>
      <c r="B6">
        <f>'Profit and Loss Statement'!G6</f>
        <v>35700000</v>
      </c>
      <c r="C6">
        <f>'Profit and Loss Statement'!D6</f>
        <v>2000000</v>
      </c>
      <c r="D6" s="6">
        <f t="shared" si="5"/>
        <v>37700000</v>
      </c>
      <c r="E6" s="4">
        <v>0</v>
      </c>
      <c r="F6" s="6">
        <v>0</v>
      </c>
      <c r="G6">
        <f t="shared" si="4"/>
        <v>33333333.333333336</v>
      </c>
      <c r="H6">
        <f t="shared" si="2"/>
        <v>3000000</v>
      </c>
      <c r="I6" s="4">
        <f t="shared" si="3"/>
        <v>19666666.666666664</v>
      </c>
      <c r="J6">
        <f t="shared" si="0"/>
        <v>1.9169491525423732</v>
      </c>
      <c r="K6">
        <f t="shared" si="1"/>
        <v>18033333.333333336</v>
      </c>
    </row>
    <row r="7" spans="1:11">
      <c r="A7">
        <v>6</v>
      </c>
      <c r="B7">
        <f>'Profit and Loss Statement'!G7</f>
        <v>35700000</v>
      </c>
      <c r="C7">
        <f>'Profit and Loss Statement'!D7</f>
        <v>2000000</v>
      </c>
      <c r="D7" s="6">
        <f t="shared" si="5"/>
        <v>37700000</v>
      </c>
      <c r="E7" s="4">
        <v>0</v>
      </c>
      <c r="F7" s="6">
        <v>0</v>
      </c>
      <c r="G7">
        <f t="shared" si="4"/>
        <v>16666666.66666667</v>
      </c>
      <c r="H7">
        <f t="shared" si="2"/>
        <v>2000000</v>
      </c>
      <c r="I7" s="4">
        <f t="shared" si="3"/>
        <v>18666666.666666664</v>
      </c>
      <c r="J7">
        <f t="shared" si="0"/>
        <v>2.0196428571428573</v>
      </c>
      <c r="K7">
        <f t="shared" si="1"/>
        <v>19033333.333333336</v>
      </c>
    </row>
    <row r="8" spans="1:11">
      <c r="A8">
        <v>7</v>
      </c>
      <c r="B8">
        <f>'Profit and Loss Statement'!G8</f>
        <v>35700000</v>
      </c>
      <c r="C8">
        <f>'Profit and Loss Statement'!D8</f>
        <v>2000000</v>
      </c>
      <c r="D8" s="6">
        <f t="shared" si="5"/>
        <v>37700000</v>
      </c>
      <c r="E8" s="4">
        <v>0</v>
      </c>
      <c r="F8" s="6">
        <v>0</v>
      </c>
      <c r="G8">
        <f t="shared" si="4"/>
        <v>0</v>
      </c>
      <c r="H8">
        <f t="shared" si="2"/>
        <v>1000000.0000000001</v>
      </c>
      <c r="I8" s="4">
        <f t="shared" si="3"/>
        <v>17666666.666666668</v>
      </c>
      <c r="J8">
        <f t="shared" si="0"/>
        <v>2.1339622641509433</v>
      </c>
      <c r="K8">
        <f t="shared" si="1"/>
        <v>20033333.333333332</v>
      </c>
    </row>
    <row r="9" spans="1:11">
      <c r="A9">
        <v>8</v>
      </c>
      <c r="B9">
        <f>'Profit and Loss Statement'!G9</f>
        <v>-20000000</v>
      </c>
      <c r="C9">
        <f>'Profit and Loss Statement'!D9</f>
        <v>0</v>
      </c>
      <c r="D9" s="6">
        <f t="shared" si="5"/>
        <v>-20000000</v>
      </c>
      <c r="E9" s="4">
        <v>0</v>
      </c>
      <c r="F9" s="6">
        <v>0</v>
      </c>
      <c r="G9">
        <f t="shared" si="4"/>
        <v>-16666666.666666666</v>
      </c>
      <c r="H9">
        <f t="shared" si="2"/>
        <v>0</v>
      </c>
      <c r="I9" s="4">
        <f t="shared" si="3"/>
        <v>0</v>
      </c>
      <c r="J9" t="e">
        <f t="shared" si="0"/>
        <v>#DIV/0!</v>
      </c>
      <c r="K9">
        <f t="shared" si="1"/>
        <v>-20000000</v>
      </c>
    </row>
    <row r="13" spans="1:11" ht="29">
      <c r="B13" s="8" t="s">
        <v>56</v>
      </c>
      <c r="C13">
        <f>$F$2/6</f>
        <v>16666666.666666666</v>
      </c>
    </row>
    <row r="17" spans="2:2">
      <c r="B17" s="2" t="s">
        <v>63</v>
      </c>
    </row>
    <row r="18" spans="2:2">
      <c r="B18" s="2" t="s">
        <v>64</v>
      </c>
    </row>
    <row r="19" spans="2:2">
      <c r="B19" s="2" t="s">
        <v>65</v>
      </c>
    </row>
    <row r="21" spans="2:2">
      <c r="B21" t="s">
        <v>55</v>
      </c>
    </row>
    <row r="22" spans="2:2">
      <c r="B22" t="s">
        <v>70</v>
      </c>
    </row>
    <row r="24" spans="2:2">
      <c r="B24" t="s">
        <v>71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3"/>
  <sheetViews>
    <sheetView zoomScale="115" zoomScaleNormal="115" workbookViewId="0">
      <selection activeCell="C14" sqref="C14"/>
    </sheetView>
  </sheetViews>
  <sheetFormatPr defaultRowHeight="14.5"/>
  <cols>
    <col min="1" max="1" width="14" customWidth="1"/>
    <col min="2" max="2" width="14.6328125" customWidth="1"/>
    <col min="3" max="3" width="28.6328125" customWidth="1"/>
    <col min="4" max="4" width="19.7265625" customWidth="1"/>
    <col min="7" max="7" width="63.1796875" customWidth="1"/>
  </cols>
  <sheetData>
    <row r="1" spans="1:7">
      <c r="A1" s="1" t="s">
        <v>28</v>
      </c>
      <c r="B1" s="1" t="s">
        <v>47</v>
      </c>
      <c r="C1" s="1" t="s">
        <v>48</v>
      </c>
      <c r="D1" s="1" t="s">
        <v>49</v>
      </c>
      <c r="E1" s="13" t="s">
        <v>62</v>
      </c>
    </row>
    <row r="2" spans="1:7">
      <c r="A2">
        <v>1</v>
      </c>
      <c r="B2">
        <f>'Cash Flow Statement'!K2</f>
        <v>88000000</v>
      </c>
      <c r="C2">
        <f t="shared" ref="C2:C9" si="0">1/(1+Discount_rate)^A2</f>
        <v>0.90909090909090906</v>
      </c>
      <c r="D2">
        <f>B2*C2</f>
        <v>80000000</v>
      </c>
      <c r="E2" t="e" cm="1">
        <f t="array" ref="E2:E9">'Cash Flow Statement'!J2:J9</f>
        <v>#DIV/0!</v>
      </c>
      <c r="G2" s="14" t="s">
        <v>69</v>
      </c>
    </row>
    <row r="3" spans="1:7">
      <c r="A3">
        <v>2</v>
      </c>
      <c r="B3">
        <f>'Cash Flow Statement'!K3</f>
        <v>15033333.333333336</v>
      </c>
      <c r="C3">
        <f t="shared" si="0"/>
        <v>0.82644628099173545</v>
      </c>
      <c r="D3">
        <f t="shared" ref="D3:D9" si="1">B3*C3</f>
        <v>12424242.424242426</v>
      </c>
      <c r="E3">
        <v>1.6632352941176471</v>
      </c>
    </row>
    <row r="4" spans="1:7">
      <c r="A4">
        <v>3</v>
      </c>
      <c r="B4">
        <f>'Cash Flow Statement'!K4</f>
        <v>16033333.333333336</v>
      </c>
      <c r="C4">
        <f t="shared" si="0"/>
        <v>0.75131480090157754</v>
      </c>
      <c r="D4">
        <f t="shared" si="1"/>
        <v>12046080.641121961</v>
      </c>
      <c r="E4">
        <v>1.7400000000000002</v>
      </c>
    </row>
    <row r="5" spans="1:7">
      <c r="A5">
        <v>4</v>
      </c>
      <c r="B5">
        <f>'Cash Flow Statement'!K5</f>
        <v>17033333.333333336</v>
      </c>
      <c r="C5">
        <f t="shared" si="0"/>
        <v>0.68301345536507052</v>
      </c>
      <c r="D5">
        <f t="shared" si="1"/>
        <v>11633995.856385035</v>
      </c>
      <c r="E5">
        <v>1.824193548387097</v>
      </c>
    </row>
    <row r="6" spans="1:7">
      <c r="A6">
        <v>5</v>
      </c>
      <c r="B6">
        <f>'Cash Flow Statement'!K6</f>
        <v>18033333.333333336</v>
      </c>
      <c r="C6">
        <f t="shared" si="0"/>
        <v>0.62092132305915493</v>
      </c>
      <c r="D6">
        <f t="shared" si="1"/>
        <v>11197281.192500096</v>
      </c>
      <c r="E6">
        <v>1.9169491525423732</v>
      </c>
    </row>
    <row r="7" spans="1:7">
      <c r="A7">
        <v>6</v>
      </c>
      <c r="B7">
        <f>'Cash Flow Statement'!K7</f>
        <v>19033333.333333336</v>
      </c>
      <c r="C7">
        <f t="shared" si="0"/>
        <v>0.56447393005377722</v>
      </c>
      <c r="D7">
        <f t="shared" si="1"/>
        <v>10743820.468690228</v>
      </c>
      <c r="E7">
        <v>2.0196428571428573</v>
      </c>
    </row>
    <row r="8" spans="1:7">
      <c r="A8">
        <v>7</v>
      </c>
      <c r="B8">
        <f>'Cash Flow Statement'!K8</f>
        <v>20033333.333333332</v>
      </c>
      <c r="C8">
        <f t="shared" si="0"/>
        <v>0.51315811823070645</v>
      </c>
      <c r="D8">
        <f t="shared" si="1"/>
        <v>10280267.635221818</v>
      </c>
      <c r="E8">
        <v>2.1339622641509433</v>
      </c>
    </row>
    <row r="9" spans="1:7">
      <c r="A9">
        <v>8</v>
      </c>
      <c r="B9">
        <f>'Cash Flow Statement'!K9</f>
        <v>-20000000</v>
      </c>
      <c r="C9">
        <f t="shared" si="0"/>
        <v>0.46650738020973315</v>
      </c>
      <c r="D9">
        <f t="shared" si="1"/>
        <v>-9330147.6041946635</v>
      </c>
      <c r="E9" t="e">
        <v>#DIV/0!</v>
      </c>
    </row>
    <row r="10" spans="1:7">
      <c r="A10" t="s">
        <v>61</v>
      </c>
      <c r="B10" s="9">
        <f>NPV(Discount_rate, B2:B9)</f>
        <v>138995540.61396691</v>
      </c>
    </row>
    <row r="11" spans="1:7">
      <c r="A11" t="s">
        <v>59</v>
      </c>
      <c r="B11" s="10" t="e">
        <f>IRR(B2:B9)</f>
        <v>#NUM!</v>
      </c>
    </row>
    <row r="12" spans="1:7">
      <c r="A12" t="s">
        <v>68</v>
      </c>
      <c r="B12">
        <f>AVERAGE(E3:E8)</f>
        <v>1.8829971860568195</v>
      </c>
    </row>
    <row r="16" spans="1:7">
      <c r="D16" s="12"/>
    </row>
    <row r="17" spans="3:4">
      <c r="C17" s="11"/>
      <c r="D17" s="12"/>
    </row>
    <row r="18" spans="3:4">
      <c r="C18" s="11"/>
      <c r="D18" s="12"/>
    </row>
    <row r="19" spans="3:4">
      <c r="C19" s="11"/>
      <c r="D19" s="12"/>
    </row>
    <row r="20" spans="3:4">
      <c r="C20" s="11"/>
      <c r="D20" s="12"/>
    </row>
    <row r="21" spans="3:4">
      <c r="C21" s="11"/>
      <c r="D21" s="12"/>
    </row>
    <row r="22" spans="3:4">
      <c r="C22" s="11"/>
      <c r="D22" s="12"/>
    </row>
    <row r="23" spans="3:4">
      <c r="C23" s="11"/>
      <c r="D23" s="1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Assumptions</vt:lpstr>
      <vt:lpstr>Revenue Cost Calculation</vt:lpstr>
      <vt:lpstr>Depreciation</vt:lpstr>
      <vt:lpstr>Profit and Loss Statement</vt:lpstr>
      <vt:lpstr>Cash Flow Statement</vt:lpstr>
      <vt:lpstr>Key Performance Indicators</vt:lpstr>
      <vt:lpstr>Discount_rate</vt:lpstr>
      <vt:lpstr>InitialInvestment</vt:lpstr>
      <vt:lpstr>InterestRate</vt:lpstr>
      <vt:lpstr>PricePerBarrel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Ezeigbo [mn19juoe]</cp:lastModifiedBy>
  <dcterms:created xsi:type="dcterms:W3CDTF">2024-08-21T01:04:03Z</dcterms:created>
  <dcterms:modified xsi:type="dcterms:W3CDTF">2024-09-01T23:32:16Z</dcterms:modified>
</cp:coreProperties>
</file>