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320" windowHeight="11640" tabRatio="769" firstSheet="9" activeTab="15"/>
  </bookViews>
  <sheets>
    <sheet name="Case 1" sheetId="7" r:id="rId1"/>
    <sheet name="Case 2" sheetId="6" r:id="rId2"/>
    <sheet name="Case 3" sheetId="2" r:id="rId3"/>
    <sheet name="Case 4" sheetId="9" r:id="rId4"/>
    <sheet name="Case 5" sheetId="10" r:id="rId5"/>
    <sheet name="Case 6" sheetId="5" r:id="rId6"/>
    <sheet name="Case 7" sheetId="12" r:id="rId7"/>
    <sheet name="Case 8" sheetId="17" r:id="rId8"/>
    <sheet name="Analytical" sheetId="18" r:id="rId9"/>
    <sheet name="ANSYS FLUENT" sheetId="15" r:id="rId10"/>
    <sheet name="MATLAB N-R DATA" sheetId="27" r:id="rId11"/>
    <sheet name="MATLAB Excel DATA" sheetId="26" r:id="rId12"/>
    <sheet name="Inviscid" sheetId="16" r:id="rId13"/>
    <sheet name="Viscous Free slip" sheetId="19" r:id="rId14"/>
    <sheet name="Viscous No slip" sheetId="20" r:id="rId15"/>
    <sheet name="Errors" sheetId="31" r:id="rId16"/>
    <sheet name="Simulink" sheetId="23" r:id="rId17"/>
    <sheet name="Charts" sheetId="30" r:id="rId18"/>
  </sheets>
  <definedNames>
    <definedName name="_xlnm._FilterDatabase" localSheetId="12" hidden="1">Inviscid!$G$4:$G$7</definedName>
    <definedName name="Simulink_requirement_item_1">'Case 7'!$E$29</definedName>
    <definedName name="Simulink_requirement_item_2">'Case 7'!$C$23</definedName>
    <definedName name="Simulink_requirement_item_3">'Case 7'!$C$23</definedName>
    <definedName name="Simulink_requirement_item_4">'Case 7'!$C$23</definedName>
    <definedName name="solver_adj" localSheetId="12" hidden="1">Inviscid!$I$42:$I$44</definedName>
    <definedName name="solver_adj" localSheetId="13" hidden="1">'Viscous Free slip'!$I$42:$I$44,'Viscous Free slip'!$G$42:$G$44</definedName>
    <definedName name="solver_adj" localSheetId="14" hidden="1">'Viscous No slip'!$G$42:$G$44</definedName>
    <definedName name="solver_cvg" localSheetId="12" hidden="1">0.1</definedName>
    <definedName name="solver_cvg" localSheetId="13" hidden="1">0.0001</definedName>
    <definedName name="solver_cvg" localSheetId="14" hidden="1">0.0001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itr" localSheetId="12" hidden="1">10000</definedName>
    <definedName name="solver_itr" localSheetId="13" hidden="1">100</definedName>
    <definedName name="solver_itr" localSheetId="14" hidden="1">100</definedName>
    <definedName name="solver_lhs1" localSheetId="12" hidden="1">Inviscid!$E$4</definedName>
    <definedName name="solver_lhs1" localSheetId="13" hidden="1">'Viscous Free slip'!$E$4</definedName>
    <definedName name="solver_lhs2" localSheetId="12" hidden="1">Inviscid!$E$5</definedName>
    <definedName name="solver_lhs2" localSheetId="13" hidden="1">'Viscous Free slip'!$E$5</definedName>
    <definedName name="solver_lhs3" localSheetId="12" hidden="1">Inviscid!$E$6</definedName>
    <definedName name="solver_lhs3" localSheetId="13" hidden="1">'Viscous Free slip'!$E$6</definedName>
    <definedName name="solver_lhs4" localSheetId="12" hidden="1">Inviscid!$E$7</definedName>
    <definedName name="solver_lhs4" localSheetId="13" hidden="1">'Viscous Free slip'!$E$7</definedName>
    <definedName name="solver_lin" localSheetId="12" hidden="1">1</definedName>
    <definedName name="solver_lin" localSheetId="13" hidden="1">1</definedName>
    <definedName name="solver_lin" localSheetId="14" hidden="1">2</definedName>
    <definedName name="solver_neg" localSheetId="12" hidden="1">1</definedName>
    <definedName name="solver_neg" localSheetId="13" hidden="1">1</definedName>
    <definedName name="solver_neg" localSheetId="14" hidden="1">2</definedName>
    <definedName name="solver_num" localSheetId="12" hidden="1">1</definedName>
    <definedName name="solver_num" localSheetId="13" hidden="1">4</definedName>
    <definedName name="solver_num" localSheetId="14" hidden="1">0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opt" localSheetId="14" hidden="1">'Viscous No slip'!$I$7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rel1" localSheetId="12" hidden="1">3</definedName>
    <definedName name="solver_rel1" localSheetId="13" hidden="1">1</definedName>
    <definedName name="solver_rel2" localSheetId="12" hidden="1">3</definedName>
    <definedName name="solver_rel2" localSheetId="13" hidden="1">1</definedName>
    <definedName name="solver_rel3" localSheetId="12" hidden="1">3</definedName>
    <definedName name="solver_rel3" localSheetId="13" hidden="1">1</definedName>
    <definedName name="solver_rel4" localSheetId="12" hidden="1">3</definedName>
    <definedName name="solver_rel4" localSheetId="13" hidden="1">1</definedName>
    <definedName name="solver_rhs1" localSheetId="12" hidden="1">Inviscid!$G$4</definedName>
    <definedName name="solver_rhs1" localSheetId="13" hidden="1">'Viscous Free slip'!$G$4</definedName>
    <definedName name="solver_rhs2" localSheetId="12" hidden="1">Inviscid!$G$5</definedName>
    <definedName name="solver_rhs2" localSheetId="13" hidden="1">'Viscous Free slip'!$G$5</definedName>
    <definedName name="solver_rhs3" localSheetId="12" hidden="1">Inviscid!$G$6</definedName>
    <definedName name="solver_rhs3" localSheetId="13" hidden="1">'Viscous Free slip'!$G$6</definedName>
    <definedName name="solver_rhs4" localSheetId="12" hidden="1">Inviscid!$G$7</definedName>
    <definedName name="solver_rhs4" localSheetId="13" hidden="1">'Viscous Free slip'!$G$7</definedName>
    <definedName name="solver_scl" localSheetId="12" hidden="1">2</definedName>
    <definedName name="solver_scl" localSheetId="13" hidden="1">1</definedName>
    <definedName name="solver_scl" localSheetId="14" hidden="1">2</definedName>
    <definedName name="solver_sho" localSheetId="12" hidden="1">2</definedName>
    <definedName name="solver_sho" localSheetId="13" hidden="1">1</definedName>
    <definedName name="solver_sho" localSheetId="14" hidden="1">2</definedName>
    <definedName name="solver_tim" localSheetId="12" hidden="1">1000</definedName>
    <definedName name="solver_tim" localSheetId="13" hidden="1">100</definedName>
    <definedName name="solver_tim" localSheetId="14" hidden="1">100</definedName>
    <definedName name="solver_tol" localSheetId="12" hidden="1">0.1</definedName>
    <definedName name="solver_tol" localSheetId="13" hidden="1">0.01</definedName>
    <definedName name="solver_tol" localSheetId="14" hidden="1">0.05</definedName>
    <definedName name="solver_typ" localSheetId="12" hidden="1">3</definedName>
    <definedName name="solver_typ" localSheetId="13" hidden="1">3</definedName>
    <definedName name="solver_typ" localSheetId="14" hidden="1">3</definedName>
    <definedName name="solver_val" localSheetId="12" hidden="1">0</definedName>
    <definedName name="solver_val" localSheetId="13" hidden="1">0</definedName>
    <definedName name="solver_val" localSheetId="14" hidden="1">0</definedName>
  </definedNames>
  <calcPr calcId="124519"/>
</workbook>
</file>

<file path=xl/calcChain.xml><?xml version="1.0" encoding="utf-8"?>
<calcChain xmlns="http://schemas.openxmlformats.org/spreadsheetml/2006/main">
  <c r="L28" i="31"/>
  <c r="L29"/>
  <c r="L30"/>
  <c r="L27"/>
  <c r="L24"/>
  <c r="L25"/>
  <c r="L26"/>
  <c r="L23"/>
  <c r="K24"/>
  <c r="K25"/>
  <c r="K26"/>
  <c r="K23"/>
  <c r="L20"/>
  <c r="L21"/>
  <c r="L22"/>
  <c r="L19"/>
  <c r="K20"/>
  <c r="K21"/>
  <c r="K22"/>
  <c r="K19"/>
  <c r="J20"/>
  <c r="J21"/>
  <c r="J22"/>
  <c r="J19"/>
  <c r="B4"/>
  <c r="B19" s="1"/>
  <c r="B5"/>
  <c r="B20" s="1"/>
  <c r="B6"/>
  <c r="B21" s="1"/>
  <c r="B7"/>
  <c r="B22" s="1"/>
  <c r="C4"/>
  <c r="C19" s="1"/>
  <c r="C5"/>
  <c r="C20" s="1"/>
  <c r="C6"/>
  <c r="C21" s="1"/>
  <c r="C7"/>
  <c r="C22" s="1"/>
  <c r="L13"/>
  <c r="L14"/>
  <c r="L15"/>
  <c r="L12"/>
  <c r="L9"/>
  <c r="L10"/>
  <c r="L11"/>
  <c r="L8"/>
  <c r="K9"/>
  <c r="K10"/>
  <c r="K11"/>
  <c r="K8"/>
  <c r="L5"/>
  <c r="L6"/>
  <c r="L7"/>
  <c r="L4"/>
  <c r="K5"/>
  <c r="K6"/>
  <c r="K7"/>
  <c r="K4"/>
  <c r="J5"/>
  <c r="J6"/>
  <c r="J7"/>
  <c r="J4"/>
  <c r="F5"/>
  <c r="F20" s="1"/>
  <c r="F6"/>
  <c r="F21" s="1"/>
  <c r="F7"/>
  <c r="F22" s="1"/>
  <c r="F4"/>
  <c r="F19" s="1"/>
  <c r="H13"/>
  <c r="H28" s="1"/>
  <c r="H14"/>
  <c r="H29" s="1"/>
  <c r="H15"/>
  <c r="H30" s="1"/>
  <c r="H12"/>
  <c r="H27" s="1"/>
  <c r="G9"/>
  <c r="G24" s="1"/>
  <c r="G10"/>
  <c r="G25" s="1"/>
  <c r="G11"/>
  <c r="G26" s="1"/>
  <c r="G8"/>
  <c r="G23" s="1"/>
  <c r="H9"/>
  <c r="H24" s="1"/>
  <c r="H10"/>
  <c r="H25" s="1"/>
  <c r="H11"/>
  <c r="H26" s="1"/>
  <c r="H8"/>
  <c r="H23" s="1"/>
  <c r="H5"/>
  <c r="H20" s="1"/>
  <c r="H6"/>
  <c r="H21" s="1"/>
  <c r="H7"/>
  <c r="H22" s="1"/>
  <c r="H4"/>
  <c r="H19" s="1"/>
  <c r="G5"/>
  <c r="G20" s="1"/>
  <c r="G6"/>
  <c r="G21" s="1"/>
  <c r="G7"/>
  <c r="G22" s="1"/>
  <c r="G4"/>
  <c r="G19" s="1"/>
  <c r="D13"/>
  <c r="D28" s="1"/>
  <c r="D14"/>
  <c r="D29" s="1"/>
  <c r="D15"/>
  <c r="D30" s="1"/>
  <c r="D12"/>
  <c r="D27" s="1"/>
  <c r="D9"/>
  <c r="D24" s="1"/>
  <c r="D10"/>
  <c r="D25" s="1"/>
  <c r="D11"/>
  <c r="D26" s="1"/>
  <c r="C9"/>
  <c r="C24" s="1"/>
  <c r="C10"/>
  <c r="C25" s="1"/>
  <c r="C11"/>
  <c r="C26" s="1"/>
  <c r="D8"/>
  <c r="D23" s="1"/>
  <c r="C8"/>
  <c r="C23" s="1"/>
  <c r="D5"/>
  <c r="D20" s="1"/>
  <c r="D6"/>
  <c r="D21" s="1"/>
  <c r="D7"/>
  <c r="D22" s="1"/>
  <c r="D4"/>
  <c r="D19" s="1"/>
  <c r="B5" i="27"/>
  <c r="B6"/>
  <c r="B7"/>
  <c r="B8"/>
  <c r="B9"/>
  <c r="B10"/>
  <c r="B4"/>
  <c r="C4" s="1"/>
  <c r="B34"/>
  <c r="C34" s="1"/>
  <c r="C33"/>
  <c r="B33"/>
  <c r="C32"/>
  <c r="B32"/>
  <c r="C31"/>
  <c r="B31"/>
  <c r="C30"/>
  <c r="B30"/>
  <c r="C29"/>
  <c r="B29"/>
  <c r="C28"/>
  <c r="B28"/>
  <c r="B22"/>
  <c r="C22" s="1"/>
  <c r="C21"/>
  <c r="B21"/>
  <c r="C20"/>
  <c r="B20"/>
  <c r="C19"/>
  <c r="B19"/>
  <c r="C18"/>
  <c r="B18"/>
  <c r="C17"/>
  <c r="B17"/>
  <c r="C16"/>
  <c r="B16"/>
  <c r="C10"/>
  <c r="C9"/>
  <c r="C8"/>
  <c r="C7"/>
  <c r="C6"/>
  <c r="C5"/>
  <c r="B34" i="26"/>
  <c r="C34" s="1"/>
  <c r="B33"/>
  <c r="C33" s="1"/>
  <c r="B32"/>
  <c r="C32" s="1"/>
  <c r="B31"/>
  <c r="C31" s="1"/>
  <c r="B30"/>
  <c r="C30" s="1"/>
  <c r="B29"/>
  <c r="C29" s="1"/>
  <c r="B28"/>
  <c r="C28" s="1"/>
  <c r="B17"/>
  <c r="B18"/>
  <c r="B19"/>
  <c r="B20"/>
  <c r="B21"/>
  <c r="B22"/>
  <c r="B16"/>
  <c r="C16" s="1"/>
  <c r="C22"/>
  <c r="C21"/>
  <c r="C20"/>
  <c r="C19"/>
  <c r="C18"/>
  <c r="C17"/>
  <c r="C5"/>
  <c r="C6"/>
  <c r="C7"/>
  <c r="C8"/>
  <c r="C9"/>
  <c r="C10"/>
  <c r="C4"/>
  <c r="B10"/>
  <c r="B5"/>
  <c r="B6"/>
  <c r="B7"/>
  <c r="B8"/>
  <c r="B9"/>
  <c r="B4"/>
  <c r="I53" i="17"/>
  <c r="G53"/>
  <c r="I52"/>
  <c r="G52"/>
  <c r="I51"/>
  <c r="G51"/>
  <c r="I50"/>
  <c r="G50"/>
  <c r="I49"/>
  <c r="G49"/>
  <c r="I48"/>
  <c r="G48"/>
  <c r="I47"/>
  <c r="G47"/>
  <c r="I46"/>
  <c r="G46"/>
  <c r="C41"/>
  <c r="C40"/>
  <c r="C39"/>
  <c r="J38"/>
  <c r="C38"/>
  <c r="J37"/>
  <c r="C37"/>
  <c r="J36"/>
  <c r="C36"/>
  <c r="J35"/>
  <c r="P36" s="1"/>
  <c r="J34"/>
  <c r="P35" s="1"/>
  <c r="J33"/>
  <c r="P34" s="1"/>
  <c r="C33"/>
  <c r="J32"/>
  <c r="G36" s="1"/>
  <c r="G32"/>
  <c r="G31"/>
  <c r="C26"/>
  <c r="C25"/>
  <c r="C27" s="1"/>
  <c r="C28" s="1"/>
  <c r="Q28" s="1"/>
  <c r="C24"/>
  <c r="V4"/>
  <c r="G31" i="20"/>
  <c r="J33"/>
  <c r="J34"/>
  <c r="J35"/>
  <c r="J36"/>
  <c r="J37"/>
  <c r="J38"/>
  <c r="J32"/>
  <c r="I53" i="19"/>
  <c r="G53"/>
  <c r="I52"/>
  <c r="G52"/>
  <c r="I51"/>
  <c r="G51"/>
  <c r="I50"/>
  <c r="G50"/>
  <c r="I49"/>
  <c r="G49"/>
  <c r="I48"/>
  <c r="G48"/>
  <c r="I47"/>
  <c r="G47"/>
  <c r="I46"/>
  <c r="G46"/>
  <c r="J38"/>
  <c r="J37"/>
  <c r="J36"/>
  <c r="J35"/>
  <c r="P36" s="1"/>
  <c r="J34"/>
  <c r="P35" s="1"/>
  <c r="J33"/>
  <c r="P34" s="1"/>
  <c r="C33"/>
  <c r="J32"/>
  <c r="P37" s="1"/>
  <c r="G31"/>
  <c r="C26"/>
  <c r="C25"/>
  <c r="C27" s="1"/>
  <c r="C28" s="1"/>
  <c r="Q28" s="1"/>
  <c r="C24"/>
  <c r="V4"/>
  <c r="G34" i="16"/>
  <c r="G31"/>
  <c r="G35"/>
  <c r="J33"/>
  <c r="J34"/>
  <c r="J35"/>
  <c r="J36"/>
  <c r="J37"/>
  <c r="J38"/>
  <c r="J32"/>
  <c r="G36" s="1"/>
  <c r="C36"/>
  <c r="C37"/>
  <c r="C38"/>
  <c r="C39"/>
  <c r="C40"/>
  <c r="C41"/>
  <c r="Q28" i="20"/>
  <c r="I53"/>
  <c r="G53"/>
  <c r="I52"/>
  <c r="G52"/>
  <c r="I51"/>
  <c r="G51"/>
  <c r="I50"/>
  <c r="G50"/>
  <c r="I49"/>
  <c r="G49"/>
  <c r="I48"/>
  <c r="G48"/>
  <c r="I47"/>
  <c r="G47"/>
  <c r="I46"/>
  <c r="G46"/>
  <c r="C41"/>
  <c r="C40"/>
  <c r="C39"/>
  <c r="C38"/>
  <c r="C37"/>
  <c r="C36"/>
  <c r="P36"/>
  <c r="P35"/>
  <c r="P34"/>
  <c r="C33"/>
  <c r="P37"/>
  <c r="Q29"/>
  <c r="C26"/>
  <c r="C25"/>
  <c r="C27" s="1"/>
  <c r="C28" s="1"/>
  <c r="C24"/>
  <c r="V4"/>
  <c r="G50" i="16"/>
  <c r="G51"/>
  <c r="G49"/>
  <c r="G47"/>
  <c r="G48"/>
  <c r="G46"/>
  <c r="I46"/>
  <c r="P37" i="12"/>
  <c r="G50"/>
  <c r="G51"/>
  <c r="G49"/>
  <c r="G52"/>
  <c r="G47"/>
  <c r="G48"/>
  <c r="G46"/>
  <c r="D31" i="23"/>
  <c r="D30"/>
  <c r="D29"/>
  <c r="D5"/>
  <c r="D6"/>
  <c r="D7"/>
  <c r="D8"/>
  <c r="D9"/>
  <c r="D10"/>
  <c r="D11"/>
  <c r="D12"/>
  <c r="D13"/>
  <c r="D14"/>
  <c r="D15"/>
  <c r="D16"/>
  <c r="D17"/>
  <c r="D18"/>
  <c r="D4"/>
  <c r="C24"/>
  <c r="D24" s="1"/>
  <c r="D23"/>
  <c r="D22"/>
  <c r="D21"/>
  <c r="P24" i="15"/>
  <c r="P23"/>
  <c r="P22"/>
  <c r="P21"/>
  <c r="K4" i="18"/>
  <c r="K16"/>
  <c r="K17"/>
  <c r="K18"/>
  <c r="G4"/>
  <c r="G16"/>
  <c r="G17"/>
  <c r="G18"/>
  <c r="V4" i="16"/>
  <c r="G53"/>
  <c r="G52"/>
  <c r="C33"/>
  <c r="C26"/>
  <c r="C25"/>
  <c r="C27" s="1"/>
  <c r="C28" s="1"/>
  <c r="C24"/>
  <c r="C4" i="18"/>
  <c r="C16"/>
  <c r="C17"/>
  <c r="C18"/>
  <c r="L23" i="15"/>
  <c r="L22"/>
  <c r="L21"/>
  <c r="L24"/>
  <c r="H23"/>
  <c r="H22"/>
  <c r="H21"/>
  <c r="H24"/>
  <c r="D21"/>
  <c r="D22"/>
  <c r="D23"/>
  <c r="D24"/>
  <c r="I52" i="12"/>
  <c r="I46"/>
  <c r="C36"/>
  <c r="C37"/>
  <c r="C38"/>
  <c r="C39"/>
  <c r="C40"/>
  <c r="C41"/>
  <c r="G37" i="5"/>
  <c r="G38"/>
  <c r="G39"/>
  <c r="G40"/>
  <c r="G41"/>
  <c r="G42"/>
  <c r="C34" i="10"/>
  <c r="F12"/>
  <c r="R29"/>
  <c r="R25" s="1"/>
  <c r="R30"/>
  <c r="R31"/>
  <c r="R32"/>
  <c r="R33"/>
  <c r="R34"/>
  <c r="R35"/>
  <c r="R36"/>
  <c r="R37"/>
  <c r="I49" i="12"/>
  <c r="I48"/>
  <c r="I53"/>
  <c r="I47"/>
  <c r="I50"/>
  <c r="I51"/>
  <c r="G53"/>
  <c r="P17" i="9"/>
  <c r="P14"/>
  <c r="C17" i="7"/>
  <c r="P15"/>
  <c r="P14"/>
  <c r="J38" i="12"/>
  <c r="J37"/>
  <c r="J36"/>
  <c r="J35"/>
  <c r="J34"/>
  <c r="J33"/>
  <c r="C33"/>
  <c r="J32"/>
  <c r="F34" s="1"/>
  <c r="C26"/>
  <c r="C25"/>
  <c r="C24"/>
  <c r="D7" i="6"/>
  <c r="C39" i="10"/>
  <c r="C38"/>
  <c r="P26" i="5"/>
  <c r="C36"/>
  <c r="C35"/>
  <c r="J34" i="6"/>
  <c r="J33"/>
  <c r="J34" i="2"/>
  <c r="J33"/>
  <c r="J32"/>
  <c r="C30"/>
  <c r="J29"/>
  <c r="J28"/>
  <c r="J27"/>
  <c r="J26"/>
  <c r="G27" s="1"/>
  <c r="G26"/>
  <c r="G25"/>
  <c r="C23"/>
  <c r="C22"/>
  <c r="C24" s="1"/>
  <c r="C25" s="1"/>
  <c r="C21"/>
  <c r="J32" i="6"/>
  <c r="J29"/>
  <c r="C30"/>
  <c r="J28"/>
  <c r="J27"/>
  <c r="J26"/>
  <c r="G26" s="1"/>
  <c r="C23"/>
  <c r="C22"/>
  <c r="C24" s="1"/>
  <c r="C25" s="1"/>
  <c r="C21"/>
  <c r="P16" i="7"/>
  <c r="P17"/>
  <c r="J22"/>
  <c r="J21"/>
  <c r="J20"/>
  <c r="C22"/>
  <c r="J19"/>
  <c r="G19" s="1"/>
  <c r="G18"/>
  <c r="C15"/>
  <c r="C14"/>
  <c r="C16" s="1"/>
  <c r="C13"/>
  <c r="J27" i="9"/>
  <c r="J26"/>
  <c r="J25"/>
  <c r="J24"/>
  <c r="J23"/>
  <c r="J22"/>
  <c r="C22"/>
  <c r="J21"/>
  <c r="G24" s="1"/>
  <c r="G20"/>
  <c r="C15"/>
  <c r="C14"/>
  <c r="C16" s="1"/>
  <c r="C17" s="1"/>
  <c r="C13"/>
  <c r="C42" i="10"/>
  <c r="C41"/>
  <c r="C40"/>
  <c r="J39"/>
  <c r="J38"/>
  <c r="J37"/>
  <c r="C37"/>
  <c r="J36"/>
  <c r="J35"/>
  <c r="J34"/>
  <c r="J33"/>
  <c r="G35" s="1"/>
  <c r="G33"/>
  <c r="G32"/>
  <c r="C27"/>
  <c r="C26"/>
  <c r="C28" s="1"/>
  <c r="C29" s="1"/>
  <c r="C25"/>
  <c r="C31" i="5"/>
  <c r="C37"/>
  <c r="C24"/>
  <c r="C22"/>
  <c r="J34"/>
  <c r="J35"/>
  <c r="J36"/>
  <c r="J31"/>
  <c r="J32"/>
  <c r="J33"/>
  <c r="J30"/>
  <c r="C34"/>
  <c r="C39"/>
  <c r="C38"/>
  <c r="G34"/>
  <c r="G33"/>
  <c r="C23"/>
  <c r="Q34" i="17" l="1"/>
  <c r="Q31"/>
  <c r="Q51"/>
  <c r="Q30"/>
  <c r="Q29"/>
  <c r="G33"/>
  <c r="Q24" s="1"/>
  <c r="G34"/>
  <c r="P37"/>
  <c r="G35"/>
  <c r="Q29" i="19"/>
  <c r="Q34"/>
  <c r="Q31"/>
  <c r="G32"/>
  <c r="G35"/>
  <c r="G36"/>
  <c r="G33"/>
  <c r="G34"/>
  <c r="G32" i="16"/>
  <c r="Q28"/>
  <c r="Q34" i="20"/>
  <c r="Q31"/>
  <c r="G32"/>
  <c r="Q30" s="1"/>
  <c r="G35"/>
  <c r="G36"/>
  <c r="G33"/>
  <c r="G34"/>
  <c r="G33" i="16"/>
  <c r="F31" i="12"/>
  <c r="F32"/>
  <c r="C27"/>
  <c r="C28" s="1"/>
  <c r="R26" i="10"/>
  <c r="S29" s="1"/>
  <c r="R38"/>
  <c r="P27" i="5"/>
  <c r="F35" i="12"/>
  <c r="F36"/>
  <c r="F33"/>
  <c r="G21" i="9"/>
  <c r="P22" i="2"/>
  <c r="P23" s="1"/>
  <c r="P24" s="1"/>
  <c r="P21" s="1"/>
  <c r="Q24" s="1"/>
  <c r="P23" i="6"/>
  <c r="G27"/>
  <c r="P24" s="1"/>
  <c r="G25"/>
  <c r="P22" s="1"/>
  <c r="P25" s="1"/>
  <c r="G20" i="7"/>
  <c r="P18" i="9"/>
  <c r="D5" s="1"/>
  <c r="G22"/>
  <c r="G25"/>
  <c r="G23"/>
  <c r="P29" i="10"/>
  <c r="G36"/>
  <c r="G37"/>
  <c r="G34"/>
  <c r="G32" i="5"/>
  <c r="C25"/>
  <c r="C26" s="1"/>
  <c r="G29"/>
  <c r="G31"/>
  <c r="G30"/>
  <c r="Q37" i="17" l="1"/>
  <c r="Q47"/>
  <c r="Q26"/>
  <c r="Q49" s="1"/>
  <c r="Q27"/>
  <c r="Q50" s="1"/>
  <c r="Q25"/>
  <c r="Q48" s="1"/>
  <c r="Q52"/>
  <c r="Q32"/>
  <c r="Q35"/>
  <c r="Q53"/>
  <c r="Q36"/>
  <c r="Q33"/>
  <c r="Q30" i="19"/>
  <c r="Q36" s="1"/>
  <c r="Q35"/>
  <c r="Q32"/>
  <c r="Q29" i="16"/>
  <c r="Q36" i="20"/>
  <c r="Q33"/>
  <c r="Q24"/>
  <c r="Q35"/>
  <c r="Q32"/>
  <c r="P28" i="12"/>
  <c r="P29" s="1"/>
  <c r="P30" s="1"/>
  <c r="S32" i="10"/>
  <c r="S35"/>
  <c r="S30"/>
  <c r="S25" s="1"/>
  <c r="R27"/>
  <c r="R28" s="1"/>
  <c r="S31"/>
  <c r="P28" i="5"/>
  <c r="P22" s="1"/>
  <c r="P21" i="6"/>
  <c r="Q22" s="1"/>
  <c r="P19" i="9"/>
  <c r="D6" s="1"/>
  <c r="P27" i="2"/>
  <c r="Q23"/>
  <c r="Q22"/>
  <c r="P25"/>
  <c r="Q24" i="6"/>
  <c r="P27"/>
  <c r="P26"/>
  <c r="P20" i="7"/>
  <c r="E6" s="1"/>
  <c r="D6"/>
  <c r="D4"/>
  <c r="P18"/>
  <c r="E4" s="1"/>
  <c r="P19"/>
  <c r="E5" s="1"/>
  <c r="D5"/>
  <c r="D4" i="9"/>
  <c r="P20"/>
  <c r="E4" s="1"/>
  <c r="P35" i="10"/>
  <c r="P30"/>
  <c r="P36" s="1"/>
  <c r="R28" i="17" l="1"/>
  <c r="R29" s="1"/>
  <c r="Q27" i="20"/>
  <c r="Q24" i="19"/>
  <c r="Q33"/>
  <c r="Q37"/>
  <c r="Q27"/>
  <c r="Q25"/>
  <c r="R28" s="1"/>
  <c r="Q26"/>
  <c r="Q30" i="16"/>
  <c r="Q24" s="1"/>
  <c r="Q37" i="20"/>
  <c r="Q26"/>
  <c r="Q25"/>
  <c r="P43" i="12"/>
  <c r="S26" i="10"/>
  <c r="T29" s="1"/>
  <c r="S38"/>
  <c r="S34"/>
  <c r="S37"/>
  <c r="S33"/>
  <c r="S36"/>
  <c r="P44" i="12"/>
  <c r="P23" i="5"/>
  <c r="Q26" s="1"/>
  <c r="Q23" i="6"/>
  <c r="Q29"/>
  <c r="Q21"/>
  <c r="Q25"/>
  <c r="Q31"/>
  <c r="Q27"/>
  <c r="R23"/>
  <c r="Q28"/>
  <c r="R22"/>
  <c r="R24"/>
  <c r="P28"/>
  <c r="D7" i="7"/>
  <c r="P21"/>
  <c r="E7" s="1"/>
  <c r="P21" i="9"/>
  <c r="E5" s="1"/>
  <c r="P15"/>
  <c r="P13"/>
  <c r="D7" s="1"/>
  <c r="P31" i="10"/>
  <c r="P37" s="1"/>
  <c r="P35" i="5"/>
  <c r="P34"/>
  <c r="P33"/>
  <c r="P32"/>
  <c r="R35" i="17" l="1"/>
  <c r="R52"/>
  <c r="R32"/>
  <c r="R30"/>
  <c r="R51"/>
  <c r="R34"/>
  <c r="R31"/>
  <c r="R24"/>
  <c r="R28" i="20"/>
  <c r="R29" i="19"/>
  <c r="R32" s="1"/>
  <c r="R34"/>
  <c r="R31"/>
  <c r="Q25" i="16"/>
  <c r="R28" s="1"/>
  <c r="R29" s="1"/>
  <c r="R30" s="1"/>
  <c r="Q26"/>
  <c r="Q27"/>
  <c r="R34" i="20"/>
  <c r="T32" i="10"/>
  <c r="T35"/>
  <c r="S27"/>
  <c r="P24" i="5"/>
  <c r="Q26" i="6"/>
  <c r="Q30"/>
  <c r="R21"/>
  <c r="R25"/>
  <c r="R29"/>
  <c r="R30"/>
  <c r="R26"/>
  <c r="R27"/>
  <c r="R31"/>
  <c r="P22" i="9"/>
  <c r="E6" s="1"/>
  <c r="P16"/>
  <c r="P25" i="10"/>
  <c r="R47" i="17" l="1"/>
  <c r="R37"/>
  <c r="R27"/>
  <c r="R50" s="1"/>
  <c r="R25"/>
  <c r="R48" s="1"/>
  <c r="R26"/>
  <c r="R49" s="1"/>
  <c r="R53"/>
  <c r="R36"/>
  <c r="R33"/>
  <c r="R29" i="20"/>
  <c r="R30" s="1"/>
  <c r="R31"/>
  <c r="R35" i="19"/>
  <c r="R30"/>
  <c r="R24" s="1"/>
  <c r="R37" s="1"/>
  <c r="R32" i="20"/>
  <c r="R35"/>
  <c r="S28" i="10"/>
  <c r="T31" s="1"/>
  <c r="T30"/>
  <c r="Q27" i="5"/>
  <c r="P25"/>
  <c r="R28" i="6"/>
  <c r="S24"/>
  <c r="S23"/>
  <c r="S22"/>
  <c r="P23" i="9"/>
  <c r="E7" s="1"/>
  <c r="P38" i="10"/>
  <c r="P26"/>
  <c r="Q29" s="1"/>
  <c r="Q32" i="5"/>
  <c r="S28" i="17" l="1"/>
  <c r="S29"/>
  <c r="R36" i="20"/>
  <c r="R33"/>
  <c r="R24"/>
  <c r="R25" i="19"/>
  <c r="S28" s="1"/>
  <c r="S34" s="1"/>
  <c r="R33"/>
  <c r="R26"/>
  <c r="S29" s="1"/>
  <c r="R36"/>
  <c r="R27"/>
  <c r="R37" i="20"/>
  <c r="R27"/>
  <c r="R25"/>
  <c r="R26"/>
  <c r="T34" i="10"/>
  <c r="T37"/>
  <c r="T33"/>
  <c r="T36"/>
  <c r="T25"/>
  <c r="S26" i="6"/>
  <c r="S30"/>
  <c r="S29"/>
  <c r="S21"/>
  <c r="S25"/>
  <c r="S27"/>
  <c r="S31"/>
  <c r="P27" i="10"/>
  <c r="Q30" s="1"/>
  <c r="Q35"/>
  <c r="Q32"/>
  <c r="Q29" i="5"/>
  <c r="S52" i="17" l="1"/>
  <c r="S32"/>
  <c r="S35"/>
  <c r="S34"/>
  <c r="S31"/>
  <c r="S51"/>
  <c r="S30"/>
  <c r="S24" s="1"/>
  <c r="S28" i="20"/>
  <c r="S31" i="19"/>
  <c r="S35"/>
  <c r="S32"/>
  <c r="S30"/>
  <c r="S29" i="20"/>
  <c r="T26" i="10"/>
  <c r="U29" s="1"/>
  <c r="T38"/>
  <c r="T24" i="6"/>
  <c r="S28"/>
  <c r="T22"/>
  <c r="T23"/>
  <c r="P28" i="10"/>
  <c r="Q31" s="1"/>
  <c r="Q25" s="1"/>
  <c r="Q36"/>
  <c r="Q33"/>
  <c r="Q30" i="5"/>
  <c r="Q28"/>
  <c r="Q34" s="1"/>
  <c r="Q33"/>
  <c r="S37" i="17" l="1"/>
  <c r="S47"/>
  <c r="S26"/>
  <c r="S49" s="1"/>
  <c r="S27"/>
  <c r="S50" s="1"/>
  <c r="S25"/>
  <c r="S48" s="1"/>
  <c r="S53"/>
  <c r="S36"/>
  <c r="S33"/>
  <c r="S31" i="20"/>
  <c r="S35"/>
  <c r="S34"/>
  <c r="S36" i="19"/>
  <c r="S33"/>
  <c r="S24"/>
  <c r="S32" i="20"/>
  <c r="S30"/>
  <c r="U32" i="10"/>
  <c r="U35"/>
  <c r="U30"/>
  <c r="U25" s="1"/>
  <c r="T27"/>
  <c r="T28" s="1"/>
  <c r="U31"/>
  <c r="T29" i="6"/>
  <c r="T21"/>
  <c r="T25"/>
  <c r="T27"/>
  <c r="T31"/>
  <c r="T26"/>
  <c r="T30"/>
  <c r="Q26" i="10"/>
  <c r="Q38"/>
  <c r="Q37"/>
  <c r="Q34"/>
  <c r="Q31" i="5"/>
  <c r="Q22"/>
  <c r="T28" i="17" l="1"/>
  <c r="T29" s="1"/>
  <c r="S24" i="20"/>
  <c r="S37"/>
  <c r="S37" i="19"/>
  <c r="S27"/>
  <c r="S25"/>
  <c r="T28" s="1"/>
  <c r="S26"/>
  <c r="T29" s="1"/>
  <c r="S33" i="20"/>
  <c r="S25"/>
  <c r="S26"/>
  <c r="S36"/>
  <c r="S27"/>
  <c r="U26" i="10"/>
  <c r="V29" s="1"/>
  <c r="U38"/>
  <c r="U34"/>
  <c r="U37"/>
  <c r="U33"/>
  <c r="U36"/>
  <c r="Q35" i="5"/>
  <c r="T28" i="6"/>
  <c r="U24"/>
  <c r="U23"/>
  <c r="U22"/>
  <c r="Q27" i="10"/>
  <c r="Q28" s="1"/>
  <c r="Q23" i="5"/>
  <c r="R26" s="1"/>
  <c r="T35" i="17" l="1"/>
  <c r="T52"/>
  <c r="T32"/>
  <c r="T30"/>
  <c r="T51"/>
  <c r="T34"/>
  <c r="T31"/>
  <c r="T24"/>
  <c r="T28" i="20"/>
  <c r="T34" i="19"/>
  <c r="T31"/>
  <c r="T32"/>
  <c r="T35"/>
  <c r="T30"/>
  <c r="T29" i="20"/>
  <c r="V32" i="10"/>
  <c r="V35"/>
  <c r="U27"/>
  <c r="U26" i="6"/>
  <c r="U30"/>
  <c r="U29"/>
  <c r="U21"/>
  <c r="U25"/>
  <c r="U27"/>
  <c r="U31"/>
  <c r="Q24" i="5"/>
  <c r="R27" s="1"/>
  <c r="T47" i="17" l="1"/>
  <c r="T37"/>
  <c r="T27"/>
  <c r="T50" s="1"/>
  <c r="T25"/>
  <c r="T48" s="1"/>
  <c r="T26"/>
  <c r="T49" s="1"/>
  <c r="T53"/>
  <c r="T36"/>
  <c r="T33"/>
  <c r="T34" i="20"/>
  <c r="T31"/>
  <c r="T32"/>
  <c r="T36" i="19"/>
  <c r="T33"/>
  <c r="T24"/>
  <c r="T35" i="20"/>
  <c r="T30"/>
  <c r="U28" i="10"/>
  <c r="V31" s="1"/>
  <c r="V30"/>
  <c r="Q25" i="5"/>
  <c r="R28" s="1"/>
  <c r="R22" s="1"/>
  <c r="R35" s="1"/>
  <c r="V24" i="6"/>
  <c r="U28"/>
  <c r="V22"/>
  <c r="V23"/>
  <c r="U28" i="17" l="1"/>
  <c r="U29"/>
  <c r="T36" i="20"/>
  <c r="T37" i="19"/>
  <c r="T26"/>
  <c r="T27"/>
  <c r="T25"/>
  <c r="U28" s="1"/>
  <c r="T33" i="20"/>
  <c r="T24"/>
  <c r="T26"/>
  <c r="V34" i="10"/>
  <c r="V37"/>
  <c r="V33"/>
  <c r="V36"/>
  <c r="V25"/>
  <c r="V29" i="6"/>
  <c r="V21"/>
  <c r="V25"/>
  <c r="V27"/>
  <c r="V31"/>
  <c r="V26"/>
  <c r="V30"/>
  <c r="U52" i="17" l="1"/>
  <c r="U32"/>
  <c r="U35"/>
  <c r="U34"/>
  <c r="U31"/>
  <c r="U51"/>
  <c r="U30"/>
  <c r="U24" s="1"/>
  <c r="T37" i="20"/>
  <c r="U34" i="19"/>
  <c r="U31"/>
  <c r="U29"/>
  <c r="T27" i="20"/>
  <c r="T25"/>
  <c r="V26" i="10"/>
  <c r="W29" s="1"/>
  <c r="V38"/>
  <c r="V28" i="6"/>
  <c r="W24"/>
  <c r="W23"/>
  <c r="W22"/>
  <c r="U37" i="17" l="1"/>
  <c r="U47"/>
  <c r="U26"/>
  <c r="U49" s="1"/>
  <c r="U27"/>
  <c r="U50" s="1"/>
  <c r="U25"/>
  <c r="U48" s="1"/>
  <c r="U53"/>
  <c r="U36"/>
  <c r="U33"/>
  <c r="U28" i="20"/>
  <c r="U31" s="1"/>
  <c r="U35" i="19"/>
  <c r="U32"/>
  <c r="U30"/>
  <c r="U24" s="1"/>
  <c r="W32" i="10"/>
  <c r="W35"/>
  <c r="V27"/>
  <c r="W30" s="1"/>
  <c r="W26" i="6"/>
  <c r="W30"/>
  <c r="W29"/>
  <c r="W21"/>
  <c r="W25"/>
  <c r="W27"/>
  <c r="W31"/>
  <c r="V28" i="17" l="1"/>
  <c r="V29" s="1"/>
  <c r="U29" i="20"/>
  <c r="U34"/>
  <c r="U37" i="19"/>
  <c r="U27"/>
  <c r="U25"/>
  <c r="V28" s="1"/>
  <c r="U26"/>
  <c r="V29" s="1"/>
  <c r="U36"/>
  <c r="U33"/>
  <c r="W33" i="10"/>
  <c r="W36"/>
  <c r="V28"/>
  <c r="W31" s="1"/>
  <c r="X24" i="6"/>
  <c r="W28"/>
  <c r="X22"/>
  <c r="X23"/>
  <c r="V35" i="17" l="1"/>
  <c r="V52"/>
  <c r="V32"/>
  <c r="V30"/>
  <c r="V51"/>
  <c r="V34"/>
  <c r="V31"/>
  <c r="V24"/>
  <c r="U35" i="20"/>
  <c r="U32"/>
  <c r="U30"/>
  <c r="V34" i="19"/>
  <c r="V31"/>
  <c r="V32"/>
  <c r="V35"/>
  <c r="V30"/>
  <c r="W34" i="10"/>
  <c r="W37"/>
  <c r="W25"/>
  <c r="X29" i="6"/>
  <c r="X21"/>
  <c r="X25"/>
  <c r="X27"/>
  <c r="X31"/>
  <c r="X26"/>
  <c r="X30"/>
  <c r="V47" i="17" l="1"/>
  <c r="V37"/>
  <c r="V27"/>
  <c r="V50" s="1"/>
  <c r="V25"/>
  <c r="V48" s="1"/>
  <c r="V26"/>
  <c r="V49" s="1"/>
  <c r="V53"/>
  <c r="V36"/>
  <c r="V33"/>
  <c r="U24" i="20"/>
  <c r="U36"/>
  <c r="U33"/>
  <c r="V36" i="19"/>
  <c r="V33"/>
  <c r="V24"/>
  <c r="W26" i="10"/>
  <c r="X29" s="1"/>
  <c r="W38"/>
  <c r="X28" i="6"/>
  <c r="Y24"/>
  <c r="Y23"/>
  <c r="Y22"/>
  <c r="W28" i="17" l="1"/>
  <c r="W29"/>
  <c r="U37" i="20"/>
  <c r="U25"/>
  <c r="U27"/>
  <c r="U26"/>
  <c r="V37" i="19"/>
  <c r="V26"/>
  <c r="V27"/>
  <c r="V25"/>
  <c r="W28" s="1"/>
  <c r="X32" i="10"/>
  <c r="X35"/>
  <c r="W27"/>
  <c r="Y26" i="6"/>
  <c r="Y30"/>
  <c r="Y29"/>
  <c r="Y21"/>
  <c r="Y25"/>
  <c r="Y27"/>
  <c r="Y31"/>
  <c r="W52" i="17" l="1"/>
  <c r="W32"/>
  <c r="W35"/>
  <c r="W34"/>
  <c r="W31"/>
  <c r="W51"/>
  <c r="W30"/>
  <c r="W24" s="1"/>
  <c r="V28" i="20"/>
  <c r="W34" i="19"/>
  <c r="W31"/>
  <c r="W29"/>
  <c r="W30" s="1"/>
  <c r="W28" i="10"/>
  <c r="X31" s="1"/>
  <c r="X30"/>
  <c r="Z24" i="6"/>
  <c r="Y28"/>
  <c r="Z22"/>
  <c r="Z23"/>
  <c r="W37" i="17" l="1"/>
  <c r="W47"/>
  <c r="W26"/>
  <c r="W49" s="1"/>
  <c r="W27"/>
  <c r="W50" s="1"/>
  <c r="W25"/>
  <c r="W48" s="1"/>
  <c r="W53"/>
  <c r="W36"/>
  <c r="W33"/>
  <c r="V31" i="20"/>
  <c r="V34"/>
  <c r="V29"/>
  <c r="W36" i="19"/>
  <c r="W33"/>
  <c r="W35"/>
  <c r="W32"/>
  <c r="W24"/>
  <c r="X34" i="10"/>
  <c r="X37"/>
  <c r="X33"/>
  <c r="X36"/>
  <c r="X25"/>
  <c r="Z29" i="6"/>
  <c r="Z21"/>
  <c r="Z25"/>
  <c r="Z27"/>
  <c r="Z31"/>
  <c r="Z26"/>
  <c r="Z30"/>
  <c r="X28" i="17" l="1"/>
  <c r="X29" s="1"/>
  <c r="V30" i="20"/>
  <c r="V32"/>
  <c r="V35"/>
  <c r="V24"/>
  <c r="W37" i="19"/>
  <c r="W27"/>
  <c r="W25"/>
  <c r="X28" s="1"/>
  <c r="W26"/>
  <c r="X29" s="1"/>
  <c r="X26" i="10"/>
  <c r="Y29" s="1"/>
  <c r="X27"/>
  <c r="X28"/>
  <c r="X38"/>
  <c r="Z28" i="6"/>
  <c r="AA23"/>
  <c r="AA22"/>
  <c r="D4" s="1"/>
  <c r="AA24"/>
  <c r="X35" i="17" l="1"/>
  <c r="X52"/>
  <c r="X32"/>
  <c r="X30"/>
  <c r="X51"/>
  <c r="X34"/>
  <c r="X31"/>
  <c r="X24"/>
  <c r="V36" i="20"/>
  <c r="V33"/>
  <c r="V27"/>
  <c r="V26"/>
  <c r="V25"/>
  <c r="V37"/>
  <c r="X34" i="19"/>
  <c r="X31"/>
  <c r="X32"/>
  <c r="X35"/>
  <c r="X30"/>
  <c r="Y32" i="10"/>
  <c r="Y35"/>
  <c r="Y30"/>
  <c r="Y25" s="1"/>
  <c r="Y31"/>
  <c r="AA27" i="6"/>
  <c r="D6"/>
  <c r="AA26"/>
  <c r="D5"/>
  <c r="AA21"/>
  <c r="AA25"/>
  <c r="E4" s="1"/>
  <c r="X47" i="17" l="1"/>
  <c r="X37"/>
  <c r="X27"/>
  <c r="X50" s="1"/>
  <c r="X25"/>
  <c r="X48" s="1"/>
  <c r="X26"/>
  <c r="X49" s="1"/>
  <c r="X53"/>
  <c r="X36"/>
  <c r="X33"/>
  <c r="W28" i="20"/>
  <c r="X36" i="19"/>
  <c r="X33"/>
  <c r="X24"/>
  <c r="Y26" i="10"/>
  <c r="Z29" s="1"/>
  <c r="Y38"/>
  <c r="Y34"/>
  <c r="Y37"/>
  <c r="Y33"/>
  <c r="Y36"/>
  <c r="AA28" i="6"/>
  <c r="AA29"/>
  <c r="E5"/>
  <c r="AA30"/>
  <c r="E6"/>
  <c r="Y28" i="17" l="1"/>
  <c r="Y29"/>
  <c r="W34" i="20"/>
  <c r="W31"/>
  <c r="W29"/>
  <c r="X37" i="19"/>
  <c r="X26"/>
  <c r="X27"/>
  <c r="X25"/>
  <c r="Y28" s="1"/>
  <c r="Z32" i="10"/>
  <c r="Z35"/>
  <c r="Y27"/>
  <c r="F13" i="6"/>
  <c r="F12"/>
  <c r="F14"/>
  <c r="AA31"/>
  <c r="E7"/>
  <c r="Y52" i="17" l="1"/>
  <c r="Y32"/>
  <c r="Y35"/>
  <c r="Y34"/>
  <c r="Y31"/>
  <c r="Y51"/>
  <c r="Y30"/>
  <c r="Y24" s="1"/>
  <c r="W30" i="20"/>
  <c r="W32"/>
  <c r="W35"/>
  <c r="Y34" i="19"/>
  <c r="Y31"/>
  <c r="Y29"/>
  <c r="Y30" s="1"/>
  <c r="Y28" i="10"/>
  <c r="Z31" s="1"/>
  <c r="Z30"/>
  <c r="G12" i="6"/>
  <c r="D12"/>
  <c r="E12" s="1"/>
  <c r="D14"/>
  <c r="E14" s="1"/>
  <c r="G14"/>
  <c r="D13"/>
  <c r="E13" s="1"/>
  <c r="G13"/>
  <c r="Y37" i="17" l="1"/>
  <c r="Y47"/>
  <c r="Y26"/>
  <c r="Y49" s="1"/>
  <c r="Y27"/>
  <c r="Y50" s="1"/>
  <c r="Y25"/>
  <c r="Y48" s="1"/>
  <c r="Y53"/>
  <c r="Y36"/>
  <c r="Y33"/>
  <c r="W24" i="20"/>
  <c r="W33"/>
  <c r="W36"/>
  <c r="Y36" i="19"/>
  <c r="Y33"/>
  <c r="Y35"/>
  <c r="Y32"/>
  <c r="Y24"/>
  <c r="Z34" i="10"/>
  <c r="Z37"/>
  <c r="Z33"/>
  <c r="Z36"/>
  <c r="Z25"/>
  <c r="Z28" i="17" l="1"/>
  <c r="Z29" s="1"/>
  <c r="W26" i="20"/>
  <c r="W25"/>
  <c r="W37"/>
  <c r="W27"/>
  <c r="Y37" i="19"/>
  <c r="Y27"/>
  <c r="Y25"/>
  <c r="Z28" s="1"/>
  <c r="Y26"/>
  <c r="Z29" s="1"/>
  <c r="Z26" i="10"/>
  <c r="AA29" s="1"/>
  <c r="Z27"/>
  <c r="Z28"/>
  <c r="Z38"/>
  <c r="Z35" i="17" l="1"/>
  <c r="Z32"/>
  <c r="Z30"/>
  <c r="Z34"/>
  <c r="Z31"/>
  <c r="X28" i="20"/>
  <c r="Z34" i="19"/>
  <c r="Z31"/>
  <c r="Z32"/>
  <c r="Z35"/>
  <c r="Z30"/>
  <c r="AA32" i="10"/>
  <c r="AA35"/>
  <c r="AA30"/>
  <c r="AA25" s="1"/>
  <c r="AA31"/>
  <c r="Z36" i="17" l="1"/>
  <c r="Z33"/>
  <c r="Z24"/>
  <c r="X34" i="20"/>
  <c r="X31"/>
  <c r="X29"/>
  <c r="Z36" i="19"/>
  <c r="Z33"/>
  <c r="Z24"/>
  <c r="AA26" i="10"/>
  <c r="AB29" s="1"/>
  <c r="AA27"/>
  <c r="AA28" s="1"/>
  <c r="AB31" s="1"/>
  <c r="AA38"/>
  <c r="AB30"/>
  <c r="AA34"/>
  <c r="AA37"/>
  <c r="AA33"/>
  <c r="AA36"/>
  <c r="Z37" i="17" l="1"/>
  <c r="Z27"/>
  <c r="Z25"/>
  <c r="AA28" s="1"/>
  <c r="Z26"/>
  <c r="AA29" s="1"/>
  <c r="X30" i="20"/>
  <c r="X35"/>
  <c r="X32"/>
  <c r="X24"/>
  <c r="Z37" i="19"/>
  <c r="Z26"/>
  <c r="Z27"/>
  <c r="Z25"/>
  <c r="AA28" s="1"/>
  <c r="AB34" i="10"/>
  <c r="AB37"/>
  <c r="AB33"/>
  <c r="AB36"/>
  <c r="AB25"/>
  <c r="AB32"/>
  <c r="AB35"/>
  <c r="AA34" i="17" l="1"/>
  <c r="AA31"/>
  <c r="AA32"/>
  <c r="AA35"/>
  <c r="AA30"/>
  <c r="X37" i="20"/>
  <c r="X25"/>
  <c r="X27"/>
  <c r="X26"/>
  <c r="X33"/>
  <c r="X36"/>
  <c r="AA34" i="19"/>
  <c r="AA31"/>
  <c r="AA29"/>
  <c r="AA30" s="1"/>
  <c r="AB26" i="10"/>
  <c r="AC29" s="1"/>
  <c r="AB38"/>
  <c r="AA36" i="17" l="1"/>
  <c r="AA33"/>
  <c r="AA24"/>
  <c r="Y28" i="20"/>
  <c r="AA36" i="19"/>
  <c r="AA33"/>
  <c r="AA35"/>
  <c r="AA32"/>
  <c r="AA24"/>
  <c r="AC32" i="10"/>
  <c r="AC35"/>
  <c r="AC30"/>
  <c r="AC25" s="1"/>
  <c r="AB27"/>
  <c r="AB28" s="1"/>
  <c r="AC31"/>
  <c r="AA37" i="17" l="1"/>
  <c r="AA26"/>
  <c r="AA27"/>
  <c r="AA25"/>
  <c r="AB28" s="1"/>
  <c r="Y31" i="20"/>
  <c r="Y34"/>
  <c r="Y29"/>
  <c r="Y30" s="1"/>
  <c r="AA37" i="19"/>
  <c r="AA27"/>
  <c r="AA25"/>
  <c r="AB28" s="1"/>
  <c r="AA26"/>
  <c r="AB29" s="1"/>
  <c r="AC26" i="10"/>
  <c r="AC27" s="1"/>
  <c r="AC28" s="1"/>
  <c r="AC38"/>
  <c r="AC34"/>
  <c r="AC37"/>
  <c r="AC33"/>
  <c r="AC36"/>
  <c r="AB34" i="17" l="1"/>
  <c r="AB31"/>
  <c r="AB29"/>
  <c r="AB30" s="1"/>
  <c r="Y24" i="20"/>
  <c r="Y36"/>
  <c r="Y33"/>
  <c r="Y35"/>
  <c r="Y32"/>
  <c r="AB34" i="19"/>
  <c r="AB31"/>
  <c r="AB32"/>
  <c r="AB35"/>
  <c r="AB30"/>
  <c r="AB36" i="17" l="1"/>
  <c r="AB33"/>
  <c r="AB35"/>
  <c r="AB32"/>
  <c r="AB24"/>
  <c r="Y25" i="20"/>
  <c r="Y37"/>
  <c r="Y26"/>
  <c r="Y27"/>
  <c r="AB36" i="19"/>
  <c r="AB33"/>
  <c r="AB24"/>
  <c r="AB37" i="17" l="1"/>
  <c r="AB27"/>
  <c r="AC30" s="1"/>
  <c r="AB25"/>
  <c r="AC28" s="1"/>
  <c r="AB26"/>
  <c r="AC29" s="1"/>
  <c r="Z28" i="20"/>
  <c r="AB37" i="19"/>
  <c r="AB26"/>
  <c r="AB27"/>
  <c r="AB25"/>
  <c r="AC28" s="1"/>
  <c r="AC32" i="17" l="1"/>
  <c r="AC35"/>
  <c r="AC34"/>
  <c r="AC31"/>
  <c r="AC24"/>
  <c r="AC36"/>
  <c r="AC33"/>
  <c r="Z31" i="20"/>
  <c r="Z34"/>
  <c r="Z29"/>
  <c r="AC34" i="19"/>
  <c r="AC31"/>
  <c r="AC29"/>
  <c r="AC30" s="1"/>
  <c r="AC37" i="17" l="1"/>
  <c r="AC26"/>
  <c r="AC27"/>
  <c r="AC25"/>
  <c r="AD28" s="1"/>
  <c r="Z30" i="20"/>
  <c r="Z24" s="1"/>
  <c r="Z35"/>
  <c r="Z32"/>
  <c r="AC36" i="19"/>
  <c r="AC33"/>
  <c r="AC35"/>
  <c r="AC32"/>
  <c r="AC24"/>
  <c r="AD34" i="17" l="1"/>
  <c r="AD31"/>
  <c r="AD29"/>
  <c r="AD30" s="1"/>
  <c r="Z37" i="20"/>
  <c r="Z25"/>
  <c r="AA28" s="1"/>
  <c r="Z27"/>
  <c r="Z26"/>
  <c r="AA29" s="1"/>
  <c r="Z33"/>
  <c r="Z36"/>
  <c r="AC37" i="19"/>
  <c r="AC27"/>
  <c r="AC25"/>
  <c r="AD28" s="1"/>
  <c r="AC26"/>
  <c r="AD29" s="1"/>
  <c r="AD36" i="17" l="1"/>
  <c r="AD33"/>
  <c r="AD35"/>
  <c r="AD32"/>
  <c r="AD24"/>
  <c r="AA35" i="20"/>
  <c r="AA32"/>
  <c r="AA30"/>
  <c r="AA34"/>
  <c r="AA31"/>
  <c r="AD34" i="19"/>
  <c r="AD31"/>
  <c r="AD32"/>
  <c r="AD35"/>
  <c r="AD30"/>
  <c r="E4" i="10"/>
  <c r="D4"/>
  <c r="AD37" i="17" l="1"/>
  <c r="AD27"/>
  <c r="AD25"/>
  <c r="AE28" s="1"/>
  <c r="AD26"/>
  <c r="AE29" s="1"/>
  <c r="AA24" i="20"/>
  <c r="AA33"/>
  <c r="AA36"/>
  <c r="AD36" i="19"/>
  <c r="AD33"/>
  <c r="AD24"/>
  <c r="AE34" i="17" l="1"/>
  <c r="AE31"/>
  <c r="AE32"/>
  <c r="AE35"/>
  <c r="AE30"/>
  <c r="AE24" s="1"/>
  <c r="AA37" i="20"/>
  <c r="AA25"/>
  <c r="AB28" s="1"/>
  <c r="AA26"/>
  <c r="AA27"/>
  <c r="AD37" i="19"/>
  <c r="AD26"/>
  <c r="AD27"/>
  <c r="AD25"/>
  <c r="AE28" s="1"/>
  <c r="D6" i="10"/>
  <c r="E6"/>
  <c r="D5"/>
  <c r="E5"/>
  <c r="AE37" i="17" l="1"/>
  <c r="AE26"/>
  <c r="AE27"/>
  <c r="AE25"/>
  <c r="AF28" s="1"/>
  <c r="AE36"/>
  <c r="AE33"/>
  <c r="AB29" i="20"/>
  <c r="AB30" s="1"/>
  <c r="AB34"/>
  <c r="AB31"/>
  <c r="AE34" i="19"/>
  <c r="AE31"/>
  <c r="AE29"/>
  <c r="AE30" s="1"/>
  <c r="E7" i="10"/>
  <c r="F14"/>
  <c r="F13"/>
  <c r="D7"/>
  <c r="AF34" i="17" l="1"/>
  <c r="AF31"/>
  <c r="AF29"/>
  <c r="AB33" i="20"/>
  <c r="AB36"/>
  <c r="AB24"/>
  <c r="AB32"/>
  <c r="AB35"/>
  <c r="AE36" i="19"/>
  <c r="AE33"/>
  <c r="AE35"/>
  <c r="AE32"/>
  <c r="AE24"/>
  <c r="F16" i="10"/>
  <c r="F19" s="1"/>
  <c r="D13"/>
  <c r="E13" s="1"/>
  <c r="G13"/>
  <c r="F15"/>
  <c r="F18" s="1"/>
  <c r="D12"/>
  <c r="E12" s="1"/>
  <c r="G12"/>
  <c r="D14"/>
  <c r="E14" s="1"/>
  <c r="G14"/>
  <c r="AF35" i="17" l="1"/>
  <c r="AF32"/>
  <c r="AF30"/>
  <c r="AB37" i="20"/>
  <c r="AB25"/>
  <c r="AC28" s="1"/>
  <c r="AB27"/>
  <c r="AB26"/>
  <c r="AC29" s="1"/>
  <c r="AE37" i="19"/>
  <c r="AE27"/>
  <c r="AE25"/>
  <c r="AF28" s="1"/>
  <c r="AE26"/>
  <c r="AF29" s="1"/>
  <c r="G18" i="10"/>
  <c r="D18"/>
  <c r="E18" s="1"/>
  <c r="G19"/>
  <c r="D19"/>
  <c r="E19" s="1"/>
  <c r="F17"/>
  <c r="F20" s="1"/>
  <c r="D15"/>
  <c r="E15" s="1"/>
  <c r="G15"/>
  <c r="D16"/>
  <c r="E16" s="1"/>
  <c r="G16"/>
  <c r="AF36" i="17" l="1"/>
  <c r="AF33"/>
  <c r="AF24"/>
  <c r="AC32" i="20"/>
  <c r="AC35"/>
  <c r="AC30"/>
  <c r="AC34"/>
  <c r="AC31"/>
  <c r="AF34" i="19"/>
  <c r="AF31"/>
  <c r="AF32"/>
  <c r="AF35"/>
  <c r="AF30"/>
  <c r="AF24" s="1"/>
  <c r="G20" i="10"/>
  <c r="D20"/>
  <c r="E20" s="1"/>
  <c r="D17"/>
  <c r="E17" s="1"/>
  <c r="G17"/>
  <c r="AF37" i="17" l="1"/>
  <c r="AF27"/>
  <c r="AF25"/>
  <c r="AG28" s="1"/>
  <c r="AF26"/>
  <c r="AG29" s="1"/>
  <c r="AC24" i="20"/>
  <c r="AC36"/>
  <c r="AC33"/>
  <c r="AF37" i="19"/>
  <c r="AF26"/>
  <c r="AF27"/>
  <c r="AF25"/>
  <c r="AG28" s="1"/>
  <c r="AF36"/>
  <c r="AF33"/>
  <c r="R32" i="5"/>
  <c r="R29"/>
  <c r="R30"/>
  <c r="R33"/>
  <c r="R31"/>
  <c r="R34"/>
  <c r="AG34" i="17" l="1"/>
  <c r="AG31"/>
  <c r="AG32"/>
  <c r="AG35"/>
  <c r="AG30"/>
  <c r="AG24" s="1"/>
  <c r="AC37" i="20"/>
  <c r="AC25"/>
  <c r="AD28" s="1"/>
  <c r="AC26"/>
  <c r="AC27"/>
  <c r="AG34" i="19"/>
  <c r="AG31"/>
  <c r="AG29"/>
  <c r="AG30" s="1"/>
  <c r="R23" i="5"/>
  <c r="AG37" i="17" l="1"/>
  <c r="AG26"/>
  <c r="AG27"/>
  <c r="AG25"/>
  <c r="AH28" s="1"/>
  <c r="AG36"/>
  <c r="AG33"/>
  <c r="AD29" i="20"/>
  <c r="AD30" s="1"/>
  <c r="AD35"/>
  <c r="AD32"/>
  <c r="AD34"/>
  <c r="AD31"/>
  <c r="AG36" i="19"/>
  <c r="AG33"/>
  <c r="AG35"/>
  <c r="AG32"/>
  <c r="AG24"/>
  <c r="S26" i="5"/>
  <c r="R24"/>
  <c r="R25" s="1"/>
  <c r="AH34" i="17" l="1"/>
  <c r="AH31"/>
  <c r="AH29"/>
  <c r="AH30" s="1"/>
  <c r="AD36" i="20"/>
  <c r="AD33"/>
  <c r="AD24"/>
  <c r="AG37" i="19"/>
  <c r="AG27"/>
  <c r="AG25"/>
  <c r="AH28" s="1"/>
  <c r="AG26"/>
  <c r="AH29" s="1"/>
  <c r="S27" i="5"/>
  <c r="S30" s="1"/>
  <c r="S28"/>
  <c r="S34" s="1"/>
  <c r="S29"/>
  <c r="S32"/>
  <c r="AH36" i="17" l="1"/>
  <c r="AH33"/>
  <c r="AH35"/>
  <c r="AH32"/>
  <c r="AH24"/>
  <c r="AD37" i="20"/>
  <c r="AD25"/>
  <c r="AE28" s="1"/>
  <c r="AD27"/>
  <c r="AD26"/>
  <c r="AE29" s="1"/>
  <c r="AH34" i="19"/>
  <c r="AH31"/>
  <c r="AH32"/>
  <c r="AH35"/>
  <c r="AH30"/>
  <c r="S33" i="5"/>
  <c r="S22"/>
  <c r="S35" s="1"/>
  <c r="S31"/>
  <c r="AH37" i="17" l="1"/>
  <c r="AH27"/>
  <c r="AH25"/>
  <c r="AI28" s="1"/>
  <c r="AH26"/>
  <c r="AI29" s="1"/>
  <c r="AE35" i="20"/>
  <c r="AE32"/>
  <c r="AE30"/>
  <c r="AE34"/>
  <c r="AE31"/>
  <c r="AH36" i="19"/>
  <c r="AH33"/>
  <c r="AH24"/>
  <c r="S23" i="5"/>
  <c r="T26" s="1"/>
  <c r="AI34" i="17" l="1"/>
  <c r="AI31"/>
  <c r="AI32"/>
  <c r="AI35"/>
  <c r="AI30"/>
  <c r="AE24" i="20"/>
  <c r="AE36"/>
  <c r="AE33"/>
  <c r="AH37" i="19"/>
  <c r="AH26"/>
  <c r="AH27"/>
  <c r="AH25"/>
  <c r="AI28" s="1"/>
  <c r="S24" i="5"/>
  <c r="S25" s="1"/>
  <c r="T32"/>
  <c r="T29"/>
  <c r="AI36" i="17" l="1"/>
  <c r="AI33"/>
  <c r="AI24"/>
  <c r="AE26" i="20"/>
  <c r="AE25"/>
  <c r="AF28" s="1"/>
  <c r="AF29" s="1"/>
  <c r="AE37"/>
  <c r="AE27"/>
  <c r="AI34" i="19"/>
  <c r="AI31"/>
  <c r="AI29"/>
  <c r="AI30" s="1"/>
  <c r="T27" i="5"/>
  <c r="T33" s="1"/>
  <c r="T28"/>
  <c r="AI37" i="17" l="1"/>
  <c r="AI26"/>
  <c r="AI27"/>
  <c r="AI25"/>
  <c r="AJ28" s="1"/>
  <c r="AF30" i="20"/>
  <c r="AF35"/>
  <c r="AF32"/>
  <c r="AF34"/>
  <c r="AF31"/>
  <c r="AI36" i="19"/>
  <c r="AI33"/>
  <c r="AI35"/>
  <c r="AI32"/>
  <c r="AI24"/>
  <c r="T30" i="5"/>
  <c r="T22"/>
  <c r="T31"/>
  <c r="T34"/>
  <c r="AJ34" i="17" l="1"/>
  <c r="AJ31"/>
  <c r="AJ29"/>
  <c r="AJ30" s="1"/>
  <c r="AF33" i="20"/>
  <c r="AF36"/>
  <c r="AF24"/>
  <c r="AI37" i="19"/>
  <c r="AI27"/>
  <c r="AI25"/>
  <c r="AJ28" s="1"/>
  <c r="AI26"/>
  <c r="T23" i="5"/>
  <c r="U26" s="1"/>
  <c r="T35"/>
  <c r="AJ36" i="17" l="1"/>
  <c r="AJ33"/>
  <c r="AJ35"/>
  <c r="AJ32"/>
  <c r="AJ24"/>
  <c r="AF27" i="20"/>
  <c r="AF26"/>
  <c r="AF37"/>
  <c r="AF25"/>
  <c r="AG28" s="1"/>
  <c r="AJ34" i="19"/>
  <c r="AJ31"/>
  <c r="AJ29"/>
  <c r="T24" i="5"/>
  <c r="T25" s="1"/>
  <c r="U29"/>
  <c r="U32"/>
  <c r="AJ37" i="17" l="1"/>
  <c r="AJ27"/>
  <c r="AJ25"/>
  <c r="AK28" s="1"/>
  <c r="AJ26"/>
  <c r="AK29" s="1"/>
  <c r="AG29" i="20"/>
  <c r="AG30" s="1"/>
  <c r="AG31"/>
  <c r="AG34"/>
  <c r="AJ30" i="19"/>
  <c r="AJ24" s="1"/>
  <c r="AJ32"/>
  <c r="AJ35"/>
  <c r="U27" i="5"/>
  <c r="U30" s="1"/>
  <c r="U28"/>
  <c r="AK34" i="17" l="1"/>
  <c r="AK31"/>
  <c r="AK32"/>
  <c r="AK35"/>
  <c r="AK30"/>
  <c r="AG24" i="20"/>
  <c r="AG36"/>
  <c r="AG33"/>
  <c r="AG35"/>
  <c r="AG32"/>
  <c r="AJ37" i="19"/>
  <c r="AJ26"/>
  <c r="AJ27"/>
  <c r="AJ25"/>
  <c r="AK28" s="1"/>
  <c r="AJ36"/>
  <c r="AJ33"/>
  <c r="U22" i="5"/>
  <c r="U35" s="1"/>
  <c r="U33"/>
  <c r="U31"/>
  <c r="U34"/>
  <c r="U23"/>
  <c r="AK36" i="17" l="1"/>
  <c r="AK33"/>
  <c r="AK24"/>
  <c r="AG37" i="20"/>
  <c r="AG27"/>
  <c r="AG26"/>
  <c r="AG25"/>
  <c r="AH28" s="1"/>
  <c r="AH29" s="1"/>
  <c r="AK34" i="19"/>
  <c r="AK31"/>
  <c r="AK29"/>
  <c r="AK30" s="1"/>
  <c r="U24" i="5"/>
  <c r="V27" s="1"/>
  <c r="V33" s="1"/>
  <c r="V26"/>
  <c r="AK37" i="17" l="1"/>
  <c r="AK26"/>
  <c r="AK27"/>
  <c r="AK25"/>
  <c r="AL28" s="1"/>
  <c r="AH35" i="20"/>
  <c r="AH32"/>
  <c r="AH30"/>
  <c r="AH34"/>
  <c r="AH31"/>
  <c r="AK36" i="19"/>
  <c r="AK33"/>
  <c r="AK35"/>
  <c r="AK32"/>
  <c r="AK24"/>
  <c r="U25" i="5"/>
  <c r="V30"/>
  <c r="V29"/>
  <c r="V32"/>
  <c r="AL34" i="17" l="1"/>
  <c r="AL31"/>
  <c r="AL30"/>
  <c r="AL29"/>
  <c r="AH36" i="20"/>
  <c r="AH33"/>
  <c r="AH24"/>
  <c r="AK37" i="19"/>
  <c r="AK27"/>
  <c r="AK25"/>
  <c r="AL28" s="1"/>
  <c r="AK26"/>
  <c r="AL29" s="1"/>
  <c r="V28" i="5"/>
  <c r="V22" s="1"/>
  <c r="V35" s="1"/>
  <c r="AL35" i="17" l="1"/>
  <c r="AL32"/>
  <c r="AL24"/>
  <c r="AL36"/>
  <c r="AL33"/>
  <c r="AH37" i="20"/>
  <c r="AH25"/>
  <c r="AI28" s="1"/>
  <c r="AH27"/>
  <c r="AH26"/>
  <c r="AI29" s="1"/>
  <c r="AL32" i="19"/>
  <c r="AL35"/>
  <c r="AL34"/>
  <c r="AL31"/>
  <c r="AL30"/>
  <c r="AL24" s="1"/>
  <c r="V31" i="5"/>
  <c r="V34"/>
  <c r="V23"/>
  <c r="W26" s="1"/>
  <c r="AL37" i="17" l="1"/>
  <c r="AL27"/>
  <c r="AL25"/>
  <c r="AM28" s="1"/>
  <c r="AL26"/>
  <c r="AM29" s="1"/>
  <c r="AI30" i="20"/>
  <c r="AI24" s="1"/>
  <c r="AI32"/>
  <c r="AI35"/>
  <c r="AI31"/>
  <c r="AI34"/>
  <c r="AL37" i="19"/>
  <c r="AL26"/>
  <c r="AL27"/>
  <c r="AL25"/>
  <c r="AM28" s="1"/>
  <c r="AL36"/>
  <c r="AL33"/>
  <c r="V24" i="5"/>
  <c r="V25" s="1"/>
  <c r="W29"/>
  <c r="W32"/>
  <c r="AI33" i="20" l="1"/>
  <c r="AM34" i="17"/>
  <c r="AM31"/>
  <c r="AM32"/>
  <c r="AM35"/>
  <c r="AM30"/>
  <c r="AI36" i="20"/>
  <c r="AI26"/>
  <c r="AI25"/>
  <c r="AJ28" s="1"/>
  <c r="AJ29" s="1"/>
  <c r="AI37"/>
  <c r="AI27"/>
  <c r="AM34" i="19"/>
  <c r="AM31"/>
  <c r="AM29"/>
  <c r="AM30" s="1"/>
  <c r="W27" i="5"/>
  <c r="W30" s="1"/>
  <c r="W28"/>
  <c r="AM36" i="17" l="1"/>
  <c r="AM33"/>
  <c r="AM24"/>
  <c r="AJ30" i="20"/>
  <c r="AJ24" s="1"/>
  <c r="AJ32"/>
  <c r="AJ35"/>
  <c r="AJ34"/>
  <c r="AJ31"/>
  <c r="AM36" i="19"/>
  <c r="AM33"/>
  <c r="AM35"/>
  <c r="AM32"/>
  <c r="AM24"/>
  <c r="W33" i="5"/>
  <c r="W22"/>
  <c r="W34"/>
  <c r="W31"/>
  <c r="AM37" i="17" l="1"/>
  <c r="AM26"/>
  <c r="AM27"/>
  <c r="AM25"/>
  <c r="AN28" s="1"/>
  <c r="AJ33" i="20"/>
  <c r="AJ36"/>
  <c r="AJ37"/>
  <c r="AJ25"/>
  <c r="AK28" s="1"/>
  <c r="AJ27"/>
  <c r="AJ26"/>
  <c r="AK29" s="1"/>
  <c r="AM37" i="19"/>
  <c r="AM27"/>
  <c r="AM25"/>
  <c r="AN28" s="1"/>
  <c r="AM26"/>
  <c r="AN29" s="1"/>
  <c r="W23" i="5"/>
  <c r="X26" s="1"/>
  <c r="X29" s="1"/>
  <c r="W35"/>
  <c r="W24"/>
  <c r="AN34" i="17" l="1"/>
  <c r="AN31"/>
  <c r="AN29"/>
  <c r="AN30" s="1"/>
  <c r="AK35" i="20"/>
  <c r="AK32"/>
  <c r="AK30"/>
  <c r="AK31"/>
  <c r="AK34"/>
  <c r="AN32" i="19"/>
  <c r="AN35"/>
  <c r="AN34"/>
  <c r="AN31"/>
  <c r="AN30"/>
  <c r="AN24" s="1"/>
  <c r="X32" i="5"/>
  <c r="X27"/>
  <c r="W25"/>
  <c r="X28" s="1"/>
  <c r="AN36" i="17" l="1"/>
  <c r="AN33"/>
  <c r="AN35"/>
  <c r="AN32"/>
  <c r="AN24"/>
  <c r="AK24" i="20"/>
  <c r="AK33"/>
  <c r="AK36"/>
  <c r="AN37" i="19"/>
  <c r="AN26"/>
  <c r="AN27"/>
  <c r="AN25"/>
  <c r="AO28" s="1"/>
  <c r="AN36"/>
  <c r="AN33"/>
  <c r="X22" i="5"/>
  <c r="X35" s="1"/>
  <c r="X33"/>
  <c r="X30"/>
  <c r="X31"/>
  <c r="X34"/>
  <c r="AN37" i="17" l="1"/>
  <c r="AN27"/>
  <c r="AN25"/>
  <c r="AO28" s="1"/>
  <c r="AN26"/>
  <c r="AO29" s="1"/>
  <c r="AK26" i="20"/>
  <c r="AK37"/>
  <c r="AK27"/>
  <c r="AK25"/>
  <c r="AL28" s="1"/>
  <c r="AL29" s="1"/>
  <c r="AO34" i="19"/>
  <c r="AO31"/>
  <c r="AO29"/>
  <c r="AO30" s="1"/>
  <c r="X23" i="5"/>
  <c r="AO34" i="17" l="1"/>
  <c r="AO31"/>
  <c r="AO32"/>
  <c r="AO35"/>
  <c r="AO30"/>
  <c r="AL30" i="20"/>
  <c r="AL35"/>
  <c r="AL32"/>
  <c r="AL31"/>
  <c r="AL34"/>
  <c r="AO36" i="19"/>
  <c r="AO33"/>
  <c r="AO35"/>
  <c r="AO32"/>
  <c r="AO24"/>
  <c r="Y26" i="5"/>
  <c r="Y29" s="1"/>
  <c r="X24"/>
  <c r="AO36" i="17" l="1"/>
  <c r="AO33"/>
  <c r="AO24"/>
  <c r="AL33" i="20"/>
  <c r="AL36"/>
  <c r="AL24"/>
  <c r="AO37" i="19"/>
  <c r="AO27"/>
  <c r="AO25"/>
  <c r="AP28" s="1"/>
  <c r="AO26"/>
  <c r="AP29" s="1"/>
  <c r="Y32" i="5"/>
  <c r="Y27"/>
  <c r="X25"/>
  <c r="Y28" s="1"/>
  <c r="AO37" i="17" l="1"/>
  <c r="AO26"/>
  <c r="AO27"/>
  <c r="AO25"/>
  <c r="AP28" s="1"/>
  <c r="AL27" i="20"/>
  <c r="AL26"/>
  <c r="AL37"/>
  <c r="AL25"/>
  <c r="AM28" s="1"/>
  <c r="AM29" s="1"/>
  <c r="AP34" i="19"/>
  <c r="AP31"/>
  <c r="AP32"/>
  <c r="AP35"/>
  <c r="AP30"/>
  <c r="Y22" i="5"/>
  <c r="Y35" s="1"/>
  <c r="Y33"/>
  <c r="Y30"/>
  <c r="AP34" i="17" l="1"/>
  <c r="AP31"/>
  <c r="AP29"/>
  <c r="AP30" s="1"/>
  <c r="AM35" i="20"/>
  <c r="AM32"/>
  <c r="AM30"/>
  <c r="AM31"/>
  <c r="AM34"/>
  <c r="AP36" i="19"/>
  <c r="AP33"/>
  <c r="AP24"/>
  <c r="Y23" i="5"/>
  <c r="Z26" s="1"/>
  <c r="Y34"/>
  <c r="Y31"/>
  <c r="AP36" i="17" l="1"/>
  <c r="AP33"/>
  <c r="AP35"/>
  <c r="AP32"/>
  <c r="AP24"/>
  <c r="AM24" i="20"/>
  <c r="AM36"/>
  <c r="AM33"/>
  <c r="AP37" i="19"/>
  <c r="AP26"/>
  <c r="AP27"/>
  <c r="AP25"/>
  <c r="AQ28" s="1"/>
  <c r="Y24" i="5"/>
  <c r="Y25" s="1"/>
  <c r="Z29"/>
  <c r="Z32"/>
  <c r="AP37" i="17" l="1"/>
  <c r="AP27"/>
  <c r="AP25"/>
  <c r="AQ28" s="1"/>
  <c r="AP26"/>
  <c r="AQ29" s="1"/>
  <c r="AM37" i="20"/>
  <c r="AM26"/>
  <c r="AM27"/>
  <c r="AM25"/>
  <c r="AN28" s="1"/>
  <c r="AQ34" i="19"/>
  <c r="AQ31"/>
  <c r="AQ29"/>
  <c r="AQ30" s="1"/>
  <c r="Z27" i="5"/>
  <c r="Z30" s="1"/>
  <c r="Z28"/>
  <c r="AQ34" i="17" l="1"/>
  <c r="AQ31"/>
  <c r="AQ32"/>
  <c r="AQ35"/>
  <c r="AQ30"/>
  <c r="AN31" i="20"/>
  <c r="AN34"/>
  <c r="AN29"/>
  <c r="AQ36" i="19"/>
  <c r="AQ33"/>
  <c r="AQ35"/>
  <c r="AQ32"/>
  <c r="AQ24"/>
  <c r="Z22" i="5"/>
  <c r="Z35" s="1"/>
  <c r="Z33"/>
  <c r="Z31"/>
  <c r="Z34"/>
  <c r="AQ36" i="17" l="1"/>
  <c r="AQ33"/>
  <c r="AQ24"/>
  <c r="AN30" i="20"/>
  <c r="AN24" s="1"/>
  <c r="AN32"/>
  <c r="AN35"/>
  <c r="AQ37" i="19"/>
  <c r="AQ27"/>
  <c r="AQ25"/>
  <c r="AR28" s="1"/>
  <c r="AQ26"/>
  <c r="AR29" s="1"/>
  <c r="Z23" i="5"/>
  <c r="AQ37" i="17" l="1"/>
  <c r="AQ26"/>
  <c r="AQ27"/>
  <c r="AQ25"/>
  <c r="AR28" s="1"/>
  <c r="AN26" i="20"/>
  <c r="AN37"/>
  <c r="AN25"/>
  <c r="AO28" s="1"/>
  <c r="AO29" s="1"/>
  <c r="AN27"/>
  <c r="AN36"/>
  <c r="AN33"/>
  <c r="AR34" i="19"/>
  <c r="AR31"/>
  <c r="AR32"/>
  <c r="AR35"/>
  <c r="AR30"/>
  <c r="AA26" i="5"/>
  <c r="AA32" s="1"/>
  <c r="Z24"/>
  <c r="AR34" i="17" l="1"/>
  <c r="AR31"/>
  <c r="AR29"/>
  <c r="AR30" s="1"/>
  <c r="AO35" i="20"/>
  <c r="AO32"/>
  <c r="AO31"/>
  <c r="AO34"/>
  <c r="AO30"/>
  <c r="AO24" s="1"/>
  <c r="AR36" i="19"/>
  <c r="AR33"/>
  <c r="AR24"/>
  <c r="AA29" i="5"/>
  <c r="AA27"/>
  <c r="Z25"/>
  <c r="AA28" s="1"/>
  <c r="AR36" i="17" l="1"/>
  <c r="AR33"/>
  <c r="AR35"/>
  <c r="AR32"/>
  <c r="AR24"/>
  <c r="AO37" i="20"/>
  <c r="AO27"/>
  <c r="AO25"/>
  <c r="AP28" s="1"/>
  <c r="AO26"/>
  <c r="AP29" s="1"/>
  <c r="AO33"/>
  <c r="AO36"/>
  <c r="AR37" i="19"/>
  <c r="AR26"/>
  <c r="AR27"/>
  <c r="AR25"/>
  <c r="AS28" s="1"/>
  <c r="AA22" i="5"/>
  <c r="AA35" s="1"/>
  <c r="AA30"/>
  <c r="AA33"/>
  <c r="AR37" i="17" l="1"/>
  <c r="AR27"/>
  <c r="AR25"/>
  <c r="AS28" s="1"/>
  <c r="AR26"/>
  <c r="AS29" s="1"/>
  <c r="AP30" i="20"/>
  <c r="AP35"/>
  <c r="AP32"/>
  <c r="AP34"/>
  <c r="AP31"/>
  <c r="AS34" i="19"/>
  <c r="AS31"/>
  <c r="AS29"/>
  <c r="AS30" s="1"/>
  <c r="AA31" i="5"/>
  <c r="AA34"/>
  <c r="AS32" i="17" l="1"/>
  <c r="AS35"/>
  <c r="AS34"/>
  <c r="AS31"/>
  <c r="AS30"/>
  <c r="AS24" s="1"/>
  <c r="AP36" i="20"/>
  <c r="AP33"/>
  <c r="AP24"/>
  <c r="AS36" i="19"/>
  <c r="AS33"/>
  <c r="AS35"/>
  <c r="AS32"/>
  <c r="AS24"/>
  <c r="AA23" i="5"/>
  <c r="AS37" i="17" l="1"/>
  <c r="AS26"/>
  <c r="AS27"/>
  <c r="AS25"/>
  <c r="AT28" s="1"/>
  <c r="AS36"/>
  <c r="AS33"/>
  <c r="AP37" i="20"/>
  <c r="AP25"/>
  <c r="AQ28" s="1"/>
  <c r="AP27"/>
  <c r="AP26"/>
  <c r="AQ29" s="1"/>
  <c r="AS37" i="19"/>
  <c r="AS27"/>
  <c r="AS25"/>
  <c r="AT28" s="1"/>
  <c r="AS26"/>
  <c r="AT29" s="1"/>
  <c r="AB26" i="5"/>
  <c r="AA24"/>
  <c r="AA25" s="1"/>
  <c r="AT34" i="17" l="1"/>
  <c r="AT31"/>
  <c r="AT30"/>
  <c r="AT29"/>
  <c r="AQ32" i="20"/>
  <c r="AQ35"/>
  <c r="AQ30"/>
  <c r="AQ31"/>
  <c r="AQ34"/>
  <c r="AT34" i="19"/>
  <c r="AT31"/>
  <c r="AT32"/>
  <c r="AT35"/>
  <c r="AT30"/>
  <c r="AT24" s="1"/>
  <c r="D4" i="5"/>
  <c r="K15"/>
  <c r="AB32"/>
  <c r="E4" s="1"/>
  <c r="AB29"/>
  <c r="AB28"/>
  <c r="K17" s="1"/>
  <c r="AB27"/>
  <c r="K16" s="1"/>
  <c r="AT35" i="17" l="1"/>
  <c r="AT32"/>
  <c r="AT24"/>
  <c r="AT36"/>
  <c r="AT33"/>
  <c r="AQ36" i="20"/>
  <c r="AQ33"/>
  <c r="AQ24"/>
  <c r="AT37" i="19"/>
  <c r="AT26"/>
  <c r="AT27"/>
  <c r="AT25"/>
  <c r="AU28" s="1"/>
  <c r="AT36"/>
  <c r="AT33"/>
  <c r="I16" i="5"/>
  <c r="J16" s="1"/>
  <c r="D5"/>
  <c r="L17"/>
  <c r="D6"/>
  <c r="L16"/>
  <c r="L15"/>
  <c r="I15"/>
  <c r="J15" s="1"/>
  <c r="AB22"/>
  <c r="D7" s="1"/>
  <c r="AB30"/>
  <c r="AB33"/>
  <c r="E5" s="1"/>
  <c r="AB34"/>
  <c r="E6" s="1"/>
  <c r="AB31"/>
  <c r="AT37" i="17" l="1"/>
  <c r="AT27"/>
  <c r="AT25"/>
  <c r="AU28" s="1"/>
  <c r="AT26"/>
  <c r="AQ37" i="20"/>
  <c r="AQ25"/>
  <c r="AR28" s="1"/>
  <c r="AQ27"/>
  <c r="AQ26"/>
  <c r="AR29" s="1"/>
  <c r="AU34" i="19"/>
  <c r="AU31"/>
  <c r="AU29"/>
  <c r="I17" i="5"/>
  <c r="J17" s="1"/>
  <c r="AB35"/>
  <c r="E7" s="1"/>
  <c r="F13"/>
  <c r="F14"/>
  <c r="F12"/>
  <c r="AB23"/>
  <c r="K12" s="1"/>
  <c r="AU34" i="17" l="1"/>
  <c r="AU31"/>
  <c r="AU29"/>
  <c r="AR30" i="20"/>
  <c r="AR24" s="1"/>
  <c r="AR32"/>
  <c r="AR35"/>
  <c r="AR34"/>
  <c r="AR31"/>
  <c r="AU35" i="19"/>
  <c r="AU32"/>
  <c r="AU30"/>
  <c r="F15" i="5"/>
  <c r="P12" s="1"/>
  <c r="D14"/>
  <c r="E14" s="1"/>
  <c r="G14"/>
  <c r="D12"/>
  <c r="E12" s="1"/>
  <c r="G12"/>
  <c r="D13"/>
  <c r="E13" s="1"/>
  <c r="G13"/>
  <c r="AB24"/>
  <c r="K13" s="1"/>
  <c r="AU30" i="17" l="1"/>
  <c r="AU24" s="1"/>
  <c r="AU32"/>
  <c r="AU35"/>
  <c r="AR33" i="20"/>
  <c r="AR36"/>
  <c r="AR37"/>
  <c r="AR25"/>
  <c r="AS28" s="1"/>
  <c r="AR27"/>
  <c r="AR26"/>
  <c r="AS29" s="1"/>
  <c r="AU36" i="19"/>
  <c r="AU33"/>
  <c r="AU24"/>
  <c r="F16" i="5"/>
  <c r="P13" s="1"/>
  <c r="D15"/>
  <c r="E15" s="1"/>
  <c r="G15"/>
  <c r="L12"/>
  <c r="I12"/>
  <c r="J12" s="1"/>
  <c r="AB25"/>
  <c r="K14" s="1"/>
  <c r="AU37" i="17" l="1"/>
  <c r="AU26"/>
  <c r="AU27"/>
  <c r="AU25"/>
  <c r="AV28" s="1"/>
  <c r="AU36"/>
  <c r="AU33"/>
  <c r="AS35" i="20"/>
  <c r="AS32"/>
  <c r="AS30"/>
  <c r="AS31"/>
  <c r="AS34"/>
  <c r="AU37" i="19"/>
  <c r="AU27"/>
  <c r="AU25"/>
  <c r="AV28" s="1"/>
  <c r="AU26"/>
  <c r="AV29" s="1"/>
  <c r="F17" i="5"/>
  <c r="P14" s="1"/>
  <c r="Q12"/>
  <c r="N12"/>
  <c r="O12" s="1"/>
  <c r="L13"/>
  <c r="I13"/>
  <c r="J13" s="1"/>
  <c r="D16"/>
  <c r="E16" s="1"/>
  <c r="G16"/>
  <c r="AV34" i="17" l="1"/>
  <c r="AV31"/>
  <c r="AV29"/>
  <c r="AS24" i="20"/>
  <c r="AS33"/>
  <c r="AS36"/>
  <c r="AV32" i="19"/>
  <c r="AV35"/>
  <c r="AV34"/>
  <c r="AV31"/>
  <c r="AV30"/>
  <c r="AV24" s="1"/>
  <c r="D17" i="5"/>
  <c r="E17" s="1"/>
  <c r="G17"/>
  <c r="N13"/>
  <c r="O13" s="1"/>
  <c r="Q13"/>
  <c r="L14"/>
  <c r="I14"/>
  <c r="J14" s="1"/>
  <c r="AV35" i="17" l="1"/>
  <c r="AV32"/>
  <c r="AV30"/>
  <c r="AS26" i="20"/>
  <c r="AS27"/>
  <c r="AS37"/>
  <c r="AS25"/>
  <c r="AT28" s="1"/>
  <c r="AT29" s="1"/>
  <c r="AV37" i="19"/>
  <c r="AV26"/>
  <c r="AV27"/>
  <c r="AV25"/>
  <c r="AW28" s="1"/>
  <c r="AV36"/>
  <c r="AV33"/>
  <c r="Q14" i="5"/>
  <c r="N14"/>
  <c r="O14" s="1"/>
  <c r="P26" i="2"/>
  <c r="AV36" i="17" l="1"/>
  <c r="AV33"/>
  <c r="AV24"/>
  <c r="AT30" i="20"/>
  <c r="AT24" s="1"/>
  <c r="AT32"/>
  <c r="AT35"/>
  <c r="AT34"/>
  <c r="AT31"/>
  <c r="AW34" i="19"/>
  <c r="AW31"/>
  <c r="AW29"/>
  <c r="AW30" s="1"/>
  <c r="Q31" i="2"/>
  <c r="Q27"/>
  <c r="P28"/>
  <c r="AV37" i="17" l="1"/>
  <c r="AV27"/>
  <c r="AV25"/>
  <c r="AW28" s="1"/>
  <c r="AV26"/>
  <c r="AW29" s="1"/>
  <c r="AT33" i="20"/>
  <c r="AT36"/>
  <c r="AT37"/>
  <c r="AT25"/>
  <c r="AU28" s="1"/>
  <c r="AT27"/>
  <c r="AT26"/>
  <c r="AU29" s="1"/>
  <c r="AW36" i="19"/>
  <c r="AW33"/>
  <c r="AW35"/>
  <c r="AW32"/>
  <c r="AW24"/>
  <c r="Q25" i="2"/>
  <c r="Q21"/>
  <c r="Q29"/>
  <c r="Q30"/>
  <c r="Q26"/>
  <c r="AW34" i="17" l="1"/>
  <c r="AW31"/>
  <c r="AW32"/>
  <c r="AW35"/>
  <c r="AW30"/>
  <c r="AU32" i="20"/>
  <c r="AU35"/>
  <c r="AU30"/>
  <c r="AU34"/>
  <c r="AU31"/>
  <c r="AW37" i="19"/>
  <c r="AW27"/>
  <c r="AW25"/>
  <c r="AX28" s="1"/>
  <c r="AW26"/>
  <c r="AX29" s="1"/>
  <c r="R23" i="2"/>
  <c r="R22"/>
  <c r="R24"/>
  <c r="Q28"/>
  <c r="AW36" i="17" l="1"/>
  <c r="AW33"/>
  <c r="AW24"/>
  <c r="AU24" i="20"/>
  <c r="AU33"/>
  <c r="AU36"/>
  <c r="AX34" i="19"/>
  <c r="AX31"/>
  <c r="AX32"/>
  <c r="AX35"/>
  <c r="AX30"/>
  <c r="R30" i="2"/>
  <c r="R26"/>
  <c r="R25"/>
  <c r="R21"/>
  <c r="R29"/>
  <c r="R27"/>
  <c r="R31"/>
  <c r="AW37" i="17" l="1"/>
  <c r="AW26"/>
  <c r="AW27"/>
  <c r="AW25"/>
  <c r="AX28" s="1"/>
  <c r="AU37" i="20"/>
  <c r="AU26"/>
  <c r="AU27"/>
  <c r="AU25"/>
  <c r="AV28" s="1"/>
  <c r="AX36" i="19"/>
  <c r="AX33"/>
  <c r="AX24"/>
  <c r="S22" i="2"/>
  <c r="S23"/>
  <c r="S24"/>
  <c r="R28"/>
  <c r="AX34" i="17" l="1"/>
  <c r="AX31"/>
  <c r="AX29"/>
  <c r="AX30" s="1"/>
  <c r="AV31" i="20"/>
  <c r="AV34"/>
  <c r="AV29"/>
  <c r="AX37" i="19"/>
  <c r="AX26"/>
  <c r="AX27"/>
  <c r="AX25"/>
  <c r="AY28" s="1"/>
  <c r="S26" i="2"/>
  <c r="S30"/>
  <c r="S27"/>
  <c r="S31"/>
  <c r="S29"/>
  <c r="S21"/>
  <c r="S25"/>
  <c r="AX36" i="17" l="1"/>
  <c r="AX33"/>
  <c r="AX35"/>
  <c r="AX32"/>
  <c r="AX24"/>
  <c r="AV30" i="20"/>
  <c r="AV24" s="1"/>
  <c r="AV32"/>
  <c r="AV35"/>
  <c r="AY34" i="19"/>
  <c r="AY31"/>
  <c r="AY29"/>
  <c r="AY30" s="1"/>
  <c r="T22" i="2"/>
  <c r="T23"/>
  <c r="T24"/>
  <c r="S28"/>
  <c r="AX37" i="17" l="1"/>
  <c r="AX27"/>
  <c r="AX25"/>
  <c r="AY28" s="1"/>
  <c r="AX26"/>
  <c r="AY29" s="1"/>
  <c r="AV27" i="20"/>
  <c r="AV26"/>
  <c r="AV37"/>
  <c r="AV25"/>
  <c r="AW28" s="1"/>
  <c r="AW29" s="1"/>
  <c r="AV36"/>
  <c r="AV33"/>
  <c r="AY35" i="19"/>
  <c r="AY32"/>
  <c r="AY24"/>
  <c r="AY36"/>
  <c r="AY33"/>
  <c r="T31" i="2"/>
  <c r="T27"/>
  <c r="T30"/>
  <c r="T26"/>
  <c r="T29"/>
  <c r="T21"/>
  <c r="T25"/>
  <c r="AY34" i="17" l="1"/>
  <c r="AY31"/>
  <c r="AY32"/>
  <c r="AY35"/>
  <c r="AY30"/>
  <c r="AW35" i="20"/>
  <c r="AW32"/>
  <c r="AW30"/>
  <c r="AW31"/>
  <c r="AW34"/>
  <c r="AY37" i="19"/>
  <c r="AY27"/>
  <c r="AY25"/>
  <c r="AZ28" s="1"/>
  <c r="AY26"/>
  <c r="AZ29" s="1"/>
  <c r="U22" i="2"/>
  <c r="U23"/>
  <c r="U24"/>
  <c r="T28"/>
  <c r="AY36" i="17" l="1"/>
  <c r="AY33"/>
  <c r="AY24"/>
  <c r="AW24" i="20"/>
  <c r="AW36"/>
  <c r="AW33"/>
  <c r="AZ32" i="19"/>
  <c r="AZ35"/>
  <c r="AZ34"/>
  <c r="AZ31"/>
  <c r="AZ30"/>
  <c r="AZ24" s="1"/>
  <c r="U31" i="2"/>
  <c r="U27"/>
  <c r="U29"/>
  <c r="U21"/>
  <c r="U25"/>
  <c r="U30"/>
  <c r="U26"/>
  <c r="AY37" i="17" l="1"/>
  <c r="AY26"/>
  <c r="AY27"/>
  <c r="AY25"/>
  <c r="AZ28" s="1"/>
  <c r="AW37" i="20"/>
  <c r="AW26"/>
  <c r="AW27"/>
  <c r="AW25"/>
  <c r="AX28" s="1"/>
  <c r="AX29" s="1"/>
  <c r="AZ37" i="19"/>
  <c r="AZ26"/>
  <c r="AZ27"/>
  <c r="AZ25"/>
  <c r="BA28" s="1"/>
  <c r="AZ36"/>
  <c r="AZ33"/>
  <c r="V22" i="2"/>
  <c r="V23"/>
  <c r="V24"/>
  <c r="U28"/>
  <c r="AZ34" i="17" l="1"/>
  <c r="AZ31"/>
  <c r="AZ29"/>
  <c r="AZ30" s="1"/>
  <c r="AX30" i="20"/>
  <c r="AX35"/>
  <c r="AX32"/>
  <c r="AX34"/>
  <c r="AX31"/>
  <c r="BA34" i="19"/>
  <c r="BA31"/>
  <c r="BA29"/>
  <c r="BA30" s="1"/>
  <c r="V27" i="2"/>
  <c r="V31"/>
  <c r="V29"/>
  <c r="V21"/>
  <c r="V25"/>
  <c r="V26"/>
  <c r="V30"/>
  <c r="AZ36" i="17" l="1"/>
  <c r="AZ33"/>
  <c r="AZ35"/>
  <c r="AZ32"/>
  <c r="AZ24"/>
  <c r="AX33" i="20"/>
  <c r="AX36"/>
  <c r="AX24"/>
  <c r="BA36" i="19"/>
  <c r="BA33"/>
  <c r="BA35"/>
  <c r="BA32"/>
  <c r="BA24"/>
  <c r="W22" i="2"/>
  <c r="W23"/>
  <c r="W24"/>
  <c r="V28"/>
  <c r="AZ37" i="17" l="1"/>
  <c r="AZ27"/>
  <c r="AZ25"/>
  <c r="BA28" s="1"/>
  <c r="AZ26"/>
  <c r="BA29" s="1"/>
  <c r="AX25" i="20"/>
  <c r="AY28" s="1"/>
  <c r="AX27"/>
  <c r="AX26"/>
  <c r="AY29" s="1"/>
  <c r="AX37"/>
  <c r="BA37" i="19"/>
  <c r="BA27"/>
  <c r="BA25"/>
  <c r="BB28" s="1"/>
  <c r="BA26"/>
  <c r="BB29" s="1"/>
  <c r="W26" i="2"/>
  <c r="W30"/>
  <c r="W31"/>
  <c r="W27"/>
  <c r="W25"/>
  <c r="W29"/>
  <c r="W21"/>
  <c r="BA32" i="17" l="1"/>
  <c r="BA35"/>
  <c r="BA34"/>
  <c r="BA31"/>
  <c r="BA30"/>
  <c r="BA24" s="1"/>
  <c r="AY35" i="20"/>
  <c r="AY32"/>
  <c r="AY31"/>
  <c r="AY34"/>
  <c r="AY30"/>
  <c r="AY24" s="1"/>
  <c r="BB34" i="19"/>
  <c r="BB31"/>
  <c r="BB32"/>
  <c r="BB35"/>
  <c r="BB30"/>
  <c r="X22" i="2"/>
  <c r="X23"/>
  <c r="X24"/>
  <c r="W28"/>
  <c r="BA37" i="17" l="1"/>
  <c r="BA26"/>
  <c r="BA27"/>
  <c r="BA25"/>
  <c r="BB28" s="1"/>
  <c r="BA36"/>
  <c r="BA33"/>
  <c r="AY37" i="20"/>
  <c r="AY27"/>
  <c r="AY26"/>
  <c r="AY25"/>
  <c r="AZ28" s="1"/>
  <c r="AZ29" s="1"/>
  <c r="AY33"/>
  <c r="AY36"/>
  <c r="BB36" i="19"/>
  <c r="BB33"/>
  <c r="BB24"/>
  <c r="X25" i="2"/>
  <c r="X29"/>
  <c r="X21"/>
  <c r="X27"/>
  <c r="X31"/>
  <c r="X30"/>
  <c r="X26"/>
  <c r="BB34" i="17" l="1"/>
  <c r="BB31"/>
  <c r="BB30"/>
  <c r="BB29"/>
  <c r="AZ30" i="20"/>
  <c r="AZ35"/>
  <c r="AZ32"/>
  <c r="AZ31"/>
  <c r="AZ34"/>
  <c r="BB37" i="19"/>
  <c r="BB26"/>
  <c r="BB27"/>
  <c r="BB25"/>
  <c r="BC28" s="1"/>
  <c r="Y22" i="2"/>
  <c r="Y23"/>
  <c r="Y24"/>
  <c r="X28"/>
  <c r="BB35" i="17" l="1"/>
  <c r="BB32"/>
  <c r="BB24"/>
  <c r="BB36"/>
  <c r="BB33"/>
  <c r="AZ36" i="20"/>
  <c r="AZ33"/>
  <c r="AZ24"/>
  <c r="BC34" i="19"/>
  <c r="BC31"/>
  <c r="BC29"/>
  <c r="BC30" s="1"/>
  <c r="Y31" i="2"/>
  <c r="Y27"/>
  <c r="Y30"/>
  <c r="Y26"/>
  <c r="Y25"/>
  <c r="Y29"/>
  <c r="Y21"/>
  <c r="BB37" i="17" l="1"/>
  <c r="BB27"/>
  <c r="BB25"/>
  <c r="BC28" s="1"/>
  <c r="BB26"/>
  <c r="BC29" s="1"/>
  <c r="AZ27" i="20"/>
  <c r="AZ26"/>
  <c r="AZ37"/>
  <c r="AZ25"/>
  <c r="BA28" s="1"/>
  <c r="BC36" i="19"/>
  <c r="BC33"/>
  <c r="BC35"/>
  <c r="BC32"/>
  <c r="BC24"/>
  <c r="Z22" i="2"/>
  <c r="D4" s="1"/>
  <c r="Z23"/>
  <c r="D5" s="1"/>
  <c r="Z24"/>
  <c r="D6" s="1"/>
  <c r="Y28"/>
  <c r="BC34" i="17" l="1"/>
  <c r="BC31"/>
  <c r="BC32"/>
  <c r="BC35"/>
  <c r="BC30"/>
  <c r="BC24" s="1"/>
  <c r="BA29" i="20"/>
  <c r="BA30" s="1"/>
  <c r="BA34"/>
  <c r="BA31"/>
  <c r="BC37" i="19"/>
  <c r="BC27"/>
  <c r="BC25"/>
  <c r="BD28" s="1"/>
  <c r="BC26"/>
  <c r="BD29" s="1"/>
  <c r="Z30" i="2"/>
  <c r="Z26"/>
  <c r="E5" s="1"/>
  <c r="Z25"/>
  <c r="E4" s="1"/>
  <c r="Z29"/>
  <c r="Z21"/>
  <c r="D7" s="1"/>
  <c r="Z27"/>
  <c r="E6" s="1"/>
  <c r="Z31"/>
  <c r="BA32" i="20" l="1"/>
  <c r="BC37" i="17"/>
  <c r="BC26"/>
  <c r="BC27"/>
  <c r="BC25"/>
  <c r="BD28" s="1"/>
  <c r="BC36"/>
  <c r="BC33"/>
  <c r="BA33" i="20"/>
  <c r="BA36"/>
  <c r="BA24"/>
  <c r="BA35"/>
  <c r="BA37"/>
  <c r="BA26"/>
  <c r="BA27"/>
  <c r="BA25"/>
  <c r="BB28" s="1"/>
  <c r="BD32" i="19"/>
  <c r="BD35"/>
  <c r="BD34"/>
  <c r="BD31"/>
  <c r="BD30"/>
  <c r="BD24" s="1"/>
  <c r="F13" i="2"/>
  <c r="F14"/>
  <c r="F12"/>
  <c r="Z28"/>
  <c r="E7" s="1"/>
  <c r="BD34" i="17" l="1"/>
  <c r="BD31"/>
  <c r="BD29"/>
  <c r="BB31" i="20"/>
  <c r="BB34"/>
  <c r="BB29"/>
  <c r="BD37" i="19"/>
  <c r="BD26"/>
  <c r="BD27"/>
  <c r="BD25"/>
  <c r="BE28" s="1"/>
  <c r="BD36"/>
  <c r="BD33"/>
  <c r="D14" i="2"/>
  <c r="E14" s="1"/>
  <c r="G14"/>
  <c r="G12"/>
  <c r="D12"/>
  <c r="E12" s="1"/>
  <c r="G13"/>
  <c r="D13"/>
  <c r="E13" s="1"/>
  <c r="P45" i="12"/>
  <c r="P24"/>
  <c r="P34" s="1"/>
  <c r="BD35" i="17" l="1"/>
  <c r="BD32"/>
  <c r="BD30"/>
  <c r="BB30" i="20"/>
  <c r="BB24" s="1"/>
  <c r="BB35"/>
  <c r="BB32"/>
  <c r="BE34" i="19"/>
  <c r="BE31"/>
  <c r="BE29"/>
  <c r="P25" i="12"/>
  <c r="P31" s="1"/>
  <c r="P46"/>
  <c r="BD36" i="17" l="1"/>
  <c r="BD33"/>
  <c r="BD24"/>
  <c r="BB37" i="20"/>
  <c r="BB27"/>
  <c r="BB26"/>
  <c r="BB25"/>
  <c r="BC28" s="1"/>
  <c r="BB33"/>
  <c r="BB36"/>
  <c r="BE35" i="19"/>
  <c r="BE32"/>
  <c r="BE30"/>
  <c r="Q28" i="12"/>
  <c r="P35"/>
  <c r="P26" s="1"/>
  <c r="P36" s="1"/>
  <c r="BD37" i="17" l="1"/>
  <c r="BD27"/>
  <c r="BD25"/>
  <c r="BE28" s="1"/>
  <c r="BD26"/>
  <c r="BE29" s="1"/>
  <c r="BC29" i="20"/>
  <c r="BC30" s="1"/>
  <c r="BC34"/>
  <c r="BC31"/>
  <c r="BE36" i="19"/>
  <c r="BE33"/>
  <c r="BE24"/>
  <c r="P32" i="12"/>
  <c r="Q40"/>
  <c r="Q43"/>
  <c r="P27"/>
  <c r="P33" s="1"/>
  <c r="Q29"/>
  <c r="P38"/>
  <c r="BE32" i="17" l="1"/>
  <c r="BE35"/>
  <c r="BE34"/>
  <c r="BE31"/>
  <c r="BE30"/>
  <c r="BE24" s="1"/>
  <c r="BC33" i="20"/>
  <c r="BC36"/>
  <c r="BC24"/>
  <c r="BC35"/>
  <c r="BC32"/>
  <c r="BE37" i="19"/>
  <c r="BE27"/>
  <c r="BE25"/>
  <c r="BF28" s="1"/>
  <c r="BE26"/>
  <c r="BF29" s="1"/>
  <c r="Q44" i="12"/>
  <c r="Q41"/>
  <c r="Q30"/>
  <c r="BE37" i="17" l="1"/>
  <c r="BE26"/>
  <c r="BE27"/>
  <c r="BE25"/>
  <c r="BF28" s="1"/>
  <c r="BE36"/>
  <c r="BE33"/>
  <c r="BC26" i="20"/>
  <c r="BC25"/>
  <c r="BD28" s="1"/>
  <c r="BC27"/>
  <c r="BC37"/>
  <c r="BD29"/>
  <c r="BF34" i="19"/>
  <c r="BF31"/>
  <c r="BF32"/>
  <c r="BF35"/>
  <c r="BF30"/>
  <c r="BF24" s="1"/>
  <c r="Q42" i="12"/>
  <c r="Q45"/>
  <c r="Q24"/>
  <c r="BF34" i="17" l="1"/>
  <c r="BF31"/>
  <c r="BF29"/>
  <c r="BD30" i="20"/>
  <c r="BD24" s="1"/>
  <c r="BD32"/>
  <c r="BD35"/>
  <c r="BD31"/>
  <c r="BD34"/>
  <c r="BF37" i="19"/>
  <c r="BF26"/>
  <c r="BF27"/>
  <c r="BF25"/>
  <c r="BG28" s="1"/>
  <c r="BF36"/>
  <c r="BF33"/>
  <c r="Q46" i="12"/>
  <c r="Q34"/>
  <c r="Q25" s="1"/>
  <c r="BF35" i="17" l="1"/>
  <c r="BF32"/>
  <c r="BF30"/>
  <c r="BD36" i="20"/>
  <c r="BD33"/>
  <c r="BD27"/>
  <c r="BD26"/>
  <c r="BD25"/>
  <c r="BE28" s="1"/>
  <c r="BE29" s="1"/>
  <c r="BD37"/>
  <c r="BG34" i="19"/>
  <c r="BG31"/>
  <c r="BG29"/>
  <c r="Q31" i="12"/>
  <c r="R28" s="1"/>
  <c r="Q35"/>
  <c r="Q37"/>
  <c r="Q26"/>
  <c r="Q32" s="1"/>
  <c r="BF36" i="17" l="1"/>
  <c r="BF33"/>
  <c r="BF24"/>
  <c r="BE32" i="20"/>
  <c r="BE35"/>
  <c r="BE34"/>
  <c r="BE31"/>
  <c r="BE30"/>
  <c r="BG35" i="19"/>
  <c r="BG32"/>
  <c r="BG30"/>
  <c r="R40" i="12"/>
  <c r="R43"/>
  <c r="R29"/>
  <c r="Q38"/>
  <c r="Q36"/>
  <c r="Q27" s="1"/>
  <c r="BF37" i="17" l="1"/>
  <c r="BF27"/>
  <c r="BF25"/>
  <c r="BG28" s="1"/>
  <c r="BF26"/>
  <c r="BG29" s="1"/>
  <c r="BE24" i="20"/>
  <c r="BE33"/>
  <c r="BE36"/>
  <c r="BG36" i="19"/>
  <c r="BG33"/>
  <c r="BG24"/>
  <c r="Q33" i="12"/>
  <c r="R30" s="1"/>
  <c r="R44"/>
  <c r="R41"/>
  <c r="BG32" i="17" l="1"/>
  <c r="BG35"/>
  <c r="BG34"/>
  <c r="BG31"/>
  <c r="BG30"/>
  <c r="BG24" s="1"/>
  <c r="BE37" i="20"/>
  <c r="BE25"/>
  <c r="BF28" s="1"/>
  <c r="BE26"/>
  <c r="BE27"/>
  <c r="BG37" i="19"/>
  <c r="BG27"/>
  <c r="BG25"/>
  <c r="BH28" s="1"/>
  <c r="BG26"/>
  <c r="BH29" s="1"/>
  <c r="R42" i="12"/>
  <c r="R45"/>
  <c r="R24"/>
  <c r="BG37" i="17" l="1"/>
  <c r="BG26"/>
  <c r="BG27"/>
  <c r="BG25"/>
  <c r="BH28" s="1"/>
  <c r="BG36"/>
  <c r="BG33"/>
  <c r="BF29" i="20"/>
  <c r="BF30" s="1"/>
  <c r="BF34"/>
  <c r="BF31"/>
  <c r="BH32" i="19"/>
  <c r="BH35"/>
  <c r="BH34"/>
  <c r="BH31"/>
  <c r="BH30"/>
  <c r="BH24" s="1"/>
  <c r="R46" i="12"/>
  <c r="R34"/>
  <c r="R25" s="1"/>
  <c r="R35" s="1"/>
  <c r="BH34" i="17" l="1"/>
  <c r="BH31"/>
  <c r="BH29"/>
  <c r="BH30" s="1"/>
  <c r="BF36" i="20"/>
  <c r="BF33"/>
  <c r="BF24"/>
  <c r="BF35"/>
  <c r="BF32"/>
  <c r="BH37" i="19"/>
  <c r="BH26"/>
  <c r="BH27"/>
  <c r="BH25"/>
  <c r="BI28" s="1"/>
  <c r="BH36"/>
  <c r="BH33"/>
  <c r="R37" i="12"/>
  <c r="R26"/>
  <c r="R31"/>
  <c r="S28" s="1"/>
  <c r="BH36" i="17" l="1"/>
  <c r="BH33"/>
  <c r="BH35"/>
  <c r="BH32"/>
  <c r="BH24"/>
  <c r="BF37" i="20"/>
  <c r="BF25"/>
  <c r="BG28" s="1"/>
  <c r="BF27"/>
  <c r="BF26"/>
  <c r="BG29" s="1"/>
  <c r="BI34" i="19"/>
  <c r="BI31"/>
  <c r="BI29"/>
  <c r="S40" i="12"/>
  <c r="S43"/>
  <c r="R32"/>
  <c r="S29" s="1"/>
  <c r="R36"/>
  <c r="R27" s="1"/>
  <c r="R33" s="1"/>
  <c r="R38"/>
  <c r="BH37" i="17" l="1"/>
  <c r="BH27"/>
  <c r="BH25"/>
  <c r="BI28" s="1"/>
  <c r="BH26"/>
  <c r="BI29" s="1"/>
  <c r="BG30" i="20"/>
  <c r="BG24" s="1"/>
  <c r="BG35"/>
  <c r="BG32"/>
  <c r="BG34"/>
  <c r="BG31"/>
  <c r="BI35" i="19"/>
  <c r="BI32"/>
  <c r="BI30"/>
  <c r="S30" i="12"/>
  <c r="S24" s="1"/>
  <c r="S41"/>
  <c r="S44"/>
  <c r="BG33" i="20" l="1"/>
  <c r="BI34" i="17"/>
  <c r="BI31"/>
  <c r="BI32"/>
  <c r="BI35"/>
  <c r="BI30"/>
  <c r="BG36" i="20"/>
  <c r="BG26"/>
  <c r="BG37"/>
  <c r="BG27"/>
  <c r="BG25"/>
  <c r="BH28" s="1"/>
  <c r="BH29" s="1"/>
  <c r="BI36" i="19"/>
  <c r="BI33"/>
  <c r="BI24"/>
  <c r="S45" i="12"/>
  <c r="S42"/>
  <c r="S46"/>
  <c r="S34"/>
  <c r="S25" s="1"/>
  <c r="BI36" i="17" l="1"/>
  <c r="BI33"/>
  <c r="BI24"/>
  <c r="BH30" i="20"/>
  <c r="BH24" s="1"/>
  <c r="BH32"/>
  <c r="BH35"/>
  <c r="BH31"/>
  <c r="BH34"/>
  <c r="BI37" i="19"/>
  <c r="BI27"/>
  <c r="BI25"/>
  <c r="BJ28" s="1"/>
  <c r="BI26"/>
  <c r="BJ29" s="1"/>
  <c r="S31" i="12"/>
  <c r="T28" s="1"/>
  <c r="S35"/>
  <c r="S26" s="1"/>
  <c r="S37"/>
  <c r="BI37" i="17" l="1"/>
  <c r="BI26"/>
  <c r="BI27"/>
  <c r="BI25"/>
  <c r="BJ28" s="1"/>
  <c r="BH33" i="20"/>
  <c r="BH36"/>
  <c r="BH27"/>
  <c r="BH26"/>
  <c r="BH37"/>
  <c r="BH25"/>
  <c r="BI28" s="1"/>
  <c r="BI29" s="1"/>
  <c r="BJ32" i="19"/>
  <c r="BJ35"/>
  <c r="E5" s="1"/>
  <c r="D5"/>
  <c r="BJ34"/>
  <c r="E4" s="1"/>
  <c r="BJ31"/>
  <c r="D4"/>
  <c r="BJ30"/>
  <c r="T43" i="12"/>
  <c r="T40"/>
  <c r="S32"/>
  <c r="T29" s="1"/>
  <c r="S38"/>
  <c r="S36"/>
  <c r="S27" s="1"/>
  <c r="S33" s="1"/>
  <c r="BJ34" i="17" l="1"/>
  <c r="E4" s="1"/>
  <c r="BJ31"/>
  <c r="D4"/>
  <c r="BJ29"/>
  <c r="BJ30" s="1"/>
  <c r="BI32" i="20"/>
  <c r="BI35"/>
  <c r="BI30"/>
  <c r="BI34"/>
  <c r="BI31"/>
  <c r="K17" i="19"/>
  <c r="W13"/>
  <c r="W10"/>
  <c r="W16"/>
  <c r="W17"/>
  <c r="W14"/>
  <c r="W11"/>
  <c r="K18"/>
  <c r="BJ36"/>
  <c r="E6" s="1"/>
  <c r="BJ33"/>
  <c r="D6"/>
  <c r="BJ24"/>
  <c r="T30" i="12"/>
  <c r="T42" s="1"/>
  <c r="T44"/>
  <c r="T41"/>
  <c r="BJ36" i="17" l="1"/>
  <c r="E6" s="1"/>
  <c r="BJ33"/>
  <c r="D6"/>
  <c r="BJ24"/>
  <c r="BJ35"/>
  <c r="E5" s="1"/>
  <c r="BJ32"/>
  <c r="D5"/>
  <c r="W16"/>
  <c r="K17"/>
  <c r="W13"/>
  <c r="W10"/>
  <c r="BI36" i="20"/>
  <c r="BI33"/>
  <c r="BI24"/>
  <c r="K19" i="19"/>
  <c r="W15"/>
  <c r="W12"/>
  <c r="W18"/>
  <c r="I17"/>
  <c r="L17"/>
  <c r="BJ37"/>
  <c r="E7" s="1"/>
  <c r="BJ26"/>
  <c r="F16" s="1"/>
  <c r="BJ27"/>
  <c r="F17" s="1"/>
  <c r="BJ25"/>
  <c r="F15" s="1"/>
  <c r="D7"/>
  <c r="L18"/>
  <c r="I18"/>
  <c r="T45" i="12"/>
  <c r="T24"/>
  <c r="T46" s="1"/>
  <c r="L17" i="17" l="1"/>
  <c r="I17"/>
  <c r="K18"/>
  <c r="W17"/>
  <c r="W14"/>
  <c r="W11"/>
  <c r="W18"/>
  <c r="K19"/>
  <c r="W15"/>
  <c r="W12"/>
  <c r="BJ37"/>
  <c r="E7" s="1"/>
  <c r="BJ27"/>
  <c r="F17" s="1"/>
  <c r="BJ25"/>
  <c r="F15" s="1"/>
  <c r="D7"/>
  <c r="BJ26"/>
  <c r="F16" s="1"/>
  <c r="BI26" i="20"/>
  <c r="BI27"/>
  <c r="BI25"/>
  <c r="BJ28" s="1"/>
  <c r="BI37"/>
  <c r="BJ29"/>
  <c r="J18" i="19"/>
  <c r="W9"/>
  <c r="W8"/>
  <c r="W7"/>
  <c r="W6"/>
  <c r="W5"/>
  <c r="W4"/>
  <c r="K16"/>
  <c r="K15"/>
  <c r="K14"/>
  <c r="F14"/>
  <c r="K13"/>
  <c r="F13"/>
  <c r="K12"/>
  <c r="F12"/>
  <c r="D17"/>
  <c r="E17" s="1"/>
  <c r="G17"/>
  <c r="J17"/>
  <c r="I19"/>
  <c r="L19"/>
  <c r="P14"/>
  <c r="BK28"/>
  <c r="G15"/>
  <c r="D15"/>
  <c r="E15" s="1"/>
  <c r="G16"/>
  <c r="D16"/>
  <c r="E16" s="1"/>
  <c r="BK29"/>
  <c r="T34" i="12"/>
  <c r="T25" s="1"/>
  <c r="T31" s="1"/>
  <c r="U28" s="1"/>
  <c r="U40" s="1"/>
  <c r="D16" i="17" l="1"/>
  <c r="E16" s="1"/>
  <c r="G16"/>
  <c r="D15"/>
  <c r="E15" s="1"/>
  <c r="G15"/>
  <c r="L19"/>
  <c r="I19"/>
  <c r="J17"/>
  <c r="BK28"/>
  <c r="K16"/>
  <c r="K15"/>
  <c r="K14"/>
  <c r="F14"/>
  <c r="K13"/>
  <c r="F13"/>
  <c r="K12"/>
  <c r="F12"/>
  <c r="W9"/>
  <c r="W8"/>
  <c r="W7"/>
  <c r="W6"/>
  <c r="W5"/>
  <c r="W4"/>
  <c r="G17"/>
  <c r="D17"/>
  <c r="E17" s="1"/>
  <c r="I18"/>
  <c r="P13"/>
  <c r="L18"/>
  <c r="BK29"/>
  <c r="P12"/>
  <c r="BJ30" i="20"/>
  <c r="BJ24" s="1"/>
  <c r="BJ32"/>
  <c r="D5"/>
  <c r="BJ35"/>
  <c r="E5" s="1"/>
  <c r="BJ31"/>
  <c r="BJ34"/>
  <c r="E4" s="1"/>
  <c r="D4"/>
  <c r="BK35" i="19"/>
  <c r="BK32"/>
  <c r="BK34"/>
  <c r="BK31"/>
  <c r="G12"/>
  <c r="D12"/>
  <c r="G13"/>
  <c r="D13"/>
  <c r="E13" s="1"/>
  <c r="G14"/>
  <c r="D14"/>
  <c r="E14" s="1"/>
  <c r="L15"/>
  <c r="I15"/>
  <c r="J15" s="1"/>
  <c r="P13"/>
  <c r="P12"/>
  <c r="Q14"/>
  <c r="N14"/>
  <c r="O14" s="1"/>
  <c r="J19"/>
  <c r="L12"/>
  <c r="I12"/>
  <c r="J12" s="1"/>
  <c r="L13"/>
  <c r="I13"/>
  <c r="J13" s="1"/>
  <c r="L14"/>
  <c r="I14"/>
  <c r="J14" s="1"/>
  <c r="L16"/>
  <c r="I16"/>
  <c r="J16" s="1"/>
  <c r="BK30"/>
  <c r="BK24" s="1"/>
  <c r="U43" i="12"/>
  <c r="T35"/>
  <c r="T26" s="1"/>
  <c r="T36" s="1"/>
  <c r="T27" s="1"/>
  <c r="T33" s="1"/>
  <c r="T37"/>
  <c r="BK32" i="17" l="1"/>
  <c r="BK35"/>
  <c r="N13"/>
  <c r="O13" s="1"/>
  <c r="Q13"/>
  <c r="D12"/>
  <c r="G12"/>
  <c r="D13"/>
  <c r="E13" s="1"/>
  <c r="G13"/>
  <c r="D14"/>
  <c r="E14" s="1"/>
  <c r="G14"/>
  <c r="I15"/>
  <c r="J15" s="1"/>
  <c r="L15"/>
  <c r="J19"/>
  <c r="BK30"/>
  <c r="N12"/>
  <c r="O12" s="1"/>
  <c r="Q12"/>
  <c r="J18"/>
  <c r="I12"/>
  <c r="J12" s="1"/>
  <c r="L12"/>
  <c r="I13"/>
  <c r="J13" s="1"/>
  <c r="L13"/>
  <c r="I14"/>
  <c r="J14" s="1"/>
  <c r="L14"/>
  <c r="I16"/>
  <c r="J16" s="1"/>
  <c r="L16"/>
  <c r="BK34"/>
  <c r="BK31"/>
  <c r="P14"/>
  <c r="K17" i="20"/>
  <c r="W10"/>
  <c r="W16"/>
  <c r="W13"/>
  <c r="W17"/>
  <c r="W11"/>
  <c r="K18"/>
  <c r="W14"/>
  <c r="BJ36"/>
  <c r="E6" s="1"/>
  <c r="D6"/>
  <c r="BJ33"/>
  <c r="BJ27"/>
  <c r="F17" s="1"/>
  <c r="BJ37"/>
  <c r="E7" s="1"/>
  <c r="BJ25"/>
  <c r="F15" s="1"/>
  <c r="BJ26"/>
  <c r="F16" s="1"/>
  <c r="D7"/>
  <c r="BK28"/>
  <c r="BK37" i="19"/>
  <c r="BK27"/>
  <c r="BK25"/>
  <c r="BL28" s="1"/>
  <c r="BK26"/>
  <c r="Q12"/>
  <c r="N12"/>
  <c r="O12" s="1"/>
  <c r="E12"/>
  <c r="V5"/>
  <c r="V7"/>
  <c r="V10" s="1"/>
  <c r="V13" s="1"/>
  <c r="V6"/>
  <c r="BK36"/>
  <c r="BK33"/>
  <c r="Q13"/>
  <c r="N13"/>
  <c r="O13" s="1"/>
  <c r="T32" i="12"/>
  <c r="T38"/>
  <c r="U29"/>
  <c r="U41" s="1"/>
  <c r="U30"/>
  <c r="U45" s="1"/>
  <c r="N14" i="17" l="1"/>
  <c r="O14" s="1"/>
  <c r="Q14"/>
  <c r="BK36"/>
  <c r="BK33"/>
  <c r="E12"/>
  <c r="V5"/>
  <c r="V7"/>
  <c r="V10" s="1"/>
  <c r="V13" s="1"/>
  <c r="V6"/>
  <c r="BK24"/>
  <c r="BK34" i="20"/>
  <c r="BK31"/>
  <c r="D16"/>
  <c r="E16" s="1"/>
  <c r="G16"/>
  <c r="I18"/>
  <c r="J18" s="1"/>
  <c r="L18"/>
  <c r="I17"/>
  <c r="J17" s="1"/>
  <c r="L17"/>
  <c r="K16"/>
  <c r="K14"/>
  <c r="K13"/>
  <c r="K12"/>
  <c r="W9"/>
  <c r="W7"/>
  <c r="W5"/>
  <c r="K15"/>
  <c r="F14"/>
  <c r="F13"/>
  <c r="F12"/>
  <c r="P12" s="1"/>
  <c r="W8"/>
  <c r="W6"/>
  <c r="W4"/>
  <c r="D15"/>
  <c r="E15" s="1"/>
  <c r="G15"/>
  <c r="G17"/>
  <c r="D17"/>
  <c r="E17" s="1"/>
  <c r="K19"/>
  <c r="W12"/>
  <c r="W18"/>
  <c r="W15"/>
  <c r="BK29"/>
  <c r="BL34" i="19"/>
  <c r="BL31"/>
  <c r="BL29"/>
  <c r="V15"/>
  <c r="V9"/>
  <c r="V12" s="1"/>
  <c r="V14"/>
  <c r="V8"/>
  <c r="V11" s="1"/>
  <c r="U24" i="12"/>
  <c r="U46" s="1"/>
  <c r="U44"/>
  <c r="U42"/>
  <c r="BK37" i="17" l="1"/>
  <c r="BK26"/>
  <c r="BK27"/>
  <c r="BK25"/>
  <c r="BL28" s="1"/>
  <c r="V15"/>
  <c r="V9"/>
  <c r="V12" s="1"/>
  <c r="V14"/>
  <c r="V8"/>
  <c r="V11" s="1"/>
  <c r="Q12" i="20"/>
  <c r="N12"/>
  <c r="O12" s="1"/>
  <c r="D13"/>
  <c r="E13" s="1"/>
  <c r="G13"/>
  <c r="I15"/>
  <c r="J15" s="1"/>
  <c r="L15"/>
  <c r="I12"/>
  <c r="J12" s="1"/>
  <c r="L12"/>
  <c r="I14"/>
  <c r="J14" s="1"/>
  <c r="L14"/>
  <c r="BK35"/>
  <c r="BK32"/>
  <c r="BK30"/>
  <c r="BK24" s="1"/>
  <c r="L19"/>
  <c r="I19"/>
  <c r="J19" s="1"/>
  <c r="P14"/>
  <c r="D12"/>
  <c r="G12"/>
  <c r="D14"/>
  <c r="E14" s="1"/>
  <c r="G14"/>
  <c r="L13"/>
  <c r="I13"/>
  <c r="J13" s="1"/>
  <c r="L16"/>
  <c r="I16"/>
  <c r="J16" s="1"/>
  <c r="P13"/>
  <c r="BL30" i="19"/>
  <c r="BL24" s="1"/>
  <c r="BL32"/>
  <c r="BL35"/>
  <c r="U34" i="12"/>
  <c r="U25" s="1"/>
  <c r="U31" s="1"/>
  <c r="V28" s="1"/>
  <c r="BL34" i="17" l="1"/>
  <c r="BL31"/>
  <c r="BL29"/>
  <c r="BL30" s="1"/>
  <c r="N13" i="20"/>
  <c r="O13" s="1"/>
  <c r="Q13"/>
  <c r="V7"/>
  <c r="V10" s="1"/>
  <c r="V13" s="1"/>
  <c r="V5"/>
  <c r="E12"/>
  <c r="V6"/>
  <c r="BK33"/>
  <c r="BK36"/>
  <c r="BK26"/>
  <c r="BK25"/>
  <c r="BL28" s="1"/>
  <c r="BL29" s="1"/>
  <c r="BK37"/>
  <c r="BK27"/>
  <c r="BL30" s="1"/>
  <c r="Q14"/>
  <c r="N14"/>
  <c r="O14" s="1"/>
  <c r="BL37" i="19"/>
  <c r="BL26"/>
  <c r="BL27"/>
  <c r="BL25"/>
  <c r="BM28" s="1"/>
  <c r="BL36"/>
  <c r="BL33"/>
  <c r="U37" i="12"/>
  <c r="U35"/>
  <c r="U26" s="1"/>
  <c r="U32" s="1"/>
  <c r="V43"/>
  <c r="V40"/>
  <c r="BL36" i="17" l="1"/>
  <c r="BL33"/>
  <c r="BL35"/>
  <c r="BL32"/>
  <c r="BL24"/>
  <c r="BL32" i="20"/>
  <c r="BL35"/>
  <c r="BL33"/>
  <c r="BL36"/>
  <c r="BL34"/>
  <c r="BL31"/>
  <c r="BL24"/>
  <c r="V15"/>
  <c r="V9"/>
  <c r="V12" s="1"/>
  <c r="V14"/>
  <c r="V8"/>
  <c r="V11" s="1"/>
  <c r="BM34" i="19"/>
  <c r="BM31"/>
  <c r="BM29"/>
  <c r="BM30" s="1"/>
  <c r="U36" i="12"/>
  <c r="U27" s="1"/>
  <c r="U33" s="1"/>
  <c r="V29"/>
  <c r="V41" s="1"/>
  <c r="U38"/>
  <c r="V44"/>
  <c r="V30"/>
  <c r="BL37" i="17" l="1"/>
  <c r="BL27"/>
  <c r="BL25"/>
  <c r="BM28" s="1"/>
  <c r="BL26"/>
  <c r="BM29" s="1"/>
  <c r="BL27" i="20"/>
  <c r="BL37"/>
  <c r="BL25"/>
  <c r="BM28" s="1"/>
  <c r="BL26"/>
  <c r="BM35" i="19"/>
  <c r="BM32"/>
  <c r="BM24"/>
  <c r="BM36"/>
  <c r="BM33"/>
  <c r="V45" i="12"/>
  <c r="V42"/>
  <c r="V24"/>
  <c r="BM32" i="17" l="1"/>
  <c r="BM35"/>
  <c r="BM34"/>
  <c r="BM31"/>
  <c r="BM30"/>
  <c r="BM24" s="1"/>
  <c r="BM29" i="20"/>
  <c r="BM35" s="1"/>
  <c r="BM34"/>
  <c r="BM31"/>
  <c r="BM30"/>
  <c r="BM37" i="19"/>
  <c r="BM27"/>
  <c r="BM25"/>
  <c r="BN28" s="1"/>
  <c r="BM26"/>
  <c r="BN29" s="1"/>
  <c r="V46" i="12"/>
  <c r="V34"/>
  <c r="V25" s="1"/>
  <c r="V37" s="1"/>
  <c r="BM32" i="20" l="1"/>
  <c r="BM37" i="17"/>
  <c r="BM26"/>
  <c r="BM27"/>
  <c r="BM25"/>
  <c r="BN28" s="1"/>
  <c r="BM36"/>
  <c r="BM33"/>
  <c r="BM24" i="20"/>
  <c r="BM36"/>
  <c r="BM33"/>
  <c r="BN34" i="19"/>
  <c r="BN31"/>
  <c r="BN32"/>
  <c r="BN35"/>
  <c r="BN30"/>
  <c r="BN24" s="1"/>
  <c r="V35" i="12"/>
  <c r="V26" s="1"/>
  <c r="V31"/>
  <c r="W28" s="1"/>
  <c r="BN34" i="17" l="1"/>
  <c r="BN31"/>
  <c r="BN29"/>
  <c r="BN30" s="1"/>
  <c r="BM37" i="20"/>
  <c r="BM25"/>
  <c r="BN28" s="1"/>
  <c r="BM26"/>
  <c r="BM27"/>
  <c r="BN37" i="19"/>
  <c r="BN26"/>
  <c r="BN27"/>
  <c r="BN25"/>
  <c r="BN36"/>
  <c r="BN33"/>
  <c r="W40" i="12"/>
  <c r="W43"/>
  <c r="V32"/>
  <c r="W29" s="1"/>
  <c r="V38"/>
  <c r="V36"/>
  <c r="V27" s="1"/>
  <c r="V33" s="1"/>
  <c r="BN36" i="17" l="1"/>
  <c r="BN33"/>
  <c r="BN35"/>
  <c r="BN32"/>
  <c r="BN24"/>
  <c r="BN29" i="20"/>
  <c r="BN30" s="1"/>
  <c r="BN31"/>
  <c r="BN34"/>
  <c r="W41" i="12"/>
  <c r="W44"/>
  <c r="W30"/>
  <c r="BN35" i="20" l="1"/>
  <c r="BN32"/>
  <c r="BN37" i="17"/>
  <c r="BN27"/>
  <c r="BN25"/>
  <c r="BN26"/>
  <c r="BN33" i="20"/>
  <c r="BN36"/>
  <c r="BN24"/>
  <c r="W24" i="12"/>
  <c r="W45"/>
  <c r="W42"/>
  <c r="BN37" i="20" l="1"/>
  <c r="BN25"/>
  <c r="BN27"/>
  <c r="BN26"/>
  <c r="W34" i="12"/>
  <c r="W25" s="1"/>
  <c r="W46"/>
  <c r="W31" l="1"/>
  <c r="X28" s="1"/>
  <c r="W37"/>
  <c r="W35"/>
  <c r="W26" s="1"/>
  <c r="W32" s="1"/>
  <c r="X29" l="1"/>
  <c r="X44" s="1"/>
  <c r="X40"/>
  <c r="X43"/>
  <c r="W36"/>
  <c r="W27" s="1"/>
  <c r="X41"/>
  <c r="W38"/>
  <c r="W33" l="1"/>
  <c r="X30" s="1"/>
  <c r="X45" l="1"/>
  <c r="X42"/>
  <c r="X24"/>
  <c r="X46" l="1"/>
  <c r="X34"/>
  <c r="X25" s="1"/>
  <c r="X31" s="1"/>
  <c r="Y28" s="1"/>
  <c r="X37" l="1"/>
  <c r="X35"/>
  <c r="X26" s="1"/>
  <c r="Y40"/>
  <c r="Y43"/>
  <c r="X32" l="1"/>
  <c r="Y29" s="1"/>
  <c r="X36"/>
  <c r="X27" s="1"/>
  <c r="X33" s="1"/>
  <c r="X38"/>
  <c r="Y30" l="1"/>
  <c r="Y45" s="1"/>
  <c r="Y41"/>
  <c r="Y44"/>
  <c r="Y24" l="1"/>
  <c r="Y46" s="1"/>
  <c r="Y42"/>
  <c r="Y34"/>
  <c r="Y25" s="1"/>
  <c r="Y31" l="1"/>
  <c r="Z28" s="1"/>
  <c r="Y37"/>
  <c r="Y35"/>
  <c r="Y26" s="1"/>
  <c r="Y32" s="1"/>
  <c r="Z29" l="1"/>
  <c r="Z44" s="1"/>
  <c r="Z40"/>
  <c r="Z43"/>
  <c r="Y38"/>
  <c r="Z41"/>
  <c r="Y36"/>
  <c r="Y27" s="1"/>
  <c r="Y33" l="1"/>
  <c r="Z30" s="1"/>
  <c r="Z45" l="1"/>
  <c r="Z42"/>
  <c r="Z24"/>
  <c r="Z46" l="1"/>
  <c r="Z34"/>
  <c r="Z25" s="1"/>
  <c r="Z37" s="1"/>
  <c r="Z35" l="1"/>
  <c r="Z26" s="1"/>
  <c r="Z31"/>
  <c r="AA28" s="1"/>
  <c r="AA40" l="1"/>
  <c r="AA43"/>
  <c r="Z32"/>
  <c r="AA29" s="1"/>
  <c r="Z38"/>
  <c r="Z36"/>
  <c r="Z27" s="1"/>
  <c r="Z33" s="1"/>
  <c r="AA30" l="1"/>
  <c r="AA24" s="1"/>
  <c r="AA41"/>
  <c r="AA44"/>
  <c r="AA42" l="1"/>
  <c r="AA45"/>
  <c r="AA34"/>
  <c r="AA25" s="1"/>
  <c r="AA46"/>
  <c r="AA31" l="1"/>
  <c r="AB28" s="1"/>
  <c r="AA37"/>
  <c r="AA35"/>
  <c r="AA26" s="1"/>
  <c r="AA32" s="1"/>
  <c r="AB29" l="1"/>
  <c r="AB44" s="1"/>
  <c r="AB40"/>
  <c r="AB43"/>
  <c r="AA38"/>
  <c r="AB41"/>
  <c r="AA36"/>
  <c r="AA27" s="1"/>
  <c r="AA33" l="1"/>
  <c r="AB30" s="1"/>
  <c r="AB45" l="1"/>
  <c r="AB42"/>
  <c r="AB24"/>
  <c r="AB46" l="1"/>
  <c r="AB34"/>
  <c r="AB25" s="1"/>
  <c r="AB37" l="1"/>
  <c r="AB35"/>
  <c r="AB26" s="1"/>
  <c r="AB31"/>
  <c r="AC28" s="1"/>
  <c r="AC43" l="1"/>
  <c r="AC40"/>
  <c r="AB32"/>
  <c r="AC29" s="1"/>
  <c r="AB38"/>
  <c r="AB36"/>
  <c r="AB27" s="1"/>
  <c r="AB33" s="1"/>
  <c r="AC30" l="1"/>
  <c r="AC45" s="1"/>
  <c r="AC41"/>
  <c r="AC44"/>
  <c r="AC24" l="1"/>
  <c r="AC46" s="1"/>
  <c r="AC42"/>
  <c r="AC34" l="1"/>
  <c r="AC25" s="1"/>
  <c r="AC31" s="1"/>
  <c r="AD28" s="1"/>
  <c r="AD43" s="1"/>
  <c r="AC35" l="1"/>
  <c r="AC26" s="1"/>
  <c r="AC36" s="1"/>
  <c r="AC27" s="1"/>
  <c r="AC37"/>
  <c r="AD40"/>
  <c r="AC32" l="1"/>
  <c r="AD29"/>
  <c r="AD44" s="1"/>
  <c r="AC38"/>
  <c r="AC33"/>
  <c r="AD30" s="1"/>
  <c r="AD24" s="1"/>
  <c r="AD46" s="1"/>
  <c r="AD41" l="1"/>
  <c r="AD42"/>
  <c r="AD34"/>
  <c r="AD25" s="1"/>
  <c r="AD37" s="1"/>
  <c r="AD45"/>
  <c r="AD35" l="1"/>
  <c r="AD26" s="1"/>
  <c r="AD38" s="1"/>
  <c r="AD31"/>
  <c r="AE28" s="1"/>
  <c r="AE40" s="1"/>
  <c r="AD32"/>
  <c r="AE29" s="1"/>
  <c r="AD36" l="1"/>
  <c r="AD27" s="1"/>
  <c r="AD33" s="1"/>
  <c r="AE43"/>
  <c r="AE41"/>
  <c r="AE44"/>
  <c r="AE30"/>
  <c r="AE24" l="1"/>
  <c r="AE45"/>
  <c r="AE42"/>
  <c r="AE34" l="1"/>
  <c r="AE25" s="1"/>
  <c r="AE46"/>
  <c r="AE31" l="1"/>
  <c r="AF28" s="1"/>
  <c r="AE37"/>
  <c r="AE35"/>
  <c r="AE26" s="1"/>
  <c r="AE32" s="1"/>
  <c r="AF29" l="1"/>
  <c r="AF44" s="1"/>
  <c r="AF40"/>
  <c r="AF43"/>
  <c r="AE38"/>
  <c r="AF41"/>
  <c r="AE36"/>
  <c r="AE27" s="1"/>
  <c r="AE33" l="1"/>
  <c r="AF30" s="1"/>
  <c r="AF45" l="1"/>
  <c r="AF42"/>
  <c r="AF24"/>
  <c r="AF46" l="1"/>
  <c r="AF34"/>
  <c r="AF25" s="1"/>
  <c r="AF37" s="1"/>
  <c r="AF35" l="1"/>
  <c r="AF26" s="1"/>
  <c r="AF31"/>
  <c r="AG28" s="1"/>
  <c r="AG40" l="1"/>
  <c r="AG43"/>
  <c r="AF32"/>
  <c r="AG29" s="1"/>
  <c r="AF38"/>
  <c r="AF36"/>
  <c r="AF27" s="1"/>
  <c r="AF33" s="1"/>
  <c r="AG30" l="1"/>
  <c r="AG24" s="1"/>
  <c r="AG41"/>
  <c r="AG44"/>
  <c r="AG45" l="1"/>
  <c r="AG46"/>
  <c r="AG34"/>
  <c r="AG25" s="1"/>
  <c r="AG37" s="1"/>
  <c r="AG42"/>
  <c r="AG31" l="1"/>
  <c r="AH28" s="1"/>
  <c r="AH43" s="1"/>
  <c r="AG35"/>
  <c r="AG26" s="1"/>
  <c r="AG32" s="1"/>
  <c r="AH40" l="1"/>
  <c r="AG36"/>
  <c r="AG27" s="1"/>
  <c r="AG33" s="1"/>
  <c r="AG38"/>
  <c r="AH29"/>
  <c r="AH41" s="1"/>
  <c r="AH44" l="1"/>
  <c r="AH30"/>
  <c r="AH45" s="1"/>
  <c r="AH42" l="1"/>
  <c r="AH24"/>
  <c r="AH46" s="1"/>
  <c r="AH34" l="1"/>
  <c r="AH25" s="1"/>
  <c r="AH37" s="1"/>
  <c r="L21" i="18" l="1"/>
  <c r="K21" s="1"/>
  <c r="L16"/>
  <c r="L13"/>
  <c r="L10"/>
  <c r="AH31" i="12"/>
  <c r="AI28" s="1"/>
  <c r="AI43" s="1"/>
  <c r="AH35"/>
  <c r="AH26" s="1"/>
  <c r="AH38" s="1"/>
  <c r="L22" i="18" l="1"/>
  <c r="L15"/>
  <c r="L17"/>
  <c r="L14"/>
  <c r="L11"/>
  <c r="AH32" i="12"/>
  <c r="AI29" s="1"/>
  <c r="AI41" s="1"/>
  <c r="AI40"/>
  <c r="AH36"/>
  <c r="AH27" s="1"/>
  <c r="AH33" s="1"/>
  <c r="L5" i="18" l="1"/>
  <c r="L12"/>
  <c r="L9"/>
  <c r="L18"/>
  <c r="L7"/>
  <c r="L4"/>
  <c r="L6"/>
  <c r="L8"/>
  <c r="L23"/>
  <c r="L24"/>
  <c r="AI44" i="12"/>
  <c r="AI30"/>
  <c r="AI24" s="1"/>
  <c r="K6" i="18" l="1"/>
  <c r="AI42" i="12"/>
  <c r="AI45"/>
  <c r="AI46"/>
  <c r="AI34"/>
  <c r="AI25" s="1"/>
  <c r="K5" i="18" l="1"/>
  <c r="K7"/>
  <c r="K10"/>
  <c r="K15"/>
  <c r="K14"/>
  <c r="AI31" i="12"/>
  <c r="AJ28" s="1"/>
  <c r="AI35"/>
  <c r="AI26" s="1"/>
  <c r="AI37"/>
  <c r="K8" i="18" l="1"/>
  <c r="K11"/>
  <c r="K12"/>
  <c r="K9"/>
  <c r="K13"/>
  <c r="AI32" i="12"/>
  <c r="AI38"/>
  <c r="AJ29"/>
  <c r="AI36"/>
  <c r="AI27" s="1"/>
  <c r="AJ40"/>
  <c r="AJ43"/>
  <c r="AI33" l="1"/>
  <c r="AJ30" s="1"/>
  <c r="AJ41"/>
  <c r="AJ44"/>
  <c r="AJ45" l="1"/>
  <c r="AJ42"/>
  <c r="AJ24"/>
  <c r="AJ46" l="1"/>
  <c r="AJ34"/>
  <c r="AJ25" s="1"/>
  <c r="AJ37" s="1"/>
  <c r="AJ35" l="1"/>
  <c r="AJ26" s="1"/>
  <c r="AJ31"/>
  <c r="AK28" s="1"/>
  <c r="AK40" l="1"/>
  <c r="AK43"/>
  <c r="AJ32"/>
  <c r="AK29" s="1"/>
  <c r="AJ38"/>
  <c r="AJ36"/>
  <c r="AJ27" s="1"/>
  <c r="AJ33" s="1"/>
  <c r="AK30" l="1"/>
  <c r="AK24" s="1"/>
  <c r="AK41"/>
  <c r="AK44"/>
  <c r="AK46" l="1"/>
  <c r="AK34"/>
  <c r="AK25" s="1"/>
  <c r="AK42"/>
  <c r="AK45"/>
  <c r="AK31" l="1"/>
  <c r="AL28" s="1"/>
  <c r="AK37"/>
  <c r="AK35"/>
  <c r="AK26" s="1"/>
  <c r="AK32" s="1"/>
  <c r="AL40" l="1"/>
  <c r="AL43"/>
  <c r="AK36"/>
  <c r="AK27" s="1"/>
  <c r="AL29"/>
  <c r="AK38"/>
  <c r="AL44" l="1"/>
  <c r="AL41"/>
  <c r="AK33"/>
  <c r="AL30" s="1"/>
  <c r="AL45" l="1"/>
  <c r="AL42"/>
  <c r="AL24"/>
  <c r="AL46" l="1"/>
  <c r="AL34"/>
  <c r="AL25" s="1"/>
  <c r="AL35" s="1"/>
  <c r="AL26" s="1"/>
  <c r="AL37" l="1"/>
  <c r="AL32"/>
  <c r="AL36"/>
  <c r="AL27" s="1"/>
  <c r="AL33" s="1"/>
  <c r="AL38"/>
  <c r="AL31"/>
  <c r="AM28" s="1"/>
  <c r="AM29" l="1"/>
  <c r="AM41" s="1"/>
  <c r="AM30"/>
  <c r="AM40"/>
  <c r="AM43"/>
  <c r="AM44" l="1"/>
  <c r="AM42"/>
  <c r="AM45"/>
  <c r="AM24"/>
  <c r="AM46" l="1"/>
  <c r="AM34"/>
  <c r="AM25" s="1"/>
  <c r="AM31" l="1"/>
  <c r="AN28" s="1"/>
  <c r="AM37"/>
  <c r="AM35"/>
  <c r="AM26" s="1"/>
  <c r="AM32" s="1"/>
  <c r="AN29" l="1"/>
  <c r="AN44" s="1"/>
  <c r="AN40"/>
  <c r="AN43"/>
  <c r="AM36"/>
  <c r="AM27" s="1"/>
  <c r="AN41"/>
  <c r="AM38"/>
  <c r="AM33" l="1"/>
  <c r="AN30" s="1"/>
  <c r="AN45" l="1"/>
  <c r="AN42"/>
  <c r="AN24"/>
  <c r="AN46" l="1"/>
  <c r="AN34"/>
  <c r="AN25" s="1"/>
  <c r="AN35" s="1"/>
  <c r="AN26" s="1"/>
  <c r="AN37" l="1"/>
  <c r="AN32"/>
  <c r="AN38"/>
  <c r="AN36"/>
  <c r="AN27" s="1"/>
  <c r="AN31"/>
  <c r="AO28" s="1"/>
  <c r="AO29" l="1"/>
  <c r="AO44" s="1"/>
  <c r="AN33"/>
  <c r="AO30" s="1"/>
  <c r="AO40"/>
  <c r="AO43"/>
  <c r="AO41"/>
  <c r="AO42" l="1"/>
  <c r="AO45"/>
  <c r="AO24"/>
  <c r="AO46" l="1"/>
  <c r="AO34"/>
  <c r="AO25" s="1"/>
  <c r="AO31" l="1"/>
  <c r="AP28" s="1"/>
  <c r="AO37"/>
  <c r="AO35"/>
  <c r="AO26" s="1"/>
  <c r="AO32" s="1"/>
  <c r="AP29" l="1"/>
  <c r="AP44" s="1"/>
  <c r="AO36"/>
  <c r="AO27" s="1"/>
  <c r="AP40"/>
  <c r="AP43"/>
  <c r="AP41"/>
  <c r="AO38"/>
  <c r="AO33" l="1"/>
  <c r="AP30" s="1"/>
  <c r="AP45" s="1"/>
  <c r="AP42" l="1"/>
  <c r="AP24"/>
  <c r="AP46" s="1"/>
  <c r="AP34"/>
  <c r="AP25" s="1"/>
  <c r="AP35" s="1"/>
  <c r="AP26" s="1"/>
  <c r="AP37" l="1"/>
  <c r="AP32"/>
  <c r="AP36"/>
  <c r="AP27" s="1"/>
  <c r="AP38"/>
  <c r="AP31"/>
  <c r="AQ28" s="1"/>
  <c r="AQ29" l="1"/>
  <c r="AQ44" s="1"/>
  <c r="AP33"/>
  <c r="AQ30" s="1"/>
  <c r="AQ43"/>
  <c r="AQ40"/>
  <c r="AQ41"/>
  <c r="AQ24" l="1"/>
  <c r="AQ46" s="1"/>
  <c r="AQ45"/>
  <c r="AQ42"/>
  <c r="AQ34" l="1"/>
  <c r="AQ25" s="1"/>
  <c r="AQ31" s="1"/>
  <c r="AR28" s="1"/>
  <c r="AQ37" l="1"/>
  <c r="AQ35"/>
  <c r="AQ26" s="1"/>
  <c r="AQ32" s="1"/>
  <c r="AR40"/>
  <c r="AR43"/>
  <c r="AQ36" l="1"/>
  <c r="AQ27" s="1"/>
  <c r="AQ33" s="1"/>
  <c r="AR30" s="1"/>
  <c r="AQ38"/>
  <c r="AR29"/>
  <c r="AR44" l="1"/>
  <c r="AR41"/>
  <c r="AR45"/>
  <c r="AR42"/>
  <c r="AR24"/>
  <c r="AR46" l="1"/>
  <c r="AR34"/>
  <c r="AR25" s="1"/>
  <c r="AR35" s="1"/>
  <c r="AR26" s="1"/>
  <c r="AR37" l="1"/>
  <c r="AS29" s="1"/>
  <c r="AR32"/>
  <c r="AR36"/>
  <c r="AR27" s="1"/>
  <c r="AR33" s="1"/>
  <c r="AR38"/>
  <c r="AR31"/>
  <c r="AS28" s="1"/>
  <c r="AS40" l="1"/>
  <c r="AS43"/>
  <c r="AS30"/>
  <c r="AS24" s="1"/>
  <c r="AS41"/>
  <c r="AS44"/>
  <c r="AS34" l="1"/>
  <c r="AS25" s="1"/>
  <c r="AS35" s="1"/>
  <c r="AS26" s="1"/>
  <c r="AS32" s="1"/>
  <c r="AS46"/>
  <c r="AS42"/>
  <c r="AS45"/>
  <c r="AS36" l="1"/>
  <c r="AS27" s="1"/>
  <c r="AS33" s="1"/>
  <c r="AS31"/>
  <c r="AT28" s="1"/>
  <c r="AS38"/>
  <c r="AS37"/>
  <c r="AT29" s="1"/>
  <c r="AT30" l="1"/>
  <c r="AT45" s="1"/>
  <c r="AT44"/>
  <c r="AT41"/>
  <c r="AT40"/>
  <c r="AT43"/>
  <c r="AT42" l="1"/>
  <c r="AT24"/>
  <c r="AT34" s="1"/>
  <c r="AT25" s="1"/>
  <c r="AT37" s="1"/>
  <c r="AT46" l="1"/>
  <c r="AT35"/>
  <c r="AT26" s="1"/>
  <c r="AT32" s="1"/>
  <c r="AT31"/>
  <c r="AU28" s="1"/>
  <c r="AT38" l="1"/>
  <c r="AT36"/>
  <c r="AT27" s="1"/>
  <c r="AT33" s="1"/>
  <c r="AU29"/>
  <c r="AU43"/>
  <c r="AU40"/>
  <c r="AU30" l="1"/>
  <c r="AU44"/>
  <c r="AU41"/>
  <c r="AU42" l="1"/>
  <c r="AU45"/>
  <c r="AU24"/>
  <c r="AU46" l="1"/>
  <c r="AU34"/>
  <c r="AU25" s="1"/>
  <c r="AU35" s="1"/>
  <c r="AU26" s="1"/>
  <c r="AU32" l="1"/>
  <c r="AU36"/>
  <c r="AU27" s="1"/>
  <c r="AU38"/>
  <c r="AU31"/>
  <c r="AV28" s="1"/>
  <c r="AU37"/>
  <c r="AV29" s="1"/>
  <c r="AU33"/>
  <c r="AV30"/>
  <c r="AV41" l="1"/>
  <c r="AV44"/>
  <c r="AV43"/>
  <c r="AV40"/>
  <c r="AV45"/>
  <c r="AV42"/>
  <c r="AV24"/>
  <c r="AV46" l="1"/>
  <c r="AV34"/>
  <c r="AV25" s="1"/>
  <c r="AV35" s="1"/>
  <c r="AV26" s="1"/>
  <c r="AV37" l="1"/>
  <c r="AV32"/>
  <c r="AV38"/>
  <c r="AV36"/>
  <c r="AV27" s="1"/>
  <c r="AV31"/>
  <c r="AW28" s="1"/>
  <c r="AW29" l="1"/>
  <c r="AV33"/>
  <c r="AW30" s="1"/>
  <c r="AW43"/>
  <c r="AW40"/>
  <c r="AW44"/>
  <c r="AW41"/>
  <c r="AW42" l="1"/>
  <c r="AW45"/>
  <c r="AW24"/>
  <c r="AW34" l="1"/>
  <c r="AW25" s="1"/>
  <c r="AW37" s="1"/>
  <c r="AW46"/>
  <c r="AW35" l="1"/>
  <c r="AW26" s="1"/>
  <c r="AW32" s="1"/>
  <c r="AW31"/>
  <c r="AX28" s="1"/>
  <c r="AW38" l="1"/>
  <c r="AW36"/>
  <c r="AW27" s="1"/>
  <c r="AW33" s="1"/>
  <c r="AX29"/>
  <c r="AX41" s="1"/>
  <c r="AX40"/>
  <c r="AX43"/>
  <c r="AX44" l="1"/>
  <c r="AX30"/>
  <c r="AX24" s="1"/>
  <c r="AX34" s="1"/>
  <c r="AX25" s="1"/>
  <c r="AX35" s="1"/>
  <c r="AX26" s="1"/>
  <c r="AX46" l="1"/>
  <c r="AX45"/>
  <c r="AX42"/>
  <c r="AX37"/>
  <c r="AX32"/>
  <c r="AX38"/>
  <c r="AX36"/>
  <c r="AX27" s="1"/>
  <c r="AX31"/>
  <c r="AY28" s="1"/>
  <c r="AY29" l="1"/>
  <c r="AX33"/>
  <c r="AY30" s="1"/>
  <c r="AY41"/>
  <c r="AY44"/>
  <c r="AY40"/>
  <c r="AY43"/>
  <c r="AY42" l="1"/>
  <c r="AY45"/>
  <c r="AY24"/>
  <c r="AY46" s="1"/>
  <c r="AY34" l="1"/>
  <c r="AY25" s="1"/>
  <c r="AY37" s="1"/>
  <c r="AY31" l="1"/>
  <c r="AZ28" s="1"/>
  <c r="AZ40" s="1"/>
  <c r="AY35"/>
  <c r="AY26" s="1"/>
  <c r="AY38" s="1"/>
  <c r="AY36" l="1"/>
  <c r="AY27" s="1"/>
  <c r="AY33" s="1"/>
  <c r="AZ43"/>
  <c r="AZ30"/>
  <c r="AZ42" s="1"/>
  <c r="AY32"/>
  <c r="AZ29" s="1"/>
  <c r="AZ45" l="1"/>
  <c r="AZ24"/>
  <c r="AZ41"/>
  <c r="AZ44"/>
  <c r="AZ46" l="1"/>
  <c r="AZ34"/>
  <c r="AZ25" s="1"/>
  <c r="AZ37" l="1"/>
  <c r="AZ31"/>
  <c r="BA28" s="1"/>
  <c r="AZ35"/>
  <c r="AZ26" s="1"/>
  <c r="AZ36" l="1"/>
  <c r="AZ27" s="1"/>
  <c r="AZ32"/>
  <c r="BA29" s="1"/>
  <c r="BA43"/>
  <c r="BA40"/>
  <c r="AZ38"/>
  <c r="AZ33" l="1"/>
  <c r="BA30" s="1"/>
  <c r="BA41"/>
  <c r="BA44"/>
  <c r="BA45" l="1"/>
  <c r="BA42"/>
  <c r="BA24"/>
  <c r="BA46" l="1"/>
  <c r="BA34"/>
  <c r="BA25" s="1"/>
  <c r="BA31" l="1"/>
  <c r="BB28" s="1"/>
  <c r="BA37"/>
  <c r="BA35"/>
  <c r="BA26" s="1"/>
  <c r="BA32" l="1"/>
  <c r="BA38"/>
  <c r="BB29"/>
  <c r="BA36"/>
  <c r="BA27" s="1"/>
  <c r="BA33" s="1"/>
  <c r="BB40"/>
  <c r="BB43"/>
  <c r="BB30"/>
  <c r="BB44" l="1"/>
  <c r="BB41"/>
  <c r="BB24"/>
  <c r="BB42"/>
  <c r="BB45"/>
  <c r="BB34" l="1"/>
  <c r="BB25" s="1"/>
  <c r="BB37" s="1"/>
  <c r="BB46"/>
  <c r="BB31" l="1"/>
  <c r="BC28" s="1"/>
  <c r="BB35"/>
  <c r="BB26" s="1"/>
  <c r="BB32" l="1"/>
  <c r="BC29" s="1"/>
  <c r="BB38"/>
  <c r="BB36"/>
  <c r="BB27" s="1"/>
  <c r="BB33" s="1"/>
  <c r="BC40"/>
  <c r="BC43"/>
  <c r="BC30" l="1"/>
  <c r="BC44"/>
  <c r="BC41"/>
  <c r="BC42" l="1"/>
  <c r="BC45"/>
  <c r="BC24"/>
  <c r="BC46" l="1"/>
  <c r="BC34"/>
  <c r="BC25" s="1"/>
  <c r="BC35" s="1"/>
  <c r="BC26" s="1"/>
  <c r="BC37" l="1"/>
  <c r="BC32"/>
  <c r="BC38"/>
  <c r="BC36"/>
  <c r="BC27" s="1"/>
  <c r="BC33" s="1"/>
  <c r="BC31"/>
  <c r="BD28" s="1"/>
  <c r="BD29" l="1"/>
  <c r="BD44" s="1"/>
  <c r="BD40"/>
  <c r="BD43"/>
  <c r="BD30"/>
  <c r="BD41"/>
  <c r="BD24" l="1"/>
  <c r="BD34" s="1"/>
  <c r="BD25" s="1"/>
  <c r="BD37" s="1"/>
  <c r="BD42"/>
  <c r="BD45"/>
  <c r="BD46" l="1"/>
  <c r="BD35"/>
  <c r="BD26" s="1"/>
  <c r="BD31"/>
  <c r="BE28" s="1"/>
  <c r="BD32" l="1"/>
  <c r="BE29" s="1"/>
  <c r="BD38"/>
  <c r="BD36"/>
  <c r="BD27" s="1"/>
  <c r="BD33" s="1"/>
  <c r="BE40"/>
  <c r="BE43"/>
  <c r="BE30" l="1"/>
  <c r="BE24" s="1"/>
  <c r="BE34" s="1"/>
  <c r="BE25" s="1"/>
  <c r="BE44"/>
  <c r="BE41"/>
  <c r="BE42" l="1"/>
  <c r="BE46"/>
  <c r="BE45"/>
  <c r="BE35"/>
  <c r="BE26" s="1"/>
  <c r="BE32" s="1"/>
  <c r="BE37"/>
  <c r="BE31"/>
  <c r="BF28" s="1"/>
  <c r="BE38" l="1"/>
  <c r="BF29"/>
  <c r="BF44" s="1"/>
  <c r="BE36"/>
  <c r="BE27" s="1"/>
  <c r="BE33" s="1"/>
  <c r="BF30" s="1"/>
  <c r="BF24" s="1"/>
  <c r="BF43"/>
  <c r="BF40"/>
  <c r="BF41" l="1"/>
  <c r="BF34"/>
  <c r="BF25" s="1"/>
  <c r="BF35" s="1"/>
  <c r="BF26" s="1"/>
  <c r="BF32" s="1"/>
  <c r="BF46"/>
  <c r="BF45"/>
  <c r="BF42"/>
  <c r="BF37" l="1"/>
  <c r="BG29" s="1"/>
  <c r="BF36"/>
  <c r="BF27" s="1"/>
  <c r="BF33" s="1"/>
  <c r="BF31"/>
  <c r="BG28" s="1"/>
  <c r="BF38"/>
  <c r="BG30" s="1"/>
  <c r="BG43" l="1"/>
  <c r="BG40"/>
  <c r="BG24"/>
  <c r="BG45"/>
  <c r="BG42"/>
  <c r="BG41"/>
  <c r="BG44"/>
  <c r="BG46" l="1"/>
  <c r="BG34"/>
  <c r="BG25" s="1"/>
  <c r="BG37" s="1"/>
  <c r="BG35" l="1"/>
  <c r="BG26" s="1"/>
  <c r="BG31"/>
  <c r="BH28" s="1"/>
  <c r="BG32" l="1"/>
  <c r="BH29" s="1"/>
  <c r="BG36"/>
  <c r="BG27" s="1"/>
  <c r="BG33" s="1"/>
  <c r="BH40"/>
  <c r="BH43"/>
  <c r="BG38"/>
  <c r="BH30" l="1"/>
  <c r="BH42" s="1"/>
  <c r="BH41"/>
  <c r="BH44"/>
  <c r="BH45" l="1"/>
  <c r="BH24"/>
  <c r="BH34" s="1"/>
  <c r="BH25" s="1"/>
  <c r="BH35" s="1"/>
  <c r="BH26" s="1"/>
  <c r="BH46" l="1"/>
  <c r="BH37"/>
  <c r="BH32"/>
  <c r="BH36"/>
  <c r="BH27" s="1"/>
  <c r="BH33" s="1"/>
  <c r="BH38"/>
  <c r="BH31"/>
  <c r="BI28" s="1"/>
  <c r="BI29" l="1"/>
  <c r="BI44" s="1"/>
  <c r="BI30"/>
  <c r="BI43"/>
  <c r="BI40"/>
  <c r="BI41" l="1"/>
  <c r="BI24"/>
  <c r="BI34" s="1"/>
  <c r="BI25" s="1"/>
  <c r="BI37" s="1"/>
  <c r="BI45"/>
  <c r="BI42"/>
  <c r="BI46" l="1"/>
  <c r="BI35"/>
  <c r="BI26" s="1"/>
  <c r="BI32" s="1"/>
  <c r="BI31"/>
  <c r="BJ28" s="1"/>
  <c r="BJ29" l="1"/>
  <c r="D5" s="1"/>
  <c r="BI38"/>
  <c r="BI36"/>
  <c r="BI27" s="1"/>
  <c r="BJ40"/>
  <c r="BJ43"/>
  <c r="E4" s="1"/>
  <c r="D4"/>
  <c r="BJ44"/>
  <c r="E5" s="1"/>
  <c r="BJ41" l="1"/>
  <c r="BI33"/>
  <c r="BJ30" s="1"/>
  <c r="BJ42" l="1"/>
  <c r="BJ45"/>
  <c r="E6" s="1"/>
  <c r="BJ24"/>
  <c r="D6"/>
  <c r="D7" l="1"/>
  <c r="BJ34"/>
  <c r="BJ25" s="1"/>
  <c r="BJ46"/>
  <c r="E7" s="1"/>
  <c r="K12" l="1"/>
  <c r="BJ37"/>
  <c r="K15" s="1"/>
  <c r="I15" s="1"/>
  <c r="J15" s="1"/>
  <c r="F13"/>
  <c r="F12"/>
  <c r="D12" s="1"/>
  <c r="F14"/>
  <c r="F15"/>
  <c r="BJ35"/>
  <c r="BJ31"/>
  <c r="K17" s="1"/>
  <c r="I17" s="1"/>
  <c r="BK28" l="1"/>
  <c r="P12"/>
  <c r="L15"/>
  <c r="L17"/>
  <c r="J17"/>
  <c r="G15"/>
  <c r="D15"/>
  <c r="E15" s="1"/>
  <c r="G12"/>
  <c r="E12"/>
  <c r="G13"/>
  <c r="D13"/>
  <c r="E13" s="1"/>
  <c r="K13"/>
  <c r="BJ26"/>
  <c r="G14"/>
  <c r="D14"/>
  <c r="E14" s="1"/>
  <c r="L12"/>
  <c r="I12"/>
  <c r="J12" s="1"/>
  <c r="BK40" l="1"/>
  <c r="BK43"/>
  <c r="BJ38"/>
  <c r="K16" s="1"/>
  <c r="F16"/>
  <c r="BJ32"/>
  <c r="K18" s="1"/>
  <c r="BJ36"/>
  <c r="K14" s="1"/>
  <c r="BJ27"/>
  <c r="I13"/>
  <c r="J13" s="1"/>
  <c r="L13"/>
  <c r="N12"/>
  <c r="Q12"/>
  <c r="O12" l="1"/>
  <c r="BK29"/>
  <c r="P13"/>
  <c r="BJ33"/>
  <c r="K19" s="1"/>
  <c r="F17"/>
  <c r="L18"/>
  <c r="I18"/>
  <c r="I16"/>
  <c r="L16"/>
  <c r="L14"/>
  <c r="I14"/>
  <c r="J14" s="1"/>
  <c r="G16"/>
  <c r="D16"/>
  <c r="E16" s="1"/>
  <c r="P14" l="1"/>
  <c r="J16"/>
  <c r="J18"/>
  <c r="BK30"/>
  <c r="BK44"/>
  <c r="BK41"/>
  <c r="I19"/>
  <c r="L19"/>
  <c r="Q13"/>
  <c r="N13"/>
  <c r="D17"/>
  <c r="E17" s="1"/>
  <c r="G17"/>
  <c r="O13" l="1"/>
  <c r="J19"/>
  <c r="BK42"/>
  <c r="BK45"/>
  <c r="BK24"/>
  <c r="Q14"/>
  <c r="N14"/>
  <c r="O14" l="1"/>
  <c r="BK46"/>
  <c r="BK34"/>
  <c r="BK25" s="1"/>
  <c r="BK37" s="1"/>
  <c r="BK35" l="1"/>
  <c r="BK26" s="1"/>
  <c r="BK32" s="1"/>
  <c r="BK31"/>
  <c r="BL28" s="1"/>
  <c r="BK38" l="1"/>
  <c r="BK36"/>
  <c r="BK27" s="1"/>
  <c r="BL29"/>
  <c r="BL44" s="1"/>
  <c r="BL43"/>
  <c r="BL40"/>
  <c r="BK33"/>
  <c r="BL30"/>
  <c r="BL41" l="1"/>
  <c r="BL24"/>
  <c r="BL45"/>
  <c r="BL42"/>
  <c r="BL46" l="1"/>
  <c r="BL34"/>
  <c r="BL25" s="1"/>
  <c r="BL37" s="1"/>
  <c r="BL35" l="1"/>
  <c r="BL26" s="1"/>
  <c r="BL36" s="1"/>
  <c r="BL27" s="1"/>
  <c r="BL33" s="1"/>
  <c r="BL31"/>
  <c r="BM28" s="1"/>
  <c r="BL32" l="1"/>
  <c r="BM29" s="1"/>
  <c r="BM44" s="1"/>
  <c r="BL38"/>
  <c r="BM40"/>
  <c r="BM43"/>
  <c r="BM30"/>
  <c r="BM24" s="1"/>
  <c r="BM41" l="1"/>
  <c r="BM46"/>
  <c r="BM34"/>
  <c r="BM25" s="1"/>
  <c r="BM37" s="1"/>
  <c r="BM45"/>
  <c r="BM42"/>
  <c r="BM35" l="1"/>
  <c r="BM26" s="1"/>
  <c r="BM38" s="1"/>
  <c r="BM31"/>
  <c r="BN28" s="1"/>
  <c r="BM32" l="1"/>
  <c r="BN29" s="1"/>
  <c r="BN44" s="1"/>
  <c r="BM36"/>
  <c r="BM27" s="1"/>
  <c r="BN43"/>
  <c r="BN40"/>
  <c r="BN41"/>
  <c r="BM33" l="1"/>
  <c r="BN30"/>
  <c r="BN45" l="1"/>
  <c r="BN24"/>
  <c r="BN42"/>
  <c r="BN46" l="1"/>
  <c r="BN34"/>
  <c r="BN25" s="1"/>
  <c r="BN31" l="1"/>
  <c r="BN37"/>
  <c r="BN35"/>
  <c r="BN26" s="1"/>
  <c r="BN32" s="1"/>
  <c r="BN38" l="1"/>
  <c r="BN36"/>
  <c r="BN27" s="1"/>
  <c r="BN33" s="1"/>
  <c r="K24" i="18"/>
  <c r="K23"/>
  <c r="K22"/>
  <c r="H21" l="1"/>
  <c r="G21" s="1"/>
  <c r="H13"/>
  <c r="H10"/>
  <c r="H16"/>
  <c r="H12" l="1"/>
  <c r="H23"/>
  <c r="G23" s="1"/>
  <c r="H17"/>
  <c r="H11"/>
  <c r="H14"/>
  <c r="H22"/>
  <c r="G22" s="1"/>
  <c r="H15" l="1"/>
  <c r="H18"/>
  <c r="H7"/>
  <c r="H8"/>
  <c r="H4"/>
  <c r="H9"/>
  <c r="H5"/>
  <c r="H6"/>
  <c r="H24"/>
  <c r="G24" s="1"/>
  <c r="G14" l="1"/>
  <c r="G5"/>
  <c r="G7"/>
  <c r="G10"/>
  <c r="G6"/>
  <c r="G9"/>
  <c r="G15"/>
  <c r="G8" l="1"/>
  <c r="G11"/>
  <c r="G12"/>
  <c r="G13" l="1"/>
  <c r="I48" i="16" l="1"/>
  <c r="I47"/>
  <c r="I51"/>
  <c r="I50"/>
  <c r="I53"/>
  <c r="I52"/>
  <c r="I49"/>
  <c r="P34" s="1"/>
  <c r="P35" l="1"/>
  <c r="P36"/>
  <c r="Q34" l="1"/>
  <c r="P37"/>
  <c r="Q31" l="1"/>
  <c r="Q35" l="1"/>
  <c r="Q32"/>
  <c r="Q33"/>
  <c r="Q36" l="1"/>
  <c r="Q37" l="1"/>
  <c r="R34" l="1"/>
  <c r="R31"/>
  <c r="R35" l="1"/>
  <c r="R33"/>
  <c r="R32"/>
  <c r="R24" l="1"/>
  <c r="R36"/>
  <c r="R25" l="1"/>
  <c r="S28" s="1"/>
  <c r="S29" s="1"/>
  <c r="S30" s="1"/>
  <c r="R27"/>
  <c r="R26"/>
  <c r="R37"/>
  <c r="S34" l="1"/>
  <c r="S31" l="1"/>
  <c r="S24" l="1"/>
  <c r="S35"/>
  <c r="S32"/>
  <c r="S25" l="1"/>
  <c r="T28" s="1"/>
  <c r="T29" s="1"/>
  <c r="T30" s="1"/>
  <c r="S27"/>
  <c r="S26"/>
  <c r="S33"/>
  <c r="S36"/>
  <c r="S37" l="1"/>
  <c r="T34" l="1"/>
  <c r="T31"/>
  <c r="T33" l="1"/>
  <c r="T35"/>
  <c r="T32"/>
  <c r="T24" l="1"/>
  <c r="T36"/>
  <c r="T26" l="1"/>
  <c r="T25"/>
  <c r="U28" s="1"/>
  <c r="U34" s="1"/>
  <c r="T27"/>
  <c r="T37"/>
  <c r="U31" l="1"/>
  <c r="U29"/>
  <c r="U30" s="1"/>
  <c r="U33" s="1"/>
  <c r="U24" l="1"/>
  <c r="U32"/>
  <c r="U36"/>
  <c r="U35"/>
  <c r="U37"/>
  <c r="U25" l="1"/>
  <c r="V28" s="1"/>
  <c r="U27"/>
  <c r="U26"/>
  <c r="V29" l="1"/>
  <c r="V32" s="1"/>
  <c r="V31"/>
  <c r="V34"/>
  <c r="V35" l="1"/>
  <c r="V30"/>
  <c r="V36" s="1"/>
  <c r="V33" l="1"/>
  <c r="V24"/>
  <c r="V26"/>
  <c r="V25"/>
  <c r="V27"/>
  <c r="V37"/>
  <c r="W28" l="1"/>
  <c r="W29" l="1"/>
  <c r="W34"/>
  <c r="W31"/>
  <c r="W30" l="1"/>
  <c r="W24" s="1"/>
  <c r="W32"/>
  <c r="W35"/>
  <c r="W25" l="1"/>
  <c r="W27"/>
  <c r="W26"/>
  <c r="W36"/>
  <c r="W33"/>
  <c r="W37" l="1"/>
  <c r="X28"/>
  <c r="X29" l="1"/>
  <c r="X35" s="1"/>
  <c r="X31"/>
  <c r="X34"/>
  <c r="X30" l="1"/>
  <c r="X24" s="1"/>
  <c r="X32"/>
  <c r="X26" l="1"/>
  <c r="X25"/>
  <c r="Y28" s="1"/>
  <c r="X27"/>
  <c r="X37"/>
  <c r="X33"/>
  <c r="X36"/>
  <c r="Y29" l="1"/>
  <c r="Y30" s="1"/>
  <c r="Y34"/>
  <c r="Y31"/>
  <c r="Y24" l="1"/>
  <c r="Y33"/>
  <c r="Y36"/>
  <c r="Y35"/>
  <c r="Y32"/>
  <c r="Y25" l="1"/>
  <c r="Y27"/>
  <c r="Y26"/>
  <c r="Y37"/>
  <c r="Z28"/>
  <c r="Z29" l="1"/>
  <c r="Z30" s="1"/>
  <c r="Z34"/>
  <c r="Z31"/>
  <c r="Z24" l="1"/>
  <c r="Z33"/>
  <c r="Z36"/>
  <c r="Z32"/>
  <c r="Z35"/>
  <c r="Z26" l="1"/>
  <c r="Z25"/>
  <c r="Z27"/>
  <c r="Z37"/>
  <c r="AA28" l="1"/>
  <c r="AA31" l="1"/>
  <c r="AA34"/>
  <c r="AA29"/>
  <c r="AA30" l="1"/>
  <c r="AA24" s="1"/>
  <c r="AA35"/>
  <c r="AA32"/>
  <c r="AA25" l="1"/>
  <c r="AA27"/>
  <c r="AA26"/>
  <c r="AA37"/>
  <c r="AA33"/>
  <c r="AA36"/>
  <c r="AB28" l="1"/>
  <c r="AB34" l="1"/>
  <c r="AB31"/>
  <c r="AB29"/>
  <c r="AB35" l="1"/>
  <c r="AB32"/>
  <c r="AB30"/>
  <c r="AB24" s="1"/>
  <c r="AB26" l="1"/>
  <c r="AB25"/>
  <c r="AB27"/>
  <c r="AB33"/>
  <c r="AB36"/>
  <c r="AB37" l="1"/>
  <c r="AC28" l="1"/>
  <c r="AC34" s="1"/>
  <c r="AC31" l="1"/>
  <c r="AC29"/>
  <c r="AC30" s="1"/>
  <c r="AC33" l="1"/>
  <c r="AC36"/>
  <c r="AC32"/>
  <c r="AC35"/>
  <c r="AC24"/>
  <c r="AC25" l="1"/>
  <c r="AC27"/>
  <c r="AC26"/>
  <c r="AC37"/>
  <c r="AD28"/>
  <c r="AD31" s="1"/>
  <c r="AD29" l="1"/>
  <c r="AD32" s="1"/>
  <c r="AD34"/>
  <c r="AD30" l="1"/>
  <c r="AD24" s="1"/>
  <c r="AD26" s="1"/>
  <c r="AD35"/>
  <c r="AD36" l="1"/>
  <c r="AD25"/>
  <c r="AD33"/>
  <c r="AD27"/>
  <c r="AD37"/>
  <c r="AE28"/>
  <c r="AE29" l="1"/>
  <c r="AE34"/>
  <c r="AE31"/>
  <c r="AE30" l="1"/>
  <c r="AE24" s="1"/>
  <c r="AE32"/>
  <c r="AE35"/>
  <c r="AE25" l="1"/>
  <c r="AE27"/>
  <c r="AE26"/>
  <c r="AE37"/>
  <c r="AE33"/>
  <c r="AE36"/>
  <c r="AF28" l="1"/>
  <c r="AF29" s="1"/>
  <c r="AF32" l="1"/>
  <c r="AF35"/>
  <c r="AF30"/>
  <c r="AF31"/>
  <c r="AF34"/>
  <c r="AF36" l="1"/>
  <c r="AF33"/>
  <c r="AF24"/>
  <c r="AF26" l="1"/>
  <c r="AF25"/>
  <c r="AF27"/>
  <c r="AF37"/>
  <c r="AG28" l="1"/>
  <c r="AG34" l="1"/>
  <c r="AG31"/>
  <c r="AG29"/>
  <c r="AG30" s="1"/>
  <c r="AG24" l="1"/>
  <c r="AG36"/>
  <c r="AG33"/>
  <c r="AG35"/>
  <c r="AG32"/>
  <c r="AG25" l="1"/>
  <c r="AG27"/>
  <c r="AG26"/>
  <c r="AG37"/>
  <c r="AH28"/>
  <c r="AH34" s="1"/>
  <c r="AH31" l="1"/>
  <c r="AH29"/>
  <c r="AH30" s="1"/>
  <c r="AH33" l="1"/>
  <c r="AH36"/>
  <c r="AH35"/>
  <c r="AH32"/>
  <c r="AH24"/>
  <c r="AH26" l="1"/>
  <c r="AH25"/>
  <c r="AI28" s="1"/>
  <c r="AH27"/>
  <c r="AH37"/>
  <c r="AI31" l="1"/>
  <c r="AI34"/>
  <c r="AI29"/>
  <c r="AI30" s="1"/>
  <c r="AI33" l="1"/>
  <c r="AI36"/>
  <c r="AI32"/>
  <c r="AI35"/>
  <c r="AI24"/>
  <c r="AI25" l="1"/>
  <c r="AI27"/>
  <c r="AI26"/>
  <c r="AI37"/>
  <c r="AJ28"/>
  <c r="AJ29" l="1"/>
  <c r="AJ30" s="1"/>
  <c r="AJ31"/>
  <c r="AJ34"/>
  <c r="AJ32" l="1"/>
  <c r="AJ35"/>
  <c r="AJ33"/>
  <c r="AJ36"/>
  <c r="AJ24"/>
  <c r="AJ26" l="1"/>
  <c r="AJ25"/>
  <c r="AJ27"/>
  <c r="AJ37"/>
  <c r="AK28"/>
  <c r="AK29" l="1"/>
  <c r="AK31"/>
  <c r="AK34"/>
  <c r="AK35" l="1"/>
  <c r="AK32"/>
  <c r="AK30"/>
  <c r="AK36" l="1"/>
  <c r="AK24"/>
  <c r="AK33"/>
  <c r="AK25" l="1"/>
  <c r="AK27"/>
  <c r="AK26"/>
  <c r="AK37"/>
  <c r="AL28" l="1"/>
  <c r="AL34" s="1"/>
  <c r="AL29" l="1"/>
  <c r="AL32" s="1"/>
  <c r="AL31"/>
  <c r="AL30" l="1"/>
  <c r="AL36" s="1"/>
  <c r="AL35"/>
  <c r="AL33" l="1"/>
  <c r="AL24"/>
  <c r="AL26"/>
  <c r="AL25"/>
  <c r="AL27"/>
  <c r="AL37"/>
  <c r="AM28" l="1"/>
  <c r="AM29" s="1"/>
  <c r="AM30" l="1"/>
  <c r="AM32"/>
  <c r="AM35"/>
  <c r="AM34"/>
  <c r="AM31"/>
  <c r="AM36" l="1"/>
  <c r="AM33"/>
  <c r="AM24"/>
  <c r="AM25" l="1"/>
  <c r="AM27"/>
  <c r="AM26"/>
  <c r="AM37"/>
  <c r="AN28"/>
  <c r="AN29" s="1"/>
  <c r="AN30" l="1"/>
  <c r="AN36" s="1"/>
  <c r="AN32"/>
  <c r="AN35"/>
  <c r="AN34"/>
  <c r="AN31"/>
  <c r="AN24" l="1"/>
  <c r="AN26" s="1"/>
  <c r="AN33"/>
  <c r="AN37"/>
  <c r="AN27" l="1"/>
  <c r="AN25"/>
  <c r="AO28" s="1"/>
  <c r="AO29" s="1"/>
  <c r="AO34" l="1"/>
  <c r="AO35"/>
  <c r="AO32"/>
  <c r="AO30"/>
  <c r="AO36" s="1"/>
  <c r="AO31"/>
  <c r="AO33" l="1"/>
  <c r="AO24"/>
  <c r="AO37" s="1"/>
  <c r="AO25" l="1"/>
  <c r="AP28" s="1"/>
  <c r="AP34" s="1"/>
  <c r="AO27"/>
  <c r="AO26"/>
  <c r="AP31" l="1"/>
  <c r="AP29"/>
  <c r="AP30" s="1"/>
  <c r="AP35" l="1"/>
  <c r="AP32"/>
  <c r="AP33"/>
  <c r="AP36"/>
  <c r="AP24"/>
  <c r="AP26" l="1"/>
  <c r="AP25"/>
  <c r="AP27"/>
  <c r="AP37"/>
  <c r="AQ28" l="1"/>
  <c r="AQ34" l="1"/>
  <c r="AQ31"/>
  <c r="AQ29"/>
  <c r="AQ30" s="1"/>
  <c r="AQ24" l="1"/>
  <c r="AQ36"/>
  <c r="AQ33"/>
  <c r="AQ32"/>
  <c r="AQ35"/>
  <c r="AQ25" l="1"/>
  <c r="AQ27"/>
  <c r="AQ26"/>
  <c r="AQ37"/>
  <c r="AR28"/>
  <c r="AR29" l="1"/>
  <c r="AR30" s="1"/>
  <c r="AR34"/>
  <c r="AR31"/>
  <c r="AR33" l="1"/>
  <c r="AR36"/>
  <c r="AR32"/>
  <c r="AR35"/>
  <c r="AR24"/>
  <c r="AR26" l="1"/>
  <c r="AR25"/>
  <c r="AR27"/>
  <c r="AR37"/>
  <c r="AS28" l="1"/>
  <c r="AS31" l="1"/>
  <c r="AS34"/>
  <c r="AS29"/>
  <c r="AS30" s="1"/>
  <c r="AS24" l="1"/>
  <c r="AS33"/>
  <c r="AS36"/>
  <c r="AS35"/>
  <c r="AS32"/>
  <c r="AS25" l="1"/>
  <c r="AS27"/>
  <c r="AS26"/>
  <c r="AS37"/>
  <c r="AT28"/>
  <c r="AT29" s="1"/>
  <c r="AT35" l="1"/>
  <c r="AT32"/>
  <c r="AT30"/>
  <c r="AT24" s="1"/>
  <c r="AT31"/>
  <c r="AT34"/>
  <c r="AT26" l="1"/>
  <c r="AT25"/>
  <c r="AT27"/>
  <c r="AT36"/>
  <c r="AT33"/>
  <c r="AT37"/>
  <c r="AU28"/>
  <c r="AU31" l="1"/>
  <c r="AU34"/>
  <c r="AU29"/>
  <c r="AU30" l="1"/>
  <c r="AU24" s="1"/>
  <c r="AU35"/>
  <c r="AU32"/>
  <c r="AU25" l="1"/>
  <c r="AV28" s="1"/>
  <c r="AU27"/>
  <c r="AU26"/>
  <c r="AU36"/>
  <c r="AU37"/>
  <c r="AU33"/>
  <c r="AV31" l="1"/>
  <c r="AV34"/>
  <c r="AV29" l="1"/>
  <c r="AV30" s="1"/>
  <c r="AV24" l="1"/>
  <c r="AV36"/>
  <c r="AV35"/>
  <c r="AV32"/>
  <c r="AV33"/>
  <c r="AV26" l="1"/>
  <c r="AV25"/>
  <c r="AW28" s="1"/>
  <c r="AW34" s="1"/>
  <c r="AV27"/>
  <c r="AV37"/>
  <c r="AW31" l="1"/>
  <c r="AW29"/>
  <c r="AW30" l="1"/>
  <c r="AW33" s="1"/>
  <c r="AW32"/>
  <c r="AW35"/>
  <c r="AW24" l="1"/>
  <c r="AW36"/>
  <c r="AW25" l="1"/>
  <c r="AW27"/>
  <c r="AW26"/>
  <c r="AW37"/>
  <c r="AX28"/>
  <c r="AX31" s="1"/>
  <c r="AX29" l="1"/>
  <c r="AX35" s="1"/>
  <c r="AX34"/>
  <c r="AX30" l="1"/>
  <c r="AX24" s="1"/>
  <c r="AX26" s="1"/>
  <c r="AX32"/>
  <c r="AX36" l="1"/>
  <c r="AX25"/>
  <c r="AX37"/>
  <c r="AX33"/>
  <c r="AX27"/>
  <c r="AY28"/>
  <c r="AY31" l="1"/>
  <c r="AY34"/>
  <c r="AY29"/>
  <c r="AY30" s="1"/>
  <c r="AY24" l="1"/>
  <c r="AY32"/>
  <c r="AY35"/>
  <c r="AY36"/>
  <c r="AY33"/>
  <c r="AY25" l="1"/>
  <c r="AZ28" s="1"/>
  <c r="AY27"/>
  <c r="AY26"/>
  <c r="AY37"/>
  <c r="AZ34" l="1"/>
  <c r="AZ31"/>
  <c r="AZ29" l="1"/>
  <c r="AZ35" l="1"/>
  <c r="AZ30"/>
  <c r="AZ24" s="1"/>
  <c r="AZ32"/>
  <c r="AZ26" l="1"/>
  <c r="AZ25"/>
  <c r="AZ27"/>
  <c r="AZ33"/>
  <c r="AZ36"/>
  <c r="AZ37" l="1"/>
  <c r="BA28"/>
  <c r="BA34" l="1"/>
  <c r="BA31"/>
  <c r="BA29" l="1"/>
  <c r="BA30" s="1"/>
  <c r="BA33" s="1"/>
  <c r="BA24" l="1"/>
  <c r="BA32"/>
  <c r="BA35"/>
  <c r="BA36"/>
  <c r="BA25" l="1"/>
  <c r="BA27"/>
  <c r="BA26"/>
  <c r="BA37"/>
  <c r="BB28" l="1"/>
  <c r="BB31" l="1"/>
  <c r="BB34"/>
  <c r="BB29"/>
  <c r="BB30" s="1"/>
  <c r="BB24" l="1"/>
  <c r="BB32"/>
  <c r="BB35"/>
  <c r="BB33"/>
  <c r="BB36"/>
  <c r="BB26" l="1"/>
  <c r="BB25"/>
  <c r="BB27"/>
  <c r="BB37"/>
  <c r="BC28" l="1"/>
  <c r="BC31" l="1"/>
  <c r="BC34"/>
  <c r="BC29"/>
  <c r="BC30" l="1"/>
  <c r="BC24" s="1"/>
  <c r="BC32"/>
  <c r="BC35"/>
  <c r="BC25" l="1"/>
  <c r="BC27"/>
  <c r="BC26"/>
  <c r="BC37"/>
  <c r="BD28"/>
  <c r="BD29" s="1"/>
  <c r="BC33"/>
  <c r="BC36"/>
  <c r="BD30" l="1"/>
  <c r="BD24" s="1"/>
  <c r="BD32"/>
  <c r="BD35"/>
  <c r="BD34"/>
  <c r="BD31"/>
  <c r="BD26" l="1"/>
  <c r="BD25"/>
  <c r="BD27"/>
  <c r="BD36"/>
  <c r="BD33"/>
  <c r="BD37"/>
  <c r="BE28" l="1"/>
  <c r="BE29" s="1"/>
  <c r="BE30" l="1"/>
  <c r="BE24" s="1"/>
  <c r="BE32"/>
  <c r="BE35"/>
  <c r="BE34"/>
  <c r="BE31"/>
  <c r="BE25" l="1"/>
  <c r="BE27"/>
  <c r="BE26"/>
  <c r="BE36"/>
  <c r="BE33"/>
  <c r="BE37" l="1"/>
  <c r="BF28"/>
  <c r="BF29" l="1"/>
  <c r="BF31"/>
  <c r="BF34"/>
  <c r="BF30" l="1"/>
  <c r="BF24" s="1"/>
  <c r="BF32"/>
  <c r="BF35"/>
  <c r="BF26" l="1"/>
  <c r="BF25"/>
  <c r="BF27"/>
  <c r="BF37"/>
  <c r="BF33"/>
  <c r="BF36"/>
  <c r="BG28" l="1"/>
  <c r="BG31" l="1"/>
  <c r="BG34"/>
  <c r="BG29"/>
  <c r="BG30" l="1"/>
  <c r="BG24" s="1"/>
  <c r="BG35"/>
  <c r="BG32"/>
  <c r="BG25" l="1"/>
  <c r="BG27"/>
  <c r="BG26"/>
  <c r="BG37"/>
  <c r="BG36"/>
  <c r="BG33"/>
  <c r="BH28" l="1"/>
  <c r="BH29" s="1"/>
  <c r="BH31" l="1"/>
  <c r="BH34"/>
  <c r="BH35"/>
  <c r="BH32"/>
  <c r="BH30"/>
  <c r="BH24" s="1"/>
  <c r="BH26" l="1"/>
  <c r="BH25"/>
  <c r="BI28" s="1"/>
  <c r="BH27"/>
  <c r="BH36"/>
  <c r="BH33"/>
  <c r="BH37"/>
  <c r="BI29" l="1"/>
  <c r="BI35" s="1"/>
  <c r="BI34"/>
  <c r="BI31"/>
  <c r="BI30" l="1"/>
  <c r="BI24" s="1"/>
  <c r="BI32"/>
  <c r="BI25" l="1"/>
  <c r="BI27"/>
  <c r="BI26"/>
  <c r="BI37"/>
  <c r="BI33"/>
  <c r="BI36"/>
  <c r="BJ28"/>
  <c r="BJ29" l="1"/>
  <c r="BJ30" s="1"/>
  <c r="BJ34"/>
  <c r="E4" s="1"/>
  <c r="D21" i="18" s="1"/>
  <c r="C21" s="1"/>
  <c r="BJ31" i="16"/>
  <c r="D4"/>
  <c r="K17" s="1"/>
  <c r="BJ24" l="1"/>
  <c r="D6"/>
  <c r="K19" s="1"/>
  <c r="BJ36"/>
  <c r="E6" s="1"/>
  <c r="D23" i="18" s="1"/>
  <c r="C23" s="1"/>
  <c r="BJ33" i="16"/>
  <c r="W10"/>
  <c r="D10" i="18" s="1"/>
  <c r="W13" i="16"/>
  <c r="D13" i="18" s="1"/>
  <c r="W16" i="16"/>
  <c r="D16" i="18" s="1"/>
  <c r="I17" i="16"/>
  <c r="J17" s="1"/>
  <c r="L17"/>
  <c r="D5"/>
  <c r="K18" s="1"/>
  <c r="BJ35"/>
  <c r="E5" s="1"/>
  <c r="D22" i="18" s="1"/>
  <c r="C22" s="1"/>
  <c r="BJ32" i="16"/>
  <c r="BJ26" l="1"/>
  <c r="BJ25"/>
  <c r="BK28" s="1"/>
  <c r="BJ27"/>
  <c r="I18"/>
  <c r="J18" s="1"/>
  <c r="L18"/>
  <c r="W14"/>
  <c r="D14" i="18" s="1"/>
  <c r="W17" i="16"/>
  <c r="D17" i="18" s="1"/>
  <c r="W11" i="16"/>
  <c r="D11" i="18" s="1"/>
  <c r="L19" i="16"/>
  <c r="I19"/>
  <c r="J19" s="1"/>
  <c r="BJ37"/>
  <c r="E7" s="1"/>
  <c r="D24" i="18" s="1"/>
  <c r="C24" s="1"/>
  <c r="D7" i="16"/>
  <c r="W12"/>
  <c r="D12" i="18" s="1"/>
  <c r="W18" i="16"/>
  <c r="D18" i="18" s="1"/>
  <c r="W15" i="16"/>
  <c r="D15" i="18" s="1"/>
  <c r="BK34" i="16" l="1"/>
  <c r="BK31"/>
  <c r="K15"/>
  <c r="K16"/>
  <c r="K12"/>
  <c r="W5"/>
  <c r="D5" i="18" s="1"/>
  <c r="F14" i="16"/>
  <c r="W4"/>
  <c r="D4" i="18" s="1"/>
  <c r="W8" i="16"/>
  <c r="D8" i="18" s="1"/>
  <c r="F13" i="16"/>
  <c r="K13"/>
  <c r="K14"/>
  <c r="W6"/>
  <c r="D6" i="18" s="1"/>
  <c r="W9" i="16"/>
  <c r="D9" i="18" s="1"/>
  <c r="F12" i="16"/>
  <c r="W7"/>
  <c r="D7" i="18" s="1"/>
  <c r="BK29" i="16"/>
  <c r="F16"/>
  <c r="F15"/>
  <c r="BK30" l="1"/>
  <c r="BK24" s="1"/>
  <c r="F17"/>
  <c r="G16"/>
  <c r="D16"/>
  <c r="E16" s="1"/>
  <c r="L14"/>
  <c r="I14"/>
  <c r="J14" s="1"/>
  <c r="D13"/>
  <c r="E13" s="1"/>
  <c r="G13"/>
  <c r="L16"/>
  <c r="I16"/>
  <c r="J16" s="1"/>
  <c r="G15"/>
  <c r="D15"/>
  <c r="E15" s="1"/>
  <c r="P12"/>
  <c r="BK35"/>
  <c r="BK32"/>
  <c r="D12"/>
  <c r="G12"/>
  <c r="I13"/>
  <c r="J13" s="1"/>
  <c r="L13"/>
  <c r="D14"/>
  <c r="E14" s="1"/>
  <c r="G14"/>
  <c r="I12"/>
  <c r="J12" s="1"/>
  <c r="L12"/>
  <c r="L15"/>
  <c r="I15"/>
  <c r="J15" s="1"/>
  <c r="P13"/>
  <c r="BK25" l="1"/>
  <c r="BK27"/>
  <c r="BK26"/>
  <c r="BK37"/>
  <c r="Q13"/>
  <c r="N13"/>
  <c r="O13" s="1"/>
  <c r="V6"/>
  <c r="E12"/>
  <c r="V7"/>
  <c r="V5"/>
  <c r="D17"/>
  <c r="E17" s="1"/>
  <c r="P14"/>
  <c r="G17"/>
  <c r="N12"/>
  <c r="O12" s="1"/>
  <c r="Q12"/>
  <c r="BK36"/>
  <c r="BK33"/>
  <c r="Q14" l="1"/>
  <c r="N14"/>
  <c r="O14" s="1"/>
  <c r="C5" i="18"/>
  <c r="V14" i="16"/>
  <c r="C14" i="18" s="1"/>
  <c r="V8" i="16"/>
  <c r="BL28"/>
  <c r="V10"/>
  <c r="C7" i="18"/>
  <c r="C6"/>
  <c r="V15" i="16"/>
  <c r="C15" i="18" s="1"/>
  <c r="V9" i="16"/>
  <c r="C9" i="18" l="1"/>
  <c r="V12" i="16"/>
  <c r="C12" i="18" s="1"/>
  <c r="V13" i="16"/>
  <c r="C13" i="18" s="1"/>
  <c r="C10"/>
  <c r="V11" i="16"/>
  <c r="C11" i="18" s="1"/>
  <c r="C8"/>
  <c r="BL31" i="16"/>
  <c r="BL34"/>
  <c r="BL29"/>
  <c r="BL35" l="1"/>
  <c r="BL32"/>
  <c r="BL30"/>
  <c r="BL24" s="1"/>
  <c r="BL26" l="1"/>
  <c r="BL25"/>
  <c r="BL27"/>
  <c r="BL36"/>
  <c r="BL33"/>
  <c r="BL37" l="1"/>
  <c r="BM28" l="1"/>
  <c r="BM29" s="1"/>
  <c r="BM32" l="1"/>
  <c r="BM35"/>
  <c r="BM30"/>
  <c r="BM24" s="1"/>
  <c r="BM34"/>
  <c r="BM31"/>
  <c r="BM25" l="1"/>
  <c r="BM27"/>
  <c r="BM26"/>
  <c r="BM33"/>
  <c r="BM36"/>
  <c r="BN28" l="1"/>
  <c r="BM37"/>
  <c r="BN31" l="1"/>
  <c r="BN34"/>
  <c r="BN29" l="1"/>
  <c r="BN30" l="1"/>
  <c r="BN24" s="1"/>
  <c r="BN35"/>
  <c r="BN32"/>
  <c r="BN26" l="1"/>
  <c r="BN25"/>
  <c r="BN27"/>
  <c r="BN33"/>
  <c r="BN36"/>
  <c r="BN37" l="1"/>
</calcChain>
</file>

<file path=xl/sharedStrings.xml><?xml version="1.0" encoding="utf-8"?>
<sst xmlns="http://schemas.openxmlformats.org/spreadsheetml/2006/main" count="1831" uniqueCount="177">
  <si>
    <t>Pressure</t>
  </si>
  <si>
    <t>Velocity</t>
  </si>
  <si>
    <t>Density</t>
  </si>
  <si>
    <t>Viscosity</t>
  </si>
  <si>
    <t>Flow Rate</t>
  </si>
  <si>
    <t>V0</t>
  </si>
  <si>
    <t>V'1</t>
  </si>
  <si>
    <t>V'2</t>
  </si>
  <si>
    <t>V'3</t>
  </si>
  <si>
    <t>V1</t>
  </si>
  <si>
    <t>V2</t>
  </si>
  <si>
    <t>V3</t>
  </si>
  <si>
    <t>Jet 1</t>
  </si>
  <si>
    <t>Jet 2</t>
  </si>
  <si>
    <t>Jet 3</t>
  </si>
  <si>
    <t>Inlet</t>
  </si>
  <si>
    <t>Cycles</t>
  </si>
  <si>
    <t>Pressure  (Psi)</t>
  </si>
  <si>
    <t>Area</t>
  </si>
  <si>
    <t>Discharge</t>
  </si>
  <si>
    <t xml:space="preserve">Head Losses </t>
  </si>
  <si>
    <t>Minor</t>
  </si>
  <si>
    <t>Major</t>
  </si>
  <si>
    <t>Section 1</t>
  </si>
  <si>
    <t>Section 2</t>
  </si>
  <si>
    <t>Section 3</t>
  </si>
  <si>
    <t>Branch 1</t>
  </si>
  <si>
    <t>Branch 2</t>
  </si>
  <si>
    <t>Branch 3</t>
  </si>
  <si>
    <t>2g</t>
  </si>
  <si>
    <t>Junction 1</t>
  </si>
  <si>
    <t>Junction 2</t>
  </si>
  <si>
    <t>Junction 3</t>
  </si>
  <si>
    <t>m of oil</t>
  </si>
  <si>
    <t>mm of Hg</t>
  </si>
  <si>
    <t>Total</t>
  </si>
  <si>
    <t>In (Pa)</t>
  </si>
  <si>
    <t>In (Psi)</t>
  </si>
  <si>
    <t>JET 1</t>
  </si>
  <si>
    <t>JET 2</t>
  </si>
  <si>
    <t>JET 3</t>
  </si>
  <si>
    <t>Convergence</t>
  </si>
  <si>
    <t>Initialisaton</t>
  </si>
  <si>
    <t>L1</t>
  </si>
  <si>
    <t>L2</t>
  </si>
  <si>
    <t>L3</t>
  </si>
  <si>
    <t>L'1</t>
  </si>
  <si>
    <t>L'2</t>
  </si>
  <si>
    <t>L'3</t>
  </si>
  <si>
    <t>D0</t>
  </si>
  <si>
    <t>D1</t>
  </si>
  <si>
    <t>D2</t>
  </si>
  <si>
    <t>D3</t>
  </si>
  <si>
    <t>D'1</t>
  </si>
  <si>
    <t>D'2</t>
  </si>
  <si>
    <t>D'3</t>
  </si>
  <si>
    <t>A0</t>
  </si>
  <si>
    <t>A1</t>
  </si>
  <si>
    <t>A2</t>
  </si>
  <si>
    <t>A3</t>
  </si>
  <si>
    <t>m^2</t>
  </si>
  <si>
    <t>m</t>
  </si>
  <si>
    <t>Length</t>
  </si>
  <si>
    <t>Area Ratio</t>
  </si>
  <si>
    <t>Pressure (Kgl/cm^2)</t>
  </si>
  <si>
    <t>Pressure (P)</t>
  </si>
  <si>
    <t>Ambient Pressure (P0)</t>
  </si>
  <si>
    <t xml:space="preserve">Pressure diff </t>
  </si>
  <si>
    <t>Diameter</t>
  </si>
  <si>
    <t>Oil Properties</t>
  </si>
  <si>
    <t>m/s^2</t>
  </si>
  <si>
    <t>Kg/m^3</t>
  </si>
  <si>
    <t>A'1</t>
  </si>
  <si>
    <t>A'2</t>
  </si>
  <si>
    <t>A'3</t>
  </si>
  <si>
    <t>C1</t>
  </si>
  <si>
    <t>C2</t>
  </si>
  <si>
    <t>C3</t>
  </si>
  <si>
    <t>C'1</t>
  </si>
  <si>
    <t>C'2</t>
  </si>
  <si>
    <t>C'3</t>
  </si>
  <si>
    <t>constant ( C )</t>
  </si>
  <si>
    <t>H4</t>
  </si>
  <si>
    <t>H5</t>
  </si>
  <si>
    <t>H6</t>
  </si>
  <si>
    <t>H'1</t>
  </si>
  <si>
    <t>H'2</t>
  </si>
  <si>
    <t>H'3</t>
  </si>
  <si>
    <t>SOLUTION</t>
  </si>
  <si>
    <t>Minor Loss Coefficient</t>
  </si>
  <si>
    <t>K1</t>
  </si>
  <si>
    <t>N.s/Kg</t>
  </si>
  <si>
    <t>K2</t>
  </si>
  <si>
    <t>K3</t>
  </si>
  <si>
    <t>K'1</t>
  </si>
  <si>
    <t>K'2</t>
  </si>
  <si>
    <t>K'3</t>
  </si>
  <si>
    <t>Results</t>
  </si>
  <si>
    <t>Cross Section</t>
  </si>
  <si>
    <t>CALCULATION</t>
  </si>
  <si>
    <t>Final Answer</t>
  </si>
  <si>
    <t>Initialisation</t>
  </si>
  <si>
    <t>Head Losses</t>
  </si>
  <si>
    <t>INVISCID</t>
  </si>
  <si>
    <t>Major Head Loss Constant</t>
  </si>
  <si>
    <t>Kb1</t>
  </si>
  <si>
    <t>Kb2</t>
  </si>
  <si>
    <t>Ki1</t>
  </si>
  <si>
    <t>Ki2</t>
  </si>
  <si>
    <t>Ke1</t>
  </si>
  <si>
    <t>Ke2</t>
  </si>
  <si>
    <t>K*</t>
  </si>
  <si>
    <t>Branch</t>
  </si>
  <si>
    <t>In line</t>
  </si>
  <si>
    <t>Exit</t>
  </si>
  <si>
    <t>Kf1</t>
  </si>
  <si>
    <t>Kf2</t>
  </si>
  <si>
    <t>Kf3</t>
  </si>
  <si>
    <t>Kf'1</t>
  </si>
  <si>
    <t>Kf'2</t>
  </si>
  <si>
    <t>Kf'3</t>
  </si>
  <si>
    <t>Kf"1</t>
  </si>
  <si>
    <t>Kf"2</t>
  </si>
  <si>
    <t>in line</t>
  </si>
  <si>
    <t xml:space="preserve">Exit 1 </t>
  </si>
  <si>
    <t>Exit 2</t>
  </si>
  <si>
    <t>Exit 3</t>
  </si>
  <si>
    <t>In line 1</t>
  </si>
  <si>
    <t>In line 2</t>
  </si>
  <si>
    <t>Pipe 1</t>
  </si>
  <si>
    <t>Pipe 2</t>
  </si>
  <si>
    <t>Pipe 3</t>
  </si>
  <si>
    <t>Junction 1 out</t>
  </si>
  <si>
    <t>Junction 2 out</t>
  </si>
  <si>
    <t xml:space="preserve">Branch 1 out </t>
  </si>
  <si>
    <t xml:space="preserve">Branch 2 out </t>
  </si>
  <si>
    <t xml:space="preserve">Branch 3 out </t>
  </si>
  <si>
    <t>Pipe 1 out</t>
  </si>
  <si>
    <t>Pipe 2 out</t>
  </si>
  <si>
    <t>Branch 3 in</t>
  </si>
  <si>
    <t>Branch 1 in</t>
  </si>
  <si>
    <t>Branch 2 in</t>
  </si>
  <si>
    <t>Velocity (m/s)</t>
  </si>
  <si>
    <t xml:space="preserve"> (Pa)</t>
  </si>
  <si>
    <t>(m/s)</t>
  </si>
  <si>
    <t>Loss Type</t>
  </si>
  <si>
    <t>Boundary properties</t>
  </si>
  <si>
    <t>Pipe 2 in</t>
  </si>
  <si>
    <t>Pipe 3 in</t>
  </si>
  <si>
    <t>Pipe 3 out</t>
  </si>
  <si>
    <t>Jet out 1</t>
  </si>
  <si>
    <t>Jet out 2</t>
  </si>
  <si>
    <t>Jet out 3</t>
  </si>
  <si>
    <t>Inviscid</t>
  </si>
  <si>
    <t>Boundary</t>
  </si>
  <si>
    <t>Mass Flow Rate</t>
  </si>
  <si>
    <t>Kg/s</t>
  </si>
  <si>
    <t>ml/min</t>
  </si>
  <si>
    <t>Viscous Free Slip</t>
  </si>
  <si>
    <t>Viscous No Slip</t>
  </si>
  <si>
    <t>Static Pressure (Pa)</t>
  </si>
  <si>
    <t>VISCOUS NO SLIP</t>
  </si>
  <si>
    <t>Simulink</t>
  </si>
  <si>
    <t>Relative Static Pressure (Pa)</t>
  </si>
  <si>
    <t>(Pa)</t>
  </si>
  <si>
    <t>m^3/s</t>
  </si>
  <si>
    <t>Iterations</t>
  </si>
  <si>
    <t>Laminar</t>
  </si>
  <si>
    <t>Invisicd</t>
  </si>
  <si>
    <t>Free Slip</t>
  </si>
  <si>
    <r>
      <t xml:space="preserve"> BONUS Turbulent k-</t>
    </r>
    <r>
      <rPr>
        <b/>
        <sz val="16"/>
        <color theme="1"/>
        <rFont val="Calibri"/>
        <family val="2"/>
      </rPr>
      <t>ε</t>
    </r>
  </si>
  <si>
    <t>CFD</t>
  </si>
  <si>
    <t>Analytical</t>
  </si>
  <si>
    <t>Matlab R2</t>
  </si>
  <si>
    <t>Matlab R1</t>
  </si>
  <si>
    <t>Errors</t>
  </si>
  <si>
    <t>% Errors</t>
  </si>
</sst>
</file>

<file path=xl/styles.xml><?xml version="1.0" encoding="utf-8"?>
<styleSheet xmlns="http://schemas.openxmlformats.org/spreadsheetml/2006/main">
  <numFmts count="7">
    <numFmt numFmtId="164" formatCode="0.000000"/>
    <numFmt numFmtId="165" formatCode="0.000000000"/>
    <numFmt numFmtId="166" formatCode="0.0000000"/>
    <numFmt numFmtId="167" formatCode="0.00000000"/>
    <numFmt numFmtId="168" formatCode="0.0000000000"/>
    <numFmt numFmtId="169" formatCode="0.000000000000000"/>
    <numFmt numFmtId="170" formatCode="0.0000000000000000000000000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5">
    <xf numFmtId="0" fontId="0" fillId="0" borderId="0" xfId="0"/>
    <xf numFmtId="0" fontId="0" fillId="0" borderId="0" xfId="0" applyBorder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2" fillId="0" borderId="0" xfId="0" applyNumberFormat="1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12" xfId="0" applyFont="1" applyFill="1" applyBorder="1"/>
    <xf numFmtId="0" fontId="1" fillId="0" borderId="17" xfId="0" applyFont="1" applyFill="1" applyBorder="1"/>
    <xf numFmtId="164" fontId="1" fillId="0" borderId="12" xfId="0" applyNumberFormat="1" applyFont="1" applyFill="1" applyBorder="1"/>
    <xf numFmtId="164" fontId="1" fillId="0" borderId="0" xfId="0" applyNumberFormat="1" applyFont="1" applyFill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/>
    <xf numFmtId="164" fontId="1" fillId="0" borderId="19" xfId="0" applyNumberFormat="1" applyFont="1" applyFill="1" applyBorder="1"/>
    <xf numFmtId="0" fontId="1" fillId="0" borderId="20" xfId="0" applyFont="1" applyFill="1" applyBorder="1"/>
    <xf numFmtId="164" fontId="1" fillId="0" borderId="17" xfId="0" applyNumberFormat="1" applyFont="1" applyFill="1" applyBorder="1"/>
    <xf numFmtId="0" fontId="2" fillId="0" borderId="18" xfId="0" applyFont="1" applyFill="1" applyBorder="1" applyAlignment="1">
      <alignment horizontal="center" vertical="center"/>
    </xf>
    <xf numFmtId="164" fontId="1" fillId="0" borderId="20" xfId="0" applyNumberFormat="1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12" xfId="0" applyFont="1" applyFill="1" applyBorder="1"/>
    <xf numFmtId="0" fontId="2" fillId="0" borderId="16" xfId="0" applyFont="1" applyFill="1" applyBorder="1"/>
    <xf numFmtId="0" fontId="2" fillId="0" borderId="18" xfId="0" applyFont="1" applyFill="1" applyBorder="1"/>
    <xf numFmtId="0" fontId="3" fillId="0" borderId="16" xfId="0" applyFont="1" applyFill="1" applyBorder="1"/>
    <xf numFmtId="0" fontId="3" fillId="0" borderId="18" xfId="0" applyFont="1" applyFill="1" applyBorder="1"/>
    <xf numFmtId="164" fontId="1" fillId="0" borderId="5" xfId="0" applyNumberFormat="1" applyFont="1" applyFill="1" applyBorder="1"/>
    <xf numFmtId="164" fontId="2" fillId="0" borderId="12" xfId="0" applyNumberFormat="1" applyFont="1" applyFill="1" applyBorder="1"/>
    <xf numFmtId="164" fontId="2" fillId="0" borderId="16" xfId="0" applyNumberFormat="1" applyFont="1" applyFill="1" applyBorder="1"/>
    <xf numFmtId="164" fontId="2" fillId="0" borderId="18" xfId="0" applyNumberFormat="1" applyFont="1" applyFill="1" applyBorder="1"/>
    <xf numFmtId="0" fontId="2" fillId="0" borderId="17" xfId="0" applyFont="1" applyFill="1" applyBorder="1"/>
    <xf numFmtId="0" fontId="2" fillId="0" borderId="12" xfId="0" applyNumberFormat="1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/>
    <xf numFmtId="0" fontId="1" fillId="0" borderId="7" xfId="0" applyFont="1" applyFill="1" applyBorder="1"/>
    <xf numFmtId="0" fontId="1" fillId="0" borderId="14" xfId="0" applyFont="1" applyFill="1" applyBorder="1"/>
    <xf numFmtId="0" fontId="2" fillId="0" borderId="14" xfId="0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/>
    <xf numFmtId="164" fontId="2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12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1" fillId="0" borderId="5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7" xfId="0" applyFont="1" applyFill="1" applyBorder="1"/>
    <xf numFmtId="0" fontId="3" fillId="0" borderId="7" xfId="0" applyFont="1" applyFill="1" applyBorder="1"/>
    <xf numFmtId="0" fontId="1" fillId="0" borderId="1" xfId="0" applyFont="1" applyFill="1" applyBorder="1" applyAlignment="1"/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1" fillId="0" borderId="29" xfId="0" applyFont="1" applyFill="1" applyBorder="1"/>
    <xf numFmtId="0" fontId="2" fillId="0" borderId="29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164" fontId="4" fillId="0" borderId="0" xfId="0" applyNumberFormat="1" applyFont="1" applyFill="1" applyBorder="1" applyAlignment="1">
      <alignment vertical="center"/>
    </xf>
    <xf numFmtId="168" fontId="1" fillId="0" borderId="12" xfId="0" applyNumberFormat="1" applyFont="1" applyFill="1" applyBorder="1"/>
    <xf numFmtId="168" fontId="1" fillId="0" borderId="19" xfId="0" applyNumberFormat="1" applyFont="1" applyFill="1" applyBorder="1"/>
    <xf numFmtId="165" fontId="1" fillId="0" borderId="0" xfId="0" applyNumberFormat="1" applyFont="1" applyFill="1"/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1" fillId="0" borderId="36" xfId="0" applyFont="1" applyFill="1" applyBorder="1"/>
    <xf numFmtId="0" fontId="1" fillId="0" borderId="37" xfId="0" applyFont="1" applyFill="1" applyBorder="1"/>
    <xf numFmtId="0" fontId="6" fillId="0" borderId="12" xfId="0" applyFont="1" applyFill="1" applyBorder="1"/>
    <xf numFmtId="0" fontId="3" fillId="0" borderId="12" xfId="0" applyFont="1" applyFill="1" applyBorder="1"/>
    <xf numFmtId="0" fontId="1" fillId="0" borderId="16" xfId="0" applyFont="1" applyFill="1" applyBorder="1"/>
    <xf numFmtId="0" fontId="1" fillId="0" borderId="18" xfId="0" applyFont="1" applyFill="1" applyBorder="1"/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1" fillId="0" borderId="38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165" fontId="1" fillId="0" borderId="12" xfId="0" applyNumberFormat="1" applyFont="1" applyFill="1" applyBorder="1"/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5" fontId="1" fillId="0" borderId="17" xfId="0" applyNumberFormat="1" applyFont="1" applyFill="1" applyBorder="1"/>
    <xf numFmtId="0" fontId="0" fillId="0" borderId="0" xfId="0" applyBorder="1" applyAlignment="1"/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164" fontId="1" fillId="0" borderId="12" xfId="0" applyNumberFormat="1" applyFont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9" xfId="0" applyNumberFormat="1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7" xfId="0" applyFill="1" applyBorder="1" applyAlignment="1"/>
    <xf numFmtId="0" fontId="0" fillId="0" borderId="20" xfId="0" applyFill="1" applyBorder="1" applyAlignment="1"/>
    <xf numFmtId="164" fontId="1" fillId="0" borderId="0" xfId="0" applyNumberFormat="1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2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0" fillId="0" borderId="12" xfId="0" applyFont="1" applyFill="1" applyBorder="1"/>
    <xf numFmtId="0" fontId="1" fillId="0" borderId="17" xfId="0" applyNumberFormat="1" applyFont="1" applyFill="1" applyBorder="1" applyAlignment="1">
      <alignment horizontal="right" vertical="center"/>
    </xf>
    <xf numFmtId="0" fontId="0" fillId="0" borderId="17" xfId="0" applyNumberFormat="1" applyFill="1" applyBorder="1" applyAlignment="1">
      <alignment horizontal="right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right" vertical="center"/>
    </xf>
    <xf numFmtId="164" fontId="1" fillId="0" borderId="17" xfId="0" applyNumberFormat="1" applyFont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0" fillId="0" borderId="19" xfId="0" applyFont="1" applyFill="1" applyBorder="1"/>
    <xf numFmtId="0" fontId="1" fillId="0" borderId="5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17" xfId="0" applyNumberFormat="1" applyFont="1" applyFill="1" applyBorder="1" applyAlignment="1">
      <alignment horizontal="right"/>
    </xf>
    <xf numFmtId="0" fontId="1" fillId="0" borderId="5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Fill="1" applyBorder="1" applyAlignment="1"/>
    <xf numFmtId="0" fontId="1" fillId="0" borderId="20" xfId="0" applyFont="1" applyFill="1" applyBorder="1" applyAlignment="1"/>
    <xf numFmtId="164" fontId="1" fillId="0" borderId="0" xfId="0" applyNumberFormat="1" applyFont="1" applyBorder="1"/>
    <xf numFmtId="0" fontId="10" fillId="0" borderId="2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12" xfId="0" applyNumberFormat="1" applyFont="1" applyFill="1" applyBorder="1" applyAlignment="1">
      <alignment horizontal="right" vertical="center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50" xfId="0" applyNumberFormat="1" applyFont="1" applyFill="1" applyBorder="1" applyAlignment="1">
      <alignment horizontal="center" vertical="center"/>
    </xf>
    <xf numFmtId="0" fontId="11" fillId="0" borderId="50" xfId="0" applyFont="1" applyBorder="1"/>
    <xf numFmtId="0" fontId="11" fillId="0" borderId="12" xfId="0" applyFont="1" applyFill="1" applyBorder="1" applyAlignment="1"/>
    <xf numFmtId="164" fontId="11" fillId="0" borderId="12" xfId="0" applyNumberFormat="1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/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9" fontId="1" fillId="0" borderId="12" xfId="0" applyNumberFormat="1" applyFont="1" applyFill="1" applyBorder="1"/>
    <xf numFmtId="166" fontId="1" fillId="0" borderId="12" xfId="0" applyNumberFormat="1" applyFont="1" applyFill="1" applyBorder="1"/>
    <xf numFmtId="167" fontId="1" fillId="0" borderId="12" xfId="0" applyNumberFormat="1" applyFont="1" applyFill="1" applyBorder="1"/>
    <xf numFmtId="170" fontId="1" fillId="0" borderId="0" xfId="0" applyNumberFormat="1" applyFont="1" applyFill="1" applyBorder="1"/>
    <xf numFmtId="169" fontId="1" fillId="0" borderId="0" xfId="0" applyNumberFormat="1" applyFont="1"/>
    <xf numFmtId="0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righ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169" fontId="2" fillId="0" borderId="12" xfId="0" applyNumberFormat="1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right" vertical="center"/>
    </xf>
    <xf numFmtId="169" fontId="1" fillId="0" borderId="12" xfId="0" applyNumberFormat="1" applyFont="1" applyBorder="1"/>
    <xf numFmtId="169" fontId="2" fillId="0" borderId="12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1" fillId="0" borderId="27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64" fontId="4" fillId="0" borderId="22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0" borderId="2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/>
    </xf>
    <xf numFmtId="164" fontId="2" fillId="0" borderId="36" xfId="0" applyNumberFormat="1" applyFont="1" applyFill="1" applyBorder="1" applyAlignment="1">
      <alignment horizontal="center" vertical="center"/>
    </xf>
    <xf numFmtId="164" fontId="2" fillId="0" borderId="4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165" fontId="2" fillId="0" borderId="50" xfId="0" applyNumberFormat="1" applyFont="1" applyFill="1" applyBorder="1" applyAlignment="1">
      <alignment horizontal="center" vertical="center"/>
    </xf>
    <xf numFmtId="165" fontId="2" fillId="0" borderId="52" xfId="0" applyNumberFormat="1" applyFont="1" applyFill="1" applyBorder="1" applyAlignment="1">
      <alignment horizontal="center" vertical="center"/>
    </xf>
    <xf numFmtId="165" fontId="2" fillId="0" borderId="29" xfId="0" applyNumberFormat="1" applyFont="1" applyFill="1" applyBorder="1" applyAlignment="1">
      <alignment horizontal="center" vertical="center"/>
    </xf>
    <xf numFmtId="164" fontId="2" fillId="0" borderId="45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5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44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left" vertical="center"/>
    </xf>
    <xf numFmtId="0" fontId="7" fillId="0" borderId="57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9" fontId="4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64" fontId="9" fillId="0" borderId="32" xfId="0" applyNumberFormat="1" applyFont="1" applyFill="1" applyBorder="1" applyAlignment="1">
      <alignment horizontal="center" vertical="center"/>
    </xf>
    <xf numFmtId="164" fontId="9" fillId="0" borderId="33" xfId="0" applyNumberFormat="1" applyFont="1" applyFill="1" applyBorder="1" applyAlignment="1">
      <alignment horizontal="center" vertical="center"/>
    </xf>
    <xf numFmtId="164" fontId="9" fillId="0" borderId="3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B550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(Inviscid)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CFD vs Analytical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Errors!$B$19:$B$21</c:f>
              <c:numCache>
                <c:formatCode>General</c:formatCode>
                <c:ptCount val="3"/>
                <c:pt idx="0">
                  <c:v>-2.1179274505862744</c:v>
                </c:pt>
                <c:pt idx="1">
                  <c:v>5.2523222760913226</c:v>
                </c:pt>
                <c:pt idx="2">
                  <c:v>-3.0023555211022512</c:v>
                </c:pt>
              </c:numCache>
            </c:numRef>
          </c:val>
        </c:ser>
        <c:ser>
          <c:idx val="1"/>
          <c:order val="1"/>
          <c:tx>
            <c:v>CFD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Errors!$C$19:$C$21</c:f>
              <c:numCache>
                <c:formatCode>General</c:formatCode>
                <c:ptCount val="3"/>
                <c:pt idx="0">
                  <c:v>-2.1156628467107463</c:v>
                </c:pt>
                <c:pt idx="1">
                  <c:v>6.9214314520280542</c:v>
                </c:pt>
                <c:pt idx="2">
                  <c:v>0.15737724493887681</c:v>
                </c:pt>
              </c:numCache>
            </c:numRef>
          </c:val>
        </c:ser>
        <c:ser>
          <c:idx val="2"/>
          <c:order val="2"/>
          <c:tx>
            <c:v>CFD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Errors!$D$19:$D$21</c:f>
              <c:numCache>
                <c:formatCode>General</c:formatCode>
                <c:ptCount val="3"/>
                <c:pt idx="0">
                  <c:v>-2.1156628468289669</c:v>
                </c:pt>
                <c:pt idx="1">
                  <c:v>6.9214314571903808</c:v>
                </c:pt>
                <c:pt idx="2">
                  <c:v>0.15737725559708907</c:v>
                </c:pt>
              </c:numCache>
            </c:numRef>
          </c:val>
        </c:ser>
        <c:ser>
          <c:idx val="3"/>
          <c:order val="3"/>
          <c:tx>
            <c:v>Analytical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Errors!$C$23:$C$25</c:f>
              <c:numCache>
                <c:formatCode>General</c:formatCode>
                <c:ptCount val="3"/>
                <c:pt idx="0">
                  <c:v>2.2176359548853738E-3</c:v>
                </c:pt>
                <c:pt idx="1">
                  <c:v>1.7616359746572956</c:v>
                </c:pt>
                <c:pt idx="2">
                  <c:v>3.0676315605168747</c:v>
                </c:pt>
              </c:numCache>
            </c:numRef>
          </c:val>
        </c:ser>
        <c:ser>
          <c:idx val="4"/>
          <c:order val="4"/>
          <c:tx>
            <c:v>Analytical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Errors!$D$23:$D$25</c:f>
              <c:numCache>
                <c:formatCode>General</c:formatCode>
                <c:ptCount val="3"/>
                <c:pt idx="0">
                  <c:v>2.2646037573075943E-3</c:v>
                </c:pt>
                <c:pt idx="1">
                  <c:v>1.6691091810990586</c:v>
                </c:pt>
                <c:pt idx="2">
                  <c:v>3.1597327766993404</c:v>
                </c:pt>
              </c:numCache>
            </c:numRef>
          </c:val>
        </c:ser>
        <c:ser>
          <c:idx val="5"/>
          <c:order val="5"/>
          <c:tx>
            <c:v>Matlab R1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Errors!$D$27:$D$29</c:f>
              <c:numCache>
                <c:formatCode>General</c:formatCode>
                <c:ptCount val="3"/>
                <c:pt idx="0">
                  <c:v>-1.1577104286588453E-10</c:v>
                </c:pt>
                <c:pt idx="1">
                  <c:v>5.5462033014889399E-9</c:v>
                </c:pt>
                <c:pt idx="2">
                  <c:v>1.067501228412517E-8</c:v>
                </c:pt>
              </c:numCache>
            </c:numRef>
          </c:val>
        </c:ser>
        <c:marker val="1"/>
        <c:axId val="90165632"/>
        <c:axId val="90167168"/>
      </c:lineChart>
      <c:catAx>
        <c:axId val="90165632"/>
        <c:scaling>
          <c:orientation val="minMax"/>
        </c:scaling>
        <c:axPos val="b"/>
        <c:tickLblPos val="nextTo"/>
        <c:crossAx val="90167168"/>
        <c:crosses val="autoZero"/>
        <c:auto val="1"/>
        <c:lblAlgn val="ctr"/>
        <c:lblOffset val="100"/>
      </c:catAx>
      <c:valAx>
        <c:axId val="9016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016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(Viscous free slip)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CFD vs Analytical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Errors!$F$19:$F$21</c:f>
              <c:numCache>
                <c:formatCode>General</c:formatCode>
                <c:ptCount val="3"/>
                <c:pt idx="0">
                  <c:v>0.28238267155708813</c:v>
                </c:pt>
                <c:pt idx="1">
                  <c:v>2.3808896862602436</c:v>
                </c:pt>
                <c:pt idx="2">
                  <c:v>1.8495481243105585</c:v>
                </c:pt>
              </c:numCache>
            </c:numRef>
          </c:val>
        </c:ser>
        <c:ser>
          <c:idx val="1"/>
          <c:order val="1"/>
          <c:tx>
            <c:v>CFD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Errors!$G$19:$G$21</c:f>
              <c:numCache>
                <c:formatCode>General</c:formatCode>
                <c:ptCount val="3"/>
                <c:pt idx="0">
                  <c:v>0.2826823199025098</c:v>
                </c:pt>
                <c:pt idx="1">
                  <c:v>4.0762859113302499</c:v>
                </c:pt>
                <c:pt idx="2">
                  <c:v>4.6449528580977351</c:v>
                </c:pt>
              </c:numCache>
            </c:numRef>
          </c:val>
        </c:ser>
        <c:ser>
          <c:idx val="2"/>
          <c:order val="2"/>
          <c:tx>
            <c:v>CFD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Errors!$H$19:$H$21</c:f>
              <c:numCache>
                <c:formatCode>General</c:formatCode>
                <c:ptCount val="3"/>
                <c:pt idx="0">
                  <c:v>0.28268232015424094</c:v>
                </c:pt>
                <c:pt idx="1">
                  <c:v>4.0762858247804425</c:v>
                </c:pt>
                <c:pt idx="2">
                  <c:v>4.6449527033958233</c:v>
                </c:pt>
              </c:numCache>
            </c:numRef>
          </c:val>
        </c:ser>
        <c:ser>
          <c:idx val="3"/>
          <c:order val="3"/>
          <c:tx>
            <c:v>Analytical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Errors!$G$23:$G$25</c:f>
              <c:numCache>
                <c:formatCode>General</c:formatCode>
                <c:ptCount val="3"/>
                <c:pt idx="0">
                  <c:v>3.0049689658620017E-4</c:v>
                </c:pt>
                <c:pt idx="1">
                  <c:v>1.7367462371057705</c:v>
                </c:pt>
                <c:pt idx="2">
                  <c:v>2.8480813693325042</c:v>
                </c:pt>
              </c:numCache>
            </c:numRef>
          </c:val>
        </c:ser>
        <c:ser>
          <c:idx val="4"/>
          <c:order val="4"/>
          <c:tx>
            <c:v>Analytical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Errors!$H$23:$H$25</c:f>
              <c:numCache>
                <c:formatCode>General</c:formatCode>
                <c:ptCount val="3"/>
                <c:pt idx="0">
                  <c:v>3.0049714903020419E-4</c:v>
                </c:pt>
                <c:pt idx="1">
                  <c:v>1.736746148445049</c:v>
                </c:pt>
                <c:pt idx="2">
                  <c:v>2.848081211715388</c:v>
                </c:pt>
              </c:numCache>
            </c:numRef>
          </c:val>
        </c:ser>
        <c:ser>
          <c:idx val="5"/>
          <c:order val="5"/>
          <c:tx>
            <c:v>Matlab R1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Errors!$H$27:$H$29</c:f>
              <c:numCache>
                <c:formatCode>General</c:formatCode>
                <c:ptCount val="3"/>
                <c:pt idx="0">
                  <c:v>2.5244476259983768E-10</c:v>
                </c:pt>
                <c:pt idx="1">
                  <c:v>-9.022774849885904E-8</c:v>
                </c:pt>
                <c:pt idx="2">
                  <c:v>-1.6223778022396046E-7</c:v>
                </c:pt>
              </c:numCache>
            </c:numRef>
          </c:val>
        </c:ser>
        <c:marker val="1"/>
        <c:axId val="104941440"/>
        <c:axId val="104942976"/>
      </c:lineChart>
      <c:catAx>
        <c:axId val="104941440"/>
        <c:scaling>
          <c:orientation val="minMax"/>
        </c:scaling>
        <c:axPos val="b"/>
        <c:tickLblPos val="nextTo"/>
        <c:crossAx val="104942976"/>
        <c:crosses val="autoZero"/>
        <c:auto val="1"/>
        <c:lblAlgn val="ctr"/>
        <c:lblOffset val="100"/>
      </c:catAx>
      <c:valAx>
        <c:axId val="10494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</a:p>
            </c:rich>
          </c:tx>
          <c:layout/>
        </c:title>
        <c:numFmt formatCode="General" sourceLinked="1"/>
        <c:tickLblPos val="nextTo"/>
        <c:crossAx val="10494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(Viscous no-slip)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CFD vs Analytical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Errors!$J$19:$J$21</c:f>
              <c:numCache>
                <c:formatCode>General</c:formatCode>
                <c:ptCount val="3"/>
                <c:pt idx="0">
                  <c:v>2.1455210300776808</c:v>
                </c:pt>
                <c:pt idx="1">
                  <c:v>4.4223469581647255</c:v>
                </c:pt>
                <c:pt idx="2">
                  <c:v>2.5437726726359511</c:v>
                </c:pt>
              </c:numCache>
            </c:numRef>
          </c:val>
        </c:ser>
        <c:ser>
          <c:idx val="1"/>
          <c:order val="1"/>
          <c:tx>
            <c:v>CFD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Errors!$K$19:$K$21</c:f>
              <c:numCache>
                <c:formatCode>General</c:formatCode>
                <c:ptCount val="3"/>
                <c:pt idx="0">
                  <c:v>2.0568884384997612</c:v>
                </c:pt>
                <c:pt idx="1">
                  <c:v>6.0118896801627066</c:v>
                </c:pt>
                <c:pt idx="2">
                  <c:v>5.1309057273416254</c:v>
                </c:pt>
              </c:numCache>
            </c:numRef>
          </c:val>
        </c:ser>
        <c:ser>
          <c:idx val="2"/>
          <c:order val="2"/>
          <c:tx>
            <c:v>CFD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Errors!$L$19:$L$21</c:f>
              <c:numCache>
                <c:formatCode>General</c:formatCode>
                <c:ptCount val="3"/>
                <c:pt idx="0">
                  <c:v>2.0568884336518587</c:v>
                </c:pt>
                <c:pt idx="1">
                  <c:v>6.0118896717868759</c:v>
                </c:pt>
                <c:pt idx="2">
                  <c:v>5.1309057145549284</c:v>
                </c:pt>
              </c:numCache>
            </c:numRef>
          </c:val>
        </c:ser>
        <c:ser>
          <c:idx val="3"/>
          <c:order val="3"/>
          <c:tx>
            <c:v>Analytical vs Matlab R1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Errors!$K$23:$K$25</c:f>
              <c:numCache>
                <c:formatCode>General</c:formatCode>
                <c:ptCount val="3"/>
                <c:pt idx="0">
                  <c:v>-9.0575916923703578E-2</c:v>
                </c:pt>
                <c:pt idx="1">
                  <c:v>1.6630903473871894</c:v>
                </c:pt>
                <c:pt idx="2">
                  <c:v>2.6546616113255306</c:v>
                </c:pt>
              </c:numCache>
            </c:numRef>
          </c:val>
        </c:ser>
        <c:ser>
          <c:idx val="4"/>
          <c:order val="4"/>
          <c:tx>
            <c:v>Analytical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Errors!$L$23:$L$25</c:f>
              <c:numCache>
                <c:formatCode>General</c:formatCode>
                <c:ptCount val="3"/>
                <c:pt idx="0">
                  <c:v>-9.0575921877899354E-2</c:v>
                </c:pt>
                <c:pt idx="1">
                  <c:v>1.6630903386238123</c:v>
                </c:pt>
                <c:pt idx="2">
                  <c:v>2.6546615982050787</c:v>
                </c:pt>
              </c:numCache>
            </c:numRef>
          </c:val>
        </c:ser>
        <c:ser>
          <c:idx val="5"/>
          <c:order val="5"/>
          <c:tx>
            <c:v>Matlab R1 Vs Matlab R2</c:v>
          </c:tx>
          <c:marker>
            <c:symbol val="none"/>
          </c:marker>
          <c:cat>
            <c:strRef>
              <c:f>Analytical!$B$21:$B$23</c:f>
              <c:strCache>
                <c:ptCount val="3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</c:strCache>
            </c:strRef>
          </c:cat>
          <c:val>
            <c:numRef>
              <c:f>Errors!$L$27:$L$29</c:f>
              <c:numCache>
                <c:formatCode>General</c:formatCode>
                <c:ptCount val="3"/>
                <c:pt idx="0">
                  <c:v>-4.9497125243149996E-9</c:v>
                </c:pt>
                <c:pt idx="1">
                  <c:v>-8.9115848434766666E-9</c:v>
                </c:pt>
                <c:pt idx="2">
                  <c:v>-1.3478253757531866E-8</c:v>
                </c:pt>
              </c:numCache>
            </c:numRef>
          </c:val>
        </c:ser>
        <c:marker val="1"/>
        <c:axId val="105463168"/>
        <c:axId val="105469056"/>
      </c:lineChart>
      <c:catAx>
        <c:axId val="105463168"/>
        <c:scaling>
          <c:orientation val="minMax"/>
        </c:scaling>
        <c:axPos val="b"/>
        <c:tickLblPos val="nextTo"/>
        <c:crossAx val="105469056"/>
        <c:crosses val="autoZero"/>
        <c:auto val="1"/>
        <c:lblAlgn val="ctr"/>
        <c:lblOffset val="100"/>
      </c:catAx>
      <c:valAx>
        <c:axId val="10546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</c:title>
        <c:numFmt formatCode="General" sourceLinked="1"/>
        <c:tickLblPos val="nextTo"/>
        <c:crossAx val="105463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Laminar</a:t>
            </a:r>
          </a:p>
        </c:rich>
      </c:tx>
      <c:layout>
        <c:manualLayout>
          <c:xMode val="edge"/>
          <c:yMode val="edge"/>
          <c:x val="0.46379280671467082"/>
          <c:y val="6.7947443276814498E-3"/>
        </c:manualLayout>
      </c:layout>
    </c:title>
    <c:plotArea>
      <c:layout>
        <c:manualLayout>
          <c:layoutTarget val="inner"/>
          <c:xMode val="edge"/>
          <c:yMode val="edge"/>
          <c:x val="5.9195675384575125E-2"/>
          <c:y val="4.9799858219901821E-2"/>
          <c:w val="0.86647384487562051"/>
          <c:h val="0.8840268222978187"/>
        </c:manualLayout>
      </c:layout>
      <c:barChart>
        <c:barDir val="bar"/>
        <c:grouping val="clustered"/>
        <c:ser>
          <c:idx val="1"/>
          <c:order val="0"/>
          <c:tx>
            <c:v>Analytical</c:v>
          </c:tx>
          <c:dLbls>
            <c:dLblPos val="outEnd"/>
            <c:showVal val="1"/>
          </c:dLbls>
          <c:cat>
            <c:strRef>
              <c:f>Simulink!$B$4:$B$18</c:f>
              <c:strCache>
                <c:ptCount val="15"/>
                <c:pt idx="0">
                  <c:v>Inlet</c:v>
                </c:pt>
                <c:pt idx="1">
                  <c:v>Pipe 1 out</c:v>
                </c:pt>
                <c:pt idx="2">
                  <c:v>Pipe 2 in</c:v>
                </c:pt>
                <c:pt idx="3">
                  <c:v>Pipe 2 out</c:v>
                </c:pt>
                <c:pt idx="4">
                  <c:v>Pipe 3 in</c:v>
                </c:pt>
                <c:pt idx="5">
                  <c:v>Pipe 3 out</c:v>
                </c:pt>
                <c:pt idx="6">
                  <c:v>Branch 1 in</c:v>
                </c:pt>
                <c:pt idx="7">
                  <c:v>Branch 2 in</c:v>
                </c:pt>
                <c:pt idx="8">
                  <c:v>Branch 3 in</c:v>
                </c:pt>
                <c:pt idx="9">
                  <c:v>Branch 1 out </c:v>
                </c:pt>
                <c:pt idx="10">
                  <c:v>Branch 2 out </c:v>
                </c:pt>
                <c:pt idx="11">
                  <c:v>Branch 3 out </c:v>
                </c:pt>
                <c:pt idx="12">
                  <c:v>Jet out 1</c:v>
                </c:pt>
                <c:pt idx="13">
                  <c:v>Jet out 2</c:v>
                </c:pt>
                <c:pt idx="14">
                  <c:v>Jet out 3</c:v>
                </c:pt>
              </c:strCache>
            </c:strRef>
          </c:cat>
          <c:val>
            <c:numRef>
              <c:f>Analytical!$K$4:$K$18</c:f>
              <c:numCache>
                <c:formatCode>General</c:formatCode>
                <c:ptCount val="15"/>
                <c:pt idx="0">
                  <c:v>490341.51234567899</c:v>
                </c:pt>
                <c:pt idx="1">
                  <c:v>484824.22584737319</c:v>
                </c:pt>
                <c:pt idx="2">
                  <c:v>466288.52389969025</c:v>
                </c:pt>
                <c:pt idx="3">
                  <c:v>451834.89023291063</c:v>
                </c:pt>
                <c:pt idx="4">
                  <c:v>462734.63860974647</c:v>
                </c:pt>
                <c:pt idx="5">
                  <c:v>452093.40538372821</c:v>
                </c:pt>
                <c:pt idx="6">
                  <c:v>442465.51499991061</c:v>
                </c:pt>
                <c:pt idx="7">
                  <c:v>198981.69758141175</c:v>
                </c:pt>
                <c:pt idx="8">
                  <c:v>218390.46190718358</c:v>
                </c:pt>
                <c:pt idx="9">
                  <c:v>235914.21063567817</c:v>
                </c:pt>
                <c:pt idx="10">
                  <c:v>471567.80190805055</c:v>
                </c:pt>
                <c:pt idx="11">
                  <c:v>456365.35078221338</c:v>
                </c:pt>
                <c:pt idx="12">
                  <c:v>101325</c:v>
                </c:pt>
                <c:pt idx="13">
                  <c:v>101325</c:v>
                </c:pt>
                <c:pt idx="14">
                  <c:v>101325</c:v>
                </c:pt>
              </c:numCache>
            </c:numRef>
          </c:val>
        </c:ser>
        <c:ser>
          <c:idx val="0"/>
          <c:order val="1"/>
          <c:tx>
            <c:v>Simulink</c:v>
          </c:tx>
          <c:dLbls>
            <c:showVal val="1"/>
          </c:dLbls>
          <c:cat>
            <c:strRef>
              <c:f>Simulink!$B$4:$B$18</c:f>
              <c:strCache>
                <c:ptCount val="15"/>
                <c:pt idx="0">
                  <c:v>Inlet</c:v>
                </c:pt>
                <c:pt idx="1">
                  <c:v>Pipe 1 out</c:v>
                </c:pt>
                <c:pt idx="2">
                  <c:v>Pipe 2 in</c:v>
                </c:pt>
                <c:pt idx="3">
                  <c:v>Pipe 2 out</c:v>
                </c:pt>
                <c:pt idx="4">
                  <c:v>Pipe 3 in</c:v>
                </c:pt>
                <c:pt idx="5">
                  <c:v>Pipe 3 out</c:v>
                </c:pt>
                <c:pt idx="6">
                  <c:v>Branch 1 in</c:v>
                </c:pt>
                <c:pt idx="7">
                  <c:v>Branch 2 in</c:v>
                </c:pt>
                <c:pt idx="8">
                  <c:v>Branch 3 in</c:v>
                </c:pt>
                <c:pt idx="9">
                  <c:v>Branch 1 out </c:v>
                </c:pt>
                <c:pt idx="10">
                  <c:v>Branch 2 out </c:v>
                </c:pt>
                <c:pt idx="11">
                  <c:v>Branch 3 out </c:v>
                </c:pt>
                <c:pt idx="12">
                  <c:v>Jet out 1</c:v>
                </c:pt>
                <c:pt idx="13">
                  <c:v>Jet out 2</c:v>
                </c:pt>
                <c:pt idx="14">
                  <c:v>Jet out 3</c:v>
                </c:pt>
              </c:strCache>
            </c:strRef>
          </c:cat>
          <c:val>
            <c:numRef>
              <c:f>Simulink!$D$4:$D$18</c:f>
              <c:numCache>
                <c:formatCode>General</c:formatCode>
                <c:ptCount val="15"/>
                <c:pt idx="0">
                  <c:v>490341.512346</c:v>
                </c:pt>
                <c:pt idx="1">
                  <c:v>417240.16368949943</c:v>
                </c:pt>
                <c:pt idx="2">
                  <c:v>416664.06595346093</c:v>
                </c:pt>
                <c:pt idx="3">
                  <c:v>344774.62964238459</c:v>
                </c:pt>
                <c:pt idx="4">
                  <c:v>344286.76343459985</c:v>
                </c:pt>
                <c:pt idx="5">
                  <c:v>286800.5538078557</c:v>
                </c:pt>
                <c:pt idx="6">
                  <c:v>416563.03498261864</c:v>
                </c:pt>
                <c:pt idx="7">
                  <c:v>343927.06518183264</c:v>
                </c:pt>
                <c:pt idx="8">
                  <c:v>286629.78073141829</c:v>
                </c:pt>
                <c:pt idx="9">
                  <c:v>106313.47455399396</c:v>
                </c:pt>
                <c:pt idx="10">
                  <c:v>113475.43823251758</c:v>
                </c:pt>
                <c:pt idx="11">
                  <c:v>104944.97005923925</c:v>
                </c:pt>
                <c:pt idx="12">
                  <c:v>101325</c:v>
                </c:pt>
                <c:pt idx="13">
                  <c:v>101325</c:v>
                </c:pt>
                <c:pt idx="14">
                  <c:v>101325</c:v>
                </c:pt>
              </c:numCache>
            </c:numRef>
          </c:val>
        </c:ser>
        <c:dLbls>
          <c:showVal val="1"/>
        </c:dLbls>
        <c:axId val="105693952"/>
        <c:axId val="105695488"/>
      </c:barChart>
      <c:catAx>
        <c:axId val="105693952"/>
        <c:scaling>
          <c:orientation val="minMax"/>
        </c:scaling>
        <c:axPos val="l"/>
        <c:tickLblPos val="nextTo"/>
        <c:crossAx val="105695488"/>
        <c:crosses val="autoZero"/>
        <c:auto val="1"/>
        <c:lblAlgn val="ctr"/>
        <c:lblOffset val="100"/>
      </c:catAx>
      <c:valAx>
        <c:axId val="1056954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</a:t>
                </a:r>
                <a:r>
                  <a:rPr lang="en-US" baseline="0"/>
                  <a:t> Rate (ml/min)</a:t>
                </a:r>
                <a:endParaRPr lang="en-US"/>
              </a:p>
            </c:rich>
          </c:tx>
        </c:title>
        <c:numFmt formatCode="General" sourceLinked="1"/>
        <c:tickLblPos val="nextTo"/>
        <c:crossAx val="10569395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200" b="1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Inviscid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Analytical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Analytical!$D$21:$D$24</c:f>
              <c:numCache>
                <c:formatCode>General</c:formatCode>
                <c:ptCount val="4"/>
                <c:pt idx="0">
                  <c:v>78.892948077176612</c:v>
                </c:pt>
                <c:pt idx="1">
                  <c:v>226.95012692216318</c:v>
                </c:pt>
                <c:pt idx="2">
                  <c:v>1280.294794392285</c:v>
                </c:pt>
                <c:pt idx="3">
                  <c:v>1586.1378693916249</c:v>
                </c:pt>
              </c:numCache>
            </c:numRef>
          </c:val>
        </c:ser>
        <c:ser>
          <c:idx val="1"/>
          <c:order val="1"/>
          <c:tx>
            <c:v>CFD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'ANSYS FLUENT'!$D$21:$D$24</c:f>
              <c:numCache>
                <c:formatCode>General</c:formatCode>
                <c:ptCount val="4"/>
                <c:pt idx="0">
                  <c:v>77.25670707070708</c:v>
                </c:pt>
                <c:pt idx="1">
                  <c:v>239.53107070707071</c:v>
                </c:pt>
                <c:pt idx="2">
                  <c:v>1242.9762289562291</c:v>
                </c:pt>
                <c:pt idx="3">
                  <c:v>1592.907138047138</c:v>
                </c:pt>
              </c:numCache>
            </c:numRef>
          </c:val>
        </c:ser>
        <c:ser>
          <c:idx val="2"/>
          <c:order val="2"/>
          <c:tx>
            <c:v>Matlab R1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Charts!$B$1:$B$4</c:f>
              <c:numCache>
                <c:formatCode>General</c:formatCode>
                <c:ptCount val="4"/>
                <c:pt idx="0">
                  <c:v>78.891198518794184</c:v>
                </c:pt>
                <c:pt idx="1">
                  <c:v>222.95209184177196</c:v>
                </c:pt>
                <c:pt idx="2">
                  <c:v>1241.0200672118526</c:v>
                </c:pt>
                <c:pt idx="3">
                  <c:v>1542.8633575724159</c:v>
                </c:pt>
              </c:numCache>
            </c:numRef>
          </c:val>
        </c:ser>
        <c:ser>
          <c:idx val="3"/>
          <c:order val="3"/>
          <c:tx>
            <c:v>Matlab R2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Charts!$C$1:$C$4</c:f>
              <c:numCache>
                <c:formatCode>General</c:formatCode>
                <c:ptCount val="4"/>
                <c:pt idx="0">
                  <c:v>78.891198518885517</c:v>
                </c:pt>
                <c:pt idx="1">
                  <c:v>222.95209182940658</c:v>
                </c:pt>
                <c:pt idx="2">
                  <c:v>1241.0200670793736</c:v>
                </c:pt>
                <c:pt idx="3">
                  <c:v>1542.8633574276662</c:v>
                </c:pt>
              </c:numCache>
            </c:numRef>
          </c:val>
        </c:ser>
        <c:dLbls>
          <c:showVal val="1"/>
        </c:dLbls>
        <c:axId val="105626240"/>
        <c:axId val="105632128"/>
      </c:barChart>
      <c:catAx>
        <c:axId val="105626240"/>
        <c:scaling>
          <c:orientation val="minMax"/>
        </c:scaling>
        <c:axPos val="l"/>
        <c:tickLblPos val="nextTo"/>
        <c:crossAx val="105632128"/>
        <c:crosses val="autoZero"/>
        <c:auto val="1"/>
        <c:lblAlgn val="ctr"/>
        <c:lblOffset val="100"/>
      </c:catAx>
      <c:valAx>
        <c:axId val="105632128"/>
        <c:scaling>
          <c:orientation val="minMax"/>
        </c:scaling>
        <c:axPos val="b"/>
        <c:numFmt formatCode="General" sourceLinked="1"/>
        <c:tickLblPos val="nextTo"/>
        <c:crossAx val="1056262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Viscous Free-Slip</a:t>
            </a:r>
            <a:r>
              <a:rPr lang="en-US" baseline="0"/>
              <a:t> 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Analytical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Analytical!$H$21:$H$24</c:f>
              <c:numCache>
                <c:formatCode>General</c:formatCode>
                <c:ptCount val="4"/>
                <c:pt idx="0">
                  <c:v>63.388841476883584</c:v>
                </c:pt>
                <c:pt idx="1">
                  <c:v>198.94399982324816</c:v>
                </c:pt>
                <c:pt idx="2">
                  <c:v>1207.7005960688398</c:v>
                </c:pt>
                <c:pt idx="3">
                  <c:v>1470.0334373689714</c:v>
                </c:pt>
              </c:numCache>
            </c:numRef>
          </c:val>
        </c:ser>
        <c:ser>
          <c:idx val="1"/>
          <c:order val="1"/>
          <c:tx>
            <c:v>CFD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'ANSYS FLUENT'!$H$21:$H$24</c:f>
              <c:numCache>
                <c:formatCode>General</c:formatCode>
                <c:ptCount val="4"/>
                <c:pt idx="0">
                  <c:v>63.568347474747469</c:v>
                </c:pt>
                <c:pt idx="1">
                  <c:v>203.79616161616161</c:v>
                </c:pt>
                <c:pt idx="2">
                  <c:v>1230.4585185185185</c:v>
                </c:pt>
                <c:pt idx="3">
                  <c:v>1497.1967003367004</c:v>
                </c:pt>
              </c:numCache>
            </c:numRef>
          </c:val>
        </c:ser>
        <c:ser>
          <c:idx val="2"/>
          <c:order val="2"/>
          <c:tx>
            <c:v>Matlab R1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Charts!$B$5:$B$8</c:f>
              <c:numCache>
                <c:formatCode>General</c:formatCode>
                <c:ptCount val="4"/>
                <c:pt idx="0">
                  <c:v>63.388650995382164</c:v>
                </c:pt>
                <c:pt idx="1">
                  <c:v>195.48884739237019</c:v>
                </c:pt>
                <c:pt idx="2">
                  <c:v>1173.3043003948856</c:v>
                </c:pt>
                <c:pt idx="3">
                  <c:v>1432.1817987826362</c:v>
                </c:pt>
              </c:numCache>
            </c:numRef>
          </c:val>
        </c:ser>
        <c:ser>
          <c:idx val="3"/>
          <c:order val="3"/>
          <c:tx>
            <c:v>Matlab R2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Charts!$C$5:$C$8</c:f>
              <c:numCache>
                <c:formatCode>General</c:formatCode>
                <c:ptCount val="4"/>
                <c:pt idx="0">
                  <c:v>63.388650995222143</c:v>
                </c:pt>
                <c:pt idx="1">
                  <c:v>195.48884756875538</c:v>
                </c:pt>
                <c:pt idx="2">
                  <c:v>1173.3043022984284</c:v>
                </c:pt>
                <c:pt idx="3">
                  <c:v>1432.1818008624059</c:v>
                </c:pt>
              </c:numCache>
            </c:numRef>
          </c:val>
        </c:ser>
        <c:dLbls>
          <c:showVal val="1"/>
        </c:dLbls>
        <c:axId val="104706048"/>
        <c:axId val="104707584"/>
      </c:barChart>
      <c:catAx>
        <c:axId val="104706048"/>
        <c:scaling>
          <c:orientation val="minMax"/>
        </c:scaling>
        <c:axPos val="l"/>
        <c:tickLblPos val="nextTo"/>
        <c:crossAx val="104707584"/>
        <c:crosses val="autoZero"/>
        <c:auto val="1"/>
        <c:lblAlgn val="ctr"/>
        <c:lblOffset val="100"/>
      </c:catAx>
      <c:valAx>
        <c:axId val="104707584"/>
        <c:scaling>
          <c:orientation val="minMax"/>
        </c:scaling>
        <c:axPos val="b"/>
        <c:numFmt formatCode="General" sourceLinked="1"/>
        <c:tickLblPos val="nextTo"/>
        <c:crossAx val="10470604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Viscous No-Slip</a:t>
            </a:r>
            <a:r>
              <a:rPr lang="en-US" baseline="0"/>
              <a:t> 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Analytical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Analytical!$L$21:$L$24</c:f>
              <c:numCache>
                <c:formatCode>General</c:formatCode>
                <c:ptCount val="4"/>
                <c:pt idx="0">
                  <c:v>61.880749531426197</c:v>
                </c:pt>
                <c:pt idx="1">
                  <c:v>194.68795268318067</c:v>
                </c:pt>
                <c:pt idx="2">
                  <c:v>1177.891992750443</c:v>
                </c:pt>
                <c:pt idx="3">
                  <c:v>1434.4606949650499</c:v>
                </c:pt>
              </c:numCache>
            </c:numRef>
          </c:val>
        </c:ser>
        <c:ser>
          <c:idx val="1"/>
          <c:order val="1"/>
          <c:tx>
            <c:v>CFD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'ANSYS FLUENT'!$L$21:$L$24</c:f>
              <c:numCache>
                <c:formatCode>General</c:formatCode>
                <c:ptCount val="4"/>
                <c:pt idx="0">
                  <c:v>63.237523905723904</c:v>
                </c:pt>
                <c:pt idx="1">
                  <c:v>203.69610101010102</c:v>
                </c:pt>
                <c:pt idx="2">
                  <c:v>1208.6369696969698</c:v>
                </c:pt>
                <c:pt idx="3">
                  <c:v>1483.4874747474748</c:v>
                </c:pt>
              </c:numCache>
            </c:numRef>
          </c:val>
        </c:ser>
        <c:ser>
          <c:idx val="2"/>
          <c:order val="2"/>
          <c:tx>
            <c:v>Matlab R1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Charts!$B$9:$B$12</c:f>
              <c:numCache>
                <c:formatCode>General</c:formatCode>
                <c:ptCount val="4"/>
                <c:pt idx="0">
                  <c:v>61.936798587713547</c:v>
                </c:pt>
                <c:pt idx="1">
                  <c:v>191.45011613458095</c:v>
                </c:pt>
                <c:pt idx="2">
                  <c:v>1146.6229461960197</c:v>
                </c:pt>
                <c:pt idx="3">
                  <c:v>1400.0098609183178</c:v>
                </c:pt>
              </c:numCache>
            </c:numRef>
          </c:val>
        </c:ser>
        <c:ser>
          <c:idx val="3"/>
          <c:order val="3"/>
          <c:tx>
            <c:v>Matlab R2</c:v>
          </c:tx>
          <c:dLbls>
            <c:dLblPos val="outEnd"/>
            <c:showVal val="1"/>
          </c:dLbls>
          <c:cat>
            <c:strRef>
              <c:f>Analytical!$B$21:$B$24</c:f>
              <c:strCache>
                <c:ptCount val="4"/>
                <c:pt idx="0">
                  <c:v>Jet 1</c:v>
                </c:pt>
                <c:pt idx="1">
                  <c:v>Jet 2</c:v>
                </c:pt>
                <c:pt idx="2">
                  <c:v>Jet 3</c:v>
                </c:pt>
                <c:pt idx="3">
                  <c:v>Inlet</c:v>
                </c:pt>
              </c:strCache>
            </c:strRef>
          </c:cat>
          <c:val>
            <c:numRef>
              <c:f>Charts!$C$9:$C$12</c:f>
              <c:numCache>
                <c:formatCode>General</c:formatCode>
                <c:ptCount val="4"/>
                <c:pt idx="0">
                  <c:v>61.93679859077924</c:v>
                </c:pt>
                <c:pt idx="1">
                  <c:v>191.45011615164219</c:v>
                </c:pt>
                <c:pt idx="2">
                  <c:v>1146.6229463505645</c:v>
                </c:pt>
                <c:pt idx="3">
                  <c:v>1400.0098610929856</c:v>
                </c:pt>
              </c:numCache>
            </c:numRef>
          </c:val>
        </c:ser>
        <c:dLbls>
          <c:showVal val="1"/>
        </c:dLbls>
        <c:axId val="105874560"/>
        <c:axId val="105876096"/>
      </c:barChart>
      <c:catAx>
        <c:axId val="105874560"/>
        <c:scaling>
          <c:orientation val="minMax"/>
        </c:scaling>
        <c:axPos val="l"/>
        <c:tickLblPos val="nextTo"/>
        <c:crossAx val="105876096"/>
        <c:crosses val="autoZero"/>
        <c:auto val="1"/>
        <c:lblAlgn val="ctr"/>
        <c:lblOffset val="100"/>
      </c:catAx>
      <c:valAx>
        <c:axId val="105876096"/>
        <c:scaling>
          <c:orientation val="minMax"/>
        </c:scaling>
        <c:axPos val="b"/>
        <c:numFmt formatCode="General" sourceLinked="1"/>
        <c:tickLblPos val="nextTo"/>
        <c:crossAx val="10587456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152400</xdr:rowOff>
    </xdr:from>
    <xdr:to>
      <xdr:col>4</xdr:col>
      <xdr:colOff>38100</xdr:colOff>
      <xdr:row>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160683</xdr:colOff>
      <xdr:row>30</xdr:row>
      <xdr:rowOff>139148</xdr:rowOff>
    </xdr:from>
    <xdr:to>
      <xdr:col>8</xdr:col>
      <xdr:colOff>298174</xdr:colOff>
      <xdr:row>45</xdr:row>
      <xdr:rowOff>43898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420757</xdr:colOff>
      <xdr:row>30</xdr:row>
      <xdr:rowOff>125896</xdr:rowOff>
    </xdr:from>
    <xdr:to>
      <xdr:col>14</xdr:col>
      <xdr:colOff>318053</xdr:colOff>
      <xdr:row>45</xdr:row>
      <xdr:rowOff>30646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35</xdr:col>
      <xdr:colOff>116278</xdr:colOff>
      <xdr:row>58</xdr:row>
      <xdr:rowOff>26028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47625</xdr:rowOff>
    </xdr:from>
    <xdr:to>
      <xdr:col>14</xdr:col>
      <xdr:colOff>295274</xdr:colOff>
      <xdr:row>21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21</xdr:row>
      <xdr:rowOff>171450</xdr:rowOff>
    </xdr:from>
    <xdr:to>
      <xdr:col>14</xdr:col>
      <xdr:colOff>257174</xdr:colOff>
      <xdr:row>42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581024</xdr:colOff>
      <xdr:row>43</xdr:row>
      <xdr:rowOff>76200</xdr:rowOff>
    </xdr:from>
    <xdr:to>
      <xdr:col>14</xdr:col>
      <xdr:colOff>228599</xdr:colOff>
      <xdr:row>64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56"/>
  <sheetViews>
    <sheetView topLeftCell="B1" zoomScale="70" zoomScaleNormal="70" workbookViewId="0">
      <selection activeCell="C2" sqref="C2:E7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1:33" ht="16.5" thickBot="1"/>
    <row r="2" spans="1:33" ht="21">
      <c r="C2" s="199" t="s">
        <v>97</v>
      </c>
      <c r="D2" s="200"/>
      <c r="E2" s="201"/>
    </row>
    <row r="3" spans="1:33" ht="15.75">
      <c r="C3" s="34" t="s">
        <v>98</v>
      </c>
      <c r="D3" s="33" t="s">
        <v>1</v>
      </c>
      <c r="E3" s="42" t="s">
        <v>4</v>
      </c>
    </row>
    <row r="4" spans="1:33" ht="15.75">
      <c r="C4" s="40" t="s">
        <v>12</v>
      </c>
      <c r="D4" s="15">
        <f>P15</f>
        <v>29.550182254235569</v>
      </c>
      <c r="E4" s="22">
        <f>P18</f>
        <v>111.52549681694367</v>
      </c>
    </row>
    <row r="5" spans="1:33" ht="15.75">
      <c r="C5" s="40" t="s">
        <v>13</v>
      </c>
      <c r="D5" s="15">
        <f>P16</f>
        <v>29.550182254235569</v>
      </c>
      <c r="E5" s="22">
        <f>P19</f>
        <v>320.83650022629598</v>
      </c>
    </row>
    <row r="6" spans="1:33" ht="15.75">
      <c r="C6" s="40" t="s">
        <v>14</v>
      </c>
      <c r="D6" s="15">
        <f>P17</f>
        <v>29.550182254235569</v>
      </c>
      <c r="E6" s="22">
        <f>P20</f>
        <v>1809.7183840889509</v>
      </c>
    </row>
    <row r="7" spans="1:33" ht="16.5" thickBot="1">
      <c r="C7" s="41" t="s">
        <v>15</v>
      </c>
      <c r="D7" s="20">
        <f>P14</f>
        <v>2.9736514622212429</v>
      </c>
      <c r="E7" s="24">
        <f>P21</f>
        <v>2242.0803811321903</v>
      </c>
    </row>
    <row r="8" spans="1:33" ht="15.75"/>
    <row r="9" spans="1:33" ht="16.5" thickBot="1"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ht="34.5" thickBot="1">
      <c r="A10" s="202" t="s">
        <v>99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4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27"/>
      <c r="AF10" s="27"/>
      <c r="AG10" s="27"/>
    </row>
    <row r="11" spans="1:33" ht="16.5" thickBot="1">
      <c r="A11" s="213"/>
      <c r="B11" s="205" t="s">
        <v>0</v>
      </c>
      <c r="C11" s="206"/>
      <c r="D11" s="27"/>
      <c r="H11" s="28"/>
      <c r="L11" s="28"/>
      <c r="Q11" s="56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27"/>
      <c r="AF11" s="27"/>
      <c r="AG11" s="27"/>
    </row>
    <row r="12" spans="1:33" ht="16.5" thickBot="1">
      <c r="A12" s="213"/>
      <c r="B12" s="17" t="s">
        <v>64</v>
      </c>
      <c r="C12" s="22">
        <v>5</v>
      </c>
      <c r="D12" s="27"/>
      <c r="E12" s="207" t="s">
        <v>62</v>
      </c>
      <c r="F12" s="208"/>
      <c r="G12" s="209"/>
      <c r="H12" s="27"/>
      <c r="I12" s="207" t="s">
        <v>68</v>
      </c>
      <c r="J12" s="208"/>
      <c r="K12" s="209"/>
      <c r="L12" s="27"/>
      <c r="M12" s="210"/>
      <c r="N12" s="211"/>
      <c r="O12" s="211"/>
      <c r="P12" s="212"/>
      <c r="Q12" s="49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27"/>
    </row>
    <row r="13" spans="1:33" ht="15.75">
      <c r="A13" s="213"/>
      <c r="B13" s="17" t="s">
        <v>17</v>
      </c>
      <c r="C13" s="22">
        <f>(C12*(30.48/12)^2/0.4536)</f>
        <v>71.115520282186949</v>
      </c>
      <c r="D13" s="27"/>
      <c r="E13" s="12" t="s">
        <v>43</v>
      </c>
      <c r="F13" s="15">
        <v>0.05</v>
      </c>
      <c r="G13" s="14" t="s">
        <v>61</v>
      </c>
      <c r="H13" s="27"/>
      <c r="I13" s="12" t="s">
        <v>49</v>
      </c>
      <c r="J13" s="15">
        <v>4.0000000000000001E-3</v>
      </c>
      <c r="K13" s="14" t="s">
        <v>61</v>
      </c>
      <c r="L13" s="27"/>
      <c r="M13" s="205" t="s">
        <v>88</v>
      </c>
      <c r="N13" s="64"/>
      <c r="O13" s="65"/>
      <c r="P13" s="66" t="s">
        <v>100</v>
      </c>
      <c r="Q13" s="38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7"/>
    </row>
    <row r="14" spans="1:33" ht="15.75">
      <c r="A14" s="213"/>
      <c r="B14" s="17" t="s">
        <v>65</v>
      </c>
      <c r="C14" s="22">
        <f>(C12*(30.48/12)^2/0.4536)*6895</f>
        <v>490341.51234567899</v>
      </c>
      <c r="D14" s="27"/>
      <c r="E14" s="12" t="s">
        <v>44</v>
      </c>
      <c r="F14" s="15">
        <v>0.05</v>
      </c>
      <c r="G14" s="14" t="s">
        <v>61</v>
      </c>
      <c r="H14" s="27"/>
      <c r="I14" s="12" t="s">
        <v>50</v>
      </c>
      <c r="J14" s="15">
        <v>2.8299999999999999E-4</v>
      </c>
      <c r="K14" s="14" t="s">
        <v>61</v>
      </c>
      <c r="L14" s="27"/>
      <c r="M14" s="215"/>
      <c r="N14" s="217" t="s">
        <v>1</v>
      </c>
      <c r="O14" s="9" t="s">
        <v>5</v>
      </c>
      <c r="P14" s="22">
        <f>P15*$G$18+P16*$G$19+P17*$G$20</f>
        <v>2.9736514622212429</v>
      </c>
      <c r="Q14" s="3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7"/>
    </row>
    <row r="15" spans="1:33" ht="16.5" thickBot="1">
      <c r="A15" s="213"/>
      <c r="B15" s="17" t="s">
        <v>66</v>
      </c>
      <c r="C15" s="22">
        <f>101325</f>
        <v>101325</v>
      </c>
      <c r="D15" s="27"/>
      <c r="E15" s="23" t="s">
        <v>45</v>
      </c>
      <c r="F15" s="20">
        <v>0.05</v>
      </c>
      <c r="G15" s="21" t="s">
        <v>61</v>
      </c>
      <c r="H15" s="27"/>
      <c r="I15" s="12" t="s">
        <v>51</v>
      </c>
      <c r="J15" s="15">
        <v>4.8000000000000001E-4</v>
      </c>
      <c r="K15" s="14" t="s">
        <v>61</v>
      </c>
      <c r="L15" s="27"/>
      <c r="M15" s="215"/>
      <c r="N15" s="217"/>
      <c r="O15" s="10" t="s">
        <v>9</v>
      </c>
      <c r="P15" s="22">
        <f>($C$17)^0.5</f>
        <v>29.550182254235569</v>
      </c>
      <c r="Q15" s="38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7"/>
    </row>
    <row r="16" spans="1:33" ht="16.5" thickBot="1">
      <c r="A16" s="213"/>
      <c r="B16" s="17" t="s">
        <v>67</v>
      </c>
      <c r="C16" s="22">
        <f>C14-C15</f>
        <v>389016.51234567899</v>
      </c>
      <c r="D16" s="27"/>
      <c r="E16" s="28"/>
      <c r="H16" s="27"/>
      <c r="I16" s="23" t="s">
        <v>52</v>
      </c>
      <c r="J16" s="20">
        <v>1.14E-3</v>
      </c>
      <c r="K16" s="21" t="s">
        <v>61</v>
      </c>
      <c r="L16" s="27"/>
      <c r="M16" s="215"/>
      <c r="N16" s="217"/>
      <c r="O16" s="10" t="s">
        <v>10</v>
      </c>
      <c r="P16" s="22">
        <f>($C$17)^0.5</f>
        <v>29.550182254235569</v>
      </c>
      <c r="Q16" s="38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7"/>
    </row>
    <row r="17" spans="1:56" ht="16.5" thickBot="1">
      <c r="A17" s="213"/>
      <c r="B17" s="18" t="s">
        <v>81</v>
      </c>
      <c r="C17" s="24">
        <f>C16*2/C21</f>
        <v>873.21327125853873</v>
      </c>
      <c r="D17" s="27"/>
      <c r="E17" s="28"/>
      <c r="F17" s="207" t="s">
        <v>63</v>
      </c>
      <c r="G17" s="209"/>
      <c r="H17" s="7"/>
      <c r="L17" s="27"/>
      <c r="M17" s="215"/>
      <c r="N17" s="217"/>
      <c r="O17" s="10" t="s">
        <v>11</v>
      </c>
      <c r="P17" s="22">
        <f>($C$17)^0.5</f>
        <v>29.550182254235569</v>
      </c>
      <c r="Q17" s="38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7"/>
    </row>
    <row r="18" spans="1:56" ht="16.5" thickBot="1">
      <c r="A18" s="213"/>
      <c r="B18" s="27"/>
      <c r="C18" s="27"/>
      <c r="D18" s="27"/>
      <c r="E18" s="27"/>
      <c r="F18" s="12" t="s">
        <v>75</v>
      </c>
      <c r="G18" s="22">
        <f>J20/J19</f>
        <v>5.0055625000000005E-3</v>
      </c>
      <c r="H18" s="7"/>
      <c r="I18" s="207" t="s">
        <v>18</v>
      </c>
      <c r="J18" s="208"/>
      <c r="K18" s="209"/>
      <c r="L18" s="27"/>
      <c r="M18" s="215"/>
      <c r="N18" s="218" t="s">
        <v>19</v>
      </c>
      <c r="O18" s="39" t="s">
        <v>12</v>
      </c>
      <c r="P18" s="22">
        <f>P15*$J20*1000000*60</f>
        <v>111.52549681694367</v>
      </c>
      <c r="Q18" s="38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7"/>
    </row>
    <row r="19" spans="1:56" ht="15.75">
      <c r="A19" s="213"/>
      <c r="B19" s="207" t="s">
        <v>69</v>
      </c>
      <c r="C19" s="208"/>
      <c r="D19" s="209"/>
      <c r="E19" s="27"/>
      <c r="F19" s="12" t="s">
        <v>76</v>
      </c>
      <c r="G19" s="22">
        <f>J21/J19</f>
        <v>1.44E-2</v>
      </c>
      <c r="H19" s="7"/>
      <c r="I19" s="12" t="s">
        <v>56</v>
      </c>
      <c r="J19" s="15">
        <f>J13^2*3.14159265358979/4</f>
        <v>1.256637061435916E-5</v>
      </c>
      <c r="K19" s="14" t="s">
        <v>60</v>
      </c>
      <c r="L19" s="27"/>
      <c r="M19" s="215"/>
      <c r="N19" s="218"/>
      <c r="O19" s="39" t="s">
        <v>13</v>
      </c>
      <c r="P19" s="22">
        <f>P16*$J21*1000000*60</f>
        <v>320.83650022629598</v>
      </c>
      <c r="Q19" s="38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7"/>
    </row>
    <row r="20" spans="1:56" ht="16.5" thickBot="1">
      <c r="A20" s="213"/>
      <c r="B20" s="17" t="s">
        <v>3</v>
      </c>
      <c r="C20" s="15">
        <v>2.9000000000000001E-2</v>
      </c>
      <c r="D20" s="14"/>
      <c r="E20" s="27"/>
      <c r="F20" s="23" t="s">
        <v>77</v>
      </c>
      <c r="G20" s="24">
        <f>J22/J19</f>
        <v>8.1224999999999992E-2</v>
      </c>
      <c r="H20" s="28"/>
      <c r="I20" s="12" t="s">
        <v>57</v>
      </c>
      <c r="J20" s="15">
        <f>J14^2*3.14159265358979/4</f>
        <v>6.2901753508338175E-8</v>
      </c>
      <c r="K20" s="14" t="s">
        <v>60</v>
      </c>
      <c r="L20" s="27"/>
      <c r="M20" s="215"/>
      <c r="N20" s="218"/>
      <c r="O20" s="39" t="s">
        <v>14</v>
      </c>
      <c r="P20" s="22">
        <f>P17*$J22*1000000*60</f>
        <v>1809.7183840889509</v>
      </c>
      <c r="Q20" s="38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7"/>
    </row>
    <row r="21" spans="1:56" ht="16.5" thickBot="1">
      <c r="A21" s="213"/>
      <c r="B21" s="17" t="s">
        <v>2</v>
      </c>
      <c r="C21" s="15">
        <v>891</v>
      </c>
      <c r="D21" s="14" t="s">
        <v>71</v>
      </c>
      <c r="E21" s="27"/>
      <c r="F21" s="27"/>
      <c r="G21" s="27"/>
      <c r="H21" s="27"/>
      <c r="I21" s="12" t="s">
        <v>58</v>
      </c>
      <c r="J21" s="15">
        <f>J15^2*3.14159265358979/4</f>
        <v>1.8095573684677189E-7</v>
      </c>
      <c r="K21" s="14" t="s">
        <v>60</v>
      </c>
      <c r="L21" s="27"/>
      <c r="M21" s="216"/>
      <c r="N21" s="219"/>
      <c r="O21" s="45" t="s">
        <v>15</v>
      </c>
      <c r="P21" s="24">
        <f>P14*$J19*1000000*60</f>
        <v>2242.0803811321903</v>
      </c>
      <c r="Q21" s="38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</row>
    <row r="22" spans="1:56" ht="16.5" thickBot="1">
      <c r="A22" s="213"/>
      <c r="B22" s="18" t="s">
        <v>29</v>
      </c>
      <c r="C22" s="20">
        <f>2*9.81</f>
        <v>19.62</v>
      </c>
      <c r="D22" s="21" t="s">
        <v>70</v>
      </c>
      <c r="E22" s="27"/>
      <c r="F22" s="27"/>
      <c r="G22" s="27"/>
      <c r="H22" s="27"/>
      <c r="I22" s="23" t="s">
        <v>59</v>
      </c>
      <c r="J22" s="20">
        <f>J16^2*3.14159265358979/4</f>
        <v>1.0207034531513226E-6</v>
      </c>
      <c r="K22" s="21" t="s">
        <v>60</v>
      </c>
      <c r="L22" s="27"/>
      <c r="M22" s="29"/>
      <c r="N22" s="27"/>
      <c r="O22" s="27"/>
      <c r="P22" s="27"/>
      <c r="Q22" s="38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</row>
    <row r="23" spans="1:56" ht="16.5" thickBot="1">
      <c r="A23" s="214"/>
      <c r="B23" s="62"/>
      <c r="C23" s="46"/>
      <c r="D23" s="46"/>
      <c r="E23" s="46"/>
      <c r="F23" s="62"/>
      <c r="G23" s="30"/>
      <c r="H23" s="46"/>
      <c r="I23" s="46"/>
      <c r="J23" s="46"/>
      <c r="K23" s="46"/>
      <c r="L23" s="46"/>
      <c r="M23" s="63"/>
      <c r="N23" s="46"/>
      <c r="O23" s="46"/>
      <c r="P23" s="46"/>
      <c r="Q23" s="31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</row>
    <row r="24" spans="1:56" ht="15.75">
      <c r="A24" s="61"/>
      <c r="B24" s="32"/>
      <c r="C24" s="32"/>
      <c r="D24" s="32"/>
      <c r="E24" s="27"/>
      <c r="F24" s="28"/>
      <c r="G24" s="7"/>
      <c r="H24" s="27"/>
      <c r="L24" s="27"/>
      <c r="M24" s="29"/>
      <c r="N24" s="27"/>
      <c r="O24" s="27"/>
      <c r="P24" s="2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7"/>
    </row>
    <row r="25" spans="1:56" ht="15.75">
      <c r="A25" s="61"/>
      <c r="B25" s="57"/>
      <c r="C25" s="7"/>
      <c r="D25" s="7"/>
      <c r="E25" s="27"/>
      <c r="F25" s="28"/>
      <c r="G25" s="7"/>
      <c r="H25" s="27"/>
      <c r="I25" s="28"/>
      <c r="J25" s="7"/>
      <c r="K25" s="27"/>
      <c r="L25" s="27"/>
      <c r="M25" s="29"/>
      <c r="N25" s="27"/>
      <c r="O25" s="27"/>
      <c r="P25" s="2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</row>
    <row r="26" spans="1:56" ht="15.75">
      <c r="A26" s="61"/>
      <c r="B26" s="57"/>
      <c r="C26" s="7"/>
      <c r="D26" s="7"/>
      <c r="E26" s="27"/>
      <c r="F26" s="27"/>
      <c r="G26" s="27"/>
      <c r="H26" s="27"/>
      <c r="I26" s="28"/>
      <c r="J26" s="7"/>
      <c r="K26" s="27"/>
      <c r="L26" s="27"/>
      <c r="M26" s="29"/>
      <c r="N26" s="27"/>
      <c r="O26" s="27"/>
      <c r="P26" s="2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53"/>
      <c r="B27" s="57"/>
      <c r="C27" s="7"/>
      <c r="D27" s="7"/>
      <c r="E27" s="27"/>
      <c r="F27" s="29"/>
      <c r="G27" s="29"/>
      <c r="H27" s="27"/>
      <c r="I27" s="28"/>
      <c r="J27" s="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7"/>
      <c r="AE27" s="7"/>
      <c r="AF27" s="7"/>
      <c r="AG27" s="7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5.75">
      <c r="A28" s="53"/>
      <c r="B28" s="57"/>
      <c r="C28" s="7"/>
      <c r="D28" s="7"/>
      <c r="E28" s="27"/>
      <c r="F28" s="5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spans="1:56" ht="15.75">
      <c r="A29" s="53"/>
      <c r="B29" s="57"/>
      <c r="C29" s="7"/>
      <c r="D29" s="7"/>
      <c r="E29" s="27"/>
      <c r="F29" s="58"/>
      <c r="G29" s="27"/>
      <c r="H29" s="7"/>
      <c r="I29" s="27"/>
      <c r="J29" s="27"/>
      <c r="K29" s="7"/>
      <c r="L29" s="7"/>
      <c r="M29" s="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spans="1:56" ht="15.75">
      <c r="A30" s="53"/>
      <c r="B30" s="57"/>
      <c r="C30" s="7"/>
      <c r="D30" s="7"/>
      <c r="E30" s="27"/>
      <c r="F30" s="58"/>
      <c r="G30" s="27"/>
      <c r="H30" s="7"/>
      <c r="M30" s="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spans="1:56" ht="15.75">
      <c r="A31" s="53"/>
      <c r="B31" s="27"/>
      <c r="C31" s="27"/>
      <c r="D31" s="27"/>
      <c r="E31" s="27"/>
      <c r="F31" s="58"/>
      <c r="G31" s="27"/>
      <c r="H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spans="1:56" ht="15.75">
      <c r="A32" s="53"/>
      <c r="B32" s="27"/>
      <c r="C32" s="27"/>
      <c r="D32" s="27"/>
      <c r="E32" s="27"/>
      <c r="F32" s="58"/>
      <c r="G32" s="27"/>
      <c r="H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spans="1:38" ht="15.75">
      <c r="A33" s="53"/>
      <c r="B33" s="27"/>
      <c r="C33" s="27"/>
      <c r="D33" s="27"/>
      <c r="E33" s="27"/>
      <c r="F33" s="58"/>
      <c r="G33" s="27"/>
      <c r="H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8" ht="15.75">
      <c r="A34" s="53"/>
      <c r="B34" s="27"/>
      <c r="C34" s="27"/>
      <c r="D34" s="27"/>
      <c r="E34" s="27"/>
      <c r="F34" s="27"/>
      <c r="G34" s="27"/>
      <c r="H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8" ht="15.75">
      <c r="A35" s="27"/>
      <c r="B35" s="27"/>
      <c r="C35" s="27"/>
      <c r="D35" s="27"/>
      <c r="E35" s="27"/>
      <c r="F35" s="27"/>
      <c r="G35" s="27"/>
      <c r="H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8" ht="15.75">
      <c r="A36" s="27"/>
      <c r="B36" s="28"/>
      <c r="C36" s="27"/>
      <c r="D36" s="27"/>
      <c r="E36" s="27"/>
      <c r="F36" s="27"/>
      <c r="G36" s="27"/>
      <c r="H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8" ht="15.75">
      <c r="A37" s="27"/>
      <c r="B37" s="28"/>
      <c r="C37" s="27"/>
      <c r="D37" s="27"/>
      <c r="E37" s="27"/>
      <c r="F37" s="27"/>
      <c r="G37" s="27"/>
      <c r="H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8" ht="15.75">
      <c r="A38" s="27"/>
      <c r="B38" s="28"/>
      <c r="C38" s="27"/>
      <c r="D38" s="27"/>
      <c r="E38" s="27"/>
      <c r="F38" s="27"/>
      <c r="G38" s="27"/>
      <c r="H38" s="27"/>
      <c r="M38" s="27"/>
      <c r="N38" s="27"/>
      <c r="O38" s="27"/>
      <c r="P38" s="27"/>
      <c r="Q38" s="27"/>
      <c r="R38" s="27"/>
      <c r="S38" s="27"/>
    </row>
    <row r="39" spans="1:38" ht="15.75">
      <c r="A39" s="27"/>
      <c r="B39" s="28"/>
      <c r="C39" s="27"/>
      <c r="D39" s="27"/>
      <c r="E39" s="27"/>
      <c r="F39" s="27"/>
      <c r="G39" s="27"/>
      <c r="H39" s="27"/>
      <c r="M39" s="27"/>
      <c r="N39" s="27"/>
      <c r="O39" s="27"/>
      <c r="P39" s="27"/>
      <c r="Q39" s="27"/>
      <c r="R39" s="27"/>
      <c r="S39" s="27"/>
    </row>
    <row r="40" spans="1:38" ht="15.75">
      <c r="A40" s="27"/>
      <c r="B40" s="2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38" ht="15.75">
      <c r="A41" s="27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38" ht="15.75">
      <c r="A42" s="27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ht="15.75">
      <c r="A43" s="27"/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38" ht="15.75"/>
    <row r="45" spans="1:38" ht="15.75"/>
    <row r="46" spans="1:38" ht="15.75"/>
    <row r="51" spans="2:4" ht="15.75">
      <c r="D51" s="6"/>
    </row>
    <row r="52" spans="2:4" ht="15.75">
      <c r="D52" s="6"/>
    </row>
    <row r="53" spans="2:4" ht="15.75">
      <c r="D53" s="6"/>
    </row>
    <row r="55" spans="2:4" ht="15.75">
      <c r="B55" s="8"/>
    </row>
    <row r="56" spans="2:4" ht="15.75">
      <c r="B56" s="8"/>
    </row>
  </sheetData>
  <mergeCells count="13">
    <mergeCell ref="C2:E2"/>
    <mergeCell ref="A10:Q10"/>
    <mergeCell ref="B11:C11"/>
    <mergeCell ref="E12:G12"/>
    <mergeCell ref="I12:K12"/>
    <mergeCell ref="M12:P12"/>
    <mergeCell ref="A11:A23"/>
    <mergeCell ref="M13:M21"/>
    <mergeCell ref="N14:N17"/>
    <mergeCell ref="N18:N21"/>
    <mergeCell ref="I18:K18"/>
    <mergeCell ref="F17:G17"/>
    <mergeCell ref="B19:D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B1:P26"/>
  <sheetViews>
    <sheetView zoomScale="70" zoomScaleNormal="70" workbookViewId="0">
      <selection activeCell="B2" sqref="B2:D24"/>
    </sheetView>
  </sheetViews>
  <sheetFormatPr defaultColWidth="15.7109375" defaultRowHeight="15.75"/>
  <cols>
    <col min="1" max="2" width="15.7109375" style="154"/>
    <col min="3" max="3" width="20.7109375" style="154" customWidth="1"/>
    <col min="4" max="6" width="15.7109375" style="154"/>
    <col min="7" max="7" width="20.7109375" style="154" customWidth="1"/>
    <col min="8" max="10" width="15.7109375" style="154"/>
    <col min="11" max="11" width="20.7109375" style="154" customWidth="1"/>
    <col min="12" max="14" width="15.7109375" style="154"/>
    <col min="15" max="15" width="20.140625" style="154" customWidth="1"/>
    <col min="16" max="16384" width="15.7109375" style="154"/>
  </cols>
  <sheetData>
    <row r="1" spans="2:16" ht="16.5" thickBot="1"/>
    <row r="2" spans="2:16" ht="21.75" thickBot="1">
      <c r="B2" s="327" t="s">
        <v>153</v>
      </c>
      <c r="C2" s="328"/>
      <c r="D2" s="329"/>
      <c r="E2" s="155"/>
      <c r="F2" s="327" t="s">
        <v>158</v>
      </c>
      <c r="G2" s="328"/>
      <c r="H2" s="329"/>
      <c r="J2" s="327" t="s">
        <v>159</v>
      </c>
      <c r="K2" s="328"/>
      <c r="L2" s="329"/>
      <c r="N2" s="327" t="s">
        <v>170</v>
      </c>
      <c r="O2" s="328"/>
      <c r="P2" s="329"/>
    </row>
    <row r="3" spans="2:16" ht="15.75" customHeight="1">
      <c r="B3" s="142" t="s">
        <v>154</v>
      </c>
      <c r="C3" s="144" t="s">
        <v>160</v>
      </c>
      <c r="D3" s="143" t="s">
        <v>142</v>
      </c>
      <c r="E3" s="155"/>
      <c r="F3" s="142" t="s">
        <v>154</v>
      </c>
      <c r="G3" s="144" t="s">
        <v>160</v>
      </c>
      <c r="H3" s="143" t="s">
        <v>142</v>
      </c>
      <c r="J3" s="142" t="s">
        <v>154</v>
      </c>
      <c r="K3" s="144" t="s">
        <v>160</v>
      </c>
      <c r="L3" s="143" t="s">
        <v>142</v>
      </c>
      <c r="N3" s="142" t="s">
        <v>154</v>
      </c>
      <c r="O3" s="144" t="s">
        <v>160</v>
      </c>
      <c r="P3" s="143" t="s">
        <v>142</v>
      </c>
    </row>
    <row r="4" spans="2:16" ht="15.75" customHeight="1">
      <c r="B4" s="110" t="s">
        <v>15</v>
      </c>
      <c r="C4" s="123">
        <v>488409.69</v>
      </c>
      <c r="D4" s="127">
        <v>2.1077840000000001</v>
      </c>
      <c r="E4" s="155"/>
      <c r="F4" s="110" t="s">
        <v>15</v>
      </c>
      <c r="G4" s="123">
        <v>488574.13</v>
      </c>
      <c r="H4" s="127">
        <v>1.9862853</v>
      </c>
      <c r="J4" s="110" t="s">
        <v>15</v>
      </c>
      <c r="K4" s="123">
        <v>488546.53</v>
      </c>
      <c r="L4" s="127">
        <v>1.9693358999999999</v>
      </c>
      <c r="N4" s="110" t="s">
        <v>15</v>
      </c>
      <c r="O4" s="123">
        <v>485185.31</v>
      </c>
      <c r="P4" s="127">
        <v>3.3624174999999998</v>
      </c>
    </row>
    <row r="5" spans="2:16">
      <c r="B5" s="110" t="s">
        <v>137</v>
      </c>
      <c r="C5" s="123">
        <v>487597.78</v>
      </c>
      <c r="D5" s="152">
        <v>2.5974474000000001</v>
      </c>
      <c r="E5" s="155"/>
      <c r="F5" s="110" t="s">
        <v>137</v>
      </c>
      <c r="G5" s="123">
        <v>496519.09</v>
      </c>
      <c r="H5" s="152">
        <v>4.0012746000000003</v>
      </c>
      <c r="J5" s="110" t="s">
        <v>137</v>
      </c>
      <c r="K5" s="123">
        <v>479461.09</v>
      </c>
      <c r="L5" s="152">
        <v>1.9950665999999999</v>
      </c>
      <c r="N5" s="110" t="s">
        <v>137</v>
      </c>
      <c r="O5" s="123">
        <v>537169.75</v>
      </c>
      <c r="P5" s="152">
        <v>3.3656641999999999</v>
      </c>
    </row>
    <row r="6" spans="2:16">
      <c r="B6" s="110" t="s">
        <v>147</v>
      </c>
      <c r="C6" s="123">
        <v>487726.31</v>
      </c>
      <c r="D6" s="152">
        <v>2.3237939000000001</v>
      </c>
      <c r="E6" s="155"/>
      <c r="F6" s="110" t="s">
        <v>147</v>
      </c>
      <c r="G6" s="123">
        <v>500621.75</v>
      </c>
      <c r="H6" s="152">
        <v>3.6205759</v>
      </c>
      <c r="J6" s="110" t="s">
        <v>147</v>
      </c>
      <c r="K6" s="123">
        <v>479368.69</v>
      </c>
      <c r="L6" s="152">
        <v>1.9095105999999999</v>
      </c>
      <c r="N6" s="110" t="s">
        <v>147</v>
      </c>
      <c r="O6" s="123">
        <v>540320.63</v>
      </c>
      <c r="P6" s="152">
        <v>3.2779164000000001</v>
      </c>
    </row>
    <row r="7" spans="2:16">
      <c r="B7" s="110" t="s">
        <v>138</v>
      </c>
      <c r="C7" s="123">
        <v>489587.97</v>
      </c>
      <c r="D7" s="152">
        <v>2.0939472000000001</v>
      </c>
      <c r="E7" s="155"/>
      <c r="F7" s="110" t="s">
        <v>138</v>
      </c>
      <c r="G7" s="123">
        <v>522846.53</v>
      </c>
      <c r="H7" s="152">
        <v>4.4533892000000002</v>
      </c>
      <c r="J7" s="110" t="s">
        <v>138</v>
      </c>
      <c r="K7" s="123">
        <v>473112.78</v>
      </c>
      <c r="L7" s="152">
        <v>1.8855526</v>
      </c>
      <c r="N7" s="110" t="s">
        <v>138</v>
      </c>
      <c r="O7" s="123">
        <v>618798.18999999994</v>
      </c>
      <c r="P7" s="152">
        <v>3.286546</v>
      </c>
    </row>
    <row r="8" spans="2:16">
      <c r="B8" s="110" t="s">
        <v>148</v>
      </c>
      <c r="C8" s="123">
        <v>490101.34</v>
      </c>
      <c r="D8" s="152">
        <v>1.7203451000000001</v>
      </c>
      <c r="E8" s="155"/>
      <c r="F8" s="110" t="s">
        <v>148</v>
      </c>
      <c r="G8" s="123">
        <v>531266.43999999994</v>
      </c>
      <c r="H8" s="152">
        <v>3.6210548999999999</v>
      </c>
      <c r="J8" s="110" t="s">
        <v>148</v>
      </c>
      <c r="K8" s="123">
        <v>473691.28</v>
      </c>
      <c r="L8" s="152">
        <v>1.6149395</v>
      </c>
      <c r="N8" s="110" t="s">
        <v>148</v>
      </c>
      <c r="O8" s="123">
        <v>625230.63</v>
      </c>
      <c r="P8" s="152">
        <v>3.4836330000000002</v>
      </c>
    </row>
    <row r="9" spans="2:16">
      <c r="B9" s="110" t="s">
        <v>149</v>
      </c>
      <c r="C9" s="123">
        <v>491115.09</v>
      </c>
      <c r="D9" s="152">
        <v>2.9375719999999998</v>
      </c>
      <c r="E9" s="155"/>
      <c r="F9" s="110" t="s">
        <v>149</v>
      </c>
      <c r="G9" s="123">
        <v>578800.68999999994</v>
      </c>
      <c r="H9" s="152">
        <v>3.9587526</v>
      </c>
      <c r="J9" s="110" t="s">
        <v>149</v>
      </c>
      <c r="K9" s="123">
        <v>468554.34</v>
      </c>
      <c r="L9" s="152">
        <v>1.6688483999999999</v>
      </c>
      <c r="N9" s="110" t="s">
        <v>149</v>
      </c>
      <c r="O9" s="123">
        <v>815304.69</v>
      </c>
      <c r="P9" s="152">
        <v>4.2785739999999999</v>
      </c>
    </row>
    <row r="10" spans="2:16">
      <c r="B10" s="98" t="s">
        <v>140</v>
      </c>
      <c r="C10" s="124">
        <v>482692.88</v>
      </c>
      <c r="D10" s="152">
        <v>2.2618475</v>
      </c>
      <c r="E10" s="155"/>
      <c r="F10" s="98" t="s">
        <v>140</v>
      </c>
      <c r="G10" s="124">
        <v>475191.22</v>
      </c>
      <c r="H10" s="152">
        <v>6.8775411000000002</v>
      </c>
      <c r="J10" s="98" t="s">
        <v>140</v>
      </c>
      <c r="K10" s="124">
        <v>476727.75</v>
      </c>
      <c r="L10" s="152">
        <v>1.3623225999999999</v>
      </c>
      <c r="N10" s="98" t="s">
        <v>140</v>
      </c>
      <c r="O10" s="124">
        <v>532810.56000000006</v>
      </c>
      <c r="P10" s="152">
        <v>2.9710228000000001</v>
      </c>
    </row>
    <row r="11" spans="2:16">
      <c r="B11" s="98" t="s">
        <v>141</v>
      </c>
      <c r="C11" s="124">
        <v>487512.53</v>
      </c>
      <c r="D11" s="152">
        <v>1.8880904999999999</v>
      </c>
      <c r="E11" s="155"/>
      <c r="F11" s="98" t="s">
        <v>141</v>
      </c>
      <c r="G11" s="124">
        <v>507562.31</v>
      </c>
      <c r="H11" s="152">
        <v>6.4329720000000004</v>
      </c>
      <c r="J11" s="98" t="s">
        <v>141</v>
      </c>
      <c r="K11" s="124">
        <v>471692.28</v>
      </c>
      <c r="L11" s="152">
        <v>1.1509066999999999</v>
      </c>
      <c r="N11" s="98" t="s">
        <v>141</v>
      </c>
      <c r="O11" s="124">
        <v>616233.88</v>
      </c>
      <c r="P11" s="152">
        <v>2.4639592000000001</v>
      </c>
    </row>
    <row r="12" spans="2:16">
      <c r="B12" s="98" t="s">
        <v>139</v>
      </c>
      <c r="C12" s="124">
        <v>485042.66</v>
      </c>
      <c r="D12" s="152">
        <v>3.7138144999999998</v>
      </c>
      <c r="E12" s="155"/>
      <c r="F12" s="98" t="s">
        <v>139</v>
      </c>
      <c r="G12" s="124">
        <v>568391.18999999994</v>
      </c>
      <c r="H12" s="152">
        <v>5.4960899000000003</v>
      </c>
      <c r="J12" s="98" t="s">
        <v>139</v>
      </c>
      <c r="K12" s="124">
        <v>462030.72</v>
      </c>
      <c r="L12" s="152">
        <v>3.1367818999999999</v>
      </c>
      <c r="N12" s="98" t="s">
        <v>139</v>
      </c>
      <c r="O12" s="124">
        <v>1032517.2</v>
      </c>
      <c r="P12" s="152">
        <v>5.388865</v>
      </c>
    </row>
    <row r="13" spans="2:16">
      <c r="B13" s="98" t="s">
        <v>134</v>
      </c>
      <c r="C13" s="124">
        <v>260698.34</v>
      </c>
      <c r="D13" s="152">
        <v>15.524673</v>
      </c>
      <c r="E13" s="155"/>
      <c r="F13" s="98" t="s">
        <v>134</v>
      </c>
      <c r="G13" s="124">
        <v>192353.94</v>
      </c>
      <c r="H13" s="152">
        <v>15.205603999999999</v>
      </c>
      <c r="J13" s="98" t="s">
        <v>134</v>
      </c>
      <c r="K13" s="124">
        <v>253667.34</v>
      </c>
      <c r="L13" s="152">
        <v>12.858974999999999</v>
      </c>
      <c r="N13" s="98" t="s">
        <v>134</v>
      </c>
      <c r="O13" s="124">
        <v>206145.36</v>
      </c>
      <c r="P13" s="152">
        <v>13.440241</v>
      </c>
    </row>
    <row r="14" spans="2:16">
      <c r="B14" s="98" t="s">
        <v>135</v>
      </c>
      <c r="C14" s="124">
        <v>209645.11</v>
      </c>
      <c r="D14" s="152">
        <v>20.891784999999999</v>
      </c>
      <c r="E14" s="155"/>
      <c r="F14" s="98" t="s">
        <v>135</v>
      </c>
      <c r="G14" s="124">
        <v>214669.16</v>
      </c>
      <c r="H14" s="152">
        <v>20.695024</v>
      </c>
      <c r="J14" s="98" t="s">
        <v>135</v>
      </c>
      <c r="K14" s="124">
        <v>255573</v>
      </c>
      <c r="L14" s="152">
        <v>16.588363999999999</v>
      </c>
      <c r="N14" s="98" t="s">
        <v>135</v>
      </c>
      <c r="O14" s="124">
        <v>267945.34000000003</v>
      </c>
      <c r="P14" s="152">
        <v>22.188607999999999</v>
      </c>
    </row>
    <row r="15" spans="2:16">
      <c r="B15" s="98" t="s">
        <v>136</v>
      </c>
      <c r="C15" s="124">
        <v>233720.47</v>
      </c>
      <c r="D15" s="152">
        <v>21.478086000000001</v>
      </c>
      <c r="E15" s="155"/>
      <c r="F15" s="98" t="s">
        <v>136</v>
      </c>
      <c r="G15" s="124">
        <v>200035.23</v>
      </c>
      <c r="H15" s="152">
        <v>25.691082000000002</v>
      </c>
      <c r="J15" s="98" t="s">
        <v>136</v>
      </c>
      <c r="K15" s="124">
        <v>212849.98</v>
      </c>
      <c r="L15" s="152">
        <v>20.508772</v>
      </c>
      <c r="N15" s="98" t="s">
        <v>136</v>
      </c>
      <c r="O15" s="124">
        <v>439351.78</v>
      </c>
      <c r="P15" s="152">
        <v>39.442165000000003</v>
      </c>
    </row>
    <row r="16" spans="2:16">
      <c r="B16" s="98" t="s">
        <v>150</v>
      </c>
      <c r="C16" s="124">
        <v>100952.76</v>
      </c>
      <c r="D16" s="152">
        <v>21.215185000000002</v>
      </c>
      <c r="E16" s="155"/>
      <c r="F16" s="98" t="s">
        <v>150</v>
      </c>
      <c r="G16" s="124">
        <v>101324.97</v>
      </c>
      <c r="H16" s="152">
        <v>18.304613</v>
      </c>
      <c r="J16" s="98" t="s">
        <v>150</v>
      </c>
      <c r="K16" s="124">
        <v>101324.97</v>
      </c>
      <c r="L16" s="152">
        <v>16.907021</v>
      </c>
      <c r="N16" s="98" t="s">
        <v>150</v>
      </c>
      <c r="O16" s="124">
        <v>101324.97</v>
      </c>
      <c r="P16" s="152">
        <v>18.429642000000001</v>
      </c>
    </row>
    <row r="17" spans="2:16">
      <c r="B17" s="98" t="s">
        <v>151</v>
      </c>
      <c r="C17" s="124">
        <v>101325.24</v>
      </c>
      <c r="D17" s="152">
        <v>25.178008999999999</v>
      </c>
      <c r="E17" s="155"/>
      <c r="F17" s="98" t="s">
        <v>151</v>
      </c>
      <c r="G17" s="124">
        <v>101277.18</v>
      </c>
      <c r="H17" s="152">
        <v>22.262001000000001</v>
      </c>
      <c r="J17" s="98" t="s">
        <v>151</v>
      </c>
      <c r="K17" s="124">
        <v>101325.24</v>
      </c>
      <c r="L17" s="152">
        <v>18.871625999999999</v>
      </c>
      <c r="N17" s="98" t="s">
        <v>151</v>
      </c>
      <c r="O17" s="124">
        <v>101275</v>
      </c>
      <c r="P17" s="152">
        <v>25.712208</v>
      </c>
    </row>
    <row r="18" spans="2:16" ht="16.5" thickBot="1">
      <c r="B18" s="132" t="s">
        <v>152</v>
      </c>
      <c r="C18" s="146">
        <v>101042.16</v>
      </c>
      <c r="D18" s="153">
        <v>22.434687</v>
      </c>
      <c r="F18" s="132" t="s">
        <v>152</v>
      </c>
      <c r="G18" s="146">
        <v>101039.64</v>
      </c>
      <c r="H18" s="153">
        <v>25.952002</v>
      </c>
      <c r="J18" s="132" t="s">
        <v>152</v>
      </c>
      <c r="K18" s="146">
        <v>101319.06</v>
      </c>
      <c r="L18" s="153">
        <v>21.018332000000001</v>
      </c>
      <c r="N18" s="132" t="s">
        <v>152</v>
      </c>
      <c r="O18" s="146">
        <v>100423.63</v>
      </c>
      <c r="P18" s="153">
        <v>40.945838999999999</v>
      </c>
    </row>
    <row r="19" spans="2:16" ht="21.75" thickBot="1">
      <c r="B19" s="245" t="s">
        <v>155</v>
      </c>
      <c r="C19" s="246"/>
      <c r="D19" s="247"/>
      <c r="F19" s="245" t="s">
        <v>155</v>
      </c>
      <c r="G19" s="246"/>
      <c r="H19" s="247"/>
      <c r="J19" s="245" t="s">
        <v>155</v>
      </c>
      <c r="K19" s="246"/>
      <c r="L19" s="247"/>
      <c r="N19" s="330" t="s">
        <v>155</v>
      </c>
      <c r="O19" s="331"/>
      <c r="P19" s="332"/>
    </row>
    <row r="20" spans="2:16">
      <c r="B20" s="142" t="s">
        <v>154</v>
      </c>
      <c r="C20" s="144" t="s">
        <v>156</v>
      </c>
      <c r="D20" s="143" t="s">
        <v>157</v>
      </c>
      <c r="F20" s="142" t="s">
        <v>154</v>
      </c>
      <c r="G20" s="144" t="s">
        <v>156</v>
      </c>
      <c r="H20" s="143" t="s">
        <v>157</v>
      </c>
      <c r="J20" s="142" t="s">
        <v>154</v>
      </c>
      <c r="K20" s="144" t="s">
        <v>156</v>
      </c>
      <c r="L20" s="143" t="s">
        <v>157</v>
      </c>
      <c r="N20" s="142" t="s">
        <v>154</v>
      </c>
      <c r="O20" s="144" t="s">
        <v>156</v>
      </c>
      <c r="P20" s="143" t="s">
        <v>157</v>
      </c>
    </row>
    <row r="21" spans="2:16">
      <c r="B21" s="98" t="s">
        <v>12</v>
      </c>
      <c r="C21" s="13">
        <v>1.1472621000000001E-3</v>
      </c>
      <c r="D21" s="156">
        <f t="shared" ref="D21:D22" si="0">C21*1000000*60/891</f>
        <v>77.25670707070708</v>
      </c>
      <c r="F21" s="98" t="s">
        <v>12</v>
      </c>
      <c r="G21" s="13">
        <v>9.4398995999999996E-4</v>
      </c>
      <c r="H21" s="156">
        <f t="shared" ref="H21:H22" si="1">G21*1000000*60/891</f>
        <v>63.568347474747469</v>
      </c>
      <c r="J21" s="98" t="s">
        <v>12</v>
      </c>
      <c r="K21" s="13">
        <v>9.3907723000000002E-4</v>
      </c>
      <c r="L21" s="156">
        <f t="shared" ref="L21:L22" si="2">K21*1000000*60/891</f>
        <v>63.237523905723904</v>
      </c>
      <c r="N21" s="98" t="s">
        <v>12</v>
      </c>
      <c r="O21" s="13">
        <v>9.9634880000000004E-4</v>
      </c>
      <c r="P21" s="156">
        <f t="shared" ref="P21:P22" si="3">O21*1000000*60/891</f>
        <v>67.094195286195287</v>
      </c>
    </row>
    <row r="22" spans="2:16">
      <c r="B22" s="98" t="s">
        <v>13</v>
      </c>
      <c r="C22" s="102">
        <v>3.5570364000000001E-3</v>
      </c>
      <c r="D22" s="156">
        <f t="shared" si="0"/>
        <v>239.53107070707071</v>
      </c>
      <c r="F22" s="98" t="s">
        <v>13</v>
      </c>
      <c r="G22" s="102">
        <v>3.0263730000000002E-3</v>
      </c>
      <c r="H22" s="156">
        <f t="shared" si="1"/>
        <v>203.79616161616161</v>
      </c>
      <c r="J22" s="98" t="s">
        <v>13</v>
      </c>
      <c r="K22" s="102">
        <v>3.0248871E-3</v>
      </c>
      <c r="L22" s="156">
        <f t="shared" si="2"/>
        <v>203.69610101010102</v>
      </c>
      <c r="N22" s="98" t="s">
        <v>13</v>
      </c>
      <c r="O22" s="102">
        <v>3.9216420000000004E-3</v>
      </c>
      <c r="P22" s="156">
        <f t="shared" si="3"/>
        <v>264.0836363636364</v>
      </c>
    </row>
    <row r="23" spans="2:16">
      <c r="B23" s="98" t="s">
        <v>14</v>
      </c>
      <c r="C23" s="102">
        <v>1.8458196999999999E-2</v>
      </c>
      <c r="D23" s="156">
        <f>C23*1000000*60/891</f>
        <v>1242.9762289562291</v>
      </c>
      <c r="F23" s="98" t="s">
        <v>14</v>
      </c>
      <c r="G23" s="102">
        <v>1.8272309E-2</v>
      </c>
      <c r="H23" s="156">
        <f>G23*1000000*60/891</f>
        <v>1230.4585185185185</v>
      </c>
      <c r="J23" s="98" t="s">
        <v>14</v>
      </c>
      <c r="K23" s="102">
        <v>1.7948259000000001E-2</v>
      </c>
      <c r="L23" s="156">
        <f>K23*1000000*60/891</f>
        <v>1208.6369696969698</v>
      </c>
      <c r="N23" s="98" t="s">
        <v>14</v>
      </c>
      <c r="O23" s="102">
        <v>3.2823778999999997E-2</v>
      </c>
      <c r="P23" s="156">
        <f>O23*1000000*60/891</f>
        <v>2210.3554882154881</v>
      </c>
    </row>
    <row r="24" spans="2:16" ht="16.5" thickBot="1">
      <c r="B24" s="99" t="s">
        <v>15</v>
      </c>
      <c r="C24" s="103">
        <v>2.3654670999999999E-2</v>
      </c>
      <c r="D24" s="157">
        <f>C24*1000000*60/891</f>
        <v>1592.907138047138</v>
      </c>
      <c r="F24" s="99" t="s">
        <v>15</v>
      </c>
      <c r="G24" s="103">
        <v>2.2233370999999998E-2</v>
      </c>
      <c r="H24" s="157">
        <f>G24*1000000*60/891</f>
        <v>1497.1967003367004</v>
      </c>
      <c r="J24" s="99" t="s">
        <v>15</v>
      </c>
      <c r="K24" s="103">
        <v>2.2029789000000001E-2</v>
      </c>
      <c r="L24" s="157">
        <f>K24*1000000*60/891</f>
        <v>1483.4874747474748</v>
      </c>
      <c r="N24" s="99" t="s">
        <v>15</v>
      </c>
      <c r="O24" s="103">
        <v>3.7578332999999998E-2</v>
      </c>
      <c r="P24" s="157">
        <f>O24*1000000*60/891</f>
        <v>2530.5274747474746</v>
      </c>
    </row>
    <row r="26" spans="2:16"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</row>
  </sheetData>
  <mergeCells count="8">
    <mergeCell ref="N2:P2"/>
    <mergeCell ref="N19:P19"/>
    <mergeCell ref="B2:D2"/>
    <mergeCell ref="B19:D19"/>
    <mergeCell ref="F2:H2"/>
    <mergeCell ref="F19:H19"/>
    <mergeCell ref="J2:L2"/>
    <mergeCell ref="J19:L19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4"/>
  <sheetViews>
    <sheetView topLeftCell="A13" zoomScale="80" zoomScaleNormal="80" workbookViewId="0">
      <selection activeCell="C28" sqref="C28"/>
    </sheetView>
  </sheetViews>
  <sheetFormatPr defaultRowHeight="15.75"/>
  <cols>
    <col min="1" max="1" width="14.85546875" style="188" customWidth="1"/>
    <col min="2" max="2" width="22.7109375" style="185" customWidth="1"/>
    <col min="3" max="3" width="26.140625" style="185" customWidth="1"/>
    <col min="4" max="14" width="21.7109375" style="185" customWidth="1"/>
    <col min="15" max="16384" width="9.140625" style="185"/>
  </cols>
  <sheetData>
    <row r="1" spans="1:14" ht="36.75" customHeight="1">
      <c r="A1" s="334" t="s">
        <v>167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</row>
    <row r="2" spans="1:14" ht="21">
      <c r="A2" s="335" t="s">
        <v>167</v>
      </c>
      <c r="B2" s="335"/>
      <c r="C2" s="335"/>
      <c r="F2" s="333" t="s">
        <v>166</v>
      </c>
      <c r="G2" s="333"/>
      <c r="H2" s="333"/>
      <c r="I2" s="333"/>
      <c r="J2" s="333"/>
      <c r="K2" s="333"/>
      <c r="L2" s="333"/>
      <c r="M2" s="333"/>
      <c r="N2" s="333"/>
    </row>
    <row r="3" spans="1:14">
      <c r="A3" s="192" t="s">
        <v>98</v>
      </c>
      <c r="B3" s="193" t="s">
        <v>1</v>
      </c>
      <c r="C3" s="193" t="s">
        <v>4</v>
      </c>
      <c r="E3" s="187" t="s">
        <v>18</v>
      </c>
      <c r="F3" s="186">
        <v>1</v>
      </c>
      <c r="G3" s="186">
        <v>2</v>
      </c>
      <c r="H3" s="186">
        <v>3</v>
      </c>
      <c r="I3" s="186">
        <v>4</v>
      </c>
      <c r="J3" s="186">
        <v>5</v>
      </c>
      <c r="K3" s="186">
        <v>6</v>
      </c>
      <c r="L3" s="186">
        <v>7</v>
      </c>
      <c r="M3" s="186"/>
      <c r="N3" s="186"/>
    </row>
    <row r="4" spans="1:14">
      <c r="A4" s="194" t="s">
        <v>15</v>
      </c>
      <c r="B4" s="195">
        <f>L4</f>
        <v>1.85682074785456</v>
      </c>
      <c r="C4" s="196">
        <f t="shared" ref="C4:C10" si="0">B4*E4*1000000*60</f>
        <v>1400.0098609183178</v>
      </c>
      <c r="E4" s="185">
        <v>1.2566370614359172E-5</v>
      </c>
      <c r="F4" s="185">
        <v>3.0391020546143599</v>
      </c>
      <c r="G4" s="185">
        <v>2.0704653351384299</v>
      </c>
      <c r="H4" s="185">
        <v>1.8654966940447399</v>
      </c>
      <c r="I4" s="185">
        <v>1.85661064549557</v>
      </c>
      <c r="J4" s="185">
        <v>1.85681851430363</v>
      </c>
      <c r="K4" s="185">
        <v>1.8568207476041001</v>
      </c>
      <c r="L4" s="185">
        <v>1.85682074785456</v>
      </c>
    </row>
    <row r="5" spans="1:14">
      <c r="A5" s="194" t="s">
        <v>26</v>
      </c>
      <c r="B5" s="195">
        <f t="shared" ref="B5:B10" si="1">L5</f>
        <v>0.19717937512639899</v>
      </c>
      <c r="C5" s="195">
        <f t="shared" si="0"/>
        <v>9.2918591450478161</v>
      </c>
      <c r="E5" s="185">
        <v>7.8539816339744823E-7</v>
      </c>
      <c r="F5" s="185">
        <v>2.0459102495541801</v>
      </c>
      <c r="G5" s="185">
        <v>0.70186718118026004</v>
      </c>
      <c r="H5" s="185">
        <v>0.25964872270050798</v>
      </c>
      <c r="I5" s="185">
        <v>0.19836721406097599</v>
      </c>
      <c r="J5" s="185">
        <v>0.19717939289838499</v>
      </c>
      <c r="K5" s="185">
        <v>0.197179375076386</v>
      </c>
      <c r="L5" s="185">
        <v>0.19717937512639899</v>
      </c>
    </row>
    <row r="6" spans="1:14">
      <c r="A6" s="194" t="s">
        <v>27</v>
      </c>
      <c r="B6" s="195">
        <f t="shared" si="1"/>
        <v>0.313049455461404</v>
      </c>
      <c r="C6" s="195">
        <f t="shared" si="0"/>
        <v>59.008432169269916</v>
      </c>
      <c r="E6" s="185">
        <v>3.1415926535897929E-6</v>
      </c>
      <c r="F6" s="185">
        <v>2.27376182499779</v>
      </c>
      <c r="G6" s="185">
        <v>0.96491529648952201</v>
      </c>
      <c r="H6" s="185">
        <v>0.44309486284919403</v>
      </c>
      <c r="I6" s="185">
        <v>0.32064125580220598</v>
      </c>
      <c r="J6" s="185">
        <v>0.31307811995865598</v>
      </c>
      <c r="K6" s="185">
        <v>0.31304945580798499</v>
      </c>
      <c r="L6" s="185">
        <v>0.313049455461404</v>
      </c>
    </row>
    <row r="7" spans="1:14">
      <c r="A7" s="194" t="s">
        <v>28</v>
      </c>
      <c r="B7" s="195">
        <f t="shared" si="1"/>
        <v>0.31437653921389302</v>
      </c>
      <c r="C7" s="195">
        <f t="shared" si="0"/>
        <v>133.33180851747224</v>
      </c>
      <c r="E7" s="185">
        <v>7.0685834705770344E-6</v>
      </c>
      <c r="F7" s="185">
        <v>2.31682386075479</v>
      </c>
      <c r="G7" s="185">
        <v>1.0389400298201901</v>
      </c>
      <c r="H7" s="185">
        <v>0.49119628147045202</v>
      </c>
      <c r="I7" s="185">
        <v>0.331086619639687</v>
      </c>
      <c r="J7" s="185">
        <v>0.31455659486351201</v>
      </c>
      <c r="K7" s="185">
        <v>0.31437656057469299</v>
      </c>
      <c r="L7" s="185">
        <v>0.31437653921389302</v>
      </c>
    </row>
    <row r="8" spans="1:14">
      <c r="A8" s="194" t="s">
        <v>12</v>
      </c>
      <c r="B8" s="195">
        <f t="shared" si="1"/>
        <v>16.410988865756401</v>
      </c>
      <c r="C8" s="196">
        <f t="shared" si="0"/>
        <v>61.936798587713547</v>
      </c>
      <c r="E8" s="185">
        <v>6.2901753508338228E-8</v>
      </c>
      <c r="F8" s="185">
        <v>17.858724371105499</v>
      </c>
      <c r="G8" s="185">
        <v>15.841997694982</v>
      </c>
      <c r="H8" s="185">
        <v>16.336604896381701</v>
      </c>
      <c r="I8" s="185">
        <v>16.4096208499173</v>
      </c>
      <c r="J8" s="185">
        <v>16.410989044569</v>
      </c>
      <c r="K8" s="185">
        <v>16.410988865837599</v>
      </c>
      <c r="L8" s="185">
        <v>16.410988865756401</v>
      </c>
    </row>
    <row r="9" spans="1:14">
      <c r="A9" s="194" t="s">
        <v>13</v>
      </c>
      <c r="B9" s="195">
        <f t="shared" si="1"/>
        <v>17.633236306907399</v>
      </c>
      <c r="C9" s="196">
        <f t="shared" si="0"/>
        <v>191.45011613458095</v>
      </c>
      <c r="E9" s="185">
        <v>1.8095573684677208E-7</v>
      </c>
      <c r="F9" s="185">
        <v>25.309476249015599</v>
      </c>
      <c r="G9" s="185">
        <v>18.504706533958199</v>
      </c>
      <c r="H9" s="185">
        <v>17.608684316051299</v>
      </c>
      <c r="I9" s="185">
        <v>17.6308113633741</v>
      </c>
      <c r="J9" s="185">
        <v>17.633227990887999</v>
      </c>
      <c r="K9" s="185">
        <v>17.6332363069249</v>
      </c>
      <c r="L9" s="185">
        <v>17.633236306907399</v>
      </c>
    </row>
    <row r="10" spans="1:14">
      <c r="A10" s="194" t="s">
        <v>14</v>
      </c>
      <c r="B10" s="195">
        <f t="shared" si="1"/>
        <v>18.722756719984499</v>
      </c>
      <c r="C10" s="196">
        <f t="shared" si="0"/>
        <v>1146.6229461960197</v>
      </c>
      <c r="E10" s="185">
        <v>1.0207034531513237E-6</v>
      </c>
      <c r="F10" s="185">
        <v>31.828287296013499</v>
      </c>
      <c r="G10" s="185">
        <v>21.233603588333001</v>
      </c>
      <c r="H10" s="185">
        <v>18.838507147392502</v>
      </c>
      <c r="I10" s="185">
        <v>18.720684260971598</v>
      </c>
      <c r="J10" s="185">
        <v>18.722730684954598</v>
      </c>
      <c r="K10" s="185">
        <v>18.722756716892899</v>
      </c>
      <c r="L10" s="185">
        <v>18.722756719984499</v>
      </c>
    </row>
    <row r="13" spans="1:14" ht="28.5">
      <c r="A13" s="334" t="s">
        <v>168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</row>
    <row r="14" spans="1:14" ht="21">
      <c r="A14" s="335" t="s">
        <v>168</v>
      </c>
      <c r="B14" s="335"/>
      <c r="C14" s="335"/>
      <c r="F14" s="333" t="s">
        <v>166</v>
      </c>
      <c r="G14" s="333"/>
      <c r="H14" s="333"/>
      <c r="I14" s="333"/>
      <c r="J14" s="333"/>
      <c r="K14" s="333"/>
      <c r="L14" s="333"/>
      <c r="M14" s="333"/>
      <c r="N14" s="333"/>
    </row>
    <row r="15" spans="1:14">
      <c r="A15" s="192" t="s">
        <v>98</v>
      </c>
      <c r="B15" s="193" t="s">
        <v>1</v>
      </c>
      <c r="C15" s="193" t="s">
        <v>4</v>
      </c>
      <c r="E15" s="187" t="s">
        <v>18</v>
      </c>
      <c r="F15" s="186">
        <v>1</v>
      </c>
      <c r="G15" s="186">
        <v>2</v>
      </c>
      <c r="H15" s="186">
        <v>3</v>
      </c>
      <c r="I15" s="186">
        <v>4</v>
      </c>
      <c r="J15" s="186">
        <v>5</v>
      </c>
      <c r="K15" s="186">
        <v>6</v>
      </c>
      <c r="L15" s="186">
        <v>7</v>
      </c>
      <c r="M15" s="186"/>
      <c r="N15" s="186"/>
    </row>
    <row r="16" spans="1:14">
      <c r="A16" s="194" t="s">
        <v>15</v>
      </c>
      <c r="B16" s="195">
        <f>L16</f>
        <v>2.0462860822750701</v>
      </c>
      <c r="C16" s="196">
        <f t="shared" ref="C16:C22" si="2">B16*E16*1000000*60</f>
        <v>1542.8633575724159</v>
      </c>
      <c r="E16" s="185">
        <v>1.2566370614359172E-5</v>
      </c>
      <c r="F16" s="185">
        <v>3.9568497915115</v>
      </c>
      <c r="G16" s="185">
        <v>2.5082644493008099</v>
      </c>
      <c r="H16" s="185">
        <v>2.08925149648157</v>
      </c>
      <c r="I16" s="185">
        <v>2.0467547000843198</v>
      </c>
      <c r="J16" s="185">
        <v>2.0462861583846701</v>
      </c>
      <c r="K16" s="185">
        <v>2.0462860822750799</v>
      </c>
      <c r="L16" s="185">
        <v>2.0462860822750701</v>
      </c>
    </row>
    <row r="17" spans="1:14">
      <c r="A17" s="194" t="s">
        <v>26</v>
      </c>
      <c r="B17" s="195">
        <f t="shared" ref="B17:B22" si="3">L17</f>
        <v>0.82547781665856401</v>
      </c>
      <c r="C17" s="195">
        <f t="shared" si="2"/>
        <v>38.899725667738302</v>
      </c>
      <c r="E17" s="185">
        <v>7.8539816339744823E-7</v>
      </c>
      <c r="F17" s="185">
        <v>2.7370788920279101</v>
      </c>
      <c r="G17" s="185">
        <v>1.49318728038133</v>
      </c>
      <c r="H17" s="185">
        <v>0.97488299446059401</v>
      </c>
      <c r="I17" s="185">
        <v>0.836935678163234</v>
      </c>
      <c r="J17" s="185">
        <v>0.82555625611186201</v>
      </c>
      <c r="K17" s="185">
        <v>0.82547782038499196</v>
      </c>
      <c r="L17" s="185">
        <v>0.82547781665856401</v>
      </c>
    </row>
    <row r="18" spans="1:14">
      <c r="A18" s="194" t="s">
        <v>27</v>
      </c>
      <c r="B18" s="195">
        <f t="shared" si="3"/>
        <v>0.78326867740637696</v>
      </c>
      <c r="C18" s="195">
        <f t="shared" si="2"/>
        <v>147.64266736361202</v>
      </c>
      <c r="E18" s="185">
        <v>3.1415926535897929E-6</v>
      </c>
      <c r="F18" s="185">
        <v>2.7004092463162799</v>
      </c>
      <c r="G18" s="185">
        <v>1.4638437527242001</v>
      </c>
      <c r="H18" s="185">
        <v>0.94150371854020298</v>
      </c>
      <c r="I18" s="185">
        <v>0.79656749347752898</v>
      </c>
      <c r="J18" s="185">
        <v>0.78337969133742302</v>
      </c>
      <c r="K18" s="185">
        <v>0.78326868527235405</v>
      </c>
      <c r="L18" s="185">
        <v>0.78326867740637696</v>
      </c>
    </row>
    <row r="19" spans="1:14">
      <c r="A19" s="194" t="s">
        <v>28</v>
      </c>
      <c r="B19" s="195">
        <f t="shared" si="3"/>
        <v>0.66398267253127596</v>
      </c>
      <c r="C19" s="195">
        <f t="shared" si="2"/>
        <v>281.60501662824845</v>
      </c>
      <c r="E19" s="185">
        <v>7.0685834705770344E-6</v>
      </c>
      <c r="F19" s="185">
        <v>2.6083908229214501</v>
      </c>
      <c r="G19" s="185">
        <v>1.38870477463674</v>
      </c>
      <c r="H19" s="185">
        <v>0.85308695418668301</v>
      </c>
      <c r="I19" s="185">
        <v>0.68494204819686599</v>
      </c>
      <c r="J19" s="185">
        <v>0.66430335322686995</v>
      </c>
      <c r="K19" s="185">
        <v>0.66398274993273898</v>
      </c>
      <c r="L19" s="185">
        <v>0.66398267253127596</v>
      </c>
    </row>
    <row r="20" spans="1:14">
      <c r="A20" s="194" t="s">
        <v>12</v>
      </c>
      <c r="B20" s="195">
        <f t="shared" si="3"/>
        <v>20.903285446124698</v>
      </c>
      <c r="C20" s="196">
        <f t="shared" si="2"/>
        <v>78.891198518794184</v>
      </c>
      <c r="E20" s="185">
        <v>6.2901753508338228E-8</v>
      </c>
      <c r="F20" s="185">
        <v>46.279203008940897</v>
      </c>
      <c r="G20" s="185">
        <v>27.8603807981549</v>
      </c>
      <c r="H20" s="185">
        <v>21.771926618602699</v>
      </c>
      <c r="I20" s="185">
        <v>20.920613875998999</v>
      </c>
      <c r="J20" s="185">
        <v>20.903292622825202</v>
      </c>
      <c r="K20" s="185">
        <v>20.903285446125899</v>
      </c>
      <c r="L20" s="185">
        <v>20.903285446124698</v>
      </c>
    </row>
    <row r="21" spans="1:14">
      <c r="A21" s="194" t="s">
        <v>13</v>
      </c>
      <c r="B21" s="195">
        <f t="shared" si="3"/>
        <v>20.534680260009399</v>
      </c>
      <c r="C21" s="196">
        <f t="shared" si="2"/>
        <v>222.95209184177196</v>
      </c>
      <c r="E21" s="185">
        <v>1.8095573684677208E-7</v>
      </c>
      <c r="F21" s="185">
        <v>41.282469531839901</v>
      </c>
      <c r="G21" s="185">
        <v>25.748334587810799</v>
      </c>
      <c r="H21" s="185">
        <v>21.0624859765704</v>
      </c>
      <c r="I21" s="185">
        <v>20.541291424259501</v>
      </c>
      <c r="J21" s="185">
        <v>20.534681322914199</v>
      </c>
      <c r="K21" s="185">
        <v>20.534680260009399</v>
      </c>
      <c r="L21" s="185">
        <v>20.534680260009399</v>
      </c>
    </row>
    <row r="22" spans="1:14">
      <c r="A22" s="194" t="s">
        <v>14</v>
      </c>
      <c r="B22" s="195">
        <f t="shared" si="3"/>
        <v>20.264130314250799</v>
      </c>
      <c r="C22" s="196">
        <f t="shared" si="2"/>
        <v>1241.0200672118526</v>
      </c>
      <c r="E22" s="185">
        <v>1.0207034531513237E-6</v>
      </c>
      <c r="F22" s="185">
        <v>38.5439062744422</v>
      </c>
      <c r="G22" s="185">
        <v>24.598726425083001</v>
      </c>
      <c r="H22" s="185">
        <v>20.6459951860157</v>
      </c>
      <c r="I22" s="185">
        <v>20.267659751065601</v>
      </c>
      <c r="J22" s="185">
        <v>20.2641306205646</v>
      </c>
      <c r="K22" s="185">
        <v>20.264130314250799</v>
      </c>
      <c r="L22" s="185">
        <v>20.264130314250799</v>
      </c>
    </row>
    <row r="25" spans="1:14" ht="28.5">
      <c r="A25" s="334" t="s">
        <v>169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</row>
    <row r="26" spans="1:14" ht="21">
      <c r="A26" s="335" t="s">
        <v>169</v>
      </c>
      <c r="B26" s="335"/>
      <c r="C26" s="335"/>
      <c r="F26" s="333" t="s">
        <v>166</v>
      </c>
      <c r="G26" s="333"/>
      <c r="H26" s="333"/>
      <c r="I26" s="333"/>
      <c r="J26" s="333"/>
      <c r="K26" s="333"/>
      <c r="L26" s="333"/>
      <c r="M26" s="333"/>
      <c r="N26" s="333"/>
    </row>
    <row r="27" spans="1:14">
      <c r="A27" s="192" t="s">
        <v>98</v>
      </c>
      <c r="B27" s="193" t="s">
        <v>1</v>
      </c>
      <c r="C27" s="193" t="s">
        <v>4</v>
      </c>
      <c r="E27" s="187" t="s">
        <v>18</v>
      </c>
      <c r="F27" s="186">
        <v>1</v>
      </c>
      <c r="G27" s="186">
        <v>2</v>
      </c>
      <c r="H27" s="186">
        <v>3</v>
      </c>
      <c r="I27" s="186">
        <v>4</v>
      </c>
      <c r="J27" s="186">
        <v>5</v>
      </c>
      <c r="K27" s="186">
        <v>6</v>
      </c>
      <c r="L27" s="186">
        <v>7</v>
      </c>
      <c r="M27" s="186"/>
      <c r="N27" s="186"/>
    </row>
    <row r="28" spans="1:14">
      <c r="A28" s="194" t="s">
        <v>15</v>
      </c>
      <c r="B28" s="195">
        <f>L28</f>
        <v>1.89949010568749</v>
      </c>
      <c r="C28" s="196">
        <f t="shared" ref="C28:C34" si="4">B28*E28*1000000*60</f>
        <v>1432.1817987826362</v>
      </c>
      <c r="E28" s="185">
        <v>1.2566370614359172E-5</v>
      </c>
      <c r="F28" s="185">
        <v>3.27881323389007</v>
      </c>
      <c r="G28" s="185">
        <v>2.1795424549080602</v>
      </c>
      <c r="H28" s="185">
        <v>1.91700224165898</v>
      </c>
      <c r="I28" s="185">
        <v>1.8995584707411901</v>
      </c>
      <c r="J28" s="185">
        <v>1.89948995401152</v>
      </c>
      <c r="K28" s="185">
        <v>1.8994901056706099</v>
      </c>
      <c r="L28" s="185">
        <v>1.89949010568749</v>
      </c>
    </row>
    <row r="29" spans="1:14">
      <c r="A29" s="194" t="s">
        <v>26</v>
      </c>
      <c r="B29" s="195">
        <f t="shared" ref="B29:B34" si="5">L29</f>
        <v>0.20572773876877501</v>
      </c>
      <c r="C29" s="195">
        <f t="shared" si="4"/>
        <v>9.6946912913343546</v>
      </c>
      <c r="E29" s="185">
        <v>7.8539816339744823E-7</v>
      </c>
      <c r="F29" s="185">
        <v>2.0767516425741199</v>
      </c>
      <c r="G29" s="185">
        <v>0.71882364752029304</v>
      </c>
      <c r="H29" s="185">
        <v>0.27007668903794102</v>
      </c>
      <c r="I29" s="185">
        <v>0.20702414341200201</v>
      </c>
      <c r="J29" s="185">
        <v>0.205728256713644</v>
      </c>
      <c r="K29" s="185">
        <v>0.205727738765449</v>
      </c>
      <c r="L29" s="185">
        <v>0.20572773876877501</v>
      </c>
    </row>
    <row r="30" spans="1:14">
      <c r="A30" s="194" t="s">
        <v>27</v>
      </c>
      <c r="B30" s="195">
        <f t="shared" si="5"/>
        <v>0.32517947198131802</v>
      </c>
      <c r="C30" s="195">
        <f t="shared" si="4"/>
        <v>61.294886416482996</v>
      </c>
      <c r="E30" s="185">
        <v>3.1415926535897929E-6</v>
      </c>
      <c r="F30" s="185">
        <v>2.3036911652567502</v>
      </c>
      <c r="G30" s="185">
        <v>0.98337947638074896</v>
      </c>
      <c r="H30" s="185">
        <v>0.45667130995146998</v>
      </c>
      <c r="I30" s="185">
        <v>0.33290307015599702</v>
      </c>
      <c r="J30" s="185">
        <v>0.32520940405806797</v>
      </c>
      <c r="K30" s="185">
        <v>0.32517947242999501</v>
      </c>
      <c r="L30" s="185">
        <v>0.32517947198131802</v>
      </c>
    </row>
    <row r="31" spans="1:14">
      <c r="A31" s="194" t="s">
        <v>28</v>
      </c>
      <c r="B31" s="195">
        <f t="shared" si="5"/>
        <v>0.32600959820073</v>
      </c>
      <c r="C31" s="195">
        <f t="shared" si="4"/>
        <v>138.26556342546843</v>
      </c>
      <c r="E31" s="185">
        <v>7.0685834705770344E-6</v>
      </c>
      <c r="F31" s="185">
        <v>2.34195110252635</v>
      </c>
      <c r="G31" s="185">
        <v>1.0546449246304599</v>
      </c>
      <c r="H31" s="185">
        <v>0.50325282201801202</v>
      </c>
      <c r="I31" s="185">
        <v>0.34263267158825</v>
      </c>
      <c r="J31" s="185">
        <v>0.326185775502422</v>
      </c>
      <c r="K31" s="185">
        <v>0.32600961841379</v>
      </c>
      <c r="L31" s="185">
        <v>0.32600959820073</v>
      </c>
    </row>
    <row r="32" spans="1:14">
      <c r="A32" s="194" t="s">
        <v>12</v>
      </c>
      <c r="B32" s="195">
        <f t="shared" si="5"/>
        <v>16.7956767127272</v>
      </c>
      <c r="C32" s="196">
        <f t="shared" si="4"/>
        <v>63.388650995382164</v>
      </c>
      <c r="E32" s="185">
        <v>6.2901753508338228E-8</v>
      </c>
      <c r="F32" s="185">
        <v>23.930840308430799</v>
      </c>
      <c r="G32" s="185">
        <v>17.675866271315599</v>
      </c>
      <c r="H32" s="185">
        <v>16.811149594584101</v>
      </c>
      <c r="I32" s="185">
        <v>16.795642131945801</v>
      </c>
      <c r="J32" s="185">
        <v>16.795676695623399</v>
      </c>
      <c r="K32" s="185">
        <v>16.7956767127272</v>
      </c>
      <c r="L32" s="185">
        <v>16.7956767127272</v>
      </c>
    </row>
    <row r="33" spans="1:12">
      <c r="A33" s="194" t="s">
        <v>13</v>
      </c>
      <c r="B33" s="195">
        <f t="shared" si="5"/>
        <v>18.005217813560702</v>
      </c>
      <c r="C33" s="196">
        <f t="shared" si="4"/>
        <v>195.48884739237019</v>
      </c>
      <c r="E33" s="185">
        <v>1.8095573684677208E-7</v>
      </c>
      <c r="F33" s="185">
        <v>27.945168261284401</v>
      </c>
      <c r="G33" s="185">
        <v>19.609964984264401</v>
      </c>
      <c r="H33" s="185">
        <v>18.060904741187901</v>
      </c>
      <c r="I33" s="185">
        <v>18.005173056643098</v>
      </c>
      <c r="J33" s="185">
        <v>18.005217391378899</v>
      </c>
      <c r="K33" s="185">
        <v>18.0052178135597</v>
      </c>
      <c r="L33" s="185">
        <v>18.005217813560702</v>
      </c>
    </row>
    <row r="34" spans="1:12">
      <c r="A34" s="194" t="s">
        <v>14</v>
      </c>
      <c r="B34" s="195">
        <f t="shared" si="5"/>
        <v>19.158426096114098</v>
      </c>
      <c r="C34" s="196">
        <f t="shared" si="4"/>
        <v>1173.3043003948856</v>
      </c>
      <c r="E34" s="185">
        <v>1.0207034531513237E-6</v>
      </c>
      <c r="F34" s="185">
        <v>33.938017778839097</v>
      </c>
      <c r="G34" s="185">
        <v>22.267544546284299</v>
      </c>
      <c r="H34" s="185">
        <v>19.363200411121401</v>
      </c>
      <c r="I34" s="185">
        <v>19.159277836952199</v>
      </c>
      <c r="J34" s="185">
        <v>19.158424304659</v>
      </c>
      <c r="K34" s="185">
        <v>19.1584260959064</v>
      </c>
      <c r="L34" s="185">
        <v>19.158426096114098</v>
      </c>
    </row>
  </sheetData>
  <mergeCells count="9">
    <mergeCell ref="F26:N26"/>
    <mergeCell ref="A1:N1"/>
    <mergeCell ref="F2:N2"/>
    <mergeCell ref="A13:N13"/>
    <mergeCell ref="F14:N14"/>
    <mergeCell ref="A25:N25"/>
    <mergeCell ref="A2:C2"/>
    <mergeCell ref="A14:C14"/>
    <mergeCell ref="A26:C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4"/>
  <sheetViews>
    <sheetView topLeftCell="A13" zoomScale="75" zoomScaleNormal="75" workbookViewId="0">
      <selection activeCell="C28" sqref="C28"/>
    </sheetView>
  </sheetViews>
  <sheetFormatPr defaultRowHeight="15.75"/>
  <cols>
    <col min="1" max="1" width="15" style="188" customWidth="1"/>
    <col min="2" max="2" width="21.7109375" style="185" customWidth="1"/>
    <col min="3" max="3" width="24.85546875" style="185" customWidth="1"/>
    <col min="4" max="14" width="21.7109375" style="185" customWidth="1"/>
    <col min="15" max="16384" width="9.140625" style="185"/>
  </cols>
  <sheetData>
    <row r="1" spans="1:14" ht="36.75" customHeight="1">
      <c r="A1" s="334" t="s">
        <v>167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</row>
    <row r="2" spans="1:14" ht="21">
      <c r="A2" s="335" t="s">
        <v>167</v>
      </c>
      <c r="B2" s="335"/>
      <c r="C2" s="335"/>
      <c r="F2" s="333" t="s">
        <v>166</v>
      </c>
      <c r="G2" s="333"/>
      <c r="H2" s="333"/>
      <c r="I2" s="333"/>
      <c r="J2" s="333"/>
      <c r="K2" s="333"/>
      <c r="L2" s="333"/>
      <c r="M2" s="333"/>
      <c r="N2" s="333"/>
    </row>
    <row r="3" spans="1:14">
      <c r="A3" s="192" t="s">
        <v>98</v>
      </c>
      <c r="B3" s="193" t="s">
        <v>1</v>
      </c>
      <c r="C3" s="193" t="s">
        <v>4</v>
      </c>
      <c r="E3" s="187" t="s">
        <v>18</v>
      </c>
      <c r="F3" s="186">
        <v>1</v>
      </c>
      <c r="G3" s="186">
        <v>2</v>
      </c>
      <c r="H3" s="186">
        <v>3</v>
      </c>
      <c r="I3" s="186">
        <v>4</v>
      </c>
      <c r="J3" s="186">
        <v>5</v>
      </c>
      <c r="K3" s="186">
        <v>6</v>
      </c>
      <c r="L3" s="186">
        <v>7</v>
      </c>
      <c r="M3" s="186">
        <v>8</v>
      </c>
      <c r="N3" s="186">
        <v>9</v>
      </c>
    </row>
    <row r="4" spans="1:14">
      <c r="A4" s="194" t="s">
        <v>15</v>
      </c>
      <c r="B4" s="195">
        <f t="shared" ref="B4:B10" si="0">N4</f>
        <v>1.85682074808622</v>
      </c>
      <c r="C4" s="196">
        <f t="shared" ref="C4:C10" si="1">B4*E4*1000000*60</f>
        <v>1400.0098610929856</v>
      </c>
      <c r="E4" s="185">
        <v>1.2566370614359172E-5</v>
      </c>
      <c r="F4" s="185">
        <v>1.90109152521081</v>
      </c>
      <c r="G4" s="185">
        <v>1.8526708604706901</v>
      </c>
      <c r="H4" s="185">
        <v>1.8572022532450401</v>
      </c>
      <c r="I4" s="185">
        <v>1.8567856383432899</v>
      </c>
      <c r="J4" s="185">
        <v>1.85682397863865</v>
      </c>
      <c r="K4" s="185">
        <v>1.85682045055459</v>
      </c>
      <c r="L4" s="185">
        <v>1.85682077521238</v>
      </c>
      <c r="M4" s="185">
        <v>1.85682074533707</v>
      </c>
      <c r="N4" s="185">
        <v>1.85682074808622</v>
      </c>
    </row>
    <row r="5" spans="1:14">
      <c r="A5" s="194" t="s">
        <v>26</v>
      </c>
      <c r="B5" s="195">
        <f t="shared" si="0"/>
        <v>0.19717937517241199</v>
      </c>
      <c r="C5" s="195">
        <f t="shared" si="1"/>
        <v>9.291859147216126</v>
      </c>
      <c r="E5" s="185">
        <v>7.8539816339744823E-7</v>
      </c>
      <c r="F5" s="185">
        <v>0.206051406625895</v>
      </c>
      <c r="G5" s="185">
        <v>0.19635582115630401</v>
      </c>
      <c r="H5" s="185">
        <v>0.197255155762495</v>
      </c>
      <c r="I5" s="185">
        <v>0.19717240171247799</v>
      </c>
      <c r="J5" s="185">
        <v>0.19718001682633099</v>
      </c>
      <c r="K5" s="185">
        <v>0.19717931607657499</v>
      </c>
      <c r="L5" s="185">
        <v>0.197179380560219</v>
      </c>
      <c r="M5" s="185">
        <v>0.197179374626374</v>
      </c>
      <c r="N5" s="185">
        <v>0.19717937517241199</v>
      </c>
    </row>
    <row r="6" spans="1:14">
      <c r="A6" s="194" t="s">
        <v>27</v>
      </c>
      <c r="B6" s="195">
        <f t="shared" si="0"/>
        <v>0.31304945552880997</v>
      </c>
      <c r="C6" s="195">
        <f t="shared" si="1"/>
        <v>59.008432181975635</v>
      </c>
      <c r="E6" s="185">
        <v>3.1415926535897929E-6</v>
      </c>
      <c r="F6" s="185">
        <v>0.32764245992230201</v>
      </c>
      <c r="G6" s="185">
        <v>0.31184236497851198</v>
      </c>
      <c r="H6" s="185">
        <v>0.31316046627258598</v>
      </c>
      <c r="I6" s="185">
        <v>0.31303923974478498</v>
      </c>
      <c r="J6" s="185">
        <v>0.31305039551778902</v>
      </c>
      <c r="K6" s="185">
        <v>0.31304936895651397</v>
      </c>
      <c r="L6" s="185">
        <v>0.31304946342166401</v>
      </c>
      <c r="M6" s="185">
        <v>0.31304945472889301</v>
      </c>
      <c r="N6" s="185">
        <v>0.31304945552880997</v>
      </c>
    </row>
    <row r="7" spans="1:14">
      <c r="A7" s="194" t="s">
        <v>28</v>
      </c>
      <c r="B7" s="195">
        <f t="shared" si="0"/>
        <v>0.314376539281011</v>
      </c>
      <c r="C7" s="195">
        <f t="shared" si="1"/>
        <v>133.33180854593797</v>
      </c>
      <c r="E7" s="185">
        <v>7.0685834705770344E-6</v>
      </c>
      <c r="F7" s="185">
        <v>0.32967455067157098</v>
      </c>
      <c r="G7" s="185">
        <v>0.31317552964162199</v>
      </c>
      <c r="H7" s="185">
        <v>0.31448707178553198</v>
      </c>
      <c r="I7" s="185">
        <v>0.31436636713534899</v>
      </c>
      <c r="J7" s="185">
        <v>0.31437747525204601</v>
      </c>
      <c r="K7" s="185">
        <v>0.31437645307874201</v>
      </c>
      <c r="L7" s="185">
        <v>0.31437654714012903</v>
      </c>
      <c r="M7" s="185">
        <v>0.31437653848451302</v>
      </c>
      <c r="N7" s="185">
        <v>0.314376539281011</v>
      </c>
    </row>
    <row r="8" spans="1:14">
      <c r="A8" s="194" t="s">
        <v>12</v>
      </c>
      <c r="B8" s="195">
        <f t="shared" si="0"/>
        <v>16.410988866568701</v>
      </c>
      <c r="C8" s="196">
        <f t="shared" si="1"/>
        <v>61.93679859077924</v>
      </c>
      <c r="E8" s="185">
        <v>6.2901753508338228E-8</v>
      </c>
      <c r="F8" s="185">
        <v>15.4729604356327</v>
      </c>
      <c r="G8" s="185">
        <v>16.396603032325</v>
      </c>
      <c r="H8" s="185">
        <v>16.412326968588602</v>
      </c>
      <c r="I8" s="185">
        <v>16.410865761964502</v>
      </c>
      <c r="J8" s="185">
        <v>16.411000194098701</v>
      </c>
      <c r="K8" s="185">
        <v>16.4109878233137</v>
      </c>
      <c r="L8" s="185">
        <v>16.410988961683</v>
      </c>
      <c r="M8" s="185">
        <v>16.410988856929201</v>
      </c>
      <c r="N8" s="185">
        <v>16.410988866568701</v>
      </c>
    </row>
    <row r="9" spans="1:14">
      <c r="A9" s="194" t="s">
        <v>13</v>
      </c>
      <c r="B9" s="195">
        <f t="shared" si="0"/>
        <v>17.6332363084788</v>
      </c>
      <c r="C9" s="196">
        <f t="shared" si="1"/>
        <v>191.45011615164219</v>
      </c>
      <c r="E9" s="185">
        <v>1.8095573684677208E-7</v>
      </c>
      <c r="F9" s="185">
        <v>17.8058662735423</v>
      </c>
      <c r="G9" s="185">
        <v>17.604856480598698</v>
      </c>
      <c r="H9" s="185">
        <v>17.6358245652962</v>
      </c>
      <c r="I9" s="185">
        <v>17.632998164330601</v>
      </c>
      <c r="J9" s="185">
        <v>17.6332582211652</v>
      </c>
      <c r="K9" s="185">
        <v>17.6332342903385</v>
      </c>
      <c r="L9" s="185">
        <v>17.633236492474001</v>
      </c>
      <c r="M9" s="185">
        <v>17.633236289831402</v>
      </c>
      <c r="N9" s="185">
        <v>17.6332363084788</v>
      </c>
    </row>
    <row r="10" spans="1:14">
      <c r="A10" s="194" t="s">
        <v>14</v>
      </c>
      <c r="B10" s="195">
        <f t="shared" si="0"/>
        <v>18.722756722507999</v>
      </c>
      <c r="C10" s="196">
        <f t="shared" si="1"/>
        <v>1146.6229463505645</v>
      </c>
      <c r="E10" s="185">
        <v>1.0207034531513237E-6</v>
      </c>
      <c r="F10" s="185">
        <v>19.294997603585301</v>
      </c>
      <c r="G10" s="185">
        <v>18.677583328828199</v>
      </c>
      <c r="H10" s="185">
        <v>18.726912294159099</v>
      </c>
      <c r="I10" s="185">
        <v>18.7223742754854</v>
      </c>
      <c r="J10" s="185">
        <v>18.722791912524499</v>
      </c>
      <c r="K10" s="185">
        <v>18.722753481531299</v>
      </c>
      <c r="L10" s="185">
        <v>18.722757017989998</v>
      </c>
      <c r="M10" s="185">
        <v>18.722756692561799</v>
      </c>
      <c r="N10" s="185">
        <v>18.722756722507999</v>
      </c>
    </row>
    <row r="13" spans="1:14" ht="28.5">
      <c r="A13" s="334" t="s">
        <v>168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</row>
    <row r="14" spans="1:14" ht="21">
      <c r="A14" s="335" t="s">
        <v>168</v>
      </c>
      <c r="B14" s="335"/>
      <c r="C14" s="335"/>
      <c r="F14" s="333" t="s">
        <v>166</v>
      </c>
      <c r="G14" s="333"/>
      <c r="H14" s="333"/>
      <c r="I14" s="333"/>
      <c r="J14" s="333"/>
      <c r="K14" s="333"/>
      <c r="L14" s="333"/>
      <c r="M14" s="333"/>
      <c r="N14" s="333"/>
    </row>
    <row r="15" spans="1:14">
      <c r="A15" s="192" t="s">
        <v>98</v>
      </c>
      <c r="B15" s="193" t="s">
        <v>1</v>
      </c>
      <c r="C15" s="193" t="s">
        <v>4</v>
      </c>
      <c r="E15" s="187" t="s">
        <v>18</v>
      </c>
      <c r="F15" s="186">
        <v>1</v>
      </c>
      <c r="G15" s="186">
        <v>2</v>
      </c>
      <c r="H15" s="186">
        <v>3</v>
      </c>
      <c r="I15" s="186">
        <v>4</v>
      </c>
      <c r="J15" s="186">
        <v>5</v>
      </c>
      <c r="K15" s="186">
        <v>6</v>
      </c>
      <c r="L15" s="186">
        <v>7</v>
      </c>
      <c r="M15" s="186"/>
      <c r="N15" s="186"/>
    </row>
    <row r="16" spans="1:14">
      <c r="A16" s="194" t="s">
        <v>15</v>
      </c>
      <c r="B16" s="195">
        <f>L16</f>
        <v>2.0462860820830899</v>
      </c>
      <c r="C16" s="196">
        <f t="shared" ref="C16:C22" si="2">B16*E16*1000000*60</f>
        <v>1542.8633574276662</v>
      </c>
      <c r="E16" s="185">
        <v>1.2566370614359172E-5</v>
      </c>
      <c r="F16" s="185">
        <v>2.0432523274686201</v>
      </c>
      <c r="G16" s="185">
        <v>2.04647744880024</v>
      </c>
      <c r="H16" s="185">
        <v>2.0462739995350998</v>
      </c>
      <c r="I16" s="185">
        <v>2.0462868451244298</v>
      </c>
      <c r="J16" s="185">
        <v>2.0462860341120499</v>
      </c>
      <c r="K16" s="185">
        <v>2.04628608531588</v>
      </c>
      <c r="L16" s="185">
        <v>2.0462860820830899</v>
      </c>
    </row>
    <row r="17" spans="1:14">
      <c r="A17" s="194" t="s">
        <v>26</v>
      </c>
      <c r="B17" s="195">
        <f t="shared" ref="B17:B22" si="3">L17</f>
        <v>0.82547781658111796</v>
      </c>
      <c r="C17" s="195">
        <f t="shared" si="2"/>
        <v>38.899725664088734</v>
      </c>
      <c r="E17" s="185">
        <v>7.8539816339744823E-7</v>
      </c>
      <c r="F17" s="185">
        <v>0.82425399105783304</v>
      </c>
      <c r="G17" s="185">
        <v>0.825555014476965</v>
      </c>
      <c r="H17" s="185">
        <v>0.82547294244576397</v>
      </c>
      <c r="I17" s="185">
        <v>0.82547812439423396</v>
      </c>
      <c r="J17" s="185">
        <v>0.82547779722945702</v>
      </c>
      <c r="K17" s="185">
        <v>0.825477817885234</v>
      </c>
      <c r="L17" s="185">
        <v>0.82547781658111796</v>
      </c>
    </row>
    <row r="18" spans="1:14">
      <c r="A18" s="194" t="s">
        <v>27</v>
      </c>
      <c r="B18" s="195">
        <f t="shared" si="3"/>
        <v>0.78326867732888195</v>
      </c>
      <c r="C18" s="195">
        <f t="shared" si="2"/>
        <v>147.64266734900457</v>
      </c>
      <c r="E18" s="185">
        <v>3.1415926535897929E-6</v>
      </c>
      <c r="F18" s="185">
        <v>0.78204408084685095</v>
      </c>
      <c r="G18" s="185">
        <v>0.78334592398330005</v>
      </c>
      <c r="H18" s="185">
        <v>0.78326380011551</v>
      </c>
      <c r="I18" s="185">
        <v>0.783268985336384</v>
      </c>
      <c r="J18" s="185">
        <v>0.783268657965</v>
      </c>
      <c r="K18" s="185">
        <v>0.78326867863382199</v>
      </c>
      <c r="L18" s="185">
        <v>0.78326867732888195</v>
      </c>
    </row>
    <row r="19" spans="1:14">
      <c r="A19" s="194" t="s">
        <v>28</v>
      </c>
      <c r="B19" s="195">
        <f t="shared" si="3"/>
        <v>0.663982672460392</v>
      </c>
      <c r="C19" s="195">
        <f t="shared" si="2"/>
        <v>281.6050165981855</v>
      </c>
      <c r="E19" s="185">
        <v>7.0685834705770344E-6</v>
      </c>
      <c r="F19" s="185">
        <v>0.662862473790644</v>
      </c>
      <c r="G19" s="185">
        <v>0.66405332417302598</v>
      </c>
      <c r="H19" s="185">
        <v>0.66397821160093895</v>
      </c>
      <c r="I19" s="185">
        <v>0.66398295417400999</v>
      </c>
      <c r="J19" s="185">
        <v>0.66398265474955898</v>
      </c>
      <c r="K19" s="185">
        <v>0.66398267365393204</v>
      </c>
      <c r="L19" s="185">
        <v>0.663982672460392</v>
      </c>
    </row>
    <row r="20" spans="1:14">
      <c r="A20" s="194" t="s">
        <v>12</v>
      </c>
      <c r="B20" s="195">
        <f t="shared" si="3"/>
        <v>20.903285446148899</v>
      </c>
      <c r="C20" s="196">
        <f t="shared" si="2"/>
        <v>78.891198518885517</v>
      </c>
      <c r="E20" s="185">
        <v>6.2901753508338228E-8</v>
      </c>
      <c r="F20" s="185">
        <v>20.903667249023901</v>
      </c>
      <c r="G20" s="185">
        <v>20.903261299379999</v>
      </c>
      <c r="H20" s="185">
        <v>20.9032869704799</v>
      </c>
      <c r="I20" s="185">
        <v>20.9032853498828</v>
      </c>
      <c r="J20" s="185">
        <v>20.903285452201001</v>
      </c>
      <c r="K20" s="185">
        <v>20.903285445740998</v>
      </c>
      <c r="L20" s="185">
        <v>20.903285446148899</v>
      </c>
    </row>
    <row r="21" spans="1:14">
      <c r="A21" s="194" t="s">
        <v>13</v>
      </c>
      <c r="B21" s="195">
        <f t="shared" si="3"/>
        <v>20.534680258870502</v>
      </c>
      <c r="C21" s="196">
        <f t="shared" si="2"/>
        <v>222.95209182940658</v>
      </c>
      <c r="E21" s="185">
        <v>1.8095573684677208E-7</v>
      </c>
      <c r="F21" s="185">
        <v>20.5167085303571</v>
      </c>
      <c r="G21" s="185">
        <v>20.535815555681101</v>
      </c>
      <c r="H21" s="185">
        <v>20.534608584958701</v>
      </c>
      <c r="I21" s="185">
        <v>20.534684785273299</v>
      </c>
      <c r="J21" s="185">
        <v>20.534679974303799</v>
      </c>
      <c r="K21" s="185">
        <v>20.534680278047599</v>
      </c>
      <c r="L21" s="185">
        <v>20.534680258870502</v>
      </c>
    </row>
    <row r="22" spans="1:14">
      <c r="A22" s="194" t="s">
        <v>14</v>
      </c>
      <c r="B22" s="195">
        <f t="shared" si="3"/>
        <v>20.264130312087602</v>
      </c>
      <c r="C22" s="196">
        <f t="shared" si="2"/>
        <v>1241.0200670793736</v>
      </c>
      <c r="E22" s="185">
        <v>1.0207034531513237E-6</v>
      </c>
      <c r="F22" s="185">
        <v>20.229942896119301</v>
      </c>
      <c r="G22" s="185">
        <v>20.266286536294899</v>
      </c>
      <c r="H22" s="185">
        <v>20.263994170828202</v>
      </c>
      <c r="I22" s="185">
        <v>20.264138909723901</v>
      </c>
      <c r="J22" s="185">
        <v>20.2641297715696</v>
      </c>
      <c r="K22" s="185">
        <v>20.264130348513401</v>
      </c>
      <c r="L22" s="185">
        <v>20.264130312087602</v>
      </c>
    </row>
    <row r="25" spans="1:14" ht="28.5">
      <c r="A25" s="334" t="s">
        <v>169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</row>
    <row r="26" spans="1:14" ht="21">
      <c r="A26" s="335" t="s">
        <v>169</v>
      </c>
      <c r="B26" s="335"/>
      <c r="C26" s="335"/>
      <c r="F26" s="333" t="s">
        <v>166</v>
      </c>
      <c r="G26" s="333"/>
      <c r="H26" s="333"/>
      <c r="I26" s="333"/>
      <c r="J26" s="333"/>
      <c r="K26" s="333"/>
      <c r="L26" s="333"/>
      <c r="M26" s="333"/>
      <c r="N26" s="333"/>
    </row>
    <row r="27" spans="1:14">
      <c r="A27" s="192" t="s">
        <v>98</v>
      </c>
      <c r="B27" s="193" t="s">
        <v>1</v>
      </c>
      <c r="C27" s="193" t="s">
        <v>4</v>
      </c>
      <c r="E27" s="187" t="s">
        <v>18</v>
      </c>
      <c r="F27" s="186">
        <v>1</v>
      </c>
      <c r="G27" s="186">
        <v>2</v>
      </c>
      <c r="H27" s="186">
        <v>3</v>
      </c>
      <c r="I27" s="186">
        <v>4</v>
      </c>
      <c r="J27" s="186">
        <v>5</v>
      </c>
      <c r="K27" s="186">
        <v>6</v>
      </c>
      <c r="L27" s="186">
        <v>7</v>
      </c>
      <c r="M27" s="186"/>
      <c r="N27" s="186"/>
    </row>
    <row r="28" spans="1:14">
      <c r="A28" s="194" t="s">
        <v>15</v>
      </c>
      <c r="B28" s="195">
        <f>L28</f>
        <v>1.89949010844587</v>
      </c>
      <c r="C28" s="196">
        <f t="shared" ref="C28:C34" si="4">B28*E28*1000000*60</f>
        <v>1432.1818008624059</v>
      </c>
      <c r="E28" s="185">
        <v>1.2566370614359172E-5</v>
      </c>
      <c r="F28" s="185">
        <v>1.9427498549430799</v>
      </c>
      <c r="G28" s="185">
        <v>1.8967262879522899</v>
      </c>
      <c r="H28" s="185">
        <v>1.8996643064710701</v>
      </c>
      <c r="I28" s="185">
        <v>1.89947911644108</v>
      </c>
      <c r="J28" s="185">
        <v>1.8994907988929299</v>
      </c>
      <c r="K28" s="185">
        <v>1.8994900619597099</v>
      </c>
      <c r="L28" s="185">
        <v>1.89949010844587</v>
      </c>
    </row>
    <row r="29" spans="1:14">
      <c r="A29" s="194" t="s">
        <v>26</v>
      </c>
      <c r="B29" s="195">
        <f t="shared" ref="B29:B34" si="5">L29</f>
        <v>0.205727739326103</v>
      </c>
      <c r="C29" s="195">
        <f t="shared" si="4"/>
        <v>9.6946913175978171</v>
      </c>
      <c r="E29" s="185">
        <v>7.8539816339744823E-7</v>
      </c>
      <c r="F29" s="185">
        <v>0.214542477973724</v>
      </c>
      <c r="G29" s="185">
        <v>0.20516961577874701</v>
      </c>
      <c r="H29" s="185">
        <v>0.205762937124852</v>
      </c>
      <c r="I29" s="185">
        <v>0.205725518404001</v>
      </c>
      <c r="J29" s="185">
        <v>0.205727878830469</v>
      </c>
      <c r="K29" s="185">
        <v>0.205727729933606</v>
      </c>
      <c r="L29" s="185">
        <v>0.205727739326103</v>
      </c>
    </row>
    <row r="30" spans="1:14">
      <c r="A30" s="194" t="s">
        <v>27</v>
      </c>
      <c r="B30" s="195">
        <f t="shared" si="5"/>
        <v>0.32517947280680698</v>
      </c>
      <c r="C30" s="195">
        <f t="shared" si="4"/>
        <v>61.294886572083989</v>
      </c>
      <c r="E30" s="185">
        <v>3.1415926535897929E-6</v>
      </c>
      <c r="F30" s="185">
        <v>0.33817620815710298</v>
      </c>
      <c r="G30" s="185">
        <v>0.32435263576378298</v>
      </c>
      <c r="H30" s="185">
        <v>0.32523160559137898</v>
      </c>
      <c r="I30" s="185">
        <v>0.325176183270529</v>
      </c>
      <c r="J30" s="185">
        <v>0.32517967943462101</v>
      </c>
      <c r="K30" s="185">
        <v>0.32517945889504801</v>
      </c>
      <c r="L30" s="185">
        <v>0.32517947280680698</v>
      </c>
    </row>
    <row r="31" spans="1:14">
      <c r="A31" s="194" t="s">
        <v>28</v>
      </c>
      <c r="B31" s="195">
        <f t="shared" si="5"/>
        <v>0.32600959903385401</v>
      </c>
      <c r="C31" s="195">
        <f t="shared" si="4"/>
        <v>138.26556377880883</v>
      </c>
      <c r="E31" s="185">
        <v>7.0685834705770344E-6</v>
      </c>
      <c r="F31" s="185">
        <v>0.33905399754568399</v>
      </c>
      <c r="G31" s="185">
        <v>0.32517496066221602</v>
      </c>
      <c r="H31" s="185">
        <v>0.32606221338965002</v>
      </c>
      <c r="I31" s="185">
        <v>0.32600627906951601</v>
      </c>
      <c r="J31" s="185">
        <v>0.32600980757280201</v>
      </c>
      <c r="K31" s="185">
        <v>0.32600958499342297</v>
      </c>
      <c r="L31" s="185">
        <v>0.32600959903385401</v>
      </c>
    </row>
    <row r="32" spans="1:14">
      <c r="A32" s="194" t="s">
        <v>12</v>
      </c>
      <c r="B32" s="195">
        <f t="shared" si="5"/>
        <v>16.795676712684799</v>
      </c>
      <c r="C32" s="196">
        <f t="shared" si="4"/>
        <v>63.388650995222143</v>
      </c>
      <c r="E32" s="185">
        <v>6.2901753508338228E-8</v>
      </c>
      <c r="F32" s="185">
        <v>16.806863654172499</v>
      </c>
      <c r="G32" s="185">
        <v>16.795719998370899</v>
      </c>
      <c r="H32" s="185">
        <v>16.795674033129998</v>
      </c>
      <c r="I32" s="185">
        <v>16.795676881961601</v>
      </c>
      <c r="J32" s="185">
        <v>16.795676702052699</v>
      </c>
      <c r="K32" s="185">
        <v>16.795676713400599</v>
      </c>
      <c r="L32" s="185">
        <v>16.795676712684799</v>
      </c>
    </row>
    <row r="33" spans="1:12">
      <c r="A33" s="194" t="s">
        <v>13</v>
      </c>
      <c r="B33" s="195">
        <f t="shared" si="5"/>
        <v>18.005217829806401</v>
      </c>
      <c r="C33" s="196">
        <f t="shared" si="4"/>
        <v>195.48884756875538</v>
      </c>
      <c r="E33" s="185">
        <v>1.8095573684677208E-7</v>
      </c>
      <c r="F33" s="185">
        <v>18.2716636160044</v>
      </c>
      <c r="G33" s="185">
        <v>17.9889594239202</v>
      </c>
      <c r="H33" s="185">
        <v>18.006243867493399</v>
      </c>
      <c r="I33" s="185">
        <v>18.005153091431399</v>
      </c>
      <c r="J33" s="185">
        <v>18.0052218962756</v>
      </c>
      <c r="K33" s="185">
        <v>18.005217556020799</v>
      </c>
      <c r="L33" s="185">
        <v>18.005217829806401</v>
      </c>
    </row>
    <row r="34" spans="1:12">
      <c r="A34" s="194" t="s">
        <v>14</v>
      </c>
      <c r="B34" s="195">
        <f t="shared" si="5"/>
        <v>19.1584261271963</v>
      </c>
      <c r="C34" s="196">
        <f t="shared" si="4"/>
        <v>1173.3043022984284</v>
      </c>
      <c r="E34" s="185">
        <v>1.0207034531513237E-6</v>
      </c>
      <c r="F34" s="185">
        <v>19.643091319454399</v>
      </c>
      <c r="G34" s="185">
        <v>19.127279114355002</v>
      </c>
      <c r="H34" s="185">
        <v>19.160389026490702</v>
      </c>
      <c r="I34" s="185">
        <v>19.1583022660758</v>
      </c>
      <c r="J34" s="185">
        <v>19.1584339073517</v>
      </c>
      <c r="K34" s="185">
        <v>19.158425603376902</v>
      </c>
      <c r="L34" s="185">
        <v>19.1584261271963</v>
      </c>
    </row>
  </sheetData>
  <mergeCells count="9">
    <mergeCell ref="F26:N26"/>
    <mergeCell ref="F2:N2"/>
    <mergeCell ref="A1:N1"/>
    <mergeCell ref="A13:N13"/>
    <mergeCell ref="F14:N14"/>
    <mergeCell ref="A25:N25"/>
    <mergeCell ref="A26:C26"/>
    <mergeCell ref="A14:C14"/>
    <mergeCell ref="A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DL65"/>
  <sheetViews>
    <sheetView topLeftCell="B1" zoomScale="106" zoomScaleNormal="106" workbookViewId="0">
      <selection activeCell="S46" sqref="P41:S46"/>
    </sheetView>
  </sheetViews>
  <sheetFormatPr defaultColWidth="15.7109375" defaultRowHeight="20.100000000000001" customHeight="1"/>
  <cols>
    <col min="1" max="1" width="15.7109375" style="2"/>
    <col min="2" max="2" width="48.85546875" style="76" customWidth="1"/>
    <col min="3" max="3" width="21.28515625" style="2" customWidth="1"/>
    <col min="4" max="4" width="17.28515625" style="2" customWidth="1"/>
    <col min="5" max="5" width="18.5703125" style="2" customWidth="1"/>
    <col min="6" max="7" width="15.7109375" style="2"/>
    <col min="8" max="8" width="18.85546875" style="2" customWidth="1"/>
    <col min="9" max="15" width="15.7109375" style="2"/>
    <col min="16" max="16" width="23.85546875" style="2" customWidth="1"/>
    <col min="17" max="17" width="16.42578125" style="2" customWidth="1"/>
    <col min="18" max="19" width="15.7109375" style="2"/>
    <col min="20" max="20" width="17.5703125" style="2" customWidth="1"/>
    <col min="21" max="21" width="16.85546875" style="2" customWidth="1"/>
    <col min="22" max="22" width="20.85546875" style="2" customWidth="1"/>
    <col min="23" max="26" width="15.7109375" style="2"/>
    <col min="27" max="27" width="16.140625" style="2" bestFit="1" customWidth="1"/>
    <col min="28" max="16384" width="15.7109375" style="2"/>
  </cols>
  <sheetData>
    <row r="1" spans="1:66" ht="62.25" customHeight="1" thickBot="1">
      <c r="A1" s="277">
        <v>1</v>
      </c>
      <c r="B1" s="316" t="s">
        <v>103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7"/>
    </row>
    <row r="2" spans="1:66" ht="21" customHeight="1">
      <c r="A2" s="278"/>
      <c r="B2" s="112"/>
      <c r="C2" s="199" t="s">
        <v>97</v>
      </c>
      <c r="D2" s="200"/>
      <c r="E2" s="20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8" t="s">
        <v>146</v>
      </c>
      <c r="U2" s="319"/>
      <c r="V2" s="319"/>
      <c r="W2" s="320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5"/>
    </row>
    <row r="3" spans="1:66" ht="15.75" customHeight="1">
      <c r="A3" s="278"/>
      <c r="B3" s="112"/>
      <c r="C3" s="34" t="s">
        <v>98</v>
      </c>
      <c r="D3" s="33" t="s">
        <v>1</v>
      </c>
      <c r="E3" s="42" t="s">
        <v>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T3" s="106" t="s">
        <v>145</v>
      </c>
      <c r="U3" s="108" t="s">
        <v>154</v>
      </c>
      <c r="V3" s="129" t="s">
        <v>143</v>
      </c>
      <c r="W3" s="133" t="s">
        <v>144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5"/>
    </row>
    <row r="4" spans="1:66" ht="15.75" customHeight="1">
      <c r="A4" s="278"/>
      <c r="B4" s="112"/>
      <c r="C4" s="40" t="s">
        <v>12</v>
      </c>
      <c r="D4" s="15">
        <f>BJ28</f>
        <v>20.903749015178779</v>
      </c>
      <c r="E4" s="22">
        <f>BJ34</f>
        <v>78.892948077176612</v>
      </c>
      <c r="F4" s="7"/>
      <c r="G4" s="27"/>
      <c r="H4" s="27"/>
      <c r="I4" s="7"/>
      <c r="J4" s="27"/>
      <c r="K4" s="27"/>
      <c r="L4" s="27"/>
      <c r="M4" s="27"/>
      <c r="N4" s="27"/>
      <c r="O4" s="27"/>
      <c r="P4" s="27"/>
      <c r="Q4" s="27"/>
      <c r="R4" s="27"/>
      <c r="T4" s="100"/>
      <c r="U4" s="119" t="s">
        <v>15</v>
      </c>
      <c r="V4" s="101">
        <f>C25</f>
        <v>490341.51234567899</v>
      </c>
      <c r="W4" s="134">
        <f>D7</f>
        <v>2.1036806861577015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5"/>
    </row>
    <row r="5" spans="1:66" ht="15.75" customHeight="1">
      <c r="A5" s="278"/>
      <c r="B5" s="112"/>
      <c r="C5" s="40" t="s">
        <v>13</v>
      </c>
      <c r="D5" s="15">
        <f>BJ29</f>
        <v>20.902913504048207</v>
      </c>
      <c r="E5" s="22">
        <f>BJ35</f>
        <v>226.95012692216318</v>
      </c>
      <c r="F5" s="27"/>
      <c r="G5" s="27"/>
      <c r="H5" s="27"/>
      <c r="I5" s="7"/>
      <c r="J5" s="27"/>
      <c r="K5" s="27"/>
      <c r="L5" s="27"/>
      <c r="M5" s="27"/>
      <c r="N5" s="27"/>
      <c r="O5" s="27"/>
      <c r="P5" s="27"/>
      <c r="Q5" s="27"/>
      <c r="R5" s="27"/>
      <c r="T5" s="110" t="s">
        <v>22</v>
      </c>
      <c r="U5" s="119" t="s">
        <v>137</v>
      </c>
      <c r="V5" s="102">
        <f>V4-D12</f>
        <v>490341.51234567899</v>
      </c>
      <c r="W5" s="134">
        <f>D7</f>
        <v>2.1036806861577015</v>
      </c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5"/>
    </row>
    <row r="6" spans="1:66" ht="15.75" customHeight="1">
      <c r="A6" s="278"/>
      <c r="B6" s="112"/>
      <c r="C6" s="40" t="s">
        <v>14</v>
      </c>
      <c r="D6" s="15">
        <f>BJ30</f>
        <v>20.90543194237755</v>
      </c>
      <c r="E6" s="22">
        <f>BJ36</f>
        <v>1280.294794392285</v>
      </c>
      <c r="F6" s="27"/>
      <c r="G6" s="27"/>
      <c r="H6" s="27"/>
      <c r="I6" s="7"/>
      <c r="J6" s="27"/>
      <c r="K6" s="27"/>
      <c r="L6" s="27"/>
      <c r="M6" s="27"/>
      <c r="N6" s="27"/>
      <c r="O6" s="27"/>
      <c r="P6" s="27"/>
      <c r="Q6" s="27"/>
      <c r="R6" s="27"/>
      <c r="T6" s="110" t="s">
        <v>21</v>
      </c>
      <c r="U6" s="119" t="s">
        <v>147</v>
      </c>
      <c r="V6" s="102">
        <f>V4-D12-I15-D13</f>
        <v>475947.78863286023</v>
      </c>
      <c r="W6" s="135">
        <f>D7-D4*G31</f>
        <v>1.9990456639779106</v>
      </c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5"/>
    </row>
    <row r="7" spans="1:66" ht="16.5" customHeight="1" thickBot="1">
      <c r="A7" s="278"/>
      <c r="B7" s="112"/>
      <c r="C7" s="41" t="s">
        <v>15</v>
      </c>
      <c r="D7" s="20">
        <f>BJ24</f>
        <v>2.1036806861577015</v>
      </c>
      <c r="E7" s="24">
        <f>BJ37</f>
        <v>1586.1378693916249</v>
      </c>
      <c r="F7" s="27"/>
      <c r="G7" s="27"/>
      <c r="H7" s="27"/>
      <c r="I7" s="7"/>
      <c r="J7" s="27"/>
      <c r="K7" s="27"/>
      <c r="L7" s="27"/>
      <c r="M7" s="27"/>
      <c r="N7" s="27"/>
      <c r="O7" s="27"/>
      <c r="P7" s="27"/>
      <c r="Q7" s="27"/>
      <c r="R7" s="27"/>
      <c r="T7" s="110" t="s">
        <v>22</v>
      </c>
      <c r="U7" s="119" t="s">
        <v>138</v>
      </c>
      <c r="V7" s="102">
        <f>V4-D12-D13-D14-I15-I16</f>
        <v>465562.33519019868</v>
      </c>
      <c r="W7" s="135">
        <f>D7-D4*G31</f>
        <v>1.9990456639779106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5"/>
    </row>
    <row r="8" spans="1:66" ht="16.5" customHeight="1" thickBot="1">
      <c r="A8" s="278"/>
      <c r="B8" s="112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T8" s="110" t="s">
        <v>21</v>
      </c>
      <c r="U8" s="119" t="s">
        <v>148</v>
      </c>
      <c r="V8" s="102">
        <f>V5-I12</f>
        <v>480197.89805413189</v>
      </c>
      <c r="W8" s="135">
        <f>D7-D4*G31-D5*G32</f>
        <v>1.6980437095196164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5"/>
    </row>
    <row r="9" spans="1:66" ht="21" customHeight="1">
      <c r="A9" s="278"/>
      <c r="B9" s="112"/>
      <c r="C9" s="264" t="s">
        <v>20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6"/>
      <c r="R9" s="27"/>
      <c r="T9" s="110" t="s">
        <v>22</v>
      </c>
      <c r="U9" s="119" t="s">
        <v>149</v>
      </c>
      <c r="V9" s="102">
        <f>V6-I13</f>
        <v>466788.14627015742</v>
      </c>
      <c r="W9" s="135">
        <f>D7-D4*G31-D5*G32</f>
        <v>1.6980437095196164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5"/>
    </row>
    <row r="10" spans="1:66" ht="15.75" customHeight="1">
      <c r="A10" s="278"/>
      <c r="B10" s="112"/>
      <c r="C10" s="267"/>
      <c r="D10" s="268" t="s">
        <v>22</v>
      </c>
      <c r="E10" s="269"/>
      <c r="F10" s="269"/>
      <c r="G10" s="270"/>
      <c r="H10" s="271"/>
      <c r="I10" s="273" t="s">
        <v>21</v>
      </c>
      <c r="J10" s="274"/>
      <c r="K10" s="274"/>
      <c r="L10" s="275"/>
      <c r="M10" s="271"/>
      <c r="N10" s="273" t="s">
        <v>35</v>
      </c>
      <c r="O10" s="274"/>
      <c r="P10" s="274"/>
      <c r="Q10" s="276"/>
      <c r="R10" s="27"/>
      <c r="T10" s="110" t="s">
        <v>21</v>
      </c>
      <c r="U10" s="125" t="s">
        <v>140</v>
      </c>
      <c r="V10" s="102">
        <f>V7-I14</f>
        <v>458953.41027214134</v>
      </c>
      <c r="W10" s="135">
        <f>D4*G31/G34</f>
        <v>1.674160354876653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5"/>
    </row>
    <row r="11" spans="1:66" ht="15.75" customHeight="1">
      <c r="A11" s="278"/>
      <c r="B11" s="112"/>
      <c r="C11" s="242"/>
      <c r="D11" s="108" t="s">
        <v>36</v>
      </c>
      <c r="E11" s="108" t="s">
        <v>37</v>
      </c>
      <c r="F11" s="80" t="s">
        <v>33</v>
      </c>
      <c r="G11" s="108" t="s">
        <v>34</v>
      </c>
      <c r="H11" s="272"/>
      <c r="I11" s="108" t="s">
        <v>36</v>
      </c>
      <c r="J11" s="108" t="s">
        <v>37</v>
      </c>
      <c r="K11" s="80" t="s">
        <v>33</v>
      </c>
      <c r="L11" s="108" t="s">
        <v>34</v>
      </c>
      <c r="M11" s="272"/>
      <c r="N11" s="108" t="s">
        <v>36</v>
      </c>
      <c r="O11" s="108" t="s">
        <v>37</v>
      </c>
      <c r="P11" s="80" t="s">
        <v>33</v>
      </c>
      <c r="Q11" s="11" t="s">
        <v>34</v>
      </c>
      <c r="R11" s="27"/>
      <c r="T11" s="110"/>
      <c r="U11" s="125" t="s">
        <v>141</v>
      </c>
      <c r="V11" s="102">
        <f>-I17 +V8-D15</f>
        <v>285529.22300682054</v>
      </c>
      <c r="W11" s="135">
        <f t="shared" ref="W11:W12" si="0">D5*G32/G35</f>
        <v>1.2040078178331768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5"/>
    </row>
    <row r="12" spans="1:66" ht="15.75" customHeight="1">
      <c r="A12" s="278"/>
      <c r="B12" s="112"/>
      <c r="C12" s="106" t="s">
        <v>129</v>
      </c>
      <c r="D12" s="13">
        <f>F12*891*9.81</f>
        <v>0</v>
      </c>
      <c r="E12" s="13">
        <f t="shared" ref="E12:E17" si="1">D12/6895</f>
        <v>0</v>
      </c>
      <c r="F12" s="13">
        <f>C36*D7/C33</f>
        <v>0</v>
      </c>
      <c r="G12" s="13">
        <f t="shared" ref="G12:G17" si="2">F12*0.891/13.6*1000</f>
        <v>0</v>
      </c>
      <c r="H12" s="108" t="s">
        <v>30</v>
      </c>
      <c r="I12" s="13">
        <f t="shared" ref="I12:I19" si="3">K12*891*9.81</f>
        <v>10143.614291547112</v>
      </c>
      <c r="J12" s="13">
        <f t="shared" ref="J12:J19" si="4">I12/6895</f>
        <v>1.471155082167819</v>
      </c>
      <c r="K12" s="13">
        <f>D7^2*(G46/D7+I46)/C$33</f>
        <v>1.1605023266470471</v>
      </c>
      <c r="L12" s="13">
        <f t="shared" ref="L12:L19" si="5">K12*0.891/13.6*1000</f>
        <v>76.029968606067555</v>
      </c>
      <c r="M12" s="108" t="s">
        <v>38</v>
      </c>
      <c r="N12" s="13">
        <f>P12*891*9.81</f>
        <v>204812.28933885848</v>
      </c>
      <c r="O12" s="13">
        <f>N12/6895</f>
        <v>29.704465458862725</v>
      </c>
      <c r="P12" s="15">
        <f>K17+F15+F12+K12</f>
        <v>23.431996867400755</v>
      </c>
      <c r="Q12" s="14">
        <f>P12*0.891/13.6*1000</f>
        <v>1535.140383003976</v>
      </c>
      <c r="R12" s="27"/>
      <c r="T12" s="110"/>
      <c r="U12" s="125" t="s">
        <v>139</v>
      </c>
      <c r="V12" s="102">
        <f>-I18 +V9-D16</f>
        <v>272135.03250749275</v>
      </c>
      <c r="W12" s="135">
        <f t="shared" si="0"/>
        <v>3.0187443724793179</v>
      </c>
      <c r="X12" s="27"/>
      <c r="Y12" s="27"/>
      <c r="Z12" s="27"/>
      <c r="AA12" s="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5"/>
    </row>
    <row r="13" spans="1:66" ht="15.75" customHeight="1">
      <c r="A13" s="278"/>
      <c r="B13" s="112"/>
      <c r="C13" s="106" t="s">
        <v>130</v>
      </c>
      <c r="D13" s="13">
        <f t="shared" ref="D13:D17" si="6">F13*891*9.81</f>
        <v>0</v>
      </c>
      <c r="E13" s="13">
        <f t="shared" si="1"/>
        <v>0</v>
      </c>
      <c r="F13" s="13">
        <f>C37*(D7-G31*D4)/C33</f>
        <v>0</v>
      </c>
      <c r="G13" s="13">
        <f t="shared" si="2"/>
        <v>0</v>
      </c>
      <c r="H13" s="108" t="s">
        <v>31</v>
      </c>
      <c r="I13" s="13">
        <f t="shared" si="3"/>
        <v>9159.6423627028362</v>
      </c>
      <c r="J13" s="13">
        <f t="shared" si="4"/>
        <v>1.328447043176626</v>
      </c>
      <c r="K13" s="15">
        <f>(G47/(D7-G31*D4)+I47)*(D7-G31*D4)^2/C33</f>
        <v>1.0479288710760151</v>
      </c>
      <c r="L13" s="13">
        <f t="shared" si="5"/>
        <v>68.654751774171288</v>
      </c>
      <c r="M13" s="108" t="s">
        <v>39</v>
      </c>
      <c r="N13" s="13">
        <f>P13*891*9.81</f>
        <v>218206.47983818623</v>
      </c>
      <c r="O13" s="13">
        <f>N13/6895</f>
        <v>31.647060165074144</v>
      </c>
      <c r="P13" s="15">
        <f>K18+K15+K13+F16+F13+F12</f>
        <v>24.964388457938341</v>
      </c>
      <c r="Q13" s="14">
        <f>P13*0.891/13.6*1000</f>
        <v>1635.5345673546369</v>
      </c>
      <c r="R13" s="27"/>
      <c r="T13" s="110" t="s">
        <v>22</v>
      </c>
      <c r="U13" s="125" t="s">
        <v>134</v>
      </c>
      <c r="V13" s="102">
        <f>-I19 +V10-D17</f>
        <v>264253.38903945871</v>
      </c>
      <c r="W13" s="135">
        <f>D4*G31/G34</f>
        <v>1.674160354876653</v>
      </c>
      <c r="X13" s="27"/>
      <c r="Y13" s="27"/>
      <c r="Z13" s="27"/>
      <c r="AA13" s="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5"/>
    </row>
    <row r="14" spans="1:66" ht="15.75" customHeight="1">
      <c r="A14" s="278"/>
      <c r="B14" s="112"/>
      <c r="C14" s="106" t="s">
        <v>131</v>
      </c>
      <c r="D14" s="13">
        <f t="shared" si="6"/>
        <v>0</v>
      </c>
      <c r="E14" s="13">
        <f t="shared" si="1"/>
        <v>0</v>
      </c>
      <c r="F14" s="13">
        <f>C38*(D7-D4*G31-D5*G32)/C33</f>
        <v>0</v>
      </c>
      <c r="G14" s="13">
        <f t="shared" si="2"/>
        <v>0</v>
      </c>
      <c r="H14" s="108" t="s">
        <v>32</v>
      </c>
      <c r="I14" s="13">
        <f t="shared" si="3"/>
        <v>6608.9249180573515</v>
      </c>
      <c r="J14" s="13">
        <f t="shared" si="4"/>
        <v>0.95850977781832514</v>
      </c>
      <c r="K14" s="15">
        <f>(G48/(D7-D4*G31-D5*G32)+I48)*(D7-D4*G31-D5*G32)^2/C$33</f>
        <v>0.75610847609145615</v>
      </c>
      <c r="L14" s="13">
        <f t="shared" si="5"/>
        <v>49.536224426285841</v>
      </c>
      <c r="M14" s="108" t="s">
        <v>40</v>
      </c>
      <c r="N14" s="13">
        <f>P14*891*9.81</f>
        <v>226088.12330622028</v>
      </c>
      <c r="O14" s="13">
        <f>N14/6895</f>
        <v>32.790155664426436</v>
      </c>
      <c r="P14" s="15">
        <f>K19+K16+K14+F17+F14+F13+F12+K15</f>
        <v>25.866105076843901</v>
      </c>
      <c r="Q14" s="14">
        <f>P14*0.891/13.6*1000</f>
        <v>1694.6102664314644</v>
      </c>
      <c r="R14" s="27"/>
      <c r="T14" s="110"/>
      <c r="U14" s="125" t="s">
        <v>135</v>
      </c>
      <c r="V14" s="102">
        <f>V5-I15</f>
        <v>475947.78863286023</v>
      </c>
      <c r="W14" s="135">
        <f t="shared" ref="W14:W15" si="7">D5*G32/G35</f>
        <v>1.2040078178331768</v>
      </c>
      <c r="X14" s="27"/>
      <c r="Y14" s="27"/>
      <c r="Z14" s="27"/>
      <c r="AA14" s="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5"/>
    </row>
    <row r="15" spans="1:66" ht="15.75" customHeight="1">
      <c r="A15" s="278"/>
      <c r="B15" s="112"/>
      <c r="C15" s="17" t="s">
        <v>26</v>
      </c>
      <c r="D15" s="13">
        <f t="shared" si="6"/>
        <v>0</v>
      </c>
      <c r="E15" s="13">
        <f t="shared" si="1"/>
        <v>0</v>
      </c>
      <c r="F15" s="15">
        <f>C39*BJ25/C$33</f>
        <v>0</v>
      </c>
      <c r="G15" s="13">
        <f t="shared" si="2"/>
        <v>0</v>
      </c>
      <c r="H15" s="108" t="s">
        <v>132</v>
      </c>
      <c r="I15" s="13">
        <f t="shared" si="3"/>
        <v>14393.723712818743</v>
      </c>
      <c r="J15" s="13">
        <f t="shared" si="4"/>
        <v>2.0875596392775551</v>
      </c>
      <c r="K15" s="13">
        <f>(G52/(D7-G31*D4)+I52)*(D7-G31*D4)^2/C$33</f>
        <v>1.6467453688337381</v>
      </c>
      <c r="L15" s="13">
        <f t="shared" si="5"/>
        <v>107.88603850226916</v>
      </c>
      <c r="M15" s="297"/>
      <c r="N15" s="298"/>
      <c r="O15" s="298"/>
      <c r="P15" s="298"/>
      <c r="Q15" s="299"/>
      <c r="R15" s="27"/>
      <c r="T15" s="110"/>
      <c r="U15" s="125" t="s">
        <v>136</v>
      </c>
      <c r="V15" s="102">
        <f>V6-I16</f>
        <v>465562.33519019868</v>
      </c>
      <c r="W15" s="135">
        <f t="shared" si="7"/>
        <v>3.0187443724793179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5"/>
    </row>
    <row r="16" spans="1:66" ht="15.75" customHeight="1">
      <c r="A16" s="278"/>
      <c r="B16" s="112"/>
      <c r="C16" s="17" t="s">
        <v>27</v>
      </c>
      <c r="D16" s="13">
        <f t="shared" si="6"/>
        <v>0</v>
      </c>
      <c r="E16" s="13">
        <f t="shared" si="1"/>
        <v>0</v>
      </c>
      <c r="F16" s="15">
        <f>C40*BJ26/C$33</f>
        <v>0</v>
      </c>
      <c r="G16" s="13">
        <f t="shared" si="2"/>
        <v>0</v>
      </c>
      <c r="H16" s="108" t="s">
        <v>133</v>
      </c>
      <c r="I16" s="13">
        <f t="shared" si="3"/>
        <v>10385.453442661556</v>
      </c>
      <c r="J16" s="13">
        <f t="shared" si="4"/>
        <v>1.5062296508573685</v>
      </c>
      <c r="K16" s="13">
        <f>(G53/(D7-D4*G31-D5*G32)+I53)*(D7-D4*G31-D5*G32)^2/C$33</f>
        <v>1.1881704624294314</v>
      </c>
      <c r="L16" s="13">
        <f t="shared" si="5"/>
        <v>77.842638384163479</v>
      </c>
      <c r="M16" s="300"/>
      <c r="N16" s="237"/>
      <c r="O16" s="237"/>
      <c r="P16" s="237"/>
      <c r="Q16" s="301"/>
      <c r="R16" s="27"/>
      <c r="T16" s="110" t="s">
        <v>21</v>
      </c>
      <c r="U16" s="125" t="s">
        <v>150</v>
      </c>
      <c r="V16" s="15">
        <v>101325</v>
      </c>
      <c r="W16" s="136">
        <f>D4</f>
        <v>20.903749015178779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5"/>
    </row>
    <row r="17" spans="1:116" ht="15.75" customHeight="1">
      <c r="A17" s="278"/>
      <c r="B17" s="112"/>
      <c r="C17" s="17" t="s">
        <v>28</v>
      </c>
      <c r="D17" s="13">
        <f t="shared" si="6"/>
        <v>0</v>
      </c>
      <c r="E17" s="13">
        <f t="shared" si="1"/>
        <v>0</v>
      </c>
      <c r="F17" s="15">
        <f>C41*BJ27/C$33</f>
        <v>0</v>
      </c>
      <c r="G17" s="13">
        <f t="shared" si="2"/>
        <v>0</v>
      </c>
      <c r="H17" s="80" t="s">
        <v>12</v>
      </c>
      <c r="I17" s="13">
        <f>K17*891*9.81</f>
        <v>194668.67504731132</v>
      </c>
      <c r="J17" s="13">
        <f t="shared" si="4"/>
        <v>28.233310376694899</v>
      </c>
      <c r="K17" s="13">
        <f>(G49/D4+I49)*D4^2/C$33</f>
        <v>22.271494540753707</v>
      </c>
      <c r="L17" s="13">
        <f t="shared" si="5"/>
        <v>1459.1104143979085</v>
      </c>
      <c r="M17" s="300"/>
      <c r="N17" s="237"/>
      <c r="O17" s="237"/>
      <c r="P17" s="237"/>
      <c r="Q17" s="301"/>
      <c r="R17" s="27"/>
      <c r="T17" s="110"/>
      <c r="U17" s="125" t="s">
        <v>151</v>
      </c>
      <c r="V17" s="15">
        <v>101325</v>
      </c>
      <c r="W17" s="136">
        <f>D5</f>
        <v>20.902913504048207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5"/>
    </row>
    <row r="18" spans="1:116" ht="15.75" customHeight="1" thickBot="1">
      <c r="A18" s="278"/>
      <c r="B18" s="112"/>
      <c r="C18" s="305"/>
      <c r="D18" s="306"/>
      <c r="E18" s="306"/>
      <c r="F18" s="306"/>
      <c r="G18" s="286"/>
      <c r="H18" s="80" t="s">
        <v>13</v>
      </c>
      <c r="I18" s="13">
        <f t="shared" si="3"/>
        <v>194653.11376266467</v>
      </c>
      <c r="J18" s="13">
        <f t="shared" si="4"/>
        <v>28.231053482619966</v>
      </c>
      <c r="K18" s="13">
        <f t="shared" ref="K18:K19" si="8">(G50/D5+I50)*D5^2/C$33</f>
        <v>22.269714218028589</v>
      </c>
      <c r="L18" s="13">
        <f t="shared" si="5"/>
        <v>1458.9937770781967</v>
      </c>
      <c r="M18" s="300"/>
      <c r="N18" s="237"/>
      <c r="O18" s="237"/>
      <c r="P18" s="237"/>
      <c r="Q18" s="301"/>
      <c r="R18" s="27"/>
      <c r="T18" s="111"/>
      <c r="U18" s="137" t="s">
        <v>152</v>
      </c>
      <c r="V18" s="20">
        <v>101325</v>
      </c>
      <c r="W18" s="138">
        <f>D6</f>
        <v>20.90543194237755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5"/>
    </row>
    <row r="19" spans="1:116" ht="16.5" customHeight="1" thickBot="1">
      <c r="A19" s="278"/>
      <c r="B19" s="112"/>
      <c r="C19" s="307"/>
      <c r="D19" s="308"/>
      <c r="E19" s="308"/>
      <c r="F19" s="308"/>
      <c r="G19" s="309"/>
      <c r="H19" s="81" t="s">
        <v>14</v>
      </c>
      <c r="I19" s="19">
        <f t="shared" si="3"/>
        <v>194700.0212326826</v>
      </c>
      <c r="J19" s="19">
        <f t="shared" si="4"/>
        <v>28.237856596473183</v>
      </c>
      <c r="K19" s="13">
        <f t="shared" si="8"/>
        <v>22.275080769489275</v>
      </c>
      <c r="L19" s="19">
        <f t="shared" si="5"/>
        <v>1459.345365118746</v>
      </c>
      <c r="M19" s="302"/>
      <c r="N19" s="303"/>
      <c r="O19" s="303"/>
      <c r="P19" s="303"/>
      <c r="Q19" s="30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5"/>
    </row>
    <row r="20" spans="1:116" ht="15.75" customHeight="1">
      <c r="A20" s="278"/>
      <c r="B20" s="11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5"/>
    </row>
    <row r="21" spans="1:116" ht="34.5" customHeight="1" thickBot="1">
      <c r="A21" s="278"/>
      <c r="B21" s="310" t="s">
        <v>99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1"/>
    </row>
    <row r="22" spans="1:116" ht="16.5" customHeight="1">
      <c r="A22" s="278"/>
      <c r="B22" s="207" t="s">
        <v>0</v>
      </c>
      <c r="C22" s="230"/>
      <c r="D22" s="27"/>
      <c r="E22" s="228" t="s">
        <v>62</v>
      </c>
      <c r="F22" s="229"/>
      <c r="G22" s="230"/>
      <c r="H22" s="112"/>
      <c r="I22" s="207" t="s">
        <v>68</v>
      </c>
      <c r="J22" s="208"/>
      <c r="K22" s="209"/>
      <c r="L22" s="112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</row>
    <row r="23" spans="1:116" ht="15.75" customHeight="1">
      <c r="A23" s="278"/>
      <c r="B23" s="17" t="s">
        <v>64</v>
      </c>
      <c r="C23" s="22">
        <v>5</v>
      </c>
      <c r="D23" s="27"/>
      <c r="E23" s="106" t="s">
        <v>43</v>
      </c>
      <c r="F23" s="15">
        <v>0.05</v>
      </c>
      <c r="G23" s="14" t="s">
        <v>61</v>
      </c>
      <c r="H23" s="27"/>
      <c r="I23" s="106" t="s">
        <v>49</v>
      </c>
      <c r="J23" s="15">
        <v>4.0000000000000001E-3</v>
      </c>
      <c r="K23" s="14" t="s">
        <v>61</v>
      </c>
      <c r="L23" s="27"/>
      <c r="M23" s="218" t="s">
        <v>88</v>
      </c>
      <c r="N23" s="13"/>
      <c r="O23" s="168" t="s">
        <v>16</v>
      </c>
      <c r="P23" s="80" t="s">
        <v>42</v>
      </c>
      <c r="Q23" s="43">
        <v>1</v>
      </c>
      <c r="R23" s="43">
        <v>2</v>
      </c>
      <c r="S23" s="43">
        <v>3</v>
      </c>
      <c r="T23" s="43">
        <v>4</v>
      </c>
      <c r="U23" s="43">
        <v>5</v>
      </c>
      <c r="V23" s="43">
        <v>6</v>
      </c>
      <c r="W23" s="43">
        <v>7</v>
      </c>
      <c r="X23" s="43">
        <v>8</v>
      </c>
      <c r="Y23" s="43">
        <v>9</v>
      </c>
      <c r="Z23" s="43">
        <v>10</v>
      </c>
      <c r="AA23" s="43">
        <v>11</v>
      </c>
      <c r="AB23" s="43">
        <v>12</v>
      </c>
      <c r="AC23" s="43">
        <v>13</v>
      </c>
      <c r="AD23" s="43">
        <v>14</v>
      </c>
      <c r="AE23" s="43">
        <v>15</v>
      </c>
      <c r="AF23" s="43">
        <v>16</v>
      </c>
      <c r="AG23" s="43">
        <v>17</v>
      </c>
      <c r="AH23" s="43">
        <v>18</v>
      </c>
      <c r="AI23" s="43">
        <v>19</v>
      </c>
      <c r="AJ23" s="43">
        <v>20</v>
      </c>
      <c r="AK23" s="43">
        <v>21</v>
      </c>
      <c r="AL23" s="43">
        <v>22</v>
      </c>
      <c r="AM23" s="43">
        <v>23</v>
      </c>
      <c r="AN23" s="43">
        <v>24</v>
      </c>
      <c r="AO23" s="43">
        <v>25</v>
      </c>
      <c r="AP23" s="43">
        <v>26</v>
      </c>
      <c r="AQ23" s="43">
        <v>27</v>
      </c>
      <c r="AR23" s="43">
        <v>28</v>
      </c>
      <c r="AS23" s="43">
        <v>29</v>
      </c>
      <c r="AT23" s="43">
        <v>30</v>
      </c>
      <c r="AU23" s="43">
        <v>31</v>
      </c>
      <c r="AV23" s="43">
        <v>32</v>
      </c>
      <c r="AW23" s="43">
        <v>33</v>
      </c>
      <c r="AX23" s="43">
        <v>34</v>
      </c>
      <c r="AY23" s="43">
        <v>35</v>
      </c>
      <c r="AZ23" s="43">
        <v>36</v>
      </c>
      <c r="BA23" s="43">
        <v>37</v>
      </c>
      <c r="BB23" s="43">
        <v>38</v>
      </c>
      <c r="BC23" s="43">
        <v>39</v>
      </c>
      <c r="BD23" s="43">
        <v>40</v>
      </c>
      <c r="BE23" s="43">
        <v>41</v>
      </c>
      <c r="BF23" s="43">
        <v>42</v>
      </c>
      <c r="BG23" s="43">
        <v>43</v>
      </c>
      <c r="BH23" s="43">
        <v>44</v>
      </c>
      <c r="BI23" s="43">
        <v>45</v>
      </c>
      <c r="BJ23" s="43">
        <v>46</v>
      </c>
      <c r="BK23" s="43">
        <v>47</v>
      </c>
      <c r="BL23" s="43">
        <v>48</v>
      </c>
      <c r="BM23" s="43">
        <v>49</v>
      </c>
      <c r="BN23" s="43">
        <v>50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spans="1:116" ht="15.75" customHeight="1">
      <c r="A24" s="278"/>
      <c r="B24" s="17" t="s">
        <v>17</v>
      </c>
      <c r="C24" s="22">
        <f>(C23*(30.48/12)^2/0.4536)</f>
        <v>71.115520282186949</v>
      </c>
      <c r="D24" s="27"/>
      <c r="E24" s="106" t="s">
        <v>44</v>
      </c>
      <c r="F24" s="15">
        <v>0.05</v>
      </c>
      <c r="G24" s="14" t="s">
        <v>61</v>
      </c>
      <c r="H24" s="27"/>
      <c r="I24" s="106" t="s">
        <v>50</v>
      </c>
      <c r="J24" s="15">
        <v>2.8299999999999999E-4</v>
      </c>
      <c r="K24" s="14" t="s">
        <v>61</v>
      </c>
      <c r="L24" s="27"/>
      <c r="M24" s="218"/>
      <c r="N24" s="217" t="s">
        <v>1</v>
      </c>
      <c r="O24" s="168" t="s">
        <v>5</v>
      </c>
      <c r="P24" s="181">
        <v>1</v>
      </c>
      <c r="Q24" s="15">
        <f>Q28*$G$31+Q29*$G$32+Q30*$G$33</f>
        <v>2.0936713935182638</v>
      </c>
      <c r="R24" s="15">
        <f t="shared" ref="R24:AU24" si="9">R28*$G$31+R29*$G$32+R30*$G$33</f>
        <v>2.1036711161148403</v>
      </c>
      <c r="S24" s="15">
        <f t="shared" si="9"/>
        <v>2.1036806772629943</v>
      </c>
      <c r="T24" s="15">
        <f t="shared" si="9"/>
        <v>2.1036806861494552</v>
      </c>
      <c r="U24" s="15">
        <f t="shared" si="9"/>
        <v>2.1036806861576935</v>
      </c>
      <c r="V24" s="15">
        <f t="shared" si="9"/>
        <v>2.1036806861577015</v>
      </c>
      <c r="W24" s="15">
        <f t="shared" si="9"/>
        <v>2.1036806861577015</v>
      </c>
      <c r="X24" s="15">
        <f t="shared" si="9"/>
        <v>2.1036806861577015</v>
      </c>
      <c r="Y24" s="15">
        <f t="shared" si="9"/>
        <v>2.1036806861577015</v>
      </c>
      <c r="Z24" s="15">
        <f t="shared" si="9"/>
        <v>2.1036806861577015</v>
      </c>
      <c r="AA24" s="15">
        <f t="shared" si="9"/>
        <v>2.1036806861577015</v>
      </c>
      <c r="AB24" s="15">
        <f t="shared" si="9"/>
        <v>2.1036806861577015</v>
      </c>
      <c r="AC24" s="15">
        <f t="shared" si="9"/>
        <v>2.1036806861577015</v>
      </c>
      <c r="AD24" s="15">
        <f t="shared" si="9"/>
        <v>2.1036806861577015</v>
      </c>
      <c r="AE24" s="15">
        <f t="shared" si="9"/>
        <v>2.1036806861577015</v>
      </c>
      <c r="AF24" s="15">
        <f t="shared" si="9"/>
        <v>2.1036806861577015</v>
      </c>
      <c r="AG24" s="15">
        <f t="shared" si="9"/>
        <v>2.1036806861577015</v>
      </c>
      <c r="AH24" s="15">
        <f t="shared" si="9"/>
        <v>2.1036806861577015</v>
      </c>
      <c r="AI24" s="15">
        <f t="shared" si="9"/>
        <v>2.1036806861577015</v>
      </c>
      <c r="AJ24" s="15">
        <f t="shared" si="9"/>
        <v>2.1036806861577015</v>
      </c>
      <c r="AK24" s="15">
        <f t="shared" si="9"/>
        <v>2.1036806861577015</v>
      </c>
      <c r="AL24" s="15">
        <f t="shared" si="9"/>
        <v>2.1036806861577015</v>
      </c>
      <c r="AM24" s="15">
        <f t="shared" si="9"/>
        <v>2.1036806861577015</v>
      </c>
      <c r="AN24" s="15">
        <f t="shared" si="9"/>
        <v>2.1036806861577015</v>
      </c>
      <c r="AO24" s="15">
        <f t="shared" si="9"/>
        <v>2.1036806861577015</v>
      </c>
      <c r="AP24" s="15">
        <f t="shared" si="9"/>
        <v>2.1036806861577015</v>
      </c>
      <c r="AQ24" s="15">
        <f t="shared" si="9"/>
        <v>2.1036806861577015</v>
      </c>
      <c r="AR24" s="15">
        <f t="shared" si="9"/>
        <v>2.1036806861577015</v>
      </c>
      <c r="AS24" s="15">
        <f t="shared" si="9"/>
        <v>2.1036806861577015</v>
      </c>
      <c r="AT24" s="15">
        <f t="shared" si="9"/>
        <v>2.1036806861577015</v>
      </c>
      <c r="AU24" s="15">
        <f t="shared" si="9"/>
        <v>2.1036806861577015</v>
      </c>
      <c r="AV24" s="15">
        <f t="shared" ref="AV24:BN24" si="10">AV28*$G$31+AV29*$G$32+AV30*$G$33</f>
        <v>2.1036806861577015</v>
      </c>
      <c r="AW24" s="15">
        <f t="shared" si="10"/>
        <v>2.1036806861577015</v>
      </c>
      <c r="AX24" s="15">
        <f t="shared" si="10"/>
        <v>2.1036806861577015</v>
      </c>
      <c r="AY24" s="15">
        <f t="shared" si="10"/>
        <v>2.1036806861577015</v>
      </c>
      <c r="AZ24" s="15">
        <f t="shared" si="10"/>
        <v>2.1036806861577015</v>
      </c>
      <c r="BA24" s="15">
        <f t="shared" si="10"/>
        <v>2.1036806861577015</v>
      </c>
      <c r="BB24" s="15">
        <f t="shared" si="10"/>
        <v>2.1036806861577015</v>
      </c>
      <c r="BC24" s="15">
        <f t="shared" si="10"/>
        <v>2.1036806861577015</v>
      </c>
      <c r="BD24" s="15">
        <f t="shared" si="10"/>
        <v>2.1036806861577015</v>
      </c>
      <c r="BE24" s="15">
        <f t="shared" si="10"/>
        <v>2.1036806861577015</v>
      </c>
      <c r="BF24" s="15">
        <f t="shared" si="10"/>
        <v>2.1036806861577015</v>
      </c>
      <c r="BG24" s="15">
        <f t="shared" si="10"/>
        <v>2.1036806861577015</v>
      </c>
      <c r="BH24" s="15">
        <f t="shared" si="10"/>
        <v>2.1036806861577015</v>
      </c>
      <c r="BI24" s="15">
        <f t="shared" si="10"/>
        <v>2.1036806861577015</v>
      </c>
      <c r="BJ24" s="15">
        <f t="shared" si="10"/>
        <v>2.1036806861577015</v>
      </c>
      <c r="BK24" s="15">
        <f t="shared" si="10"/>
        <v>2.1036806861577015</v>
      </c>
      <c r="BL24" s="15">
        <f t="shared" si="10"/>
        <v>2.1036806861577015</v>
      </c>
      <c r="BM24" s="15">
        <f t="shared" si="10"/>
        <v>2.1036806861577015</v>
      </c>
      <c r="BN24" s="15">
        <f t="shared" si="10"/>
        <v>2.1036806861577015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ht="15.75" customHeight="1">
      <c r="A25" s="278"/>
      <c r="B25" s="17" t="s">
        <v>65</v>
      </c>
      <c r="C25" s="22">
        <f>(C23*(30.48/12)^2/0.4536)*6895</f>
        <v>490341.51234567899</v>
      </c>
      <c r="D25" s="27"/>
      <c r="E25" s="106" t="s">
        <v>45</v>
      </c>
      <c r="F25" s="15">
        <v>0.05</v>
      </c>
      <c r="G25" s="14" t="s">
        <v>61</v>
      </c>
      <c r="H25" s="27"/>
      <c r="I25" s="106" t="s">
        <v>51</v>
      </c>
      <c r="J25" s="15">
        <v>4.8000000000000001E-4</v>
      </c>
      <c r="K25" s="14" t="s">
        <v>61</v>
      </c>
      <c r="L25" s="27"/>
      <c r="M25" s="218"/>
      <c r="N25" s="217"/>
      <c r="O25" s="168" t="s">
        <v>6</v>
      </c>
      <c r="P25" s="181">
        <v>1</v>
      </c>
      <c r="Q25" s="15">
        <f>((-$G46)+($G46^2+4*Q$24^2*(1+$I46))^0.5)/(2*(1+$I46))</f>
        <v>0.84459319041081382</v>
      </c>
      <c r="R25" s="15">
        <f t="shared" ref="R25:BN25" si="11">((-$G46)+($G46^2+4*R$24^2*(1+$I46))^0.5)/(2*(1+$I46))</f>
        <v>0.84862710788096329</v>
      </c>
      <c r="S25" s="15">
        <f t="shared" si="11"/>
        <v>0.84863096487621503</v>
      </c>
      <c r="T25" s="15">
        <f t="shared" si="11"/>
        <v>0.84863096846103958</v>
      </c>
      <c r="U25" s="15">
        <f t="shared" si="11"/>
        <v>0.84863096846436281</v>
      </c>
      <c r="V25" s="15">
        <f t="shared" si="11"/>
        <v>0.84863096846436603</v>
      </c>
      <c r="W25" s="15">
        <f t="shared" si="11"/>
        <v>0.84863096846436603</v>
      </c>
      <c r="X25" s="15">
        <f t="shared" si="11"/>
        <v>0.84863096846436603</v>
      </c>
      <c r="Y25" s="15">
        <f t="shared" si="11"/>
        <v>0.84863096846436603</v>
      </c>
      <c r="Z25" s="15">
        <f t="shared" si="11"/>
        <v>0.84863096846436603</v>
      </c>
      <c r="AA25" s="15">
        <f t="shared" si="11"/>
        <v>0.84863096846436603</v>
      </c>
      <c r="AB25" s="15">
        <f t="shared" si="11"/>
        <v>0.84863096846436603</v>
      </c>
      <c r="AC25" s="15">
        <f t="shared" si="11"/>
        <v>0.84863096846436603</v>
      </c>
      <c r="AD25" s="15">
        <f t="shared" si="11"/>
        <v>0.84863096846436603</v>
      </c>
      <c r="AE25" s="15">
        <f t="shared" si="11"/>
        <v>0.84863096846436603</v>
      </c>
      <c r="AF25" s="15">
        <f t="shared" si="11"/>
        <v>0.84863096846436603</v>
      </c>
      <c r="AG25" s="15">
        <f t="shared" si="11"/>
        <v>0.84863096846436603</v>
      </c>
      <c r="AH25" s="15">
        <f t="shared" si="11"/>
        <v>0.84863096846436603</v>
      </c>
      <c r="AI25" s="15">
        <f t="shared" si="11"/>
        <v>0.84863096846436603</v>
      </c>
      <c r="AJ25" s="15">
        <f t="shared" si="11"/>
        <v>0.84863096846436603</v>
      </c>
      <c r="AK25" s="15">
        <f t="shared" si="11"/>
        <v>0.84863096846436603</v>
      </c>
      <c r="AL25" s="15">
        <f t="shared" si="11"/>
        <v>0.84863096846436603</v>
      </c>
      <c r="AM25" s="15">
        <f t="shared" si="11"/>
        <v>0.84863096846436603</v>
      </c>
      <c r="AN25" s="15">
        <f t="shared" si="11"/>
        <v>0.84863096846436603</v>
      </c>
      <c r="AO25" s="15">
        <f t="shared" si="11"/>
        <v>0.84863096846436603</v>
      </c>
      <c r="AP25" s="15">
        <f t="shared" si="11"/>
        <v>0.84863096846436603</v>
      </c>
      <c r="AQ25" s="15">
        <f t="shared" si="11"/>
        <v>0.84863096846436603</v>
      </c>
      <c r="AR25" s="15">
        <f t="shared" si="11"/>
        <v>0.84863096846436603</v>
      </c>
      <c r="AS25" s="15">
        <f t="shared" si="11"/>
        <v>0.84863096846436603</v>
      </c>
      <c r="AT25" s="15">
        <f t="shared" si="11"/>
        <v>0.84863096846436603</v>
      </c>
      <c r="AU25" s="15">
        <f t="shared" si="11"/>
        <v>0.84863096846436603</v>
      </c>
      <c r="AV25" s="15">
        <f t="shared" si="11"/>
        <v>0.84863096846436603</v>
      </c>
      <c r="AW25" s="15">
        <f t="shared" si="11"/>
        <v>0.84863096846436603</v>
      </c>
      <c r="AX25" s="15">
        <f t="shared" si="11"/>
        <v>0.84863096846436603</v>
      </c>
      <c r="AY25" s="15">
        <f t="shared" si="11"/>
        <v>0.84863096846436603</v>
      </c>
      <c r="AZ25" s="15">
        <f t="shared" si="11"/>
        <v>0.84863096846436603</v>
      </c>
      <c r="BA25" s="15">
        <f t="shared" si="11"/>
        <v>0.84863096846436603</v>
      </c>
      <c r="BB25" s="15">
        <f t="shared" si="11"/>
        <v>0.84863096846436603</v>
      </c>
      <c r="BC25" s="15">
        <f t="shared" si="11"/>
        <v>0.84863096846436603</v>
      </c>
      <c r="BD25" s="15">
        <f t="shared" si="11"/>
        <v>0.84863096846436603</v>
      </c>
      <c r="BE25" s="15">
        <f t="shared" si="11"/>
        <v>0.84863096846436603</v>
      </c>
      <c r="BF25" s="15">
        <f t="shared" si="11"/>
        <v>0.84863096846436603</v>
      </c>
      <c r="BG25" s="15">
        <f t="shared" si="11"/>
        <v>0.84863096846436603</v>
      </c>
      <c r="BH25" s="15">
        <f t="shared" si="11"/>
        <v>0.84863096846436603</v>
      </c>
      <c r="BI25" s="15">
        <f t="shared" si="11"/>
        <v>0.84863096846436603</v>
      </c>
      <c r="BJ25" s="15">
        <f t="shared" si="11"/>
        <v>0.84863096846436603</v>
      </c>
      <c r="BK25" s="15">
        <f t="shared" si="11"/>
        <v>0.84863096846436603</v>
      </c>
      <c r="BL25" s="15">
        <f t="shared" si="11"/>
        <v>0.84863096846436603</v>
      </c>
      <c r="BM25" s="15">
        <f t="shared" si="11"/>
        <v>0.84863096846436603</v>
      </c>
      <c r="BN25" s="15">
        <f t="shared" si="11"/>
        <v>0.84863096846436603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</row>
    <row r="26" spans="1:116" ht="15.75" customHeight="1">
      <c r="A26" s="278"/>
      <c r="B26" s="17" t="s">
        <v>66</v>
      </c>
      <c r="C26" s="22">
        <f>101325</f>
        <v>101325</v>
      </c>
      <c r="D26" s="27"/>
      <c r="E26" s="106" t="s">
        <v>46</v>
      </c>
      <c r="F26" s="15">
        <v>0.05</v>
      </c>
      <c r="G26" s="14" t="s">
        <v>61</v>
      </c>
      <c r="H26" s="27"/>
      <c r="I26" s="106" t="s">
        <v>52</v>
      </c>
      <c r="J26" s="15">
        <v>1.14E-3</v>
      </c>
      <c r="K26" s="14" t="s">
        <v>61</v>
      </c>
      <c r="L26" s="27"/>
      <c r="M26" s="218"/>
      <c r="N26" s="217"/>
      <c r="O26" s="80" t="s">
        <v>7</v>
      </c>
      <c r="P26" s="181">
        <v>1</v>
      </c>
      <c r="Q26" s="15">
        <f>((-$G47)+($G47^2+4*(Q$24-Q28*$G31)^2*(1+$I47))^0.5)/(2*(1+$I47))</f>
        <v>0.80237635799404494</v>
      </c>
      <c r="R26" s="15">
        <f t="shared" ref="R26:BN26" si="12">((-$G47)+($G47^2+4*(R$24-R28*$G31)^2*(1+$I47))^0.5)/(2*(1+$I47))</f>
        <v>0.80641719766998199</v>
      </c>
      <c r="S26" s="15">
        <f t="shared" si="12"/>
        <v>0.80642088971645798</v>
      </c>
      <c r="T26" s="15">
        <f t="shared" si="12"/>
        <v>0.80642089314319221</v>
      </c>
      <c r="U26" s="15">
        <f t="shared" si="12"/>
        <v>0.80642089314636878</v>
      </c>
      <c r="V26" s="15">
        <f t="shared" si="12"/>
        <v>0.80642089314637178</v>
      </c>
      <c r="W26" s="15">
        <f t="shared" si="12"/>
        <v>0.80642089314637178</v>
      </c>
      <c r="X26" s="15">
        <f t="shared" si="12"/>
        <v>0.80642089314637178</v>
      </c>
      <c r="Y26" s="15">
        <f t="shared" si="12"/>
        <v>0.80642089314637178</v>
      </c>
      <c r="Z26" s="15">
        <f t="shared" si="12"/>
        <v>0.80642089314637178</v>
      </c>
      <c r="AA26" s="15">
        <f t="shared" si="12"/>
        <v>0.80642089314637178</v>
      </c>
      <c r="AB26" s="15">
        <f t="shared" si="12"/>
        <v>0.80642089314637178</v>
      </c>
      <c r="AC26" s="15">
        <f t="shared" si="12"/>
        <v>0.80642089314637178</v>
      </c>
      <c r="AD26" s="15">
        <f t="shared" si="12"/>
        <v>0.80642089314637178</v>
      </c>
      <c r="AE26" s="15">
        <f t="shared" si="12"/>
        <v>0.80642089314637178</v>
      </c>
      <c r="AF26" s="15">
        <f t="shared" si="12"/>
        <v>0.80642089314637178</v>
      </c>
      <c r="AG26" s="15">
        <f t="shared" si="12"/>
        <v>0.80642089314637178</v>
      </c>
      <c r="AH26" s="15">
        <f t="shared" si="12"/>
        <v>0.80642089314637178</v>
      </c>
      <c r="AI26" s="15">
        <f t="shared" si="12"/>
        <v>0.80642089314637178</v>
      </c>
      <c r="AJ26" s="15">
        <f t="shared" si="12"/>
        <v>0.80642089314637178</v>
      </c>
      <c r="AK26" s="15">
        <f t="shared" si="12"/>
        <v>0.80642089314637178</v>
      </c>
      <c r="AL26" s="15">
        <f t="shared" si="12"/>
        <v>0.80642089314637178</v>
      </c>
      <c r="AM26" s="15">
        <f t="shared" si="12"/>
        <v>0.80642089314637178</v>
      </c>
      <c r="AN26" s="15">
        <f t="shared" si="12"/>
        <v>0.80642089314637178</v>
      </c>
      <c r="AO26" s="15">
        <f t="shared" si="12"/>
        <v>0.80642089314637178</v>
      </c>
      <c r="AP26" s="15">
        <f t="shared" si="12"/>
        <v>0.80642089314637178</v>
      </c>
      <c r="AQ26" s="15">
        <f t="shared" si="12"/>
        <v>0.80642089314637178</v>
      </c>
      <c r="AR26" s="15">
        <f t="shared" si="12"/>
        <v>0.80642089314637178</v>
      </c>
      <c r="AS26" s="15">
        <f t="shared" si="12"/>
        <v>0.80642089314637178</v>
      </c>
      <c r="AT26" s="15">
        <f t="shared" si="12"/>
        <v>0.80642089314637178</v>
      </c>
      <c r="AU26" s="15">
        <f t="shared" si="12"/>
        <v>0.80642089314637178</v>
      </c>
      <c r="AV26" s="15">
        <f t="shared" si="12"/>
        <v>0.80642089314637178</v>
      </c>
      <c r="AW26" s="15">
        <f t="shared" si="12"/>
        <v>0.80642089314637178</v>
      </c>
      <c r="AX26" s="15">
        <f t="shared" si="12"/>
        <v>0.80642089314637178</v>
      </c>
      <c r="AY26" s="15">
        <f t="shared" si="12"/>
        <v>0.80642089314637178</v>
      </c>
      <c r="AZ26" s="15">
        <f t="shared" si="12"/>
        <v>0.80642089314637178</v>
      </c>
      <c r="BA26" s="15">
        <f t="shared" si="12"/>
        <v>0.80642089314637178</v>
      </c>
      <c r="BB26" s="15">
        <f t="shared" si="12"/>
        <v>0.80642089314637178</v>
      </c>
      <c r="BC26" s="15">
        <f t="shared" si="12"/>
        <v>0.80642089314637178</v>
      </c>
      <c r="BD26" s="15">
        <f t="shared" si="12"/>
        <v>0.80642089314637178</v>
      </c>
      <c r="BE26" s="15">
        <f t="shared" si="12"/>
        <v>0.80642089314637178</v>
      </c>
      <c r="BF26" s="15">
        <f t="shared" si="12"/>
        <v>0.80642089314637178</v>
      </c>
      <c r="BG26" s="15">
        <f t="shared" si="12"/>
        <v>0.80642089314637178</v>
      </c>
      <c r="BH26" s="15">
        <f t="shared" si="12"/>
        <v>0.80642089314637178</v>
      </c>
      <c r="BI26" s="15">
        <f t="shared" si="12"/>
        <v>0.80642089314637178</v>
      </c>
      <c r="BJ26" s="15">
        <f t="shared" si="12"/>
        <v>0.80642089314637178</v>
      </c>
      <c r="BK26" s="15">
        <f t="shared" si="12"/>
        <v>0.80642089314637178</v>
      </c>
      <c r="BL26" s="15">
        <f t="shared" si="12"/>
        <v>0.80642089314637178</v>
      </c>
      <c r="BM26" s="15">
        <f t="shared" si="12"/>
        <v>0.80642089314637178</v>
      </c>
      <c r="BN26" s="15">
        <f t="shared" si="12"/>
        <v>0.80642089314637178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</row>
    <row r="27" spans="1:116" ht="15.75" customHeight="1">
      <c r="A27" s="278"/>
      <c r="B27" s="17" t="s">
        <v>67</v>
      </c>
      <c r="C27" s="22">
        <f>C25-C26</f>
        <v>389016.51234567899</v>
      </c>
      <c r="D27" s="27"/>
      <c r="E27" s="106" t="s">
        <v>47</v>
      </c>
      <c r="F27" s="15">
        <v>0.05</v>
      </c>
      <c r="G27" s="14" t="s">
        <v>61</v>
      </c>
      <c r="H27" s="27"/>
      <c r="I27" s="106" t="s">
        <v>53</v>
      </c>
      <c r="J27" s="15">
        <v>1E-3</v>
      </c>
      <c r="K27" s="14" t="s">
        <v>61</v>
      </c>
      <c r="L27" s="27"/>
      <c r="M27" s="218"/>
      <c r="N27" s="217"/>
      <c r="O27" s="80" t="s">
        <v>8</v>
      </c>
      <c r="P27" s="181">
        <v>1</v>
      </c>
      <c r="Q27" s="15">
        <f>((-$G48)+($G48^2+4*(Q$24-$G31*Q28+$G32*Q29)^2*(1+$I48))^0.5)/(2*(1+$I48))</f>
        <v>0.9233746788018562</v>
      </c>
      <c r="R27" s="15">
        <f t="shared" ref="R27:BN27" si="13">((-$G48)+($G48^2+4*(R$24-$G31*R28+$G32*R29)^2*(1+$I48))^0.5)/(2*(1+$I48))</f>
        <v>0.92784181823713796</v>
      </c>
      <c r="S27" s="15">
        <f t="shared" si="13"/>
        <v>0.92784596193929847</v>
      </c>
      <c r="T27" s="15">
        <f t="shared" si="13"/>
        <v>0.92784596577973966</v>
      </c>
      <c r="U27" s="15">
        <f t="shared" si="13"/>
        <v>0.92784596578330003</v>
      </c>
      <c r="V27" s="15">
        <f t="shared" si="13"/>
        <v>0.92784596578330347</v>
      </c>
      <c r="W27" s="15">
        <f t="shared" si="13"/>
        <v>0.92784596578330347</v>
      </c>
      <c r="X27" s="15">
        <f t="shared" si="13"/>
        <v>0.92784596578330347</v>
      </c>
      <c r="Y27" s="15">
        <f t="shared" si="13"/>
        <v>0.92784596578330347</v>
      </c>
      <c r="Z27" s="15">
        <f t="shared" si="13"/>
        <v>0.92784596578330347</v>
      </c>
      <c r="AA27" s="15">
        <f t="shared" si="13"/>
        <v>0.92784596578330347</v>
      </c>
      <c r="AB27" s="15">
        <f t="shared" si="13"/>
        <v>0.92784596578330347</v>
      </c>
      <c r="AC27" s="15">
        <f t="shared" si="13"/>
        <v>0.92784596578330347</v>
      </c>
      <c r="AD27" s="15">
        <f t="shared" si="13"/>
        <v>0.92784596578330347</v>
      </c>
      <c r="AE27" s="15">
        <f t="shared" si="13"/>
        <v>0.92784596578330347</v>
      </c>
      <c r="AF27" s="15">
        <f t="shared" si="13"/>
        <v>0.92784596578330347</v>
      </c>
      <c r="AG27" s="15">
        <f t="shared" si="13"/>
        <v>0.92784596578330347</v>
      </c>
      <c r="AH27" s="15">
        <f t="shared" si="13"/>
        <v>0.92784596578330347</v>
      </c>
      <c r="AI27" s="15">
        <f t="shared" si="13"/>
        <v>0.92784596578330347</v>
      </c>
      <c r="AJ27" s="15">
        <f t="shared" si="13"/>
        <v>0.92784596578330347</v>
      </c>
      <c r="AK27" s="15">
        <f t="shared" si="13"/>
        <v>0.92784596578330347</v>
      </c>
      <c r="AL27" s="15">
        <f t="shared" si="13"/>
        <v>0.92784596578330347</v>
      </c>
      <c r="AM27" s="15">
        <f t="shared" si="13"/>
        <v>0.92784596578330347</v>
      </c>
      <c r="AN27" s="15">
        <f t="shared" si="13"/>
        <v>0.92784596578330347</v>
      </c>
      <c r="AO27" s="15">
        <f t="shared" si="13"/>
        <v>0.92784596578330347</v>
      </c>
      <c r="AP27" s="15">
        <f t="shared" si="13"/>
        <v>0.92784596578330347</v>
      </c>
      <c r="AQ27" s="15">
        <f t="shared" si="13"/>
        <v>0.92784596578330347</v>
      </c>
      <c r="AR27" s="15">
        <f t="shared" si="13"/>
        <v>0.92784596578330347</v>
      </c>
      <c r="AS27" s="15">
        <f t="shared" si="13"/>
        <v>0.92784596578330347</v>
      </c>
      <c r="AT27" s="15">
        <f t="shared" si="13"/>
        <v>0.92784596578330347</v>
      </c>
      <c r="AU27" s="15">
        <f t="shared" si="13"/>
        <v>0.92784596578330347</v>
      </c>
      <c r="AV27" s="15">
        <f t="shared" si="13"/>
        <v>0.92784596578330347</v>
      </c>
      <c r="AW27" s="15">
        <f t="shared" si="13"/>
        <v>0.92784596578330347</v>
      </c>
      <c r="AX27" s="15">
        <f t="shared" si="13"/>
        <v>0.92784596578330347</v>
      </c>
      <c r="AY27" s="15">
        <f t="shared" si="13"/>
        <v>0.92784596578330347</v>
      </c>
      <c r="AZ27" s="15">
        <f t="shared" si="13"/>
        <v>0.92784596578330347</v>
      </c>
      <c r="BA27" s="15">
        <f t="shared" si="13"/>
        <v>0.92784596578330347</v>
      </c>
      <c r="BB27" s="15">
        <f t="shared" si="13"/>
        <v>0.92784596578330347</v>
      </c>
      <c r="BC27" s="15">
        <f t="shared" si="13"/>
        <v>0.92784596578330347</v>
      </c>
      <c r="BD27" s="15">
        <f t="shared" si="13"/>
        <v>0.92784596578330347</v>
      </c>
      <c r="BE27" s="15">
        <f t="shared" si="13"/>
        <v>0.92784596578330347</v>
      </c>
      <c r="BF27" s="15">
        <f t="shared" si="13"/>
        <v>0.92784596578330347</v>
      </c>
      <c r="BG27" s="15">
        <f t="shared" si="13"/>
        <v>0.92784596578330347</v>
      </c>
      <c r="BH27" s="15">
        <f t="shared" si="13"/>
        <v>0.92784596578330347</v>
      </c>
      <c r="BI27" s="15">
        <f t="shared" si="13"/>
        <v>0.92784596578330347</v>
      </c>
      <c r="BJ27" s="15">
        <f t="shared" si="13"/>
        <v>0.92784596578330347</v>
      </c>
      <c r="BK27" s="15">
        <f t="shared" si="13"/>
        <v>0.92784596578330347</v>
      </c>
      <c r="BL27" s="15">
        <f t="shared" si="13"/>
        <v>0.92784596578330347</v>
      </c>
      <c r="BM27" s="15">
        <f t="shared" si="13"/>
        <v>0.92784596578330347</v>
      </c>
      <c r="BN27" s="15">
        <f t="shared" si="13"/>
        <v>0.92784596578330347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16.5" customHeight="1" thickBot="1">
      <c r="A28" s="278"/>
      <c r="B28" s="18" t="s">
        <v>81</v>
      </c>
      <c r="C28" s="24">
        <f>C27*2/C32</f>
        <v>873.21327125853873</v>
      </c>
      <c r="D28" s="27"/>
      <c r="E28" s="107" t="s">
        <v>48</v>
      </c>
      <c r="F28" s="20">
        <v>0.05</v>
      </c>
      <c r="G28" s="24" t="s">
        <v>61</v>
      </c>
      <c r="H28" s="7"/>
      <c r="I28" s="106" t="s">
        <v>54</v>
      </c>
      <c r="J28" s="15">
        <v>2E-3</v>
      </c>
      <c r="K28" s="14" t="s">
        <v>61</v>
      </c>
      <c r="L28" s="27"/>
      <c r="M28" s="218"/>
      <c r="N28" s="217"/>
      <c r="O28" s="80" t="s">
        <v>9</v>
      </c>
      <c r="P28" s="181">
        <v>1</v>
      </c>
      <c r="Q28" s="15">
        <f>(-$G49+($G49^2-4*($C36*P24+P25*$C39-P25^2-$C28)*(1+$I49))^0.5)/(2*(1+$I49))</f>
        <v>20.907095341755856</v>
      </c>
      <c r="R28" s="15">
        <f>(-$G49+($G49^2-4*($C36*Q24+Q25*$C39-Q25^2-$C28)*(1+$I49))^0.5)/(2*(1+$I49))</f>
        <v>20.903667249023879</v>
      </c>
      <c r="S28" s="15">
        <f>(-$G49+($G49^2-4*($C36*R24+R25*$C39-R25^2-$C28)*(1+$I49))^0.5)/(2*(1+$I49))</f>
        <v>20.903748936814768</v>
      </c>
      <c r="T28" s="15">
        <f>(-$G49+($G49^2-4*($C36*S24+S25*$C39-S25^2-$C28)*(1+$I49))^0.5)/(2*(1+$I49))</f>
        <v>20.903749015105944</v>
      </c>
      <c r="U28" s="15">
        <f t="shared" ref="U28:BN28" si="14">(-$G49+($G49^2-4*($C36*T24+T25*$C39-T25^2-$C28)*(1+$I49))^0.5)/(2*(1+$I49))</f>
        <v>20.903749015178711</v>
      </c>
      <c r="V28" s="15">
        <f t="shared" si="14"/>
        <v>20.903749015178779</v>
      </c>
      <c r="W28" s="15">
        <f t="shared" si="14"/>
        <v>20.903749015178779</v>
      </c>
      <c r="X28" s="15">
        <f t="shared" si="14"/>
        <v>20.903749015178779</v>
      </c>
      <c r="Y28" s="15">
        <f t="shared" si="14"/>
        <v>20.903749015178779</v>
      </c>
      <c r="Z28" s="15">
        <f t="shared" si="14"/>
        <v>20.903749015178779</v>
      </c>
      <c r="AA28" s="15">
        <f t="shared" si="14"/>
        <v>20.903749015178779</v>
      </c>
      <c r="AB28" s="15">
        <f t="shared" si="14"/>
        <v>20.903749015178779</v>
      </c>
      <c r="AC28" s="15">
        <f t="shared" si="14"/>
        <v>20.903749015178779</v>
      </c>
      <c r="AD28" s="15">
        <f t="shared" si="14"/>
        <v>20.903749015178779</v>
      </c>
      <c r="AE28" s="15">
        <f t="shared" si="14"/>
        <v>20.903749015178779</v>
      </c>
      <c r="AF28" s="15">
        <f t="shared" si="14"/>
        <v>20.903749015178779</v>
      </c>
      <c r="AG28" s="15">
        <f t="shared" si="14"/>
        <v>20.903749015178779</v>
      </c>
      <c r="AH28" s="15">
        <f t="shared" si="14"/>
        <v>20.903749015178779</v>
      </c>
      <c r="AI28" s="15">
        <f t="shared" si="14"/>
        <v>20.903749015178779</v>
      </c>
      <c r="AJ28" s="15">
        <f t="shared" si="14"/>
        <v>20.903749015178779</v>
      </c>
      <c r="AK28" s="15">
        <f t="shared" si="14"/>
        <v>20.903749015178779</v>
      </c>
      <c r="AL28" s="15">
        <f t="shared" si="14"/>
        <v>20.903749015178779</v>
      </c>
      <c r="AM28" s="15">
        <f t="shared" si="14"/>
        <v>20.903749015178779</v>
      </c>
      <c r="AN28" s="15">
        <f t="shared" si="14"/>
        <v>20.903749015178779</v>
      </c>
      <c r="AO28" s="15">
        <f t="shared" si="14"/>
        <v>20.903749015178779</v>
      </c>
      <c r="AP28" s="15">
        <f t="shared" si="14"/>
        <v>20.903749015178779</v>
      </c>
      <c r="AQ28" s="15">
        <f t="shared" si="14"/>
        <v>20.903749015178779</v>
      </c>
      <c r="AR28" s="15">
        <f t="shared" si="14"/>
        <v>20.903749015178779</v>
      </c>
      <c r="AS28" s="15">
        <f t="shared" si="14"/>
        <v>20.903749015178779</v>
      </c>
      <c r="AT28" s="15">
        <f t="shared" si="14"/>
        <v>20.903749015178779</v>
      </c>
      <c r="AU28" s="15">
        <f t="shared" si="14"/>
        <v>20.903749015178779</v>
      </c>
      <c r="AV28" s="15">
        <f t="shared" si="14"/>
        <v>20.903749015178779</v>
      </c>
      <c r="AW28" s="15">
        <f t="shared" si="14"/>
        <v>20.903749015178779</v>
      </c>
      <c r="AX28" s="15">
        <f t="shared" si="14"/>
        <v>20.903749015178779</v>
      </c>
      <c r="AY28" s="15">
        <f t="shared" si="14"/>
        <v>20.903749015178779</v>
      </c>
      <c r="AZ28" s="15">
        <f t="shared" si="14"/>
        <v>20.903749015178779</v>
      </c>
      <c r="BA28" s="15">
        <f t="shared" si="14"/>
        <v>20.903749015178779</v>
      </c>
      <c r="BB28" s="15">
        <f t="shared" si="14"/>
        <v>20.903749015178779</v>
      </c>
      <c r="BC28" s="15">
        <f t="shared" si="14"/>
        <v>20.903749015178779</v>
      </c>
      <c r="BD28" s="15">
        <f t="shared" si="14"/>
        <v>20.903749015178779</v>
      </c>
      <c r="BE28" s="15">
        <f t="shared" si="14"/>
        <v>20.903749015178779</v>
      </c>
      <c r="BF28" s="15">
        <f t="shared" si="14"/>
        <v>20.903749015178779</v>
      </c>
      <c r="BG28" s="15">
        <f t="shared" si="14"/>
        <v>20.903749015178779</v>
      </c>
      <c r="BH28" s="15">
        <f t="shared" si="14"/>
        <v>20.903749015178779</v>
      </c>
      <c r="BI28" s="15">
        <f t="shared" si="14"/>
        <v>20.903749015178779</v>
      </c>
      <c r="BJ28" s="15">
        <f t="shared" si="14"/>
        <v>20.903749015178779</v>
      </c>
      <c r="BK28" s="15">
        <f t="shared" si="14"/>
        <v>20.903749015178779</v>
      </c>
      <c r="BL28" s="15">
        <f t="shared" si="14"/>
        <v>20.903749015178779</v>
      </c>
      <c r="BM28" s="15">
        <f t="shared" si="14"/>
        <v>20.903749015178779</v>
      </c>
      <c r="BN28" s="15">
        <f t="shared" si="14"/>
        <v>20.903749015178779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</row>
    <row r="29" spans="1:116" ht="16.5" customHeight="1" thickBot="1">
      <c r="A29" s="278"/>
      <c r="B29" s="27"/>
      <c r="C29" s="27"/>
      <c r="D29" s="27"/>
      <c r="E29" s="27"/>
      <c r="F29" s="27"/>
      <c r="G29" s="7"/>
      <c r="H29" s="7"/>
      <c r="I29" s="107" t="s">
        <v>55</v>
      </c>
      <c r="J29" s="20">
        <v>3.0000000000000001E-3</v>
      </c>
      <c r="K29" s="21" t="s">
        <v>61</v>
      </c>
      <c r="L29" s="27"/>
      <c r="M29" s="218"/>
      <c r="N29" s="217"/>
      <c r="O29" s="80" t="s">
        <v>10</v>
      </c>
      <c r="P29" s="181">
        <v>1</v>
      </c>
      <c r="Q29" s="15">
        <f>(-$G50+($G50^2-4*($C36*P24+$C40*P26+(P24-Q28*$G31)*($C37+$G52+I52*(P24-Q28*$G31))-P26^2-$C28)*(1+$I50))^0.5)/(2*(1+$I50))</f>
        <v>20.829449627287993</v>
      </c>
      <c r="R29" s="15">
        <f>(-$G50+($G50^2-4*($C36*Q24+$C40*Q26+(Q24-R28*$G31)*($C37+$G52+J52*(Q24-R28*$G31))-Q26^2-$C28)*(1+$I50))^0.5)/(2*(1+$I50))</f>
        <v>20.902835681773016</v>
      </c>
      <c r="S29" s="15">
        <f>(-$G50+($G50^2-4*($C36*R24+$C40*R26+(R24-S28*$G31)*($C37+$G52+K52*(R24-S28*$G31))-R26^2-$C28)*(1+$I50))^0.5)/(2*(1+$I50))</f>
        <v>20.902913432763825</v>
      </c>
      <c r="T29" s="15">
        <f>(-$G50+($G50^2-4*($C36*S24+$C40*S26+(S24-T28*$G31)*($C37+$G52+L52*(S24-T28*$G31))-S26^2-$C28)*(1+$I50))^0.5)/(2*(1+$I50))</f>
        <v>20.902913503982045</v>
      </c>
      <c r="U29" s="15">
        <f t="shared" ref="U29:BN29" si="15">(-$G50+($G50^2-4*($C36*T24+$C40*T26+(T24-U28*$G31)*($C37+$G52+M52*(T24-U28*$G31))-T26^2-$C28)*(1+$I50))^0.5)/(2*(1+$I50))</f>
        <v>20.902913504048144</v>
      </c>
      <c r="V29" s="15">
        <f t="shared" si="15"/>
        <v>20.902913504048207</v>
      </c>
      <c r="W29" s="15">
        <f t="shared" si="15"/>
        <v>20.902913504048207</v>
      </c>
      <c r="X29" s="15">
        <f t="shared" si="15"/>
        <v>20.902913504048207</v>
      </c>
      <c r="Y29" s="15">
        <f t="shared" si="15"/>
        <v>20.902913504048207</v>
      </c>
      <c r="Z29" s="15">
        <f t="shared" si="15"/>
        <v>20.902913504048207</v>
      </c>
      <c r="AA29" s="15">
        <f t="shared" si="15"/>
        <v>20.902913504048207</v>
      </c>
      <c r="AB29" s="15">
        <f t="shared" si="15"/>
        <v>20.902913504048207</v>
      </c>
      <c r="AC29" s="15">
        <f t="shared" si="15"/>
        <v>20.902913504048207</v>
      </c>
      <c r="AD29" s="15">
        <f t="shared" si="15"/>
        <v>20.902913504048207</v>
      </c>
      <c r="AE29" s="15">
        <f t="shared" si="15"/>
        <v>20.902913504048207</v>
      </c>
      <c r="AF29" s="15">
        <f t="shared" si="15"/>
        <v>20.902913504048207</v>
      </c>
      <c r="AG29" s="15">
        <f t="shared" si="15"/>
        <v>20.902913504048207</v>
      </c>
      <c r="AH29" s="15">
        <f t="shared" si="15"/>
        <v>20.902913504048207</v>
      </c>
      <c r="AI29" s="15">
        <f t="shared" si="15"/>
        <v>20.902913504048207</v>
      </c>
      <c r="AJ29" s="15">
        <f t="shared" si="15"/>
        <v>20.902913504048207</v>
      </c>
      <c r="AK29" s="15">
        <f t="shared" si="15"/>
        <v>20.902913504048207</v>
      </c>
      <c r="AL29" s="15">
        <f t="shared" si="15"/>
        <v>20.902913504048207</v>
      </c>
      <c r="AM29" s="15">
        <f t="shared" si="15"/>
        <v>20.902913504048207</v>
      </c>
      <c r="AN29" s="15">
        <f t="shared" si="15"/>
        <v>20.902913504048207</v>
      </c>
      <c r="AO29" s="15">
        <f t="shared" si="15"/>
        <v>20.902913504048207</v>
      </c>
      <c r="AP29" s="15">
        <f t="shared" si="15"/>
        <v>20.902913504048207</v>
      </c>
      <c r="AQ29" s="15">
        <f t="shared" si="15"/>
        <v>20.902913504048207</v>
      </c>
      <c r="AR29" s="15">
        <f t="shared" si="15"/>
        <v>20.902913504048207</v>
      </c>
      <c r="AS29" s="15">
        <f t="shared" si="15"/>
        <v>20.902913504048207</v>
      </c>
      <c r="AT29" s="15">
        <f t="shared" si="15"/>
        <v>20.902913504048207</v>
      </c>
      <c r="AU29" s="15">
        <f t="shared" si="15"/>
        <v>20.902913504048207</v>
      </c>
      <c r="AV29" s="15">
        <f t="shared" si="15"/>
        <v>20.902913504048207</v>
      </c>
      <c r="AW29" s="15">
        <f t="shared" si="15"/>
        <v>20.902913504048207</v>
      </c>
      <c r="AX29" s="15">
        <f t="shared" si="15"/>
        <v>20.902913504048207</v>
      </c>
      <c r="AY29" s="15">
        <f t="shared" si="15"/>
        <v>20.902913504048207</v>
      </c>
      <c r="AZ29" s="15">
        <f t="shared" si="15"/>
        <v>20.902913504048207</v>
      </c>
      <c r="BA29" s="15">
        <f t="shared" si="15"/>
        <v>20.902913504048207</v>
      </c>
      <c r="BB29" s="15">
        <f t="shared" si="15"/>
        <v>20.902913504048207</v>
      </c>
      <c r="BC29" s="15">
        <f t="shared" si="15"/>
        <v>20.902913504048207</v>
      </c>
      <c r="BD29" s="15">
        <f t="shared" si="15"/>
        <v>20.902913504048207</v>
      </c>
      <c r="BE29" s="15">
        <f t="shared" si="15"/>
        <v>20.902913504048207</v>
      </c>
      <c r="BF29" s="15">
        <f t="shared" si="15"/>
        <v>20.902913504048207</v>
      </c>
      <c r="BG29" s="15">
        <f t="shared" si="15"/>
        <v>20.902913504048207</v>
      </c>
      <c r="BH29" s="15">
        <f t="shared" si="15"/>
        <v>20.902913504048207</v>
      </c>
      <c r="BI29" s="15">
        <f t="shared" si="15"/>
        <v>20.902913504048207</v>
      </c>
      <c r="BJ29" s="15">
        <f t="shared" si="15"/>
        <v>20.902913504048207</v>
      </c>
      <c r="BK29" s="15">
        <f t="shared" si="15"/>
        <v>20.902913504048207</v>
      </c>
      <c r="BL29" s="15">
        <f t="shared" si="15"/>
        <v>20.902913504048207</v>
      </c>
      <c r="BM29" s="15">
        <f t="shared" si="15"/>
        <v>20.902913504048207</v>
      </c>
      <c r="BN29" s="15">
        <f t="shared" si="15"/>
        <v>20.902913504048207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</row>
    <row r="30" spans="1:116" ht="16.5" customHeight="1" thickBot="1">
      <c r="A30" s="278"/>
      <c r="B30" s="207" t="s">
        <v>69</v>
      </c>
      <c r="C30" s="208"/>
      <c r="D30" s="209"/>
      <c r="F30" s="228" t="s">
        <v>63</v>
      </c>
      <c r="G30" s="230"/>
      <c r="H30" s="7"/>
      <c r="I30" s="27"/>
      <c r="J30" s="27"/>
      <c r="K30" s="27"/>
      <c r="L30" s="27"/>
      <c r="M30" s="218"/>
      <c r="N30" s="217"/>
      <c r="O30" s="80" t="s">
        <v>11</v>
      </c>
      <c r="P30" s="181">
        <v>1</v>
      </c>
      <c r="Q30" s="15">
        <f>(-$G51+($G51^2-4*($C36*P24+$C41*P27+(P24-Q28*$G31)*($C37+$G52+I52*(P24-Q28*$G31))+(P24-Q28*$G31-Q29*$G32)*($C38+$G53+I53*(P24-Q28*$G31-Q29*$G32))-P27^2-$C28)*(1+$I51))^0.5)/(2*(1+$I51))</f>
        <v>20.795020578131105</v>
      </c>
      <c r="R30" s="15">
        <f>(-$G51+($G51^2-4*($C36*Q24+$C41*Q27+(Q24-R28*$G31)*($C37+$G52+J52*(Q24-R28*$G31))+(Q24-R28*$G31-R29*$G32)*($C38+$G53+J53*(Q24-R28*$G31-R29*$G32))-Q27^2-$C28)*(1+$I51))^0.5)/(2*(1+$I51))</f>
        <v>20.905332956640407</v>
      </c>
      <c r="S30" s="15">
        <f>(-$G51+($G51^2-4*($C36*R24+$C41*R27+(R24-S28*$G31)*($C37+$G52+K52*(R24-S28*$G31))+(R24-S28*$G31-S29*$G32)*($C38+$G53+K53*(R24-S28*$G31-S29*$G32))-R27^2-$C28)*(1+$I51))^0.5)/(2*(1+$I51))</f>
        <v>20.905431850337465</v>
      </c>
      <c r="T30" s="15">
        <f>(-$G51+($G51^2-4*($C36*S24+$C41*S27+(S24-T28*$G31)*($C37+$G52+L52*(S24-T28*$G31))+(S24-T28*$G31-T29*$G32)*($C38+$G53+L53*(S24-T28*$G31-T29*$G32))-S27^2-$C28)*(1+$I51))^0.5)/(2*(1+$I51))</f>
        <v>20.905431942292246</v>
      </c>
      <c r="U30" s="15">
        <f t="shared" ref="U30:BN30" si="16">(-$G51+($G51^2-4*($C36*T24+$C41*T27+(T24-U28*$G31)*($C37+$G52+M52*(T24-U28*$G31))+(T24-U28*$G31-U29*$G32)*($C38+$G53+M53*(T24-U28*$G31-U29*$G32))-T27^2-$C28)*(1+$I51))^0.5)/(2*(1+$I51))</f>
        <v>20.905431942377472</v>
      </c>
      <c r="V30" s="15">
        <f t="shared" si="16"/>
        <v>20.90543194237755</v>
      </c>
      <c r="W30" s="15">
        <f t="shared" si="16"/>
        <v>20.90543194237755</v>
      </c>
      <c r="X30" s="15">
        <f t="shared" si="16"/>
        <v>20.90543194237755</v>
      </c>
      <c r="Y30" s="15">
        <f t="shared" si="16"/>
        <v>20.90543194237755</v>
      </c>
      <c r="Z30" s="15">
        <f t="shared" si="16"/>
        <v>20.90543194237755</v>
      </c>
      <c r="AA30" s="15">
        <f t="shared" si="16"/>
        <v>20.90543194237755</v>
      </c>
      <c r="AB30" s="15">
        <f t="shared" si="16"/>
        <v>20.90543194237755</v>
      </c>
      <c r="AC30" s="15">
        <f t="shared" si="16"/>
        <v>20.90543194237755</v>
      </c>
      <c r="AD30" s="15">
        <f t="shared" si="16"/>
        <v>20.90543194237755</v>
      </c>
      <c r="AE30" s="15">
        <f t="shared" si="16"/>
        <v>20.90543194237755</v>
      </c>
      <c r="AF30" s="15">
        <f t="shared" si="16"/>
        <v>20.90543194237755</v>
      </c>
      <c r="AG30" s="15">
        <f t="shared" si="16"/>
        <v>20.90543194237755</v>
      </c>
      <c r="AH30" s="15">
        <f t="shared" si="16"/>
        <v>20.90543194237755</v>
      </c>
      <c r="AI30" s="15">
        <f t="shared" si="16"/>
        <v>20.90543194237755</v>
      </c>
      <c r="AJ30" s="15">
        <f t="shared" si="16"/>
        <v>20.90543194237755</v>
      </c>
      <c r="AK30" s="15">
        <f t="shared" si="16"/>
        <v>20.90543194237755</v>
      </c>
      <c r="AL30" s="15">
        <f t="shared" si="16"/>
        <v>20.90543194237755</v>
      </c>
      <c r="AM30" s="15">
        <f t="shared" si="16"/>
        <v>20.90543194237755</v>
      </c>
      <c r="AN30" s="15">
        <f t="shared" si="16"/>
        <v>20.90543194237755</v>
      </c>
      <c r="AO30" s="15">
        <f t="shared" si="16"/>
        <v>20.90543194237755</v>
      </c>
      <c r="AP30" s="15">
        <f t="shared" si="16"/>
        <v>20.90543194237755</v>
      </c>
      <c r="AQ30" s="15">
        <f t="shared" si="16"/>
        <v>20.90543194237755</v>
      </c>
      <c r="AR30" s="15">
        <f t="shared" si="16"/>
        <v>20.90543194237755</v>
      </c>
      <c r="AS30" s="15">
        <f t="shared" si="16"/>
        <v>20.90543194237755</v>
      </c>
      <c r="AT30" s="15">
        <f t="shared" si="16"/>
        <v>20.90543194237755</v>
      </c>
      <c r="AU30" s="15">
        <f t="shared" si="16"/>
        <v>20.90543194237755</v>
      </c>
      <c r="AV30" s="15">
        <f t="shared" si="16"/>
        <v>20.90543194237755</v>
      </c>
      <c r="AW30" s="15">
        <f t="shared" si="16"/>
        <v>20.90543194237755</v>
      </c>
      <c r="AX30" s="15">
        <f t="shared" si="16"/>
        <v>20.90543194237755</v>
      </c>
      <c r="AY30" s="15">
        <f t="shared" si="16"/>
        <v>20.90543194237755</v>
      </c>
      <c r="AZ30" s="15">
        <f t="shared" si="16"/>
        <v>20.90543194237755</v>
      </c>
      <c r="BA30" s="15">
        <f t="shared" si="16"/>
        <v>20.90543194237755</v>
      </c>
      <c r="BB30" s="15">
        <f t="shared" si="16"/>
        <v>20.90543194237755</v>
      </c>
      <c r="BC30" s="15">
        <f t="shared" si="16"/>
        <v>20.90543194237755</v>
      </c>
      <c r="BD30" s="15">
        <f t="shared" si="16"/>
        <v>20.90543194237755</v>
      </c>
      <c r="BE30" s="15">
        <f t="shared" si="16"/>
        <v>20.90543194237755</v>
      </c>
      <c r="BF30" s="15">
        <f t="shared" si="16"/>
        <v>20.90543194237755</v>
      </c>
      <c r="BG30" s="15">
        <f t="shared" si="16"/>
        <v>20.90543194237755</v>
      </c>
      <c r="BH30" s="15">
        <f t="shared" si="16"/>
        <v>20.90543194237755</v>
      </c>
      <c r="BI30" s="15">
        <f t="shared" si="16"/>
        <v>20.90543194237755</v>
      </c>
      <c r="BJ30" s="15">
        <f t="shared" si="16"/>
        <v>20.90543194237755</v>
      </c>
      <c r="BK30" s="15">
        <f t="shared" si="16"/>
        <v>20.90543194237755</v>
      </c>
      <c r="BL30" s="15">
        <f t="shared" si="16"/>
        <v>20.90543194237755</v>
      </c>
      <c r="BM30" s="15">
        <f t="shared" si="16"/>
        <v>20.90543194237755</v>
      </c>
      <c r="BN30" s="15">
        <f t="shared" si="16"/>
        <v>20.90543194237755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</row>
    <row r="31" spans="1:116" ht="15.75" customHeight="1">
      <c r="A31" s="278"/>
      <c r="B31" s="17" t="s">
        <v>3</v>
      </c>
      <c r="C31" s="15">
        <v>0</v>
      </c>
      <c r="D31" s="14"/>
      <c r="F31" s="115" t="s">
        <v>75</v>
      </c>
      <c r="G31" s="22">
        <f>J33/J32</f>
        <v>5.0055624999999996E-3</v>
      </c>
      <c r="H31" s="112"/>
      <c r="I31" s="207" t="s">
        <v>18</v>
      </c>
      <c r="J31" s="208"/>
      <c r="K31" s="209"/>
      <c r="L31" s="27"/>
      <c r="M31" s="218"/>
      <c r="N31" s="315" t="s">
        <v>41</v>
      </c>
      <c r="O31" s="315"/>
      <c r="P31" s="15"/>
      <c r="Q31" s="15" t="str">
        <f t="shared" ref="Q31:AV31" si="17">IF((Q28-P28)=0,"Yes","No")</f>
        <v>No</v>
      </c>
      <c r="R31" s="15" t="str">
        <f t="shared" si="17"/>
        <v>No</v>
      </c>
      <c r="S31" s="15" t="str">
        <f t="shared" si="17"/>
        <v>No</v>
      </c>
      <c r="T31" s="15" t="str">
        <f t="shared" si="17"/>
        <v>No</v>
      </c>
      <c r="U31" s="15" t="str">
        <f t="shared" si="17"/>
        <v>No</v>
      </c>
      <c r="V31" s="15" t="str">
        <f t="shared" si="17"/>
        <v>No</v>
      </c>
      <c r="W31" s="15" t="str">
        <f t="shared" si="17"/>
        <v>Yes</v>
      </c>
      <c r="X31" s="15" t="str">
        <f t="shared" si="17"/>
        <v>Yes</v>
      </c>
      <c r="Y31" s="15" t="str">
        <f t="shared" si="17"/>
        <v>Yes</v>
      </c>
      <c r="Z31" s="15" t="str">
        <f t="shared" si="17"/>
        <v>Yes</v>
      </c>
      <c r="AA31" s="15" t="str">
        <f t="shared" si="17"/>
        <v>Yes</v>
      </c>
      <c r="AB31" s="15" t="str">
        <f t="shared" si="17"/>
        <v>Yes</v>
      </c>
      <c r="AC31" s="15" t="str">
        <f t="shared" si="17"/>
        <v>Yes</v>
      </c>
      <c r="AD31" s="15" t="str">
        <f t="shared" si="17"/>
        <v>Yes</v>
      </c>
      <c r="AE31" s="15" t="str">
        <f t="shared" si="17"/>
        <v>Yes</v>
      </c>
      <c r="AF31" s="15" t="str">
        <f t="shared" si="17"/>
        <v>Yes</v>
      </c>
      <c r="AG31" s="15" t="str">
        <f t="shared" si="17"/>
        <v>Yes</v>
      </c>
      <c r="AH31" s="15" t="str">
        <f t="shared" si="17"/>
        <v>Yes</v>
      </c>
      <c r="AI31" s="15" t="str">
        <f t="shared" si="17"/>
        <v>Yes</v>
      </c>
      <c r="AJ31" s="15" t="str">
        <f t="shared" si="17"/>
        <v>Yes</v>
      </c>
      <c r="AK31" s="15" t="str">
        <f t="shared" si="17"/>
        <v>Yes</v>
      </c>
      <c r="AL31" s="15" t="str">
        <f t="shared" si="17"/>
        <v>Yes</v>
      </c>
      <c r="AM31" s="15" t="str">
        <f t="shared" si="17"/>
        <v>Yes</v>
      </c>
      <c r="AN31" s="15" t="str">
        <f t="shared" si="17"/>
        <v>Yes</v>
      </c>
      <c r="AO31" s="15" t="str">
        <f t="shared" si="17"/>
        <v>Yes</v>
      </c>
      <c r="AP31" s="15" t="str">
        <f t="shared" si="17"/>
        <v>Yes</v>
      </c>
      <c r="AQ31" s="15" t="str">
        <f t="shared" si="17"/>
        <v>Yes</v>
      </c>
      <c r="AR31" s="15" t="str">
        <f t="shared" si="17"/>
        <v>Yes</v>
      </c>
      <c r="AS31" s="15" t="str">
        <f t="shared" si="17"/>
        <v>Yes</v>
      </c>
      <c r="AT31" s="15" t="str">
        <f t="shared" si="17"/>
        <v>Yes</v>
      </c>
      <c r="AU31" s="15" t="str">
        <f t="shared" si="17"/>
        <v>Yes</v>
      </c>
      <c r="AV31" s="15" t="str">
        <f t="shared" si="17"/>
        <v>Yes</v>
      </c>
      <c r="AW31" s="15" t="str">
        <f t="shared" ref="AW31:BN31" si="18">IF((AW28-AV28)=0,"Yes","No")</f>
        <v>Yes</v>
      </c>
      <c r="AX31" s="15" t="str">
        <f t="shared" si="18"/>
        <v>Yes</v>
      </c>
      <c r="AY31" s="15" t="str">
        <f t="shared" si="18"/>
        <v>Yes</v>
      </c>
      <c r="AZ31" s="15" t="str">
        <f t="shared" si="18"/>
        <v>Yes</v>
      </c>
      <c r="BA31" s="15" t="str">
        <f t="shared" si="18"/>
        <v>Yes</v>
      </c>
      <c r="BB31" s="15" t="str">
        <f t="shared" si="18"/>
        <v>Yes</v>
      </c>
      <c r="BC31" s="15" t="str">
        <f t="shared" si="18"/>
        <v>Yes</v>
      </c>
      <c r="BD31" s="15" t="str">
        <f t="shared" si="18"/>
        <v>Yes</v>
      </c>
      <c r="BE31" s="15" t="str">
        <f t="shared" si="18"/>
        <v>Yes</v>
      </c>
      <c r="BF31" s="15" t="str">
        <f t="shared" si="18"/>
        <v>Yes</v>
      </c>
      <c r="BG31" s="15" t="str">
        <f t="shared" si="18"/>
        <v>Yes</v>
      </c>
      <c r="BH31" s="15" t="str">
        <f t="shared" si="18"/>
        <v>Yes</v>
      </c>
      <c r="BI31" s="15" t="str">
        <f t="shared" si="18"/>
        <v>Yes</v>
      </c>
      <c r="BJ31" s="15" t="str">
        <f t="shared" si="18"/>
        <v>Yes</v>
      </c>
      <c r="BK31" s="15" t="str">
        <f t="shared" si="18"/>
        <v>Yes</v>
      </c>
      <c r="BL31" s="15" t="str">
        <f t="shared" si="18"/>
        <v>Yes</v>
      </c>
      <c r="BM31" s="15" t="str">
        <f t="shared" si="18"/>
        <v>Yes</v>
      </c>
      <c r="BN31" s="15" t="str">
        <f t="shared" si="18"/>
        <v>Yes</v>
      </c>
    </row>
    <row r="32" spans="1:116" ht="15.75" customHeight="1">
      <c r="A32" s="278"/>
      <c r="B32" s="17" t="s">
        <v>2</v>
      </c>
      <c r="C32" s="15">
        <v>891</v>
      </c>
      <c r="D32" s="14" t="s">
        <v>71</v>
      </c>
      <c r="F32" s="115" t="s">
        <v>76</v>
      </c>
      <c r="G32" s="22">
        <f>J34/J32</f>
        <v>1.4400000000000001E-2</v>
      </c>
      <c r="H32" s="27"/>
      <c r="I32" s="106" t="s">
        <v>56</v>
      </c>
      <c r="J32" s="15">
        <f>J23^2*PI()/4</f>
        <v>1.2566370614359172E-5</v>
      </c>
      <c r="K32" s="14" t="s">
        <v>60</v>
      </c>
      <c r="L32" s="27"/>
      <c r="M32" s="218"/>
      <c r="N32" s="315"/>
      <c r="O32" s="315"/>
      <c r="P32" s="15"/>
      <c r="Q32" s="15" t="str">
        <f t="shared" ref="Q32:AV32" si="19">IF((Q29-P29)=0,"Yes","No")</f>
        <v>No</v>
      </c>
      <c r="R32" s="15" t="str">
        <f t="shared" si="19"/>
        <v>No</v>
      </c>
      <c r="S32" s="15" t="str">
        <f t="shared" si="19"/>
        <v>No</v>
      </c>
      <c r="T32" s="15" t="str">
        <f t="shared" si="19"/>
        <v>No</v>
      </c>
      <c r="U32" s="15" t="str">
        <f t="shared" si="19"/>
        <v>No</v>
      </c>
      <c r="V32" s="15" t="str">
        <f t="shared" si="19"/>
        <v>No</v>
      </c>
      <c r="W32" s="15" t="str">
        <f t="shared" si="19"/>
        <v>Yes</v>
      </c>
      <c r="X32" s="15" t="str">
        <f t="shared" si="19"/>
        <v>Yes</v>
      </c>
      <c r="Y32" s="15" t="str">
        <f t="shared" si="19"/>
        <v>Yes</v>
      </c>
      <c r="Z32" s="15" t="str">
        <f t="shared" si="19"/>
        <v>Yes</v>
      </c>
      <c r="AA32" s="15" t="str">
        <f t="shared" si="19"/>
        <v>Yes</v>
      </c>
      <c r="AB32" s="15" t="str">
        <f t="shared" si="19"/>
        <v>Yes</v>
      </c>
      <c r="AC32" s="15" t="str">
        <f t="shared" si="19"/>
        <v>Yes</v>
      </c>
      <c r="AD32" s="15" t="str">
        <f t="shared" si="19"/>
        <v>Yes</v>
      </c>
      <c r="AE32" s="15" t="str">
        <f t="shared" si="19"/>
        <v>Yes</v>
      </c>
      <c r="AF32" s="15" t="str">
        <f t="shared" si="19"/>
        <v>Yes</v>
      </c>
      <c r="AG32" s="15" t="str">
        <f t="shared" si="19"/>
        <v>Yes</v>
      </c>
      <c r="AH32" s="15" t="str">
        <f t="shared" si="19"/>
        <v>Yes</v>
      </c>
      <c r="AI32" s="15" t="str">
        <f t="shared" si="19"/>
        <v>Yes</v>
      </c>
      <c r="AJ32" s="15" t="str">
        <f t="shared" si="19"/>
        <v>Yes</v>
      </c>
      <c r="AK32" s="15" t="str">
        <f t="shared" si="19"/>
        <v>Yes</v>
      </c>
      <c r="AL32" s="15" t="str">
        <f t="shared" si="19"/>
        <v>Yes</v>
      </c>
      <c r="AM32" s="15" t="str">
        <f t="shared" si="19"/>
        <v>Yes</v>
      </c>
      <c r="AN32" s="15" t="str">
        <f t="shared" si="19"/>
        <v>Yes</v>
      </c>
      <c r="AO32" s="15" t="str">
        <f t="shared" si="19"/>
        <v>Yes</v>
      </c>
      <c r="AP32" s="15" t="str">
        <f t="shared" si="19"/>
        <v>Yes</v>
      </c>
      <c r="AQ32" s="15" t="str">
        <f t="shared" si="19"/>
        <v>Yes</v>
      </c>
      <c r="AR32" s="15" t="str">
        <f t="shared" si="19"/>
        <v>Yes</v>
      </c>
      <c r="AS32" s="15" t="str">
        <f t="shared" si="19"/>
        <v>Yes</v>
      </c>
      <c r="AT32" s="15" t="str">
        <f t="shared" si="19"/>
        <v>Yes</v>
      </c>
      <c r="AU32" s="15" t="str">
        <f t="shared" si="19"/>
        <v>Yes</v>
      </c>
      <c r="AV32" s="15" t="str">
        <f t="shared" si="19"/>
        <v>Yes</v>
      </c>
      <c r="AW32" s="15" t="str">
        <f t="shared" ref="AW32:BN32" si="20">IF((AW29-AV29)=0,"Yes","No")</f>
        <v>Yes</v>
      </c>
      <c r="AX32" s="15" t="str">
        <f t="shared" si="20"/>
        <v>Yes</v>
      </c>
      <c r="AY32" s="15" t="str">
        <f t="shared" si="20"/>
        <v>Yes</v>
      </c>
      <c r="AZ32" s="15" t="str">
        <f t="shared" si="20"/>
        <v>Yes</v>
      </c>
      <c r="BA32" s="15" t="str">
        <f t="shared" si="20"/>
        <v>Yes</v>
      </c>
      <c r="BB32" s="15" t="str">
        <f t="shared" si="20"/>
        <v>Yes</v>
      </c>
      <c r="BC32" s="15" t="str">
        <f t="shared" si="20"/>
        <v>Yes</v>
      </c>
      <c r="BD32" s="15" t="str">
        <f t="shared" si="20"/>
        <v>Yes</v>
      </c>
      <c r="BE32" s="15" t="str">
        <f t="shared" si="20"/>
        <v>Yes</v>
      </c>
      <c r="BF32" s="15" t="str">
        <f t="shared" si="20"/>
        <v>Yes</v>
      </c>
      <c r="BG32" s="15" t="str">
        <f t="shared" si="20"/>
        <v>Yes</v>
      </c>
      <c r="BH32" s="15" t="str">
        <f t="shared" si="20"/>
        <v>Yes</v>
      </c>
      <c r="BI32" s="15" t="str">
        <f t="shared" si="20"/>
        <v>Yes</v>
      </c>
      <c r="BJ32" s="15" t="str">
        <f t="shared" si="20"/>
        <v>Yes</v>
      </c>
      <c r="BK32" s="15" t="str">
        <f t="shared" si="20"/>
        <v>Yes</v>
      </c>
      <c r="BL32" s="15" t="str">
        <f t="shared" si="20"/>
        <v>Yes</v>
      </c>
      <c r="BM32" s="15" t="str">
        <f t="shared" si="20"/>
        <v>Yes</v>
      </c>
      <c r="BN32" s="15" t="str">
        <f t="shared" si="20"/>
        <v>Yes</v>
      </c>
    </row>
    <row r="33" spans="1:116" ht="15.75" customHeight="1" thickBot="1">
      <c r="A33" s="278"/>
      <c r="B33" s="18" t="s">
        <v>29</v>
      </c>
      <c r="C33" s="20">
        <f>2*9.81</f>
        <v>19.62</v>
      </c>
      <c r="D33" s="21" t="s">
        <v>70</v>
      </c>
      <c r="F33" s="115" t="s">
        <v>77</v>
      </c>
      <c r="G33" s="22">
        <f>J35/J32</f>
        <v>8.1224999999999992E-2</v>
      </c>
      <c r="H33" s="27"/>
      <c r="I33" s="106" t="s">
        <v>57</v>
      </c>
      <c r="J33" s="15">
        <f t="shared" ref="J33:J38" si="21">J24^2*PI()/4</f>
        <v>6.2901753508338228E-8</v>
      </c>
      <c r="K33" s="14" t="s">
        <v>60</v>
      </c>
      <c r="L33" s="27"/>
      <c r="M33" s="218"/>
      <c r="N33" s="315"/>
      <c r="O33" s="315"/>
      <c r="P33" s="15"/>
      <c r="Q33" s="15" t="str">
        <f t="shared" ref="Q33:AV33" si="22">IF((Q30-P30)=0,"Yes","No")</f>
        <v>No</v>
      </c>
      <c r="R33" s="15" t="str">
        <f t="shared" si="22"/>
        <v>No</v>
      </c>
      <c r="S33" s="15" t="str">
        <f t="shared" si="22"/>
        <v>No</v>
      </c>
      <c r="T33" s="15" t="str">
        <f t="shared" si="22"/>
        <v>No</v>
      </c>
      <c r="U33" s="15" t="str">
        <f t="shared" si="22"/>
        <v>No</v>
      </c>
      <c r="V33" s="15" t="str">
        <f t="shared" si="22"/>
        <v>No</v>
      </c>
      <c r="W33" s="15" t="str">
        <f t="shared" si="22"/>
        <v>Yes</v>
      </c>
      <c r="X33" s="15" t="str">
        <f t="shared" si="22"/>
        <v>Yes</v>
      </c>
      <c r="Y33" s="15" t="str">
        <f t="shared" si="22"/>
        <v>Yes</v>
      </c>
      <c r="Z33" s="15" t="str">
        <f t="shared" si="22"/>
        <v>Yes</v>
      </c>
      <c r="AA33" s="15" t="str">
        <f t="shared" si="22"/>
        <v>Yes</v>
      </c>
      <c r="AB33" s="15" t="str">
        <f t="shared" si="22"/>
        <v>Yes</v>
      </c>
      <c r="AC33" s="15" t="str">
        <f t="shared" si="22"/>
        <v>Yes</v>
      </c>
      <c r="AD33" s="15" t="str">
        <f t="shared" si="22"/>
        <v>Yes</v>
      </c>
      <c r="AE33" s="15" t="str">
        <f t="shared" si="22"/>
        <v>Yes</v>
      </c>
      <c r="AF33" s="15" t="str">
        <f t="shared" si="22"/>
        <v>Yes</v>
      </c>
      <c r="AG33" s="15" t="str">
        <f t="shared" si="22"/>
        <v>Yes</v>
      </c>
      <c r="AH33" s="15" t="str">
        <f t="shared" si="22"/>
        <v>Yes</v>
      </c>
      <c r="AI33" s="15" t="str">
        <f t="shared" si="22"/>
        <v>Yes</v>
      </c>
      <c r="AJ33" s="15" t="str">
        <f t="shared" si="22"/>
        <v>Yes</v>
      </c>
      <c r="AK33" s="15" t="str">
        <f t="shared" si="22"/>
        <v>Yes</v>
      </c>
      <c r="AL33" s="15" t="str">
        <f t="shared" si="22"/>
        <v>Yes</v>
      </c>
      <c r="AM33" s="15" t="str">
        <f t="shared" si="22"/>
        <v>Yes</v>
      </c>
      <c r="AN33" s="15" t="str">
        <f t="shared" si="22"/>
        <v>Yes</v>
      </c>
      <c r="AO33" s="15" t="str">
        <f t="shared" si="22"/>
        <v>Yes</v>
      </c>
      <c r="AP33" s="15" t="str">
        <f t="shared" si="22"/>
        <v>Yes</v>
      </c>
      <c r="AQ33" s="15" t="str">
        <f t="shared" si="22"/>
        <v>Yes</v>
      </c>
      <c r="AR33" s="15" t="str">
        <f t="shared" si="22"/>
        <v>Yes</v>
      </c>
      <c r="AS33" s="15" t="str">
        <f t="shared" si="22"/>
        <v>Yes</v>
      </c>
      <c r="AT33" s="15" t="str">
        <f t="shared" si="22"/>
        <v>Yes</v>
      </c>
      <c r="AU33" s="15" t="str">
        <f t="shared" si="22"/>
        <v>Yes</v>
      </c>
      <c r="AV33" s="15" t="str">
        <f t="shared" si="22"/>
        <v>Yes</v>
      </c>
      <c r="AW33" s="15" t="str">
        <f t="shared" ref="AW33:BN33" si="23">IF((AW30-AV30)=0,"Yes","No")</f>
        <v>Yes</v>
      </c>
      <c r="AX33" s="15" t="str">
        <f t="shared" si="23"/>
        <v>Yes</v>
      </c>
      <c r="AY33" s="15" t="str">
        <f t="shared" si="23"/>
        <v>Yes</v>
      </c>
      <c r="AZ33" s="15" t="str">
        <f t="shared" si="23"/>
        <v>Yes</v>
      </c>
      <c r="BA33" s="15" t="str">
        <f t="shared" si="23"/>
        <v>Yes</v>
      </c>
      <c r="BB33" s="15" t="str">
        <f t="shared" si="23"/>
        <v>Yes</v>
      </c>
      <c r="BC33" s="15" t="str">
        <f t="shared" si="23"/>
        <v>Yes</v>
      </c>
      <c r="BD33" s="15" t="str">
        <f t="shared" si="23"/>
        <v>Yes</v>
      </c>
      <c r="BE33" s="15" t="str">
        <f t="shared" si="23"/>
        <v>Yes</v>
      </c>
      <c r="BF33" s="15" t="str">
        <f t="shared" si="23"/>
        <v>Yes</v>
      </c>
      <c r="BG33" s="15" t="str">
        <f t="shared" si="23"/>
        <v>Yes</v>
      </c>
      <c r="BH33" s="15" t="str">
        <f t="shared" si="23"/>
        <v>Yes</v>
      </c>
      <c r="BI33" s="15" t="str">
        <f t="shared" si="23"/>
        <v>Yes</v>
      </c>
      <c r="BJ33" s="15" t="str">
        <f t="shared" si="23"/>
        <v>Yes</v>
      </c>
      <c r="BK33" s="15" t="str">
        <f t="shared" si="23"/>
        <v>Yes</v>
      </c>
      <c r="BL33" s="15" t="str">
        <f t="shared" si="23"/>
        <v>Yes</v>
      </c>
      <c r="BM33" s="15" t="str">
        <f t="shared" si="23"/>
        <v>Yes</v>
      </c>
      <c r="BN33" s="15" t="str">
        <f t="shared" si="23"/>
        <v>Yes</v>
      </c>
    </row>
    <row r="34" spans="1:116" ht="16.5" customHeight="1" thickBot="1">
      <c r="A34" s="278"/>
      <c r="B34" s="112"/>
      <c r="C34" s="27"/>
      <c r="D34" s="27"/>
      <c r="F34" s="115" t="s">
        <v>78</v>
      </c>
      <c r="G34" s="22">
        <f>J36/J32</f>
        <v>6.25E-2</v>
      </c>
      <c r="H34" s="27"/>
      <c r="I34" s="106" t="s">
        <v>58</v>
      </c>
      <c r="J34" s="15">
        <f t="shared" si="21"/>
        <v>1.8095573684677208E-7</v>
      </c>
      <c r="K34" s="14" t="s">
        <v>60</v>
      </c>
      <c r="L34" s="27"/>
      <c r="M34" s="218"/>
      <c r="N34" s="218" t="s">
        <v>19</v>
      </c>
      <c r="O34" s="39" t="s">
        <v>12</v>
      </c>
      <c r="P34" s="15">
        <f t="shared" ref="P34:Y36" si="24">P28*$J33*1000000*60</f>
        <v>3.7741052105002932</v>
      </c>
      <c r="Q34" s="15">
        <f t="shared" si="24"/>
        <v>78.9055774657472</v>
      </c>
      <c r="R34" s="15">
        <f t="shared" si="24"/>
        <v>78.892639483105356</v>
      </c>
      <c r="S34" s="15">
        <f t="shared" si="24"/>
        <v>78.892947781422592</v>
      </c>
      <c r="T34" s="15">
        <f t="shared" si="24"/>
        <v>78.892948076901732</v>
      </c>
      <c r="U34" s="15">
        <f t="shared" si="24"/>
        <v>78.892948077176356</v>
      </c>
      <c r="V34" s="15">
        <f t="shared" si="24"/>
        <v>78.892948077176612</v>
      </c>
      <c r="W34" s="15">
        <f t="shared" si="24"/>
        <v>78.892948077176612</v>
      </c>
      <c r="X34" s="15">
        <f t="shared" si="24"/>
        <v>78.892948077176612</v>
      </c>
      <c r="Y34" s="15">
        <f t="shared" si="24"/>
        <v>78.892948077176612</v>
      </c>
      <c r="Z34" s="15">
        <f t="shared" ref="Z34:AI36" si="25">Z28*$J33*1000000*60</f>
        <v>78.892948077176612</v>
      </c>
      <c r="AA34" s="15">
        <f t="shared" si="25"/>
        <v>78.892948077176612</v>
      </c>
      <c r="AB34" s="15">
        <f t="shared" si="25"/>
        <v>78.892948077176612</v>
      </c>
      <c r="AC34" s="15">
        <f t="shared" si="25"/>
        <v>78.892948077176612</v>
      </c>
      <c r="AD34" s="15">
        <f t="shared" si="25"/>
        <v>78.892948077176612</v>
      </c>
      <c r="AE34" s="15">
        <f t="shared" si="25"/>
        <v>78.892948077176612</v>
      </c>
      <c r="AF34" s="15">
        <f t="shared" si="25"/>
        <v>78.892948077176612</v>
      </c>
      <c r="AG34" s="15">
        <f t="shared" si="25"/>
        <v>78.892948077176612</v>
      </c>
      <c r="AH34" s="15">
        <f t="shared" si="25"/>
        <v>78.892948077176612</v>
      </c>
      <c r="AI34" s="15">
        <f t="shared" si="25"/>
        <v>78.892948077176612</v>
      </c>
      <c r="AJ34" s="15">
        <f t="shared" ref="AJ34:AS36" si="26">AJ28*$J33*1000000*60</f>
        <v>78.892948077176612</v>
      </c>
      <c r="AK34" s="15">
        <f t="shared" si="26"/>
        <v>78.892948077176612</v>
      </c>
      <c r="AL34" s="15">
        <f t="shared" si="26"/>
        <v>78.892948077176612</v>
      </c>
      <c r="AM34" s="15">
        <f t="shared" si="26"/>
        <v>78.892948077176612</v>
      </c>
      <c r="AN34" s="15">
        <f t="shared" si="26"/>
        <v>78.892948077176612</v>
      </c>
      <c r="AO34" s="15">
        <f t="shared" si="26"/>
        <v>78.892948077176612</v>
      </c>
      <c r="AP34" s="15">
        <f t="shared" si="26"/>
        <v>78.892948077176612</v>
      </c>
      <c r="AQ34" s="15">
        <f t="shared" si="26"/>
        <v>78.892948077176612</v>
      </c>
      <c r="AR34" s="15">
        <f t="shared" si="26"/>
        <v>78.892948077176612</v>
      </c>
      <c r="AS34" s="15">
        <f t="shared" si="26"/>
        <v>78.892948077176612</v>
      </c>
      <c r="AT34" s="15">
        <f t="shared" ref="AT34:BC36" si="27">AT28*$J33*1000000*60</f>
        <v>78.892948077176612</v>
      </c>
      <c r="AU34" s="15">
        <f t="shared" si="27"/>
        <v>78.892948077176612</v>
      </c>
      <c r="AV34" s="15">
        <f t="shared" si="27"/>
        <v>78.892948077176612</v>
      </c>
      <c r="AW34" s="15">
        <f t="shared" si="27"/>
        <v>78.892948077176612</v>
      </c>
      <c r="AX34" s="15">
        <f t="shared" si="27"/>
        <v>78.892948077176612</v>
      </c>
      <c r="AY34" s="15">
        <f t="shared" si="27"/>
        <v>78.892948077176612</v>
      </c>
      <c r="AZ34" s="15">
        <f t="shared" si="27"/>
        <v>78.892948077176612</v>
      </c>
      <c r="BA34" s="15">
        <f t="shared" si="27"/>
        <v>78.892948077176612</v>
      </c>
      <c r="BB34" s="15">
        <f t="shared" si="27"/>
        <v>78.892948077176612</v>
      </c>
      <c r="BC34" s="15">
        <f t="shared" si="27"/>
        <v>78.892948077176612</v>
      </c>
      <c r="BD34" s="15">
        <f t="shared" ref="BD34:BM36" si="28">BD28*$J33*1000000*60</f>
        <v>78.892948077176612</v>
      </c>
      <c r="BE34" s="15">
        <f t="shared" si="28"/>
        <v>78.892948077176612</v>
      </c>
      <c r="BF34" s="15">
        <f t="shared" si="28"/>
        <v>78.892948077176612</v>
      </c>
      <c r="BG34" s="15">
        <f t="shared" si="28"/>
        <v>78.892948077176612</v>
      </c>
      <c r="BH34" s="15">
        <f t="shared" si="28"/>
        <v>78.892948077176612</v>
      </c>
      <c r="BI34" s="15">
        <f t="shared" si="28"/>
        <v>78.892948077176612</v>
      </c>
      <c r="BJ34" s="15">
        <f t="shared" si="28"/>
        <v>78.892948077176612</v>
      </c>
      <c r="BK34" s="15">
        <f t="shared" si="28"/>
        <v>78.892948077176612</v>
      </c>
      <c r="BL34" s="15">
        <f t="shared" si="28"/>
        <v>78.892948077176612</v>
      </c>
      <c r="BM34" s="15">
        <f t="shared" si="28"/>
        <v>78.892948077176612</v>
      </c>
      <c r="BN34" s="15">
        <f t="shared" ref="BN34:BN36" si="29">BN28*$J33*1000000*60</f>
        <v>78.892948077176612</v>
      </c>
    </row>
    <row r="35" spans="1:116" ht="20.100000000000001" customHeight="1">
      <c r="A35" s="278"/>
      <c r="B35" s="220" t="s">
        <v>104</v>
      </c>
      <c r="C35" s="221"/>
      <c r="D35" s="222"/>
      <c r="F35" s="115" t="s">
        <v>79</v>
      </c>
      <c r="G35" s="22">
        <f>J37/J32</f>
        <v>0.25</v>
      </c>
      <c r="H35" s="27"/>
      <c r="I35" s="106" t="s">
        <v>59</v>
      </c>
      <c r="J35" s="15">
        <f t="shared" si="21"/>
        <v>1.0207034531513237E-6</v>
      </c>
      <c r="K35" s="14" t="s">
        <v>60</v>
      </c>
      <c r="L35" s="27"/>
      <c r="M35" s="218"/>
      <c r="N35" s="218"/>
      <c r="O35" s="39" t="s">
        <v>13</v>
      </c>
      <c r="P35" s="15">
        <f t="shared" si="24"/>
        <v>10.857344210806325</v>
      </c>
      <c r="Q35" s="15">
        <f t="shared" si="24"/>
        <v>226.15250432511723</v>
      </c>
      <c r="R35" s="15">
        <f t="shared" si="24"/>
        <v>226.94928197893412</v>
      </c>
      <c r="S35" s="15">
        <f t="shared" si="24"/>
        <v>226.95012614820405</v>
      </c>
      <c r="T35" s="15">
        <f t="shared" si="24"/>
        <v>226.95012692144479</v>
      </c>
      <c r="U35" s="15">
        <f t="shared" si="24"/>
        <v>226.95012692216247</v>
      </c>
      <c r="V35" s="15">
        <f t="shared" si="24"/>
        <v>226.95012692216318</v>
      </c>
      <c r="W35" s="15">
        <f t="shared" si="24"/>
        <v>226.95012692216318</v>
      </c>
      <c r="X35" s="15">
        <f t="shared" si="24"/>
        <v>226.95012692216318</v>
      </c>
      <c r="Y35" s="15">
        <f t="shared" si="24"/>
        <v>226.95012692216318</v>
      </c>
      <c r="Z35" s="15">
        <f t="shared" si="25"/>
        <v>226.95012692216318</v>
      </c>
      <c r="AA35" s="15">
        <f t="shared" si="25"/>
        <v>226.95012692216318</v>
      </c>
      <c r="AB35" s="15">
        <f t="shared" si="25"/>
        <v>226.95012692216318</v>
      </c>
      <c r="AC35" s="15">
        <f t="shared" si="25"/>
        <v>226.95012692216318</v>
      </c>
      <c r="AD35" s="15">
        <f t="shared" si="25"/>
        <v>226.95012692216318</v>
      </c>
      <c r="AE35" s="15">
        <f t="shared" si="25"/>
        <v>226.95012692216318</v>
      </c>
      <c r="AF35" s="15">
        <f t="shared" si="25"/>
        <v>226.95012692216318</v>
      </c>
      <c r="AG35" s="15">
        <f t="shared" si="25"/>
        <v>226.95012692216318</v>
      </c>
      <c r="AH35" s="15">
        <f t="shared" si="25"/>
        <v>226.95012692216318</v>
      </c>
      <c r="AI35" s="15">
        <f t="shared" si="25"/>
        <v>226.95012692216318</v>
      </c>
      <c r="AJ35" s="15">
        <f t="shared" si="26"/>
        <v>226.95012692216318</v>
      </c>
      <c r="AK35" s="15">
        <f t="shared" si="26"/>
        <v>226.95012692216318</v>
      </c>
      <c r="AL35" s="15">
        <f t="shared" si="26"/>
        <v>226.95012692216318</v>
      </c>
      <c r="AM35" s="15">
        <f t="shared" si="26"/>
        <v>226.95012692216318</v>
      </c>
      <c r="AN35" s="15">
        <f t="shared" si="26"/>
        <v>226.95012692216318</v>
      </c>
      <c r="AO35" s="15">
        <f t="shared" si="26"/>
        <v>226.95012692216318</v>
      </c>
      <c r="AP35" s="15">
        <f t="shared" si="26"/>
        <v>226.95012692216318</v>
      </c>
      <c r="AQ35" s="15">
        <f t="shared" si="26"/>
        <v>226.95012692216318</v>
      </c>
      <c r="AR35" s="15">
        <f t="shared" si="26"/>
        <v>226.95012692216318</v>
      </c>
      <c r="AS35" s="15">
        <f t="shared" si="26"/>
        <v>226.95012692216318</v>
      </c>
      <c r="AT35" s="15">
        <f t="shared" si="27"/>
        <v>226.95012692216318</v>
      </c>
      <c r="AU35" s="15">
        <f t="shared" si="27"/>
        <v>226.95012692216318</v>
      </c>
      <c r="AV35" s="15">
        <f t="shared" si="27"/>
        <v>226.95012692216318</v>
      </c>
      <c r="AW35" s="15">
        <f t="shared" si="27"/>
        <v>226.95012692216318</v>
      </c>
      <c r="AX35" s="15">
        <f t="shared" si="27"/>
        <v>226.95012692216318</v>
      </c>
      <c r="AY35" s="15">
        <f t="shared" si="27"/>
        <v>226.95012692216318</v>
      </c>
      <c r="AZ35" s="15">
        <f t="shared" si="27"/>
        <v>226.95012692216318</v>
      </c>
      <c r="BA35" s="15">
        <f t="shared" si="27"/>
        <v>226.95012692216318</v>
      </c>
      <c r="BB35" s="15">
        <f t="shared" si="27"/>
        <v>226.95012692216318</v>
      </c>
      <c r="BC35" s="15">
        <f t="shared" si="27"/>
        <v>226.95012692216318</v>
      </c>
      <c r="BD35" s="15">
        <f t="shared" si="28"/>
        <v>226.95012692216318</v>
      </c>
      <c r="BE35" s="15">
        <f t="shared" si="28"/>
        <v>226.95012692216318</v>
      </c>
      <c r="BF35" s="15">
        <f t="shared" si="28"/>
        <v>226.95012692216318</v>
      </c>
      <c r="BG35" s="15">
        <f t="shared" si="28"/>
        <v>226.95012692216318</v>
      </c>
      <c r="BH35" s="15">
        <f t="shared" si="28"/>
        <v>226.95012692216318</v>
      </c>
      <c r="BI35" s="15">
        <f t="shared" si="28"/>
        <v>226.95012692216318</v>
      </c>
      <c r="BJ35" s="15">
        <f t="shared" si="28"/>
        <v>226.95012692216318</v>
      </c>
      <c r="BK35" s="15">
        <f t="shared" si="28"/>
        <v>226.95012692216318</v>
      </c>
      <c r="BL35" s="15">
        <f t="shared" si="28"/>
        <v>226.95012692216318</v>
      </c>
      <c r="BM35" s="15">
        <f t="shared" si="28"/>
        <v>226.95012692216318</v>
      </c>
      <c r="BN35" s="15">
        <f t="shared" si="29"/>
        <v>226.95012692216318</v>
      </c>
    </row>
    <row r="36" spans="1:116" ht="20.100000000000001" customHeight="1" thickBot="1">
      <c r="A36" s="278"/>
      <c r="B36" s="34" t="s">
        <v>85</v>
      </c>
      <c r="C36" s="15">
        <f>64*$C$31*(F23)/($C$32*$J$23^2)</f>
        <v>0</v>
      </c>
      <c r="D36" s="22" t="s">
        <v>91</v>
      </c>
      <c r="F36" s="116" t="s">
        <v>80</v>
      </c>
      <c r="G36" s="24">
        <f>J38/J32</f>
        <v>0.5625</v>
      </c>
      <c r="H36" s="27"/>
      <c r="I36" s="106" t="s">
        <v>72</v>
      </c>
      <c r="J36" s="15">
        <f t="shared" si="21"/>
        <v>7.8539816339744823E-7</v>
      </c>
      <c r="K36" s="14" t="s">
        <v>60</v>
      </c>
      <c r="L36" s="27"/>
      <c r="M36" s="218"/>
      <c r="N36" s="218"/>
      <c r="O36" s="39" t="s">
        <v>14</v>
      </c>
      <c r="P36" s="15">
        <f t="shared" si="24"/>
        <v>61.242207189079423</v>
      </c>
      <c r="Q36" s="15">
        <f t="shared" si="24"/>
        <v>1273.5329587470751</v>
      </c>
      <c r="R36" s="15">
        <f t="shared" si="24"/>
        <v>1280.2887322872623</v>
      </c>
      <c r="S36" s="15">
        <f t="shared" si="24"/>
        <v>1280.294788755547</v>
      </c>
      <c r="T36" s="15">
        <f t="shared" si="24"/>
        <v>1280.2947943870608</v>
      </c>
      <c r="U36" s="15">
        <f t="shared" si="24"/>
        <v>1280.29479439228</v>
      </c>
      <c r="V36" s="15">
        <f t="shared" si="24"/>
        <v>1280.294794392285</v>
      </c>
      <c r="W36" s="15">
        <f t="shared" si="24"/>
        <v>1280.294794392285</v>
      </c>
      <c r="X36" s="15">
        <f t="shared" si="24"/>
        <v>1280.294794392285</v>
      </c>
      <c r="Y36" s="15">
        <f t="shared" si="24"/>
        <v>1280.294794392285</v>
      </c>
      <c r="Z36" s="15">
        <f t="shared" si="25"/>
        <v>1280.294794392285</v>
      </c>
      <c r="AA36" s="15">
        <f t="shared" si="25"/>
        <v>1280.294794392285</v>
      </c>
      <c r="AB36" s="15">
        <f t="shared" si="25"/>
        <v>1280.294794392285</v>
      </c>
      <c r="AC36" s="15">
        <f t="shared" si="25"/>
        <v>1280.294794392285</v>
      </c>
      <c r="AD36" s="15">
        <f t="shared" si="25"/>
        <v>1280.294794392285</v>
      </c>
      <c r="AE36" s="15">
        <f t="shared" si="25"/>
        <v>1280.294794392285</v>
      </c>
      <c r="AF36" s="15">
        <f t="shared" si="25"/>
        <v>1280.294794392285</v>
      </c>
      <c r="AG36" s="15">
        <f t="shared" si="25"/>
        <v>1280.294794392285</v>
      </c>
      <c r="AH36" s="15">
        <f t="shared" si="25"/>
        <v>1280.294794392285</v>
      </c>
      <c r="AI36" s="15">
        <f t="shared" si="25"/>
        <v>1280.294794392285</v>
      </c>
      <c r="AJ36" s="15">
        <f t="shared" si="26"/>
        <v>1280.294794392285</v>
      </c>
      <c r="AK36" s="15">
        <f t="shared" si="26"/>
        <v>1280.294794392285</v>
      </c>
      <c r="AL36" s="15">
        <f t="shared" si="26"/>
        <v>1280.294794392285</v>
      </c>
      <c r="AM36" s="15">
        <f t="shared" si="26"/>
        <v>1280.294794392285</v>
      </c>
      <c r="AN36" s="15">
        <f t="shared" si="26"/>
        <v>1280.294794392285</v>
      </c>
      <c r="AO36" s="15">
        <f t="shared" si="26"/>
        <v>1280.294794392285</v>
      </c>
      <c r="AP36" s="15">
        <f t="shared" si="26"/>
        <v>1280.294794392285</v>
      </c>
      <c r="AQ36" s="15">
        <f t="shared" si="26"/>
        <v>1280.294794392285</v>
      </c>
      <c r="AR36" s="15">
        <f t="shared" si="26"/>
        <v>1280.294794392285</v>
      </c>
      <c r="AS36" s="15">
        <f t="shared" si="26"/>
        <v>1280.294794392285</v>
      </c>
      <c r="AT36" s="15">
        <f t="shared" si="27"/>
        <v>1280.294794392285</v>
      </c>
      <c r="AU36" s="15">
        <f t="shared" si="27"/>
        <v>1280.294794392285</v>
      </c>
      <c r="AV36" s="15">
        <f t="shared" si="27"/>
        <v>1280.294794392285</v>
      </c>
      <c r="AW36" s="15">
        <f t="shared" si="27"/>
        <v>1280.294794392285</v>
      </c>
      <c r="AX36" s="15">
        <f t="shared" si="27"/>
        <v>1280.294794392285</v>
      </c>
      <c r="AY36" s="15">
        <f t="shared" si="27"/>
        <v>1280.294794392285</v>
      </c>
      <c r="AZ36" s="15">
        <f t="shared" si="27"/>
        <v>1280.294794392285</v>
      </c>
      <c r="BA36" s="15">
        <f t="shared" si="27"/>
        <v>1280.294794392285</v>
      </c>
      <c r="BB36" s="15">
        <f t="shared" si="27"/>
        <v>1280.294794392285</v>
      </c>
      <c r="BC36" s="15">
        <f t="shared" si="27"/>
        <v>1280.294794392285</v>
      </c>
      <c r="BD36" s="15">
        <f t="shared" si="28"/>
        <v>1280.294794392285</v>
      </c>
      <c r="BE36" s="15">
        <f t="shared" si="28"/>
        <v>1280.294794392285</v>
      </c>
      <c r="BF36" s="15">
        <f t="shared" si="28"/>
        <v>1280.294794392285</v>
      </c>
      <c r="BG36" s="15">
        <f t="shared" si="28"/>
        <v>1280.294794392285</v>
      </c>
      <c r="BH36" s="15">
        <f t="shared" si="28"/>
        <v>1280.294794392285</v>
      </c>
      <c r="BI36" s="15">
        <f t="shared" si="28"/>
        <v>1280.294794392285</v>
      </c>
      <c r="BJ36" s="15">
        <f t="shared" si="28"/>
        <v>1280.294794392285</v>
      </c>
      <c r="BK36" s="15">
        <f t="shared" si="28"/>
        <v>1280.294794392285</v>
      </c>
      <c r="BL36" s="15">
        <f t="shared" si="28"/>
        <v>1280.294794392285</v>
      </c>
      <c r="BM36" s="15">
        <f t="shared" si="28"/>
        <v>1280.294794392285</v>
      </c>
      <c r="BN36" s="15">
        <f t="shared" si="29"/>
        <v>1280.294794392285</v>
      </c>
    </row>
    <row r="37" spans="1:116" ht="20.100000000000001" customHeight="1">
      <c r="A37" s="278"/>
      <c r="B37" s="34" t="s">
        <v>86</v>
      </c>
      <c r="C37" s="15">
        <f>64*$C$31*(F24)/($C$32*$J$23^2)</f>
        <v>0</v>
      </c>
      <c r="D37" s="22" t="s">
        <v>91</v>
      </c>
      <c r="E37" s="27"/>
      <c r="F37" s="27"/>
      <c r="G37" s="27"/>
      <c r="H37" s="27"/>
      <c r="I37" s="106" t="s">
        <v>73</v>
      </c>
      <c r="J37" s="15">
        <f t="shared" si="21"/>
        <v>3.1415926535897929E-6</v>
      </c>
      <c r="K37" s="14" t="s">
        <v>60</v>
      </c>
      <c r="L37" s="27"/>
      <c r="M37" s="218"/>
      <c r="N37" s="218"/>
      <c r="O37" s="39" t="s">
        <v>15</v>
      </c>
      <c r="P37" s="15">
        <f t="shared" ref="P37:AU37" si="30">P24*$J32*1000000*60</f>
        <v>753.98223686155029</v>
      </c>
      <c r="Q37" s="15">
        <f t="shared" si="30"/>
        <v>1578.5910405379395</v>
      </c>
      <c r="R37" s="15">
        <f t="shared" si="30"/>
        <v>1586.1306537493015</v>
      </c>
      <c r="S37" s="15">
        <f t="shared" si="30"/>
        <v>1586.1378626851738</v>
      </c>
      <c r="T37" s="15">
        <f t="shared" si="30"/>
        <v>1586.1378693854072</v>
      </c>
      <c r="U37" s="15">
        <f t="shared" si="30"/>
        <v>1586.1378693916186</v>
      </c>
      <c r="V37" s="15">
        <f t="shared" si="30"/>
        <v>1586.1378693916249</v>
      </c>
      <c r="W37" s="15">
        <f t="shared" si="30"/>
        <v>1586.1378693916249</v>
      </c>
      <c r="X37" s="15">
        <f t="shared" si="30"/>
        <v>1586.1378693916249</v>
      </c>
      <c r="Y37" s="15">
        <f t="shared" si="30"/>
        <v>1586.1378693916249</v>
      </c>
      <c r="Z37" s="15">
        <f t="shared" si="30"/>
        <v>1586.1378693916249</v>
      </c>
      <c r="AA37" s="15">
        <f t="shared" si="30"/>
        <v>1586.1378693916249</v>
      </c>
      <c r="AB37" s="15">
        <f t="shared" si="30"/>
        <v>1586.1378693916249</v>
      </c>
      <c r="AC37" s="15">
        <f t="shared" si="30"/>
        <v>1586.1378693916249</v>
      </c>
      <c r="AD37" s="15">
        <f t="shared" si="30"/>
        <v>1586.1378693916249</v>
      </c>
      <c r="AE37" s="15">
        <f t="shared" si="30"/>
        <v>1586.1378693916249</v>
      </c>
      <c r="AF37" s="15">
        <f t="shared" si="30"/>
        <v>1586.1378693916249</v>
      </c>
      <c r="AG37" s="15">
        <f t="shared" si="30"/>
        <v>1586.1378693916249</v>
      </c>
      <c r="AH37" s="15">
        <f t="shared" si="30"/>
        <v>1586.1378693916249</v>
      </c>
      <c r="AI37" s="15">
        <f t="shared" si="30"/>
        <v>1586.1378693916249</v>
      </c>
      <c r="AJ37" s="15">
        <f t="shared" si="30"/>
        <v>1586.1378693916249</v>
      </c>
      <c r="AK37" s="15">
        <f t="shared" si="30"/>
        <v>1586.1378693916249</v>
      </c>
      <c r="AL37" s="15">
        <f t="shared" si="30"/>
        <v>1586.1378693916249</v>
      </c>
      <c r="AM37" s="15">
        <f t="shared" si="30"/>
        <v>1586.1378693916249</v>
      </c>
      <c r="AN37" s="15">
        <f t="shared" si="30"/>
        <v>1586.1378693916249</v>
      </c>
      <c r="AO37" s="15">
        <f t="shared" si="30"/>
        <v>1586.1378693916249</v>
      </c>
      <c r="AP37" s="15">
        <f t="shared" si="30"/>
        <v>1586.1378693916249</v>
      </c>
      <c r="AQ37" s="15">
        <f t="shared" si="30"/>
        <v>1586.1378693916249</v>
      </c>
      <c r="AR37" s="15">
        <f t="shared" si="30"/>
        <v>1586.1378693916249</v>
      </c>
      <c r="AS37" s="15">
        <f t="shared" si="30"/>
        <v>1586.1378693916249</v>
      </c>
      <c r="AT37" s="15">
        <f t="shared" si="30"/>
        <v>1586.1378693916249</v>
      </c>
      <c r="AU37" s="15">
        <f t="shared" si="30"/>
        <v>1586.1378693916249</v>
      </c>
      <c r="AV37" s="15">
        <f t="shared" ref="AV37:BN37" si="31">AV24*$J32*1000000*60</f>
        <v>1586.1378693916249</v>
      </c>
      <c r="AW37" s="15">
        <f t="shared" si="31"/>
        <v>1586.1378693916249</v>
      </c>
      <c r="AX37" s="15">
        <f t="shared" si="31"/>
        <v>1586.1378693916249</v>
      </c>
      <c r="AY37" s="15">
        <f t="shared" si="31"/>
        <v>1586.1378693916249</v>
      </c>
      <c r="AZ37" s="15">
        <f t="shared" si="31"/>
        <v>1586.1378693916249</v>
      </c>
      <c r="BA37" s="15">
        <f t="shared" si="31"/>
        <v>1586.1378693916249</v>
      </c>
      <c r="BB37" s="15">
        <f t="shared" si="31"/>
        <v>1586.1378693916249</v>
      </c>
      <c r="BC37" s="15">
        <f t="shared" si="31"/>
        <v>1586.1378693916249</v>
      </c>
      <c r="BD37" s="15">
        <f t="shared" si="31"/>
        <v>1586.1378693916249</v>
      </c>
      <c r="BE37" s="15">
        <f t="shared" si="31"/>
        <v>1586.1378693916249</v>
      </c>
      <c r="BF37" s="15">
        <f t="shared" si="31"/>
        <v>1586.1378693916249</v>
      </c>
      <c r="BG37" s="15">
        <f t="shared" si="31"/>
        <v>1586.1378693916249</v>
      </c>
      <c r="BH37" s="15">
        <f t="shared" si="31"/>
        <v>1586.1378693916249</v>
      </c>
      <c r="BI37" s="15">
        <f t="shared" si="31"/>
        <v>1586.1378693916249</v>
      </c>
      <c r="BJ37" s="15">
        <f t="shared" si="31"/>
        <v>1586.1378693916249</v>
      </c>
      <c r="BK37" s="15">
        <f t="shared" si="31"/>
        <v>1586.1378693916249</v>
      </c>
      <c r="BL37" s="15">
        <f t="shared" si="31"/>
        <v>1586.1378693916249</v>
      </c>
      <c r="BM37" s="15">
        <f t="shared" si="31"/>
        <v>1586.1378693916249</v>
      </c>
      <c r="BN37" s="15">
        <f t="shared" si="31"/>
        <v>1586.1378693916249</v>
      </c>
    </row>
    <row r="38" spans="1:116" ht="20.100000000000001" customHeight="1" thickBot="1">
      <c r="A38" s="278"/>
      <c r="B38" s="34" t="s">
        <v>87</v>
      </c>
      <c r="C38" s="15">
        <f>64*$C$31*(F25)/($C$32*$J$23^2)</f>
        <v>0</v>
      </c>
      <c r="D38" s="22" t="s">
        <v>91</v>
      </c>
      <c r="E38" s="27"/>
      <c r="F38" s="27"/>
      <c r="G38" s="27"/>
      <c r="H38" s="27"/>
      <c r="I38" s="107" t="s">
        <v>74</v>
      </c>
      <c r="J38" s="15">
        <f t="shared" si="21"/>
        <v>7.0685834705770344E-6</v>
      </c>
      <c r="K38" s="21" t="s">
        <v>60</v>
      </c>
      <c r="L38" s="27"/>
      <c r="M38" s="29"/>
      <c r="N38" s="29"/>
      <c r="O38" s="16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116" ht="19.5" customHeight="1" thickBot="1">
      <c r="A39" s="278"/>
      <c r="B39" s="34" t="s">
        <v>82</v>
      </c>
      <c r="C39" s="15">
        <f>64*$C$31*F26/($C$32*J27^2)</f>
        <v>0</v>
      </c>
      <c r="D39" s="22" t="s">
        <v>91</v>
      </c>
      <c r="E39" s="27"/>
      <c r="F39" s="27"/>
      <c r="G39" s="27"/>
      <c r="H39" s="27"/>
      <c r="I39" s="27"/>
      <c r="J39" s="27"/>
      <c r="K39" s="27"/>
      <c r="L39" s="27"/>
      <c r="M39" s="29"/>
      <c r="N39" s="29"/>
      <c r="O39" s="29"/>
      <c r="P39" s="27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</row>
    <row r="40" spans="1:116" ht="20.100000000000001" customHeight="1">
      <c r="A40" s="278"/>
      <c r="B40" s="34" t="s">
        <v>83</v>
      </c>
      <c r="C40" s="15">
        <f>64*$C$31*F27/($C$32*J28^2)</f>
        <v>0</v>
      </c>
      <c r="D40" s="22" t="s">
        <v>91</v>
      </c>
      <c r="E40" s="294" t="s">
        <v>89</v>
      </c>
      <c r="F40" s="208"/>
      <c r="G40" s="208"/>
      <c r="H40" s="208"/>
      <c r="I40" s="209"/>
      <c r="J40" s="27"/>
      <c r="K40" s="7"/>
      <c r="L40" s="7"/>
      <c r="M40" s="29"/>
      <c r="N40" s="2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116" ht="20.100000000000001" customHeight="1" thickBot="1">
      <c r="A41" s="278"/>
      <c r="B41" s="35" t="s">
        <v>84</v>
      </c>
      <c r="C41" s="20">
        <f>64*$C$31*F28/($C$32*J29^2)</f>
        <v>0</v>
      </c>
      <c r="D41" s="24" t="s">
        <v>91</v>
      </c>
      <c r="E41" s="90"/>
      <c r="F41" s="262" t="s">
        <v>90</v>
      </c>
      <c r="G41" s="262"/>
      <c r="H41" s="262" t="s">
        <v>111</v>
      </c>
      <c r="I41" s="263"/>
      <c r="J41" s="27"/>
      <c r="K41" s="7"/>
      <c r="L41" s="7"/>
      <c r="M41" s="29"/>
      <c r="N41" s="27"/>
      <c r="Q41" s="6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116" ht="20.100000000000001" customHeight="1">
      <c r="A42" s="278"/>
      <c r="B42" s="27"/>
      <c r="C42" s="27"/>
      <c r="D42" s="27"/>
      <c r="E42" s="86" t="s">
        <v>112</v>
      </c>
      <c r="F42" s="84" t="s">
        <v>105</v>
      </c>
      <c r="G42" s="13">
        <v>500</v>
      </c>
      <c r="H42" s="84" t="s">
        <v>106</v>
      </c>
      <c r="I42" s="14">
        <v>0.7</v>
      </c>
      <c r="J42" s="27"/>
      <c r="K42" s="27"/>
      <c r="L42" s="27"/>
      <c r="M42" s="29"/>
      <c r="N42" s="27"/>
      <c r="Q42" s="6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116" ht="20.100000000000001" customHeight="1">
      <c r="A43" s="278"/>
      <c r="B43" s="27"/>
      <c r="C43" s="27"/>
      <c r="D43" s="27"/>
      <c r="E43" s="86" t="s">
        <v>113</v>
      </c>
      <c r="F43" s="84" t="s">
        <v>107</v>
      </c>
      <c r="G43" s="13">
        <v>200</v>
      </c>
      <c r="H43" s="84" t="s">
        <v>108</v>
      </c>
      <c r="I43" s="14">
        <v>1.1000000000000001</v>
      </c>
      <c r="J43" s="27"/>
      <c r="K43" s="27"/>
      <c r="L43" s="27"/>
      <c r="M43" s="29"/>
      <c r="N43" s="2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116" ht="20.100000000000001" customHeight="1">
      <c r="A44" s="278"/>
      <c r="B44" s="27"/>
      <c r="C44" s="27"/>
      <c r="D44" s="27"/>
      <c r="E44" s="86" t="s">
        <v>114</v>
      </c>
      <c r="F44" s="84" t="s">
        <v>109</v>
      </c>
      <c r="G44" s="13">
        <v>160</v>
      </c>
      <c r="H44" s="84" t="s">
        <v>110</v>
      </c>
      <c r="I44" s="14">
        <v>1</v>
      </c>
      <c r="J44" s="27"/>
      <c r="K44" s="27"/>
      <c r="L44" s="27"/>
      <c r="M44" s="29"/>
      <c r="N44" s="2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116" ht="20.100000000000001" customHeight="1">
      <c r="A45" s="278"/>
      <c r="B45" s="27"/>
      <c r="C45" s="27"/>
      <c r="D45" s="27"/>
      <c r="E45" s="86"/>
      <c r="F45" s="13"/>
      <c r="G45" s="13"/>
      <c r="H45" s="13"/>
      <c r="I45" s="14"/>
      <c r="J45" s="27"/>
      <c r="K45" s="27"/>
      <c r="L45" s="27"/>
      <c r="M45" s="29"/>
      <c r="N45" s="2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</row>
    <row r="46" spans="1:116" ht="20.100000000000001" customHeight="1">
      <c r="A46" s="278"/>
      <c r="B46" s="27"/>
      <c r="C46" s="27"/>
      <c r="D46" s="27"/>
      <c r="E46" s="86" t="s">
        <v>26</v>
      </c>
      <c r="F46" s="13"/>
      <c r="G46" s="13">
        <f>$G$42*$C$31/($C$32*J27)</f>
        <v>0</v>
      </c>
      <c r="H46" s="13"/>
      <c r="I46" s="14">
        <f>$I$42*(0.0254/$J$23+1)</f>
        <v>5.1449999999999996</v>
      </c>
      <c r="J46" s="27"/>
      <c r="K46" s="27"/>
      <c r="L46" s="27"/>
      <c r="M46" s="29"/>
      <c r="N46" s="2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</row>
    <row r="47" spans="1:116" ht="20.100000000000001" customHeight="1">
      <c r="A47" s="278"/>
      <c r="B47" s="112"/>
      <c r="C47" s="27"/>
      <c r="D47" s="27"/>
      <c r="E47" s="86" t="s">
        <v>27</v>
      </c>
      <c r="F47" s="85"/>
      <c r="G47" s="13">
        <f t="shared" ref="G47:G48" si="32">$G$42*$C$31/($C$32*J28)</f>
        <v>0</v>
      </c>
      <c r="H47" s="13"/>
      <c r="I47" s="14">
        <f>$I$42*(0.0254/$J$23+1)</f>
        <v>5.1449999999999996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5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</row>
    <row r="48" spans="1:116" ht="20.100000000000001" customHeight="1">
      <c r="A48" s="278"/>
      <c r="B48" s="112"/>
      <c r="C48" s="27"/>
      <c r="D48" s="27"/>
      <c r="E48" s="86" t="s">
        <v>28</v>
      </c>
      <c r="F48" s="85"/>
      <c r="G48" s="13">
        <f t="shared" si="32"/>
        <v>0</v>
      </c>
      <c r="H48" s="13"/>
      <c r="I48" s="14">
        <f>$I$42*(0.0254/$J$23+1)</f>
        <v>5.1449999999999996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5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</row>
    <row r="49" spans="1:116" ht="20.100000000000001" customHeight="1">
      <c r="A49" s="278"/>
      <c r="B49" s="112"/>
      <c r="C49" s="27"/>
      <c r="D49" s="27"/>
      <c r="E49" s="86" t="s">
        <v>124</v>
      </c>
      <c r="F49" s="13"/>
      <c r="G49" s="13">
        <f>$G$44*$C$31/($C$32*J24)</f>
        <v>0</v>
      </c>
      <c r="H49" s="13"/>
      <c r="I49" s="14">
        <f>$I$44</f>
        <v>1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5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</row>
    <row r="50" spans="1:116" ht="20.100000000000001" customHeight="1">
      <c r="A50" s="278"/>
      <c r="B50" s="112"/>
      <c r="C50" s="27"/>
      <c r="D50" s="27"/>
      <c r="E50" s="86" t="s">
        <v>125</v>
      </c>
      <c r="F50" s="13"/>
      <c r="G50" s="13">
        <f t="shared" ref="G50:G51" si="33">$G$44*$C$31/($C$32*J25)</f>
        <v>0</v>
      </c>
      <c r="H50" s="13"/>
      <c r="I50" s="14">
        <f>$I$44</f>
        <v>1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5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1:116" ht="20.100000000000001" customHeight="1">
      <c r="A51" s="278"/>
      <c r="B51" s="112"/>
      <c r="C51" s="27"/>
      <c r="D51" s="27"/>
      <c r="E51" s="86" t="s">
        <v>126</v>
      </c>
      <c r="F51" s="13"/>
      <c r="G51" s="13">
        <f t="shared" si="33"/>
        <v>0</v>
      </c>
      <c r="H51" s="13"/>
      <c r="I51" s="14">
        <f>$I$44</f>
        <v>1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5"/>
    </row>
    <row r="52" spans="1:116" ht="20.100000000000001" customHeight="1">
      <c r="A52" s="278"/>
      <c r="B52" s="112"/>
      <c r="C52" s="27"/>
      <c r="D52" s="27"/>
      <c r="E52" s="86" t="s">
        <v>127</v>
      </c>
      <c r="F52" s="13"/>
      <c r="G52" s="13">
        <f>$G$43*$C$31/$C$32/$J$23</f>
        <v>0</v>
      </c>
      <c r="H52" s="13"/>
      <c r="I52" s="14">
        <f>$I$43*(0.0254/$J$23+1)</f>
        <v>8.0850000000000009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5"/>
    </row>
    <row r="53" spans="1:116" ht="20.100000000000001" customHeight="1" thickBot="1">
      <c r="A53" s="278"/>
      <c r="B53" s="112"/>
      <c r="C53" s="27"/>
      <c r="D53" s="27"/>
      <c r="E53" s="87" t="s">
        <v>128</v>
      </c>
      <c r="F53" s="19"/>
      <c r="G53" s="19">
        <f>$G$43*$C$31/$C$32/$J$23</f>
        <v>0</v>
      </c>
      <c r="H53" s="19"/>
      <c r="I53" s="21">
        <f>$I$43*(0.0254/$J$23+1)</f>
        <v>8.0850000000000009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5"/>
    </row>
    <row r="54" spans="1:116" ht="20.100000000000001" customHeight="1" thickBot="1">
      <c r="A54" s="279"/>
      <c r="B54" s="6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26"/>
    </row>
    <row r="55" spans="1:116" ht="20.100000000000001" customHeight="1">
      <c r="I55" s="6"/>
    </row>
    <row r="60" spans="1:116" ht="15.75" customHeight="1">
      <c r="D60" s="6"/>
    </row>
    <row r="61" spans="1:116" ht="16.5" customHeight="1">
      <c r="D61" s="6"/>
    </row>
    <row r="62" spans="1:116" ht="16.5" customHeight="1">
      <c r="D62" s="6"/>
    </row>
    <row r="64" spans="1:116" ht="15.75" customHeight="1">
      <c r="B64" s="8"/>
    </row>
    <row r="65" spans="2:2" ht="15.75" customHeight="1">
      <c r="B65" s="8"/>
    </row>
  </sheetData>
  <mergeCells count="29">
    <mergeCell ref="A1:A54"/>
    <mergeCell ref="B1:BN1"/>
    <mergeCell ref="C2:E2"/>
    <mergeCell ref="T2:W2"/>
    <mergeCell ref="C9:Q9"/>
    <mergeCell ref="C10:C11"/>
    <mergeCell ref="D10:G10"/>
    <mergeCell ref="H10:H11"/>
    <mergeCell ref="I10:L10"/>
    <mergeCell ref="M10:M11"/>
    <mergeCell ref="N10:Q10"/>
    <mergeCell ref="M15:Q19"/>
    <mergeCell ref="B35:D35"/>
    <mergeCell ref="E40:I40"/>
    <mergeCell ref="F41:G41"/>
    <mergeCell ref="H41:I41"/>
    <mergeCell ref="N31:O33"/>
    <mergeCell ref="N34:N37"/>
    <mergeCell ref="M23:M37"/>
    <mergeCell ref="C18:G19"/>
    <mergeCell ref="I31:K31"/>
    <mergeCell ref="B21:BN21"/>
    <mergeCell ref="B22:C22"/>
    <mergeCell ref="E22:G22"/>
    <mergeCell ref="I22:K22"/>
    <mergeCell ref="B30:D30"/>
    <mergeCell ref="N24:N30"/>
    <mergeCell ref="F30:G30"/>
    <mergeCell ref="M22:BN2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DL65"/>
  <sheetViews>
    <sheetView topLeftCell="A8" zoomScale="50" zoomScaleNormal="50" workbookViewId="0">
      <selection activeCell="O41" sqref="O41:R45"/>
    </sheetView>
  </sheetViews>
  <sheetFormatPr defaultColWidth="15.7109375" defaultRowHeight="20.100000000000001" customHeight="1"/>
  <cols>
    <col min="1" max="1" width="15.7109375" style="2"/>
    <col min="2" max="2" width="48.85546875" style="76" customWidth="1"/>
    <col min="3" max="3" width="21.28515625" style="2" customWidth="1"/>
    <col min="4" max="4" width="17.28515625" style="2" customWidth="1"/>
    <col min="5" max="5" width="18.5703125" style="2" customWidth="1"/>
    <col min="6" max="7" width="15.7109375" style="2"/>
    <col min="8" max="8" width="18.85546875" style="2" customWidth="1"/>
    <col min="9" max="15" width="15.7109375" style="2"/>
    <col min="16" max="16" width="23.85546875" style="2" customWidth="1"/>
    <col min="17" max="17" width="16.42578125" style="2" customWidth="1"/>
    <col min="18" max="19" width="15.7109375" style="2"/>
    <col min="20" max="20" width="17.5703125" style="2" customWidth="1"/>
    <col min="21" max="21" width="16.85546875" style="2" customWidth="1"/>
    <col min="22" max="22" width="20.85546875" style="2" customWidth="1"/>
    <col min="23" max="26" width="15.7109375" style="2"/>
    <col min="27" max="27" width="16.140625" style="2" bestFit="1" customWidth="1"/>
    <col min="28" max="16384" width="15.7109375" style="2"/>
  </cols>
  <sheetData>
    <row r="1" spans="1:66" ht="71.25" customHeight="1" thickBot="1">
      <c r="A1" s="277">
        <v>1</v>
      </c>
      <c r="B1" s="316" t="s">
        <v>103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7"/>
    </row>
    <row r="2" spans="1:66" ht="20.100000000000001" customHeight="1">
      <c r="A2" s="278"/>
      <c r="B2" s="180"/>
      <c r="C2" s="199" t="s">
        <v>97</v>
      </c>
      <c r="D2" s="200"/>
      <c r="E2" s="20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8" t="s">
        <v>146</v>
      </c>
      <c r="U2" s="319"/>
      <c r="V2" s="319"/>
      <c r="W2" s="320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5"/>
    </row>
    <row r="3" spans="1:66" ht="20.100000000000001" customHeight="1">
      <c r="A3" s="278"/>
      <c r="B3" s="180"/>
      <c r="C3" s="34" t="s">
        <v>98</v>
      </c>
      <c r="D3" s="33" t="s">
        <v>1</v>
      </c>
      <c r="E3" s="42" t="s">
        <v>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T3" s="176" t="s">
        <v>145</v>
      </c>
      <c r="U3" s="178" t="s">
        <v>154</v>
      </c>
      <c r="V3" s="129" t="s">
        <v>143</v>
      </c>
      <c r="W3" s="133" t="s">
        <v>144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5"/>
    </row>
    <row r="4" spans="1:66" ht="20.100000000000001" customHeight="1">
      <c r="A4" s="278"/>
      <c r="B4" s="180"/>
      <c r="C4" s="40" t="s">
        <v>12</v>
      </c>
      <c r="D4" s="15">
        <f>BJ28</f>
        <v>16.795727183366147</v>
      </c>
      <c r="E4" s="22">
        <f>BJ34</f>
        <v>63.388841476883584</v>
      </c>
      <c r="F4" s="7"/>
      <c r="G4" s="27"/>
      <c r="H4" s="27"/>
      <c r="I4" s="7"/>
      <c r="J4" s="27"/>
      <c r="K4" s="27"/>
      <c r="L4" s="27"/>
      <c r="M4" s="27"/>
      <c r="N4" s="27"/>
      <c r="O4" s="27"/>
      <c r="P4" s="27"/>
      <c r="Q4" s="27"/>
      <c r="R4" s="27"/>
      <c r="T4" s="100"/>
      <c r="U4" s="119" t="s">
        <v>15</v>
      </c>
      <c r="V4" s="101">
        <f>C25</f>
        <v>490341.51234567899</v>
      </c>
      <c r="W4" s="134">
        <f>D7</f>
        <v>1.9496924005636831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5"/>
    </row>
    <row r="5" spans="1:66" ht="20.100000000000001" customHeight="1">
      <c r="A5" s="278"/>
      <c r="B5" s="180"/>
      <c r="C5" s="40" t="s">
        <v>13</v>
      </c>
      <c r="D5" s="15">
        <f>BJ29</f>
        <v>18.323449635615219</v>
      </c>
      <c r="E5" s="22">
        <f>BJ35</f>
        <v>198.94399982324816</v>
      </c>
      <c r="F5" s="27"/>
      <c r="G5" s="27"/>
      <c r="H5" s="27"/>
      <c r="I5" s="7"/>
      <c r="J5" s="27"/>
      <c r="K5" s="27"/>
      <c r="L5" s="27"/>
      <c r="M5" s="27"/>
      <c r="N5" s="27"/>
      <c r="O5" s="27"/>
      <c r="P5" s="27"/>
      <c r="Q5" s="27"/>
      <c r="R5" s="27"/>
      <c r="T5" s="110" t="s">
        <v>22</v>
      </c>
      <c r="U5" s="119" t="s">
        <v>137</v>
      </c>
      <c r="V5" s="102">
        <f>V4-D12</f>
        <v>490341.51234567899</v>
      </c>
      <c r="W5" s="134">
        <f>D7</f>
        <v>1.9496924005636831</v>
      </c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5"/>
    </row>
    <row r="6" spans="1:66" ht="20.100000000000001" customHeight="1">
      <c r="A6" s="278"/>
      <c r="B6" s="180"/>
      <c r="C6" s="40" t="s">
        <v>14</v>
      </c>
      <c r="D6" s="15">
        <f>BJ30</f>
        <v>19.720069728058306</v>
      </c>
      <c r="E6" s="22">
        <f>BJ36</f>
        <v>1207.7005960688398</v>
      </c>
      <c r="F6" s="27"/>
      <c r="G6" s="27"/>
      <c r="H6" s="27"/>
      <c r="I6" s="7"/>
      <c r="J6" s="27"/>
      <c r="K6" s="27"/>
      <c r="L6" s="27"/>
      <c r="M6" s="27"/>
      <c r="N6" s="27"/>
      <c r="O6" s="27"/>
      <c r="P6" s="27"/>
      <c r="Q6" s="27"/>
      <c r="R6" s="27"/>
      <c r="T6" s="110" t="s">
        <v>21</v>
      </c>
      <c r="U6" s="119" t="s">
        <v>147</v>
      </c>
      <c r="V6" s="102">
        <f>V4-D12-I15-D13</f>
        <v>476452.49640370498</v>
      </c>
      <c r="W6" s="135">
        <f>D7-D4*G31</f>
        <v>1.865620338414395</v>
      </c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5"/>
    </row>
    <row r="7" spans="1:66" ht="20.100000000000001" customHeight="1" thickBot="1">
      <c r="A7" s="278"/>
      <c r="B7" s="180"/>
      <c r="C7" s="41" t="s">
        <v>15</v>
      </c>
      <c r="D7" s="20">
        <f>BJ24</f>
        <v>1.9496924005636831</v>
      </c>
      <c r="E7" s="24">
        <f>BJ37</f>
        <v>1470.0334373689714</v>
      </c>
      <c r="F7" s="27"/>
      <c r="G7" s="27"/>
      <c r="H7" s="27"/>
      <c r="I7" s="7"/>
      <c r="J7" s="27"/>
      <c r="K7" s="27"/>
      <c r="L7" s="27"/>
      <c r="M7" s="27"/>
      <c r="N7" s="27"/>
      <c r="O7" s="27"/>
      <c r="P7" s="27"/>
      <c r="Q7" s="27"/>
      <c r="R7" s="27"/>
      <c r="T7" s="110" t="s">
        <v>22</v>
      </c>
      <c r="U7" s="119" t="s">
        <v>138</v>
      </c>
      <c r="V7" s="102">
        <f>V4-D12-D13-D14-I15-I16</f>
        <v>466050.11006254971</v>
      </c>
      <c r="W7" s="135">
        <f>D7-D4*G31</f>
        <v>1.865620338414395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5"/>
    </row>
    <row r="8" spans="1:66" ht="20.100000000000001" customHeight="1" thickBot="1">
      <c r="A8" s="278"/>
      <c r="B8" s="180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T8" s="110" t="s">
        <v>21</v>
      </c>
      <c r="U8" s="119" t="s">
        <v>148</v>
      </c>
      <c r="V8" s="102">
        <f>V5-I12</f>
        <v>467493.29116777598</v>
      </c>
      <c r="W8" s="135">
        <f>D7-D4*G31-D5*G32</f>
        <v>1.6017626636615359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5"/>
    </row>
    <row r="9" spans="1:66" ht="20.100000000000001" customHeight="1">
      <c r="A9" s="278"/>
      <c r="B9" s="180"/>
      <c r="C9" s="264" t="s">
        <v>20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6"/>
      <c r="R9" s="27"/>
      <c r="T9" s="110" t="s">
        <v>22</v>
      </c>
      <c r="U9" s="119" t="s">
        <v>149</v>
      </c>
      <c r="V9" s="102">
        <f>V6-I13</f>
        <v>461711.88737001055</v>
      </c>
      <c r="W9" s="135">
        <f>D7-D4*G31-D5*G32</f>
        <v>1.6017626636615359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5"/>
    </row>
    <row r="10" spans="1:66" ht="20.100000000000001" customHeight="1">
      <c r="A10" s="278"/>
      <c r="B10" s="180"/>
      <c r="C10" s="267"/>
      <c r="D10" s="268" t="s">
        <v>22</v>
      </c>
      <c r="E10" s="269"/>
      <c r="F10" s="269"/>
      <c r="G10" s="270"/>
      <c r="H10" s="271"/>
      <c r="I10" s="273" t="s">
        <v>21</v>
      </c>
      <c r="J10" s="274"/>
      <c r="K10" s="274"/>
      <c r="L10" s="275"/>
      <c r="M10" s="271"/>
      <c r="N10" s="273" t="s">
        <v>35</v>
      </c>
      <c r="O10" s="274"/>
      <c r="P10" s="274"/>
      <c r="Q10" s="276"/>
      <c r="R10" s="27"/>
      <c r="T10" s="110" t="s">
        <v>21</v>
      </c>
      <c r="U10" s="125" t="s">
        <v>140</v>
      </c>
      <c r="V10" s="102">
        <f>V7-I14</f>
        <v>456298.47827354906</v>
      </c>
      <c r="W10" s="135">
        <f>D4*G31/G34</f>
        <v>1.3451529943886111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5"/>
    </row>
    <row r="11" spans="1:66" ht="20.100000000000001" customHeight="1">
      <c r="A11" s="278"/>
      <c r="B11" s="180"/>
      <c r="C11" s="242"/>
      <c r="D11" s="178" t="s">
        <v>36</v>
      </c>
      <c r="E11" s="178" t="s">
        <v>37</v>
      </c>
      <c r="F11" s="179" t="s">
        <v>33</v>
      </c>
      <c r="G11" s="178" t="s">
        <v>34</v>
      </c>
      <c r="H11" s="272"/>
      <c r="I11" s="178" t="s">
        <v>36</v>
      </c>
      <c r="J11" s="178" t="s">
        <v>37</v>
      </c>
      <c r="K11" s="179" t="s">
        <v>33</v>
      </c>
      <c r="L11" s="178" t="s">
        <v>34</v>
      </c>
      <c r="M11" s="272"/>
      <c r="N11" s="178" t="s">
        <v>36</v>
      </c>
      <c r="O11" s="178" t="s">
        <v>37</v>
      </c>
      <c r="P11" s="179" t="s">
        <v>33</v>
      </c>
      <c r="Q11" s="11" t="s">
        <v>34</v>
      </c>
      <c r="R11" s="27"/>
      <c r="T11" s="110"/>
      <c r="U11" s="125" t="s">
        <v>141</v>
      </c>
      <c r="V11" s="102">
        <f>-I17 +V8-D15</f>
        <v>204129.96838390891</v>
      </c>
      <c r="W11" s="135">
        <f t="shared" ref="W11:W12" si="0">D5*G32/G35</f>
        <v>1.0554306990114368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5"/>
    </row>
    <row r="12" spans="1:66" ht="20.100000000000001" customHeight="1">
      <c r="A12" s="278"/>
      <c r="B12" s="180"/>
      <c r="C12" s="176" t="s">
        <v>129</v>
      </c>
      <c r="D12" s="13">
        <f>F12*891*9.81</f>
        <v>0</v>
      </c>
      <c r="E12" s="13">
        <f t="shared" ref="E12:E17" si="1">D12/6895</f>
        <v>0</v>
      </c>
      <c r="F12" s="13">
        <f>C36*D7/C33</f>
        <v>0</v>
      </c>
      <c r="G12" s="13">
        <f t="shared" ref="G12:G17" si="2">F12*0.891/13.6*1000</f>
        <v>0</v>
      </c>
      <c r="H12" s="178" t="s">
        <v>30</v>
      </c>
      <c r="I12" s="13">
        <f t="shared" ref="I12:I19" si="3">K12*891*9.81</f>
        <v>22848.221177903004</v>
      </c>
      <c r="J12" s="13">
        <f t="shared" ref="J12:J19" si="4">I12/6895</f>
        <v>3.3137376617698338</v>
      </c>
      <c r="K12" s="13">
        <f>D7^2*(G46/D7+I46)/C$33</f>
        <v>2.6140005992537221</v>
      </c>
      <c r="L12" s="13">
        <f t="shared" ref="L12:L19" si="5">K12*0.891/13.6*1000</f>
        <v>171.25548043640194</v>
      </c>
      <c r="M12" s="178" t="s">
        <v>38</v>
      </c>
      <c r="N12" s="13">
        <f>P12*891*9.81</f>
        <v>286211.54396177008</v>
      </c>
      <c r="O12" s="13">
        <f>N12/6895</f>
        <v>41.510013627522852</v>
      </c>
      <c r="P12" s="15">
        <f>K17+F15+F12+K12</f>
        <v>32.744656207764592</v>
      </c>
      <c r="Q12" s="14">
        <f>P12*0.891/13.6*1000</f>
        <v>2145.2565206704598</v>
      </c>
      <c r="R12" s="27"/>
      <c r="T12" s="110"/>
      <c r="U12" s="125" t="s">
        <v>139</v>
      </c>
      <c r="V12" s="102">
        <f>-I18 +V9-D16</f>
        <v>223572.45414698974</v>
      </c>
      <c r="W12" s="135">
        <f t="shared" si="0"/>
        <v>2.847578068731619</v>
      </c>
      <c r="X12" s="27"/>
      <c r="Y12" s="27"/>
      <c r="Z12" s="27"/>
      <c r="AA12" s="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5"/>
    </row>
    <row r="13" spans="1:66" ht="20.100000000000001" customHeight="1">
      <c r="A13" s="278"/>
      <c r="B13" s="180"/>
      <c r="C13" s="176" t="s">
        <v>130</v>
      </c>
      <c r="D13" s="13">
        <f t="shared" ref="D13:D17" si="6">F13*891*9.81</f>
        <v>0</v>
      </c>
      <c r="E13" s="13">
        <f t="shared" si="1"/>
        <v>0</v>
      </c>
      <c r="F13" s="13">
        <f>C37*(D7-G31*D4)/C33</f>
        <v>0</v>
      </c>
      <c r="G13" s="13">
        <f t="shared" si="2"/>
        <v>0</v>
      </c>
      <c r="H13" s="178" t="s">
        <v>31</v>
      </c>
      <c r="I13" s="13">
        <f t="shared" si="3"/>
        <v>14740.609033694445</v>
      </c>
      <c r="J13" s="13">
        <f t="shared" si="4"/>
        <v>2.1378693304850538</v>
      </c>
      <c r="K13" s="15">
        <f>(G47/(D7-G31*D4)+I47)*(D7-G31*D4)^2/C33</f>
        <v>1.6864315408810546</v>
      </c>
      <c r="L13" s="13">
        <f t="shared" si="5"/>
        <v>110.48606639154556</v>
      </c>
      <c r="M13" s="178" t="s">
        <v>39</v>
      </c>
      <c r="N13" s="13">
        <f>P13*891*9.81</f>
        <v>266769.05819868925</v>
      </c>
      <c r="O13" s="13">
        <f>N13/6895</f>
        <v>38.690218738025997</v>
      </c>
      <c r="P13" s="15">
        <f>K18+K15+K13+F16+F13+F12</f>
        <v>30.520296200044303</v>
      </c>
      <c r="Q13" s="14">
        <f>P13*0.891/13.6*1000</f>
        <v>1999.5282289881968</v>
      </c>
      <c r="R13" s="27"/>
      <c r="T13" s="110" t="s">
        <v>22</v>
      </c>
      <c r="U13" s="125" t="s">
        <v>134</v>
      </c>
      <c r="V13" s="102">
        <f>-I19 +V10-D17</f>
        <v>242919.85418586346</v>
      </c>
      <c r="W13" s="135">
        <f>D4*G31/G34</f>
        <v>1.3451529943886111</v>
      </c>
      <c r="X13" s="27"/>
      <c r="Y13" s="27"/>
      <c r="Z13" s="27"/>
      <c r="AA13" s="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5"/>
    </row>
    <row r="14" spans="1:66" ht="20.100000000000001" customHeight="1">
      <c r="A14" s="278"/>
      <c r="B14" s="180"/>
      <c r="C14" s="176" t="s">
        <v>131</v>
      </c>
      <c r="D14" s="13">
        <f t="shared" si="6"/>
        <v>0</v>
      </c>
      <c r="E14" s="13">
        <f t="shared" si="1"/>
        <v>0</v>
      </c>
      <c r="F14" s="13">
        <f>C38*(D7-D4*G31-D5*G32)/C33</f>
        <v>0</v>
      </c>
      <c r="G14" s="13">
        <f t="shared" si="2"/>
        <v>0</v>
      </c>
      <c r="H14" s="178" t="s">
        <v>32</v>
      </c>
      <c r="I14" s="13">
        <f t="shared" si="3"/>
        <v>9751.631789000663</v>
      </c>
      <c r="J14" s="13">
        <f t="shared" si="4"/>
        <v>1.4143048279913941</v>
      </c>
      <c r="K14" s="15">
        <f>(G48/(D7-D4*G31-D5*G32)+I48)*(D7-D4*G31-D5*G32)^2/C$33</f>
        <v>1.115656713127499</v>
      </c>
      <c r="L14" s="13">
        <f t="shared" si="5"/>
        <v>73.091921426220722</v>
      </c>
      <c r="M14" s="178" t="s">
        <v>40</v>
      </c>
      <c r="N14" s="13">
        <f>P14*891*9.81</f>
        <v>247421.65815981559</v>
      </c>
      <c r="O14" s="13">
        <f>N14/6895</f>
        <v>35.88421438140908</v>
      </c>
      <c r="P14" s="15">
        <f>K19+K16+K14+F17+F14+F13+F12+K15</f>
        <v>28.306814682081384</v>
      </c>
      <c r="Q14" s="14">
        <f>P14*0.891/13.6*1000</f>
        <v>1854.5126383628319</v>
      </c>
      <c r="R14" s="27"/>
      <c r="T14" s="110"/>
      <c r="U14" s="125" t="s">
        <v>135</v>
      </c>
      <c r="V14" s="102">
        <f>V5-I15</f>
        <v>476452.49640370498</v>
      </c>
      <c r="W14" s="135">
        <f t="shared" ref="W14:W15" si="7">D5*G32/G35</f>
        <v>1.0554306990114368</v>
      </c>
      <c r="X14" s="27"/>
      <c r="Y14" s="27"/>
      <c r="Z14" s="27"/>
      <c r="AA14" s="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5"/>
    </row>
    <row r="15" spans="1:66" ht="20.100000000000001" customHeight="1">
      <c r="A15" s="278"/>
      <c r="B15" s="180"/>
      <c r="C15" s="17" t="s">
        <v>26</v>
      </c>
      <c r="D15" s="13">
        <f t="shared" si="6"/>
        <v>0</v>
      </c>
      <c r="E15" s="13">
        <f t="shared" si="1"/>
        <v>0</v>
      </c>
      <c r="F15" s="15">
        <f>C39*BJ25/C$33</f>
        <v>0</v>
      </c>
      <c r="G15" s="13">
        <f t="shared" si="2"/>
        <v>0</v>
      </c>
      <c r="H15" s="178" t="s">
        <v>132</v>
      </c>
      <c r="I15" s="13">
        <f t="shared" si="3"/>
        <v>13889.015941973999</v>
      </c>
      <c r="J15" s="13">
        <f t="shared" si="4"/>
        <v>2.0143605427083391</v>
      </c>
      <c r="K15" s="13">
        <f>(G52/(D7-G31*D4)+I52)*(D7-G31*D4)^2/C$33</f>
        <v>1.5890031750251408</v>
      </c>
      <c r="L15" s="13">
        <f t="shared" si="5"/>
        <v>104.10307565789709</v>
      </c>
      <c r="M15" s="297"/>
      <c r="N15" s="298"/>
      <c r="O15" s="298"/>
      <c r="P15" s="298"/>
      <c r="Q15" s="299"/>
      <c r="R15" s="27"/>
      <c r="T15" s="110"/>
      <c r="U15" s="125" t="s">
        <v>136</v>
      </c>
      <c r="V15" s="102">
        <f>V6-I16</f>
        <v>466050.11006254971</v>
      </c>
      <c r="W15" s="135">
        <f t="shared" si="7"/>
        <v>2.847578068731619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5"/>
    </row>
    <row r="16" spans="1:66" ht="20.100000000000001" customHeight="1">
      <c r="A16" s="278"/>
      <c r="B16" s="180"/>
      <c r="C16" s="17" t="s">
        <v>27</v>
      </c>
      <c r="D16" s="13">
        <f t="shared" si="6"/>
        <v>0</v>
      </c>
      <c r="E16" s="13">
        <f t="shared" si="1"/>
        <v>0</v>
      </c>
      <c r="F16" s="15">
        <f>C40*BJ26/C$33</f>
        <v>0</v>
      </c>
      <c r="G16" s="13">
        <f t="shared" si="2"/>
        <v>0</v>
      </c>
      <c r="H16" s="178" t="s">
        <v>133</v>
      </c>
      <c r="I16" s="13">
        <f t="shared" si="3"/>
        <v>10402.386341155301</v>
      </c>
      <c r="J16" s="13">
        <f t="shared" si="4"/>
        <v>1.5086854736991009</v>
      </c>
      <c r="K16" s="13">
        <f>(G53/(D7-D4*G31-D5*G32)+I53)*(D7-D4*G31-D5*G32)^2/C$33</f>
        <v>1.1901077076296207</v>
      </c>
      <c r="L16" s="13">
        <f t="shared" si="5"/>
        <v>77.969556433675891</v>
      </c>
      <c r="M16" s="300"/>
      <c r="N16" s="237"/>
      <c r="O16" s="237"/>
      <c r="P16" s="237"/>
      <c r="Q16" s="301"/>
      <c r="R16" s="27"/>
      <c r="T16" s="110" t="s">
        <v>21</v>
      </c>
      <c r="U16" s="125" t="s">
        <v>150</v>
      </c>
      <c r="V16" s="15">
        <v>101325</v>
      </c>
      <c r="W16" s="136">
        <f>D4</f>
        <v>16.795727183366147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5"/>
    </row>
    <row r="17" spans="1:116" ht="15.75" customHeight="1">
      <c r="A17" s="278"/>
      <c r="B17" s="180"/>
      <c r="C17" s="17" t="s">
        <v>28</v>
      </c>
      <c r="D17" s="13">
        <f t="shared" si="6"/>
        <v>0</v>
      </c>
      <c r="E17" s="13">
        <f t="shared" si="1"/>
        <v>0</v>
      </c>
      <c r="F17" s="15">
        <f>C41*BJ27/C$33</f>
        <v>0</v>
      </c>
      <c r="G17" s="13">
        <f t="shared" si="2"/>
        <v>0</v>
      </c>
      <c r="H17" s="179" t="s">
        <v>12</v>
      </c>
      <c r="I17" s="13">
        <f>K17*891*9.81</f>
        <v>263363.32278386707</v>
      </c>
      <c r="J17" s="13">
        <f t="shared" si="4"/>
        <v>38.196275965753017</v>
      </c>
      <c r="K17" s="13">
        <f>(G49/D4+I49)*D4^2/C$33</f>
        <v>30.130655608510871</v>
      </c>
      <c r="L17" s="13">
        <f t="shared" si="5"/>
        <v>1974.0010402340577</v>
      </c>
      <c r="M17" s="300"/>
      <c r="N17" s="237"/>
      <c r="O17" s="237"/>
      <c r="P17" s="237"/>
      <c r="Q17" s="301"/>
      <c r="R17" s="27"/>
      <c r="T17" s="110"/>
      <c r="U17" s="125" t="s">
        <v>151</v>
      </c>
      <c r="V17" s="15">
        <v>101325</v>
      </c>
      <c r="W17" s="136">
        <f>D5</f>
        <v>18.323449635615219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5"/>
    </row>
    <row r="18" spans="1:116" ht="15.75" customHeight="1" thickBot="1">
      <c r="A18" s="278"/>
      <c r="B18" s="180"/>
      <c r="C18" s="305"/>
      <c r="D18" s="306"/>
      <c r="E18" s="306"/>
      <c r="F18" s="306"/>
      <c r="G18" s="286"/>
      <c r="H18" s="179" t="s">
        <v>13</v>
      </c>
      <c r="I18" s="13">
        <f t="shared" si="3"/>
        <v>238139.43322302081</v>
      </c>
      <c r="J18" s="13">
        <f t="shared" si="4"/>
        <v>34.537988864832606</v>
      </c>
      <c r="K18" s="13">
        <f t="shared" ref="K18:K19" si="8">(G50/D5+I50)*D5^2/C$33</f>
        <v>27.244861484138106</v>
      </c>
      <c r="L18" s="13">
        <f t="shared" si="5"/>
        <v>1784.9390869387539</v>
      </c>
      <c r="M18" s="300"/>
      <c r="N18" s="237"/>
      <c r="O18" s="237"/>
      <c r="P18" s="237"/>
      <c r="Q18" s="301"/>
      <c r="R18" s="27"/>
      <c r="T18" s="111"/>
      <c r="U18" s="137" t="s">
        <v>152</v>
      </c>
      <c r="V18" s="20">
        <v>101325</v>
      </c>
      <c r="W18" s="138">
        <f>D6</f>
        <v>19.720069728058306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5"/>
    </row>
    <row r="19" spans="1:116" ht="16.5" customHeight="1" thickBot="1">
      <c r="A19" s="278"/>
      <c r="B19" s="180"/>
      <c r="C19" s="307"/>
      <c r="D19" s="308"/>
      <c r="E19" s="308"/>
      <c r="F19" s="308"/>
      <c r="G19" s="309"/>
      <c r="H19" s="81" t="s">
        <v>14</v>
      </c>
      <c r="I19" s="19">
        <f t="shared" si="3"/>
        <v>213378.6240876856</v>
      </c>
      <c r="J19" s="19">
        <f t="shared" si="4"/>
        <v>30.946863537010241</v>
      </c>
      <c r="K19" s="13">
        <f t="shared" si="8"/>
        <v>24.412047086299122</v>
      </c>
      <c r="L19" s="19">
        <f t="shared" si="5"/>
        <v>1599.3480848450381</v>
      </c>
      <c r="M19" s="302"/>
      <c r="N19" s="303"/>
      <c r="O19" s="303"/>
      <c r="P19" s="303"/>
      <c r="Q19" s="30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5"/>
    </row>
    <row r="20" spans="1:116" ht="15.75" customHeight="1">
      <c r="A20" s="278"/>
      <c r="B20" s="18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5"/>
    </row>
    <row r="21" spans="1:116" ht="34.5" customHeight="1" thickBot="1">
      <c r="A21" s="278"/>
      <c r="B21" s="310" t="s">
        <v>99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1"/>
    </row>
    <row r="22" spans="1:116" ht="16.5" customHeight="1">
      <c r="A22" s="278"/>
      <c r="B22" s="207" t="s">
        <v>0</v>
      </c>
      <c r="C22" s="230"/>
      <c r="D22" s="27"/>
      <c r="E22" s="228" t="s">
        <v>62</v>
      </c>
      <c r="F22" s="229"/>
      <c r="G22" s="230"/>
      <c r="H22" s="180"/>
      <c r="I22" s="207" t="s">
        <v>68</v>
      </c>
      <c r="J22" s="208"/>
      <c r="K22" s="209"/>
      <c r="L22" s="180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</row>
    <row r="23" spans="1:116" ht="15.75" customHeight="1">
      <c r="A23" s="278"/>
      <c r="B23" s="17" t="s">
        <v>64</v>
      </c>
      <c r="C23" s="22">
        <v>5</v>
      </c>
      <c r="D23" s="27"/>
      <c r="E23" s="176" t="s">
        <v>43</v>
      </c>
      <c r="F23" s="15">
        <v>0.05</v>
      </c>
      <c r="G23" s="14" t="s">
        <v>61</v>
      </c>
      <c r="H23" s="27"/>
      <c r="I23" s="176" t="s">
        <v>49</v>
      </c>
      <c r="J23" s="15">
        <v>4.0000000000000001E-3</v>
      </c>
      <c r="K23" s="14" t="s">
        <v>61</v>
      </c>
      <c r="L23" s="27"/>
      <c r="M23" s="218" t="s">
        <v>88</v>
      </c>
      <c r="N23" s="13"/>
      <c r="O23" s="178" t="s">
        <v>16</v>
      </c>
      <c r="P23" s="179" t="s">
        <v>42</v>
      </c>
      <c r="Q23" s="43">
        <v>1</v>
      </c>
      <c r="R23" s="43">
        <v>2</v>
      </c>
      <c r="S23" s="43">
        <v>3</v>
      </c>
      <c r="T23" s="43">
        <v>4</v>
      </c>
      <c r="U23" s="43">
        <v>5</v>
      </c>
      <c r="V23" s="43">
        <v>6</v>
      </c>
      <c r="W23" s="43">
        <v>7</v>
      </c>
      <c r="X23" s="43">
        <v>8</v>
      </c>
      <c r="Y23" s="43">
        <v>9</v>
      </c>
      <c r="Z23" s="43">
        <v>10</v>
      </c>
      <c r="AA23" s="43">
        <v>11</v>
      </c>
      <c r="AB23" s="43">
        <v>12</v>
      </c>
      <c r="AC23" s="43">
        <v>13</v>
      </c>
      <c r="AD23" s="43">
        <v>14</v>
      </c>
      <c r="AE23" s="43">
        <v>15</v>
      </c>
      <c r="AF23" s="43">
        <v>16</v>
      </c>
      <c r="AG23" s="43">
        <v>17</v>
      </c>
      <c r="AH23" s="43">
        <v>18</v>
      </c>
      <c r="AI23" s="43">
        <v>19</v>
      </c>
      <c r="AJ23" s="43">
        <v>20</v>
      </c>
      <c r="AK23" s="43">
        <v>21</v>
      </c>
      <c r="AL23" s="43">
        <v>22</v>
      </c>
      <c r="AM23" s="43">
        <v>23</v>
      </c>
      <c r="AN23" s="43">
        <v>24</v>
      </c>
      <c r="AO23" s="43">
        <v>25</v>
      </c>
      <c r="AP23" s="43">
        <v>26</v>
      </c>
      <c r="AQ23" s="43">
        <v>27</v>
      </c>
      <c r="AR23" s="43">
        <v>28</v>
      </c>
      <c r="AS23" s="43">
        <v>29</v>
      </c>
      <c r="AT23" s="43">
        <v>30</v>
      </c>
      <c r="AU23" s="43">
        <v>31</v>
      </c>
      <c r="AV23" s="43">
        <v>32</v>
      </c>
      <c r="AW23" s="43">
        <v>33</v>
      </c>
      <c r="AX23" s="43">
        <v>34</v>
      </c>
      <c r="AY23" s="43">
        <v>35</v>
      </c>
      <c r="AZ23" s="43">
        <v>36</v>
      </c>
      <c r="BA23" s="43">
        <v>37</v>
      </c>
      <c r="BB23" s="43">
        <v>38</v>
      </c>
      <c r="BC23" s="43">
        <v>39</v>
      </c>
      <c r="BD23" s="43">
        <v>40</v>
      </c>
      <c r="BE23" s="43">
        <v>41</v>
      </c>
      <c r="BF23" s="43">
        <v>42</v>
      </c>
      <c r="BG23" s="43">
        <v>43</v>
      </c>
      <c r="BH23" s="43">
        <v>44</v>
      </c>
      <c r="BI23" s="43">
        <v>45</v>
      </c>
      <c r="BJ23" s="43">
        <v>46</v>
      </c>
      <c r="BK23" s="43">
        <v>47</v>
      </c>
      <c r="BL23" s="43">
        <v>48</v>
      </c>
      <c r="BM23" s="43">
        <v>49</v>
      </c>
      <c r="BN23" s="43">
        <v>50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spans="1:116" ht="15.75" customHeight="1">
      <c r="A24" s="278"/>
      <c r="B24" s="17" t="s">
        <v>17</v>
      </c>
      <c r="C24" s="22">
        <f>(C23*(30.48/12)^2/0.4536)</f>
        <v>71.115520282186949</v>
      </c>
      <c r="D24" s="27"/>
      <c r="E24" s="176" t="s">
        <v>44</v>
      </c>
      <c r="F24" s="15">
        <v>0.05</v>
      </c>
      <c r="G24" s="14" t="s">
        <v>61</v>
      </c>
      <c r="H24" s="27"/>
      <c r="I24" s="176" t="s">
        <v>50</v>
      </c>
      <c r="J24" s="15">
        <v>2.8299999999999999E-4</v>
      </c>
      <c r="K24" s="14" t="s">
        <v>61</v>
      </c>
      <c r="L24" s="27"/>
      <c r="M24" s="218"/>
      <c r="N24" s="217" t="s">
        <v>1</v>
      </c>
      <c r="O24" s="178" t="s">
        <v>5</v>
      </c>
      <c r="P24" s="181">
        <v>1</v>
      </c>
      <c r="Q24" s="15">
        <f>Q28*$G$31+Q29*$G$32+Q30*$G$33</f>
        <v>1.9427498549430831</v>
      </c>
      <c r="R24" s="15">
        <f t="shared" ref="R24:BN24" si="9">R28*$G$31+R29*$G$32+R30*$G$33</f>
        <v>1.9497132209329069</v>
      </c>
      <c r="S24" s="15">
        <f t="shared" si="9"/>
        <v>1.9496923378995774</v>
      </c>
      <c r="T24" s="15">
        <f t="shared" si="9"/>
        <v>1.9496924007522929</v>
      </c>
      <c r="U24" s="15">
        <f t="shared" si="9"/>
        <v>1.9496924005631158</v>
      </c>
      <c r="V24" s="15">
        <f t="shared" si="9"/>
        <v>1.9496924005636851</v>
      </c>
      <c r="W24" s="15">
        <f t="shared" si="9"/>
        <v>1.9496924005636831</v>
      </c>
      <c r="X24" s="15">
        <f t="shared" si="9"/>
        <v>1.9496924005636831</v>
      </c>
      <c r="Y24" s="15">
        <f t="shared" si="9"/>
        <v>1.9496924005636831</v>
      </c>
      <c r="Z24" s="15">
        <f t="shared" si="9"/>
        <v>1.9496924005636831</v>
      </c>
      <c r="AA24" s="15">
        <f t="shared" si="9"/>
        <v>1.9496924005636831</v>
      </c>
      <c r="AB24" s="15">
        <f t="shared" si="9"/>
        <v>1.9496924005636831</v>
      </c>
      <c r="AC24" s="15">
        <f t="shared" si="9"/>
        <v>1.9496924005636831</v>
      </c>
      <c r="AD24" s="15">
        <f t="shared" si="9"/>
        <v>1.9496924005636831</v>
      </c>
      <c r="AE24" s="15">
        <f t="shared" si="9"/>
        <v>1.9496924005636831</v>
      </c>
      <c r="AF24" s="15">
        <f t="shared" si="9"/>
        <v>1.9496924005636831</v>
      </c>
      <c r="AG24" s="15">
        <f t="shared" si="9"/>
        <v>1.9496924005636831</v>
      </c>
      <c r="AH24" s="15">
        <f t="shared" si="9"/>
        <v>1.9496924005636831</v>
      </c>
      <c r="AI24" s="15">
        <f t="shared" si="9"/>
        <v>1.9496924005636831</v>
      </c>
      <c r="AJ24" s="15">
        <f t="shared" si="9"/>
        <v>1.9496924005636831</v>
      </c>
      <c r="AK24" s="15">
        <f t="shared" si="9"/>
        <v>1.9496924005636831</v>
      </c>
      <c r="AL24" s="15">
        <f t="shared" si="9"/>
        <v>1.9496924005636831</v>
      </c>
      <c r="AM24" s="15">
        <f t="shared" si="9"/>
        <v>1.9496924005636831</v>
      </c>
      <c r="AN24" s="15">
        <f t="shared" si="9"/>
        <v>1.9496924005636831</v>
      </c>
      <c r="AO24" s="15">
        <f t="shared" si="9"/>
        <v>1.9496924005636831</v>
      </c>
      <c r="AP24" s="15">
        <f t="shared" si="9"/>
        <v>1.9496924005636831</v>
      </c>
      <c r="AQ24" s="15">
        <f t="shared" si="9"/>
        <v>1.9496924005636831</v>
      </c>
      <c r="AR24" s="15">
        <f t="shared" si="9"/>
        <v>1.9496924005636831</v>
      </c>
      <c r="AS24" s="15">
        <f t="shared" si="9"/>
        <v>1.9496924005636831</v>
      </c>
      <c r="AT24" s="15">
        <f t="shared" si="9"/>
        <v>1.9496924005636831</v>
      </c>
      <c r="AU24" s="15">
        <f t="shared" si="9"/>
        <v>1.9496924005636831</v>
      </c>
      <c r="AV24" s="15">
        <f t="shared" si="9"/>
        <v>1.9496924005636831</v>
      </c>
      <c r="AW24" s="15">
        <f t="shared" si="9"/>
        <v>1.9496924005636831</v>
      </c>
      <c r="AX24" s="15">
        <f t="shared" si="9"/>
        <v>1.9496924005636831</v>
      </c>
      <c r="AY24" s="15">
        <f t="shared" si="9"/>
        <v>1.9496924005636831</v>
      </c>
      <c r="AZ24" s="15">
        <f t="shared" si="9"/>
        <v>1.9496924005636831</v>
      </c>
      <c r="BA24" s="15">
        <f t="shared" si="9"/>
        <v>1.9496924005636831</v>
      </c>
      <c r="BB24" s="15">
        <f t="shared" si="9"/>
        <v>1.9496924005636831</v>
      </c>
      <c r="BC24" s="15">
        <f t="shared" si="9"/>
        <v>1.9496924005636831</v>
      </c>
      <c r="BD24" s="15">
        <f t="shared" si="9"/>
        <v>1.9496924005636831</v>
      </c>
      <c r="BE24" s="15">
        <f t="shared" si="9"/>
        <v>1.9496924005636831</v>
      </c>
      <c r="BF24" s="15">
        <f t="shared" si="9"/>
        <v>1.9496924005636831</v>
      </c>
      <c r="BG24" s="15">
        <f t="shared" si="9"/>
        <v>1.9496924005636831</v>
      </c>
      <c r="BH24" s="15">
        <f t="shared" si="9"/>
        <v>1.9496924005636831</v>
      </c>
      <c r="BI24" s="15">
        <f t="shared" si="9"/>
        <v>1.9496924005636831</v>
      </c>
      <c r="BJ24" s="15">
        <f t="shared" si="9"/>
        <v>1.9496924005636831</v>
      </c>
      <c r="BK24" s="15">
        <f t="shared" si="9"/>
        <v>1.9496924005636831</v>
      </c>
      <c r="BL24" s="15">
        <f t="shared" si="9"/>
        <v>1.9496924005636831</v>
      </c>
      <c r="BM24" s="15">
        <f t="shared" si="9"/>
        <v>1.9496924005636831</v>
      </c>
      <c r="BN24" s="15">
        <f t="shared" si="9"/>
        <v>1.9496924005636831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ht="15.75" customHeight="1">
      <c r="A25" s="278"/>
      <c r="B25" s="17" t="s">
        <v>65</v>
      </c>
      <c r="C25" s="22">
        <f>(C23*(30.48/12)^2/0.4536)*6895</f>
        <v>490341.51234567899</v>
      </c>
      <c r="D25" s="27"/>
      <c r="E25" s="176" t="s">
        <v>45</v>
      </c>
      <c r="F25" s="15">
        <v>0.05</v>
      </c>
      <c r="G25" s="14" t="s">
        <v>61</v>
      </c>
      <c r="H25" s="27"/>
      <c r="I25" s="176" t="s">
        <v>51</v>
      </c>
      <c r="J25" s="15">
        <v>4.8000000000000001E-4</v>
      </c>
      <c r="K25" s="14" t="s">
        <v>61</v>
      </c>
      <c r="L25" s="27"/>
      <c r="M25" s="218"/>
      <c r="N25" s="217"/>
      <c r="O25" s="178" t="s">
        <v>6</v>
      </c>
      <c r="P25" s="181">
        <v>1</v>
      </c>
      <c r="Q25" s="15">
        <f>((-$G46)+($G46^2+4*Q$24^2*(1+$I46))^0.5)/(2*(1+$I46))</f>
        <v>0.21454247797372408</v>
      </c>
      <c r="R25" s="15">
        <f t="shared" ref="R25:BN25" si="10">((-$G46)+($G46^2+4*R$24^2*(1+$I46))^0.5)/(2*(1+$I46))</f>
        <v>0.21597511713372608</v>
      </c>
      <c r="S25" s="15">
        <f t="shared" si="10"/>
        <v>0.21597081500253068</v>
      </c>
      <c r="T25" s="15">
        <f t="shared" si="10"/>
        <v>0.21597082795082004</v>
      </c>
      <c r="U25" s="15">
        <f t="shared" si="10"/>
        <v>0.21597082791184774</v>
      </c>
      <c r="V25" s="15">
        <f t="shared" si="10"/>
        <v>0.21597082791196509</v>
      </c>
      <c r="W25" s="15">
        <f t="shared" si="10"/>
        <v>0.21597082791196451</v>
      </c>
      <c r="X25" s="15">
        <f t="shared" si="10"/>
        <v>0.21597082791196451</v>
      </c>
      <c r="Y25" s="15">
        <f t="shared" si="10"/>
        <v>0.21597082791196451</v>
      </c>
      <c r="Z25" s="15">
        <f t="shared" si="10"/>
        <v>0.21597082791196451</v>
      </c>
      <c r="AA25" s="15">
        <f t="shared" si="10"/>
        <v>0.21597082791196451</v>
      </c>
      <c r="AB25" s="15">
        <f t="shared" si="10"/>
        <v>0.21597082791196451</v>
      </c>
      <c r="AC25" s="15">
        <f t="shared" si="10"/>
        <v>0.21597082791196451</v>
      </c>
      <c r="AD25" s="15">
        <f t="shared" si="10"/>
        <v>0.21597082791196451</v>
      </c>
      <c r="AE25" s="15">
        <f t="shared" si="10"/>
        <v>0.21597082791196451</v>
      </c>
      <c r="AF25" s="15">
        <f t="shared" si="10"/>
        <v>0.21597082791196451</v>
      </c>
      <c r="AG25" s="15">
        <f t="shared" si="10"/>
        <v>0.21597082791196451</v>
      </c>
      <c r="AH25" s="15">
        <f t="shared" si="10"/>
        <v>0.21597082791196451</v>
      </c>
      <c r="AI25" s="15">
        <f t="shared" si="10"/>
        <v>0.21597082791196451</v>
      </c>
      <c r="AJ25" s="15">
        <f t="shared" si="10"/>
        <v>0.21597082791196451</v>
      </c>
      <c r="AK25" s="15">
        <f t="shared" si="10"/>
        <v>0.21597082791196451</v>
      </c>
      <c r="AL25" s="15">
        <f t="shared" si="10"/>
        <v>0.21597082791196451</v>
      </c>
      <c r="AM25" s="15">
        <f t="shared" si="10"/>
        <v>0.21597082791196451</v>
      </c>
      <c r="AN25" s="15">
        <f t="shared" si="10"/>
        <v>0.21597082791196451</v>
      </c>
      <c r="AO25" s="15">
        <f t="shared" si="10"/>
        <v>0.21597082791196451</v>
      </c>
      <c r="AP25" s="15">
        <f t="shared" si="10"/>
        <v>0.21597082791196451</v>
      </c>
      <c r="AQ25" s="15">
        <f t="shared" si="10"/>
        <v>0.21597082791196451</v>
      </c>
      <c r="AR25" s="15">
        <f t="shared" si="10"/>
        <v>0.21597082791196451</v>
      </c>
      <c r="AS25" s="15">
        <f t="shared" si="10"/>
        <v>0.21597082791196451</v>
      </c>
      <c r="AT25" s="15">
        <f t="shared" si="10"/>
        <v>0.21597082791196451</v>
      </c>
      <c r="AU25" s="15">
        <f t="shared" si="10"/>
        <v>0.21597082791196451</v>
      </c>
      <c r="AV25" s="15">
        <f t="shared" si="10"/>
        <v>0.21597082791196451</v>
      </c>
      <c r="AW25" s="15">
        <f t="shared" si="10"/>
        <v>0.21597082791196451</v>
      </c>
      <c r="AX25" s="15">
        <f t="shared" si="10"/>
        <v>0.21597082791196451</v>
      </c>
      <c r="AY25" s="15">
        <f t="shared" si="10"/>
        <v>0.21597082791196451</v>
      </c>
      <c r="AZ25" s="15">
        <f t="shared" si="10"/>
        <v>0.21597082791196451</v>
      </c>
      <c r="BA25" s="15">
        <f t="shared" si="10"/>
        <v>0.21597082791196451</v>
      </c>
      <c r="BB25" s="15">
        <f t="shared" si="10"/>
        <v>0.21597082791196451</v>
      </c>
      <c r="BC25" s="15">
        <f t="shared" si="10"/>
        <v>0.21597082791196451</v>
      </c>
      <c r="BD25" s="15">
        <f t="shared" si="10"/>
        <v>0.21597082791196451</v>
      </c>
      <c r="BE25" s="15">
        <f t="shared" si="10"/>
        <v>0.21597082791196451</v>
      </c>
      <c r="BF25" s="15">
        <f t="shared" si="10"/>
        <v>0.21597082791196451</v>
      </c>
      <c r="BG25" s="15">
        <f t="shared" si="10"/>
        <v>0.21597082791196451</v>
      </c>
      <c r="BH25" s="15">
        <f t="shared" si="10"/>
        <v>0.21597082791196451</v>
      </c>
      <c r="BI25" s="15">
        <f t="shared" si="10"/>
        <v>0.21597082791196451</v>
      </c>
      <c r="BJ25" s="15">
        <f t="shared" si="10"/>
        <v>0.21597082791196451</v>
      </c>
      <c r="BK25" s="15">
        <f t="shared" si="10"/>
        <v>0.21597082791196451</v>
      </c>
      <c r="BL25" s="15">
        <f t="shared" si="10"/>
        <v>0.21597082791196451</v>
      </c>
      <c r="BM25" s="15">
        <f t="shared" si="10"/>
        <v>0.21597082791196451</v>
      </c>
      <c r="BN25" s="15">
        <f t="shared" si="10"/>
        <v>0.21597082791196451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</row>
    <row r="26" spans="1:116" ht="15.75" customHeight="1">
      <c r="A26" s="278"/>
      <c r="B26" s="17" t="s">
        <v>66</v>
      </c>
      <c r="C26" s="22">
        <f>101325</f>
        <v>101325</v>
      </c>
      <c r="D26" s="27"/>
      <c r="E26" s="176" t="s">
        <v>46</v>
      </c>
      <c r="F26" s="15">
        <v>0.05</v>
      </c>
      <c r="G26" s="14" t="s">
        <v>61</v>
      </c>
      <c r="H26" s="27"/>
      <c r="I26" s="176" t="s">
        <v>52</v>
      </c>
      <c r="J26" s="15">
        <v>1.14E-3</v>
      </c>
      <c r="K26" s="14" t="s">
        <v>61</v>
      </c>
      <c r="L26" s="27"/>
      <c r="M26" s="218"/>
      <c r="N26" s="217"/>
      <c r="O26" s="179" t="s">
        <v>7</v>
      </c>
      <c r="P26" s="181">
        <v>1</v>
      </c>
      <c r="Q26" s="15">
        <f>((-$G47)+($G47^2+4*(Q$24-Q28*$G31)^2*(1+$I47))^0.5)/(2*(1+$I47))</f>
        <v>0.33817620815710314</v>
      </c>
      <c r="R26" s="15">
        <f t="shared" ref="R26:BN26" si="11">((-$G47)+($G47^2+4*(R$24-R28*$G31)^2*(1+$I47))^0.5)/(2*(1+$I47))</f>
        <v>0.34030044027406603</v>
      </c>
      <c r="S26" s="15">
        <f t="shared" si="11"/>
        <v>0.34029410424622436</v>
      </c>
      <c r="T26" s="15">
        <f t="shared" si="11"/>
        <v>0.34029412331607384</v>
      </c>
      <c r="U26" s="15">
        <f t="shared" si="11"/>
        <v>0.34029412325867636</v>
      </c>
      <c r="V26" s="15">
        <f t="shared" si="11"/>
        <v>0.34029412325884911</v>
      </c>
      <c r="W26" s="15">
        <f t="shared" si="11"/>
        <v>0.34029412325884856</v>
      </c>
      <c r="X26" s="15">
        <f t="shared" si="11"/>
        <v>0.34029412325884856</v>
      </c>
      <c r="Y26" s="15">
        <f t="shared" si="11"/>
        <v>0.34029412325884856</v>
      </c>
      <c r="Z26" s="15">
        <f t="shared" si="11"/>
        <v>0.34029412325884856</v>
      </c>
      <c r="AA26" s="15">
        <f t="shared" si="11"/>
        <v>0.34029412325884856</v>
      </c>
      <c r="AB26" s="15">
        <f t="shared" si="11"/>
        <v>0.34029412325884856</v>
      </c>
      <c r="AC26" s="15">
        <f t="shared" si="11"/>
        <v>0.34029412325884856</v>
      </c>
      <c r="AD26" s="15">
        <f t="shared" si="11"/>
        <v>0.34029412325884856</v>
      </c>
      <c r="AE26" s="15">
        <f t="shared" si="11"/>
        <v>0.34029412325884856</v>
      </c>
      <c r="AF26" s="15">
        <f t="shared" si="11"/>
        <v>0.34029412325884856</v>
      </c>
      <c r="AG26" s="15">
        <f t="shared" si="11"/>
        <v>0.34029412325884856</v>
      </c>
      <c r="AH26" s="15">
        <f t="shared" si="11"/>
        <v>0.34029412325884856</v>
      </c>
      <c r="AI26" s="15">
        <f t="shared" si="11"/>
        <v>0.34029412325884856</v>
      </c>
      <c r="AJ26" s="15">
        <f t="shared" si="11"/>
        <v>0.34029412325884856</v>
      </c>
      <c r="AK26" s="15">
        <f t="shared" si="11"/>
        <v>0.34029412325884856</v>
      </c>
      <c r="AL26" s="15">
        <f t="shared" si="11"/>
        <v>0.34029412325884856</v>
      </c>
      <c r="AM26" s="15">
        <f t="shared" si="11"/>
        <v>0.34029412325884856</v>
      </c>
      <c r="AN26" s="15">
        <f t="shared" si="11"/>
        <v>0.34029412325884856</v>
      </c>
      <c r="AO26" s="15">
        <f t="shared" si="11"/>
        <v>0.34029412325884856</v>
      </c>
      <c r="AP26" s="15">
        <f t="shared" si="11"/>
        <v>0.34029412325884856</v>
      </c>
      <c r="AQ26" s="15">
        <f t="shared" si="11"/>
        <v>0.34029412325884856</v>
      </c>
      <c r="AR26" s="15">
        <f t="shared" si="11"/>
        <v>0.34029412325884856</v>
      </c>
      <c r="AS26" s="15">
        <f t="shared" si="11"/>
        <v>0.34029412325884856</v>
      </c>
      <c r="AT26" s="15">
        <f t="shared" si="11"/>
        <v>0.34029412325884856</v>
      </c>
      <c r="AU26" s="15">
        <f t="shared" si="11"/>
        <v>0.34029412325884856</v>
      </c>
      <c r="AV26" s="15">
        <f t="shared" si="11"/>
        <v>0.34029412325884856</v>
      </c>
      <c r="AW26" s="15">
        <f t="shared" si="11"/>
        <v>0.34029412325884856</v>
      </c>
      <c r="AX26" s="15">
        <f t="shared" si="11"/>
        <v>0.34029412325884856</v>
      </c>
      <c r="AY26" s="15">
        <f t="shared" si="11"/>
        <v>0.34029412325884856</v>
      </c>
      <c r="AZ26" s="15">
        <f t="shared" si="11"/>
        <v>0.34029412325884856</v>
      </c>
      <c r="BA26" s="15">
        <f t="shared" si="11"/>
        <v>0.34029412325884856</v>
      </c>
      <c r="BB26" s="15">
        <f t="shared" si="11"/>
        <v>0.34029412325884856</v>
      </c>
      <c r="BC26" s="15">
        <f t="shared" si="11"/>
        <v>0.34029412325884856</v>
      </c>
      <c r="BD26" s="15">
        <f t="shared" si="11"/>
        <v>0.34029412325884856</v>
      </c>
      <c r="BE26" s="15">
        <f t="shared" si="11"/>
        <v>0.34029412325884856</v>
      </c>
      <c r="BF26" s="15">
        <f t="shared" si="11"/>
        <v>0.34029412325884856</v>
      </c>
      <c r="BG26" s="15">
        <f t="shared" si="11"/>
        <v>0.34029412325884856</v>
      </c>
      <c r="BH26" s="15">
        <f t="shared" si="11"/>
        <v>0.34029412325884856</v>
      </c>
      <c r="BI26" s="15">
        <f t="shared" si="11"/>
        <v>0.34029412325884856</v>
      </c>
      <c r="BJ26" s="15">
        <f t="shared" si="11"/>
        <v>0.34029412325884856</v>
      </c>
      <c r="BK26" s="15">
        <f t="shared" si="11"/>
        <v>0.34029412325884856</v>
      </c>
      <c r="BL26" s="15">
        <f t="shared" si="11"/>
        <v>0.34029412325884856</v>
      </c>
      <c r="BM26" s="15">
        <f t="shared" si="11"/>
        <v>0.34029412325884856</v>
      </c>
      <c r="BN26" s="15">
        <f t="shared" si="11"/>
        <v>0.34029412325884856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</row>
    <row r="27" spans="1:116" ht="15.75" customHeight="1">
      <c r="A27" s="278"/>
      <c r="B27" s="17" t="s">
        <v>67</v>
      </c>
      <c r="C27" s="22">
        <f>C25-C26</f>
        <v>389016.51234567899</v>
      </c>
      <c r="D27" s="27"/>
      <c r="E27" s="176" t="s">
        <v>47</v>
      </c>
      <c r="F27" s="15">
        <v>0.05</v>
      </c>
      <c r="G27" s="14" t="s">
        <v>61</v>
      </c>
      <c r="H27" s="27"/>
      <c r="I27" s="176" t="s">
        <v>53</v>
      </c>
      <c r="J27" s="15">
        <v>1E-3</v>
      </c>
      <c r="K27" s="14" t="s">
        <v>61</v>
      </c>
      <c r="L27" s="27"/>
      <c r="M27" s="218"/>
      <c r="N27" s="217"/>
      <c r="O27" s="179" t="s">
        <v>8</v>
      </c>
      <c r="P27" s="181">
        <v>1</v>
      </c>
      <c r="Q27" s="15">
        <f>((-$G48)+($G48^2+4*(Q$24-$G31*Q28+$G32*Q29)^2*(1+$I48))^0.5)/(2*(1+$I48))</f>
        <v>0.52163601005640203</v>
      </c>
      <c r="R27" s="15">
        <f t="shared" ref="R27:BN27" si="12">((-$G48)+($G48^2+4*(R$24-$G31*R28+$G32*R29)^2*(1+$I48))^0.5)/(2*(1+$I48))</f>
        <v>0.52442167079376345</v>
      </c>
      <c r="S27" s="15">
        <f t="shared" si="12"/>
        <v>0.52441355744483897</v>
      </c>
      <c r="T27" s="15">
        <f t="shared" si="12"/>
        <v>0.52441358185808795</v>
      </c>
      <c r="U27" s="15">
        <f t="shared" si="12"/>
        <v>0.52441358178460806</v>
      </c>
      <c r="V27" s="15">
        <f t="shared" si="12"/>
        <v>0.52441358178482911</v>
      </c>
      <c r="W27" s="15">
        <f t="shared" si="12"/>
        <v>0.52441358178482833</v>
      </c>
      <c r="X27" s="15">
        <f t="shared" si="12"/>
        <v>0.52441358178482833</v>
      </c>
      <c r="Y27" s="15">
        <f t="shared" si="12"/>
        <v>0.52441358178482833</v>
      </c>
      <c r="Z27" s="15">
        <f t="shared" si="12"/>
        <v>0.52441358178482833</v>
      </c>
      <c r="AA27" s="15">
        <f t="shared" si="12"/>
        <v>0.52441358178482833</v>
      </c>
      <c r="AB27" s="15">
        <f t="shared" si="12"/>
        <v>0.52441358178482833</v>
      </c>
      <c r="AC27" s="15">
        <f t="shared" si="12"/>
        <v>0.52441358178482833</v>
      </c>
      <c r="AD27" s="15">
        <f t="shared" si="12"/>
        <v>0.52441358178482833</v>
      </c>
      <c r="AE27" s="15">
        <f t="shared" si="12"/>
        <v>0.52441358178482833</v>
      </c>
      <c r="AF27" s="15">
        <f t="shared" si="12"/>
        <v>0.52441358178482833</v>
      </c>
      <c r="AG27" s="15">
        <f t="shared" si="12"/>
        <v>0.52441358178482833</v>
      </c>
      <c r="AH27" s="15">
        <f t="shared" si="12"/>
        <v>0.52441358178482833</v>
      </c>
      <c r="AI27" s="15">
        <f t="shared" si="12"/>
        <v>0.52441358178482833</v>
      </c>
      <c r="AJ27" s="15">
        <f t="shared" si="12"/>
        <v>0.52441358178482833</v>
      </c>
      <c r="AK27" s="15">
        <f t="shared" si="12"/>
        <v>0.52441358178482833</v>
      </c>
      <c r="AL27" s="15">
        <f t="shared" si="12"/>
        <v>0.52441358178482833</v>
      </c>
      <c r="AM27" s="15">
        <f t="shared" si="12"/>
        <v>0.52441358178482833</v>
      </c>
      <c r="AN27" s="15">
        <f t="shared" si="12"/>
        <v>0.52441358178482833</v>
      </c>
      <c r="AO27" s="15">
        <f t="shared" si="12"/>
        <v>0.52441358178482833</v>
      </c>
      <c r="AP27" s="15">
        <f t="shared" si="12"/>
        <v>0.52441358178482833</v>
      </c>
      <c r="AQ27" s="15">
        <f t="shared" si="12"/>
        <v>0.52441358178482833</v>
      </c>
      <c r="AR27" s="15">
        <f t="shared" si="12"/>
        <v>0.52441358178482833</v>
      </c>
      <c r="AS27" s="15">
        <f t="shared" si="12"/>
        <v>0.52441358178482833</v>
      </c>
      <c r="AT27" s="15">
        <f t="shared" si="12"/>
        <v>0.52441358178482833</v>
      </c>
      <c r="AU27" s="15">
        <f t="shared" si="12"/>
        <v>0.52441358178482833</v>
      </c>
      <c r="AV27" s="15">
        <f t="shared" si="12"/>
        <v>0.52441358178482833</v>
      </c>
      <c r="AW27" s="15">
        <f t="shared" si="12"/>
        <v>0.52441358178482833</v>
      </c>
      <c r="AX27" s="15">
        <f t="shared" si="12"/>
        <v>0.52441358178482833</v>
      </c>
      <c r="AY27" s="15">
        <f t="shared" si="12"/>
        <v>0.52441358178482833</v>
      </c>
      <c r="AZ27" s="15">
        <f t="shared" si="12"/>
        <v>0.52441358178482833</v>
      </c>
      <c r="BA27" s="15">
        <f t="shared" si="12"/>
        <v>0.52441358178482833</v>
      </c>
      <c r="BB27" s="15">
        <f t="shared" si="12"/>
        <v>0.52441358178482833</v>
      </c>
      <c r="BC27" s="15">
        <f t="shared" si="12"/>
        <v>0.52441358178482833</v>
      </c>
      <c r="BD27" s="15">
        <f t="shared" si="12"/>
        <v>0.52441358178482833</v>
      </c>
      <c r="BE27" s="15">
        <f t="shared" si="12"/>
        <v>0.52441358178482833</v>
      </c>
      <c r="BF27" s="15">
        <f t="shared" si="12"/>
        <v>0.52441358178482833</v>
      </c>
      <c r="BG27" s="15">
        <f t="shared" si="12"/>
        <v>0.52441358178482833</v>
      </c>
      <c r="BH27" s="15">
        <f t="shared" si="12"/>
        <v>0.52441358178482833</v>
      </c>
      <c r="BI27" s="15">
        <f t="shared" si="12"/>
        <v>0.52441358178482833</v>
      </c>
      <c r="BJ27" s="15">
        <f t="shared" si="12"/>
        <v>0.52441358178482833</v>
      </c>
      <c r="BK27" s="15">
        <f t="shared" si="12"/>
        <v>0.52441358178482833</v>
      </c>
      <c r="BL27" s="15">
        <f t="shared" si="12"/>
        <v>0.52441358178482833</v>
      </c>
      <c r="BM27" s="15">
        <f t="shared" si="12"/>
        <v>0.52441358178482833</v>
      </c>
      <c r="BN27" s="15">
        <f t="shared" si="12"/>
        <v>0.52441358178482833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16.5" customHeight="1" thickBot="1">
      <c r="A28" s="278"/>
      <c r="B28" s="18" t="s">
        <v>81</v>
      </c>
      <c r="C28" s="24">
        <f>C27*2/C32</f>
        <v>873.21327125853873</v>
      </c>
      <c r="D28" s="27"/>
      <c r="E28" s="177" t="s">
        <v>48</v>
      </c>
      <c r="F28" s="20">
        <v>0.05</v>
      </c>
      <c r="G28" s="24" t="s">
        <v>61</v>
      </c>
      <c r="H28" s="7"/>
      <c r="I28" s="176" t="s">
        <v>54</v>
      </c>
      <c r="J28" s="15">
        <v>2E-3</v>
      </c>
      <c r="K28" s="14" t="s">
        <v>61</v>
      </c>
      <c r="L28" s="27"/>
      <c r="M28" s="218"/>
      <c r="N28" s="217"/>
      <c r="O28" s="179" t="s">
        <v>9</v>
      </c>
      <c r="P28" s="181">
        <v>1</v>
      </c>
      <c r="Q28" s="15">
        <f>(-$G49+($G49^2-4*($C36*P24+P25*$C39-P25^2-$C28)*(1+$I49))^0.5)/(2*(1+$I49))</f>
        <v>16.806863654172478</v>
      </c>
      <c r="R28" s="15">
        <f>(-$G49+($G49^2-4*($C36*Q24+Q25*$C39-Q25^2-$C28)*(1+$I49))^0.5)/(2*(1+$I49))</f>
        <v>16.795719998370899</v>
      </c>
      <c r="S28" s="15">
        <f>(-$G49+($G49^2-4*($C36*R24+R25*$C39-R25^2-$C28)*(1+$I49))^0.5)/(2*(1+$I49))</f>
        <v>16.795727205013915</v>
      </c>
      <c r="T28" s="15">
        <f>(-$G49+($G49^2-4*($C36*S24+S25*$C39-S25^2-$C28)*(1+$I49))^0.5)/(2*(1+$I49))</f>
        <v>16.795727183300993</v>
      </c>
      <c r="U28" s="15">
        <f t="shared" ref="U28:BN28" si="13">(-$G49+($G49^2-4*($C36*T24+T25*$C39-T25^2-$C28)*(1+$I49))^0.5)/(2*(1+$I49))</f>
        <v>16.795727183366342</v>
      </c>
      <c r="V28" s="15">
        <f t="shared" si="13"/>
        <v>16.795727183366143</v>
      </c>
      <c r="W28" s="15">
        <f t="shared" si="13"/>
        <v>16.795727183366147</v>
      </c>
      <c r="X28" s="15">
        <f t="shared" si="13"/>
        <v>16.795727183366147</v>
      </c>
      <c r="Y28" s="15">
        <f t="shared" si="13"/>
        <v>16.795727183366147</v>
      </c>
      <c r="Z28" s="15">
        <f t="shared" si="13"/>
        <v>16.795727183366147</v>
      </c>
      <c r="AA28" s="15">
        <f t="shared" si="13"/>
        <v>16.795727183366147</v>
      </c>
      <c r="AB28" s="15">
        <f t="shared" si="13"/>
        <v>16.795727183366147</v>
      </c>
      <c r="AC28" s="15">
        <f t="shared" si="13"/>
        <v>16.795727183366147</v>
      </c>
      <c r="AD28" s="15">
        <f t="shared" si="13"/>
        <v>16.795727183366147</v>
      </c>
      <c r="AE28" s="15">
        <f t="shared" si="13"/>
        <v>16.795727183366147</v>
      </c>
      <c r="AF28" s="15">
        <f t="shared" si="13"/>
        <v>16.795727183366147</v>
      </c>
      <c r="AG28" s="15">
        <f t="shared" si="13"/>
        <v>16.795727183366147</v>
      </c>
      <c r="AH28" s="15">
        <f t="shared" si="13"/>
        <v>16.795727183366147</v>
      </c>
      <c r="AI28" s="15">
        <f t="shared" si="13"/>
        <v>16.795727183366147</v>
      </c>
      <c r="AJ28" s="15">
        <f t="shared" si="13"/>
        <v>16.795727183366147</v>
      </c>
      <c r="AK28" s="15">
        <f t="shared" si="13"/>
        <v>16.795727183366147</v>
      </c>
      <c r="AL28" s="15">
        <f t="shared" si="13"/>
        <v>16.795727183366147</v>
      </c>
      <c r="AM28" s="15">
        <f t="shared" si="13"/>
        <v>16.795727183366147</v>
      </c>
      <c r="AN28" s="15">
        <f t="shared" si="13"/>
        <v>16.795727183366147</v>
      </c>
      <c r="AO28" s="15">
        <f t="shared" si="13"/>
        <v>16.795727183366147</v>
      </c>
      <c r="AP28" s="15">
        <f t="shared" si="13"/>
        <v>16.795727183366147</v>
      </c>
      <c r="AQ28" s="15">
        <f t="shared" si="13"/>
        <v>16.795727183366147</v>
      </c>
      <c r="AR28" s="15">
        <f t="shared" si="13"/>
        <v>16.795727183366147</v>
      </c>
      <c r="AS28" s="15">
        <f t="shared" si="13"/>
        <v>16.795727183366147</v>
      </c>
      <c r="AT28" s="15">
        <f t="shared" si="13"/>
        <v>16.795727183366147</v>
      </c>
      <c r="AU28" s="15">
        <f t="shared" si="13"/>
        <v>16.795727183366147</v>
      </c>
      <c r="AV28" s="15">
        <f t="shared" si="13"/>
        <v>16.795727183366147</v>
      </c>
      <c r="AW28" s="15">
        <f t="shared" si="13"/>
        <v>16.795727183366147</v>
      </c>
      <c r="AX28" s="15">
        <f t="shared" si="13"/>
        <v>16.795727183366147</v>
      </c>
      <c r="AY28" s="15">
        <f t="shared" si="13"/>
        <v>16.795727183366147</v>
      </c>
      <c r="AZ28" s="15">
        <f t="shared" si="13"/>
        <v>16.795727183366147</v>
      </c>
      <c r="BA28" s="15">
        <f t="shared" si="13"/>
        <v>16.795727183366147</v>
      </c>
      <c r="BB28" s="15">
        <f t="shared" si="13"/>
        <v>16.795727183366147</v>
      </c>
      <c r="BC28" s="15">
        <f t="shared" si="13"/>
        <v>16.795727183366147</v>
      </c>
      <c r="BD28" s="15">
        <f t="shared" si="13"/>
        <v>16.795727183366147</v>
      </c>
      <c r="BE28" s="15">
        <f t="shared" si="13"/>
        <v>16.795727183366147</v>
      </c>
      <c r="BF28" s="15">
        <f t="shared" si="13"/>
        <v>16.795727183366147</v>
      </c>
      <c r="BG28" s="15">
        <f t="shared" si="13"/>
        <v>16.795727183366147</v>
      </c>
      <c r="BH28" s="15">
        <f t="shared" si="13"/>
        <v>16.795727183366147</v>
      </c>
      <c r="BI28" s="15">
        <f t="shared" si="13"/>
        <v>16.795727183366147</v>
      </c>
      <c r="BJ28" s="15">
        <f t="shared" si="13"/>
        <v>16.795727183366147</v>
      </c>
      <c r="BK28" s="15">
        <f t="shared" si="13"/>
        <v>16.795727183366147</v>
      </c>
      <c r="BL28" s="15">
        <f t="shared" si="13"/>
        <v>16.795727183366147</v>
      </c>
      <c r="BM28" s="15">
        <f t="shared" si="13"/>
        <v>16.795727183366147</v>
      </c>
      <c r="BN28" s="15">
        <f t="shared" si="13"/>
        <v>16.795727183366147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</row>
    <row r="29" spans="1:116" ht="16.5" customHeight="1" thickBot="1">
      <c r="A29" s="278"/>
      <c r="B29" s="27"/>
      <c r="C29" s="27"/>
      <c r="D29" s="27"/>
      <c r="E29" s="27"/>
      <c r="F29" s="27"/>
      <c r="G29" s="7"/>
      <c r="H29" s="7"/>
      <c r="I29" s="177" t="s">
        <v>55</v>
      </c>
      <c r="J29" s="20">
        <v>3.0000000000000001E-3</v>
      </c>
      <c r="K29" s="21" t="s">
        <v>61</v>
      </c>
      <c r="L29" s="27"/>
      <c r="M29" s="218"/>
      <c r="N29" s="217"/>
      <c r="O29" s="179" t="s">
        <v>10</v>
      </c>
      <c r="P29" s="181">
        <v>1</v>
      </c>
      <c r="Q29" s="15">
        <f>(-$G50+($G50^2-4*($C36*P24+$C40*P26+(P24-Q28*$G31)*($C37+$G52+I52*(P24-Q28*$G31))-P26^2-$C28)*(1+$I50))^0.5)/(2*(1+$I50))</f>
        <v>18.271663616004425</v>
      </c>
      <c r="R29" s="15">
        <f>(-$G50+($G50^2-4*($C36*Q24+$C40*Q26+(Q24-R28*$G31)*($C37+$G52+J52*(Q24-R28*$G31))-Q26^2-$C28)*(1+$I50))^0.5)/(2*(1+$I50))</f>
        <v>18.323566830890741</v>
      </c>
      <c r="S29" s="15">
        <f>(-$G50+($G50^2-4*($C36*R24+$C40*R26+(R24-S28*$G31)*($C37+$G52+K52*(R24-S28*$G31))-R26^2-$C28)*(1+$I50))^0.5)/(2*(1+$I50))</f>
        <v>18.323449284032293</v>
      </c>
      <c r="T29" s="15">
        <f>(-$G50+($G50^2-4*($C36*S24+$C40*S26+(S24-T28*$G31)*($C37+$G52+L52*(S24-T28*$G31))-S26^2-$C28)*(1+$I50))^0.5)/(2*(1+$I50))</f>
        <v>18.323449636673402</v>
      </c>
      <c r="U29" s="15">
        <f t="shared" ref="U29:BN29" si="14">(-$G50+($G50^2-4*($C36*T24+$C40*T26+(T24-U28*$G31)*($C37+$G52+M52*(T24-U28*$G31))-T26^2-$C28)*(1+$I50))^0.5)/(2*(1+$I50))</f>
        <v>18.323449635612036</v>
      </c>
      <c r="V29" s="15">
        <f t="shared" si="14"/>
        <v>18.323449635615233</v>
      </c>
      <c r="W29" s="15">
        <f t="shared" si="14"/>
        <v>18.323449635615219</v>
      </c>
      <c r="X29" s="15">
        <f t="shared" si="14"/>
        <v>18.323449635615219</v>
      </c>
      <c r="Y29" s="15">
        <f t="shared" si="14"/>
        <v>18.323449635615219</v>
      </c>
      <c r="Z29" s="15">
        <f t="shared" si="14"/>
        <v>18.323449635615219</v>
      </c>
      <c r="AA29" s="15">
        <f t="shared" si="14"/>
        <v>18.323449635615219</v>
      </c>
      <c r="AB29" s="15">
        <f t="shared" si="14"/>
        <v>18.323449635615219</v>
      </c>
      <c r="AC29" s="15">
        <f t="shared" si="14"/>
        <v>18.323449635615219</v>
      </c>
      <c r="AD29" s="15">
        <f t="shared" si="14"/>
        <v>18.323449635615219</v>
      </c>
      <c r="AE29" s="15">
        <f t="shared" si="14"/>
        <v>18.323449635615219</v>
      </c>
      <c r="AF29" s="15">
        <f t="shared" si="14"/>
        <v>18.323449635615219</v>
      </c>
      <c r="AG29" s="15">
        <f t="shared" si="14"/>
        <v>18.323449635615219</v>
      </c>
      <c r="AH29" s="15">
        <f t="shared" si="14"/>
        <v>18.323449635615219</v>
      </c>
      <c r="AI29" s="15">
        <f t="shared" si="14"/>
        <v>18.323449635615219</v>
      </c>
      <c r="AJ29" s="15">
        <f t="shared" si="14"/>
        <v>18.323449635615219</v>
      </c>
      <c r="AK29" s="15">
        <f t="shared" si="14"/>
        <v>18.323449635615219</v>
      </c>
      <c r="AL29" s="15">
        <f t="shared" si="14"/>
        <v>18.323449635615219</v>
      </c>
      <c r="AM29" s="15">
        <f t="shared" si="14"/>
        <v>18.323449635615219</v>
      </c>
      <c r="AN29" s="15">
        <f t="shared" si="14"/>
        <v>18.323449635615219</v>
      </c>
      <c r="AO29" s="15">
        <f t="shared" si="14"/>
        <v>18.323449635615219</v>
      </c>
      <c r="AP29" s="15">
        <f t="shared" si="14"/>
        <v>18.323449635615219</v>
      </c>
      <c r="AQ29" s="15">
        <f t="shared" si="14"/>
        <v>18.323449635615219</v>
      </c>
      <c r="AR29" s="15">
        <f t="shared" si="14"/>
        <v>18.323449635615219</v>
      </c>
      <c r="AS29" s="15">
        <f t="shared" si="14"/>
        <v>18.323449635615219</v>
      </c>
      <c r="AT29" s="15">
        <f t="shared" si="14"/>
        <v>18.323449635615219</v>
      </c>
      <c r="AU29" s="15">
        <f t="shared" si="14"/>
        <v>18.323449635615219</v>
      </c>
      <c r="AV29" s="15">
        <f t="shared" si="14"/>
        <v>18.323449635615219</v>
      </c>
      <c r="AW29" s="15">
        <f t="shared" si="14"/>
        <v>18.323449635615219</v>
      </c>
      <c r="AX29" s="15">
        <f t="shared" si="14"/>
        <v>18.323449635615219</v>
      </c>
      <c r="AY29" s="15">
        <f t="shared" si="14"/>
        <v>18.323449635615219</v>
      </c>
      <c r="AZ29" s="15">
        <f t="shared" si="14"/>
        <v>18.323449635615219</v>
      </c>
      <c r="BA29" s="15">
        <f t="shared" si="14"/>
        <v>18.323449635615219</v>
      </c>
      <c r="BB29" s="15">
        <f t="shared" si="14"/>
        <v>18.323449635615219</v>
      </c>
      <c r="BC29" s="15">
        <f t="shared" si="14"/>
        <v>18.323449635615219</v>
      </c>
      <c r="BD29" s="15">
        <f t="shared" si="14"/>
        <v>18.323449635615219</v>
      </c>
      <c r="BE29" s="15">
        <f t="shared" si="14"/>
        <v>18.323449635615219</v>
      </c>
      <c r="BF29" s="15">
        <f t="shared" si="14"/>
        <v>18.323449635615219</v>
      </c>
      <c r="BG29" s="15">
        <f t="shared" si="14"/>
        <v>18.323449635615219</v>
      </c>
      <c r="BH29" s="15">
        <f t="shared" si="14"/>
        <v>18.323449635615219</v>
      </c>
      <c r="BI29" s="15">
        <f t="shared" si="14"/>
        <v>18.323449635615219</v>
      </c>
      <c r="BJ29" s="15">
        <f t="shared" si="14"/>
        <v>18.323449635615219</v>
      </c>
      <c r="BK29" s="15">
        <f t="shared" si="14"/>
        <v>18.323449635615219</v>
      </c>
      <c r="BL29" s="15">
        <f t="shared" si="14"/>
        <v>18.323449635615219</v>
      </c>
      <c r="BM29" s="15">
        <f t="shared" si="14"/>
        <v>18.323449635615219</v>
      </c>
      <c r="BN29" s="15">
        <f t="shared" si="14"/>
        <v>18.323449635615219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</row>
    <row r="30" spans="1:116" ht="16.5" customHeight="1" thickBot="1">
      <c r="A30" s="278"/>
      <c r="B30" s="207" t="s">
        <v>69</v>
      </c>
      <c r="C30" s="208"/>
      <c r="D30" s="209"/>
      <c r="F30" s="228" t="s">
        <v>63</v>
      </c>
      <c r="G30" s="230"/>
      <c r="H30" s="7"/>
      <c r="I30" s="27"/>
      <c r="J30" s="27"/>
      <c r="K30" s="27"/>
      <c r="L30" s="27"/>
      <c r="M30" s="218"/>
      <c r="N30" s="217"/>
      <c r="O30" s="179" t="s">
        <v>11</v>
      </c>
      <c r="P30" s="181">
        <v>1</v>
      </c>
      <c r="Q30" s="15">
        <f>(-$G51+($G51^2-4*($C36*P24+$C41*P27+(P24-Q28*$G31)*($C37+$G52+I52*(P24-Q28*$G31))+(P24-Q28*$G31-Q29*$G32)*($C38+$G53+I53*(P24-Q28*$G31-Q29*$G32))-P27^2-$C28)*(1+$I51))^0.5)/(2*(1+$I51))</f>
        <v>19.643091319454363</v>
      </c>
      <c r="R30" s="15">
        <f>(-$G51+($G51^2-4*($C36*Q24+$C41*Q27+(Q24-R28*$G31)*($C37+$G52+J52*(Q24-R28*$G31))+(Q24-R28*$G31-R29*$G32)*($C38+$G53+J53*(Q24-R28*$G31-R29*$G32))-Q27^2-$C28)*(1+$I51))^0.5)/(2*(1+$I51))</f>
        <v>19.720305723407016</v>
      </c>
      <c r="S30" s="15">
        <f>(-$G51+($G51^2-4*($C36*R24+$C41*R27+(R24-S28*$G31)*($C37+$G52+K52*(R24-S28*$G31))+(R24-S28*$G31-S29*$G32)*($C38+$G53+K53*(R24-S28*$G31-S29*$G32))-R27^2-$C28)*(1+$I51))^0.5)/(2*(1+$I51))</f>
        <v>19.720069017566821</v>
      </c>
      <c r="T30" s="15">
        <f>(-$G51+($G51^2-4*($C36*S24+$C41*S27+(S24-T28*$G31)*($C37+$G52+L52*(S24-T28*$G31))+(S24-T28*$G31-T29*$G32)*($C38+$G53+L53*(S24-T28*$G31-T29*$G32))-S27^2-$C28)*(1+$I51))^0.5)/(2*(1+$I51))</f>
        <v>19.720069730196787</v>
      </c>
      <c r="U30" s="15">
        <f t="shared" ref="U30:BN30" si="15">(-$G51+($G51^2-4*($C36*T24+$C41*T27+(T24-U28*$G31)*($C37+$G52+M52*(T24-U28*$G31))+(T24-U28*$G31-U29*$G32)*($C38+$G53+M53*(T24-U28*$G31-U29*$G32))-T27^2-$C28)*(1+$I51))^0.5)/(2*(1+$I51))</f>
        <v>19.720069728051872</v>
      </c>
      <c r="V30" s="15">
        <f t="shared" si="15"/>
        <v>19.720069728058327</v>
      </c>
      <c r="W30" s="15">
        <f t="shared" si="15"/>
        <v>19.720069728058306</v>
      </c>
      <c r="X30" s="15">
        <f t="shared" si="15"/>
        <v>19.720069728058306</v>
      </c>
      <c r="Y30" s="15">
        <f t="shared" si="15"/>
        <v>19.720069728058306</v>
      </c>
      <c r="Z30" s="15">
        <f t="shared" si="15"/>
        <v>19.720069728058306</v>
      </c>
      <c r="AA30" s="15">
        <f t="shared" si="15"/>
        <v>19.720069728058306</v>
      </c>
      <c r="AB30" s="15">
        <f t="shared" si="15"/>
        <v>19.720069728058306</v>
      </c>
      <c r="AC30" s="15">
        <f t="shared" si="15"/>
        <v>19.720069728058306</v>
      </c>
      <c r="AD30" s="15">
        <f t="shared" si="15"/>
        <v>19.720069728058306</v>
      </c>
      <c r="AE30" s="15">
        <f t="shared" si="15"/>
        <v>19.720069728058306</v>
      </c>
      <c r="AF30" s="15">
        <f t="shared" si="15"/>
        <v>19.720069728058306</v>
      </c>
      <c r="AG30" s="15">
        <f t="shared" si="15"/>
        <v>19.720069728058306</v>
      </c>
      <c r="AH30" s="15">
        <f t="shared" si="15"/>
        <v>19.720069728058306</v>
      </c>
      <c r="AI30" s="15">
        <f t="shared" si="15"/>
        <v>19.720069728058306</v>
      </c>
      <c r="AJ30" s="15">
        <f t="shared" si="15"/>
        <v>19.720069728058306</v>
      </c>
      <c r="AK30" s="15">
        <f t="shared" si="15"/>
        <v>19.720069728058306</v>
      </c>
      <c r="AL30" s="15">
        <f t="shared" si="15"/>
        <v>19.720069728058306</v>
      </c>
      <c r="AM30" s="15">
        <f t="shared" si="15"/>
        <v>19.720069728058306</v>
      </c>
      <c r="AN30" s="15">
        <f t="shared" si="15"/>
        <v>19.720069728058306</v>
      </c>
      <c r="AO30" s="15">
        <f t="shared" si="15"/>
        <v>19.720069728058306</v>
      </c>
      <c r="AP30" s="15">
        <f t="shared" si="15"/>
        <v>19.720069728058306</v>
      </c>
      <c r="AQ30" s="15">
        <f t="shared" si="15"/>
        <v>19.720069728058306</v>
      </c>
      <c r="AR30" s="15">
        <f t="shared" si="15"/>
        <v>19.720069728058306</v>
      </c>
      <c r="AS30" s="15">
        <f t="shared" si="15"/>
        <v>19.720069728058306</v>
      </c>
      <c r="AT30" s="15">
        <f t="shared" si="15"/>
        <v>19.720069728058306</v>
      </c>
      <c r="AU30" s="15">
        <f t="shared" si="15"/>
        <v>19.720069728058306</v>
      </c>
      <c r="AV30" s="15">
        <f t="shared" si="15"/>
        <v>19.720069728058306</v>
      </c>
      <c r="AW30" s="15">
        <f t="shared" si="15"/>
        <v>19.720069728058306</v>
      </c>
      <c r="AX30" s="15">
        <f t="shared" si="15"/>
        <v>19.720069728058306</v>
      </c>
      <c r="AY30" s="15">
        <f t="shared" si="15"/>
        <v>19.720069728058306</v>
      </c>
      <c r="AZ30" s="15">
        <f t="shared" si="15"/>
        <v>19.720069728058306</v>
      </c>
      <c r="BA30" s="15">
        <f t="shared" si="15"/>
        <v>19.720069728058306</v>
      </c>
      <c r="BB30" s="15">
        <f t="shared" si="15"/>
        <v>19.720069728058306</v>
      </c>
      <c r="BC30" s="15">
        <f t="shared" si="15"/>
        <v>19.720069728058306</v>
      </c>
      <c r="BD30" s="15">
        <f t="shared" si="15"/>
        <v>19.720069728058306</v>
      </c>
      <c r="BE30" s="15">
        <f t="shared" si="15"/>
        <v>19.720069728058306</v>
      </c>
      <c r="BF30" s="15">
        <f t="shared" si="15"/>
        <v>19.720069728058306</v>
      </c>
      <c r="BG30" s="15">
        <f t="shared" si="15"/>
        <v>19.720069728058306</v>
      </c>
      <c r="BH30" s="15">
        <f t="shared" si="15"/>
        <v>19.720069728058306</v>
      </c>
      <c r="BI30" s="15">
        <f t="shared" si="15"/>
        <v>19.720069728058306</v>
      </c>
      <c r="BJ30" s="15">
        <f t="shared" si="15"/>
        <v>19.720069728058306</v>
      </c>
      <c r="BK30" s="15">
        <f t="shared" si="15"/>
        <v>19.720069728058306</v>
      </c>
      <c r="BL30" s="15">
        <f t="shared" si="15"/>
        <v>19.720069728058306</v>
      </c>
      <c r="BM30" s="15">
        <f t="shared" si="15"/>
        <v>19.720069728058306</v>
      </c>
      <c r="BN30" s="15">
        <f t="shared" si="15"/>
        <v>19.720069728058306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</row>
    <row r="31" spans="1:116" ht="15.75" customHeight="1">
      <c r="A31" s="278"/>
      <c r="B31" s="17" t="s">
        <v>3</v>
      </c>
      <c r="C31" s="15">
        <v>2.9000000000000001E-2</v>
      </c>
      <c r="D31" s="14"/>
      <c r="F31" s="176" t="s">
        <v>75</v>
      </c>
      <c r="G31" s="22">
        <f>J33/J32</f>
        <v>5.0055624999999996E-3</v>
      </c>
      <c r="H31" s="180"/>
      <c r="I31" s="207" t="s">
        <v>18</v>
      </c>
      <c r="J31" s="208"/>
      <c r="K31" s="209"/>
      <c r="L31" s="27"/>
      <c r="M31" s="218"/>
      <c r="N31" s="315" t="s">
        <v>41</v>
      </c>
      <c r="O31" s="315"/>
      <c r="P31" s="15"/>
      <c r="Q31" s="15" t="str">
        <f t="shared" ref="Q31:BN33" si="16">IF((Q28-P28)=0,"Yes","No")</f>
        <v>No</v>
      </c>
      <c r="R31" s="15" t="str">
        <f t="shared" si="16"/>
        <v>No</v>
      </c>
      <c r="S31" s="15" t="str">
        <f t="shared" si="16"/>
        <v>No</v>
      </c>
      <c r="T31" s="15" t="str">
        <f t="shared" si="16"/>
        <v>No</v>
      </c>
      <c r="U31" s="15" t="str">
        <f t="shared" si="16"/>
        <v>No</v>
      </c>
      <c r="V31" s="15" t="str">
        <f t="shared" si="16"/>
        <v>No</v>
      </c>
      <c r="W31" s="15" t="str">
        <f t="shared" si="16"/>
        <v>No</v>
      </c>
      <c r="X31" s="15" t="str">
        <f t="shared" si="16"/>
        <v>Yes</v>
      </c>
      <c r="Y31" s="15" t="str">
        <f t="shared" si="16"/>
        <v>Yes</v>
      </c>
      <c r="Z31" s="15" t="str">
        <f t="shared" si="16"/>
        <v>Yes</v>
      </c>
      <c r="AA31" s="15" t="str">
        <f t="shared" si="16"/>
        <v>Yes</v>
      </c>
      <c r="AB31" s="15" t="str">
        <f t="shared" si="16"/>
        <v>Yes</v>
      </c>
      <c r="AC31" s="15" t="str">
        <f t="shared" si="16"/>
        <v>Yes</v>
      </c>
      <c r="AD31" s="15" t="str">
        <f t="shared" si="16"/>
        <v>Yes</v>
      </c>
      <c r="AE31" s="15" t="str">
        <f t="shared" si="16"/>
        <v>Yes</v>
      </c>
      <c r="AF31" s="15" t="str">
        <f t="shared" si="16"/>
        <v>Yes</v>
      </c>
      <c r="AG31" s="15" t="str">
        <f t="shared" si="16"/>
        <v>Yes</v>
      </c>
      <c r="AH31" s="15" t="str">
        <f t="shared" si="16"/>
        <v>Yes</v>
      </c>
      <c r="AI31" s="15" t="str">
        <f t="shared" si="16"/>
        <v>Yes</v>
      </c>
      <c r="AJ31" s="15" t="str">
        <f t="shared" si="16"/>
        <v>Yes</v>
      </c>
      <c r="AK31" s="15" t="str">
        <f t="shared" si="16"/>
        <v>Yes</v>
      </c>
      <c r="AL31" s="15" t="str">
        <f t="shared" si="16"/>
        <v>Yes</v>
      </c>
      <c r="AM31" s="15" t="str">
        <f t="shared" si="16"/>
        <v>Yes</v>
      </c>
      <c r="AN31" s="15" t="str">
        <f t="shared" si="16"/>
        <v>Yes</v>
      </c>
      <c r="AO31" s="15" t="str">
        <f t="shared" si="16"/>
        <v>Yes</v>
      </c>
      <c r="AP31" s="15" t="str">
        <f t="shared" si="16"/>
        <v>Yes</v>
      </c>
      <c r="AQ31" s="15" t="str">
        <f t="shared" si="16"/>
        <v>Yes</v>
      </c>
      <c r="AR31" s="15" t="str">
        <f t="shared" si="16"/>
        <v>Yes</v>
      </c>
      <c r="AS31" s="15" t="str">
        <f t="shared" si="16"/>
        <v>Yes</v>
      </c>
      <c r="AT31" s="15" t="str">
        <f t="shared" si="16"/>
        <v>Yes</v>
      </c>
      <c r="AU31" s="15" t="str">
        <f t="shared" si="16"/>
        <v>Yes</v>
      </c>
      <c r="AV31" s="15" t="str">
        <f t="shared" si="16"/>
        <v>Yes</v>
      </c>
      <c r="AW31" s="15" t="str">
        <f t="shared" si="16"/>
        <v>Yes</v>
      </c>
      <c r="AX31" s="15" t="str">
        <f t="shared" si="16"/>
        <v>Yes</v>
      </c>
      <c r="AY31" s="15" t="str">
        <f t="shared" si="16"/>
        <v>Yes</v>
      </c>
      <c r="AZ31" s="15" t="str">
        <f t="shared" si="16"/>
        <v>Yes</v>
      </c>
      <c r="BA31" s="15" t="str">
        <f t="shared" si="16"/>
        <v>Yes</v>
      </c>
      <c r="BB31" s="15" t="str">
        <f t="shared" si="16"/>
        <v>Yes</v>
      </c>
      <c r="BC31" s="15" t="str">
        <f t="shared" si="16"/>
        <v>Yes</v>
      </c>
      <c r="BD31" s="15" t="str">
        <f t="shared" si="16"/>
        <v>Yes</v>
      </c>
      <c r="BE31" s="15" t="str">
        <f t="shared" si="16"/>
        <v>Yes</v>
      </c>
      <c r="BF31" s="15" t="str">
        <f t="shared" si="16"/>
        <v>Yes</v>
      </c>
      <c r="BG31" s="15" t="str">
        <f t="shared" si="16"/>
        <v>Yes</v>
      </c>
      <c r="BH31" s="15" t="str">
        <f t="shared" si="16"/>
        <v>Yes</v>
      </c>
      <c r="BI31" s="15" t="str">
        <f t="shared" si="16"/>
        <v>Yes</v>
      </c>
      <c r="BJ31" s="15" t="str">
        <f t="shared" si="16"/>
        <v>Yes</v>
      </c>
      <c r="BK31" s="15" t="str">
        <f t="shared" si="16"/>
        <v>Yes</v>
      </c>
      <c r="BL31" s="15" t="str">
        <f t="shared" si="16"/>
        <v>Yes</v>
      </c>
      <c r="BM31" s="15" t="str">
        <f t="shared" si="16"/>
        <v>Yes</v>
      </c>
      <c r="BN31" s="15" t="str">
        <f t="shared" si="16"/>
        <v>Yes</v>
      </c>
    </row>
    <row r="32" spans="1:116" ht="15.75" customHeight="1">
      <c r="A32" s="278"/>
      <c r="B32" s="17" t="s">
        <v>2</v>
      </c>
      <c r="C32" s="15">
        <v>891</v>
      </c>
      <c r="D32" s="14" t="s">
        <v>71</v>
      </c>
      <c r="F32" s="176" t="s">
        <v>76</v>
      </c>
      <c r="G32" s="22">
        <f>J34/J32</f>
        <v>1.4400000000000001E-2</v>
      </c>
      <c r="H32" s="27"/>
      <c r="I32" s="176" t="s">
        <v>56</v>
      </c>
      <c r="J32" s="15">
        <f>J23^2*PI()/4</f>
        <v>1.2566370614359172E-5</v>
      </c>
      <c r="K32" s="14" t="s">
        <v>60</v>
      </c>
      <c r="L32" s="27"/>
      <c r="M32" s="218"/>
      <c r="N32" s="315"/>
      <c r="O32" s="315"/>
      <c r="P32" s="15"/>
      <c r="Q32" s="15" t="str">
        <f t="shared" si="16"/>
        <v>No</v>
      </c>
      <c r="R32" s="15" t="str">
        <f t="shared" si="16"/>
        <v>No</v>
      </c>
      <c r="S32" s="15" t="str">
        <f t="shared" si="16"/>
        <v>No</v>
      </c>
      <c r="T32" s="15" t="str">
        <f t="shared" si="16"/>
        <v>No</v>
      </c>
      <c r="U32" s="15" t="str">
        <f t="shared" si="16"/>
        <v>No</v>
      </c>
      <c r="V32" s="15" t="str">
        <f t="shared" si="16"/>
        <v>No</v>
      </c>
      <c r="W32" s="15" t="str">
        <f t="shared" si="16"/>
        <v>No</v>
      </c>
      <c r="X32" s="15" t="str">
        <f t="shared" si="16"/>
        <v>Yes</v>
      </c>
      <c r="Y32" s="15" t="str">
        <f t="shared" si="16"/>
        <v>Yes</v>
      </c>
      <c r="Z32" s="15" t="str">
        <f t="shared" si="16"/>
        <v>Yes</v>
      </c>
      <c r="AA32" s="15" t="str">
        <f t="shared" si="16"/>
        <v>Yes</v>
      </c>
      <c r="AB32" s="15" t="str">
        <f t="shared" si="16"/>
        <v>Yes</v>
      </c>
      <c r="AC32" s="15" t="str">
        <f t="shared" si="16"/>
        <v>Yes</v>
      </c>
      <c r="AD32" s="15" t="str">
        <f t="shared" si="16"/>
        <v>Yes</v>
      </c>
      <c r="AE32" s="15" t="str">
        <f t="shared" si="16"/>
        <v>Yes</v>
      </c>
      <c r="AF32" s="15" t="str">
        <f t="shared" si="16"/>
        <v>Yes</v>
      </c>
      <c r="AG32" s="15" t="str">
        <f t="shared" si="16"/>
        <v>Yes</v>
      </c>
      <c r="AH32" s="15" t="str">
        <f t="shared" si="16"/>
        <v>Yes</v>
      </c>
      <c r="AI32" s="15" t="str">
        <f t="shared" si="16"/>
        <v>Yes</v>
      </c>
      <c r="AJ32" s="15" t="str">
        <f t="shared" si="16"/>
        <v>Yes</v>
      </c>
      <c r="AK32" s="15" t="str">
        <f t="shared" si="16"/>
        <v>Yes</v>
      </c>
      <c r="AL32" s="15" t="str">
        <f t="shared" si="16"/>
        <v>Yes</v>
      </c>
      <c r="AM32" s="15" t="str">
        <f t="shared" si="16"/>
        <v>Yes</v>
      </c>
      <c r="AN32" s="15" t="str">
        <f t="shared" si="16"/>
        <v>Yes</v>
      </c>
      <c r="AO32" s="15" t="str">
        <f t="shared" si="16"/>
        <v>Yes</v>
      </c>
      <c r="AP32" s="15" t="str">
        <f t="shared" si="16"/>
        <v>Yes</v>
      </c>
      <c r="AQ32" s="15" t="str">
        <f t="shared" si="16"/>
        <v>Yes</v>
      </c>
      <c r="AR32" s="15" t="str">
        <f t="shared" si="16"/>
        <v>Yes</v>
      </c>
      <c r="AS32" s="15" t="str">
        <f t="shared" si="16"/>
        <v>Yes</v>
      </c>
      <c r="AT32" s="15" t="str">
        <f t="shared" si="16"/>
        <v>Yes</v>
      </c>
      <c r="AU32" s="15" t="str">
        <f t="shared" si="16"/>
        <v>Yes</v>
      </c>
      <c r="AV32" s="15" t="str">
        <f t="shared" si="16"/>
        <v>Yes</v>
      </c>
      <c r="AW32" s="15" t="str">
        <f t="shared" si="16"/>
        <v>Yes</v>
      </c>
      <c r="AX32" s="15" t="str">
        <f t="shared" si="16"/>
        <v>Yes</v>
      </c>
      <c r="AY32" s="15" t="str">
        <f t="shared" si="16"/>
        <v>Yes</v>
      </c>
      <c r="AZ32" s="15" t="str">
        <f t="shared" si="16"/>
        <v>Yes</v>
      </c>
      <c r="BA32" s="15" t="str">
        <f t="shared" si="16"/>
        <v>Yes</v>
      </c>
      <c r="BB32" s="15" t="str">
        <f t="shared" si="16"/>
        <v>Yes</v>
      </c>
      <c r="BC32" s="15" t="str">
        <f t="shared" si="16"/>
        <v>Yes</v>
      </c>
      <c r="BD32" s="15" t="str">
        <f t="shared" si="16"/>
        <v>Yes</v>
      </c>
      <c r="BE32" s="15" t="str">
        <f t="shared" si="16"/>
        <v>Yes</v>
      </c>
      <c r="BF32" s="15" t="str">
        <f t="shared" si="16"/>
        <v>Yes</v>
      </c>
      <c r="BG32" s="15" t="str">
        <f t="shared" si="16"/>
        <v>Yes</v>
      </c>
      <c r="BH32" s="15" t="str">
        <f t="shared" si="16"/>
        <v>Yes</v>
      </c>
      <c r="BI32" s="15" t="str">
        <f t="shared" si="16"/>
        <v>Yes</v>
      </c>
      <c r="BJ32" s="15" t="str">
        <f t="shared" si="16"/>
        <v>Yes</v>
      </c>
      <c r="BK32" s="15" t="str">
        <f t="shared" si="16"/>
        <v>Yes</v>
      </c>
      <c r="BL32" s="15" t="str">
        <f t="shared" si="16"/>
        <v>Yes</v>
      </c>
      <c r="BM32" s="15" t="str">
        <f t="shared" si="16"/>
        <v>Yes</v>
      </c>
      <c r="BN32" s="15" t="str">
        <f t="shared" si="16"/>
        <v>Yes</v>
      </c>
    </row>
    <row r="33" spans="1:116" ht="15.75" customHeight="1" thickBot="1">
      <c r="A33" s="278"/>
      <c r="B33" s="18" t="s">
        <v>29</v>
      </c>
      <c r="C33" s="20">
        <f>2*9.81</f>
        <v>19.62</v>
      </c>
      <c r="D33" s="21" t="s">
        <v>70</v>
      </c>
      <c r="F33" s="176" t="s">
        <v>77</v>
      </c>
      <c r="G33" s="22">
        <f>J35/J32</f>
        <v>8.1224999999999992E-2</v>
      </c>
      <c r="H33" s="27"/>
      <c r="I33" s="176" t="s">
        <v>57</v>
      </c>
      <c r="J33" s="15">
        <f t="shared" ref="J33:J38" si="17">J24^2*PI()/4</f>
        <v>6.2901753508338228E-8</v>
      </c>
      <c r="K33" s="14" t="s">
        <v>60</v>
      </c>
      <c r="L33" s="27"/>
      <c r="M33" s="218"/>
      <c r="N33" s="315"/>
      <c r="O33" s="315"/>
      <c r="P33" s="15"/>
      <c r="Q33" s="15" t="str">
        <f t="shared" si="16"/>
        <v>No</v>
      </c>
      <c r="R33" s="15" t="str">
        <f t="shared" si="16"/>
        <v>No</v>
      </c>
      <c r="S33" s="15" t="str">
        <f t="shared" si="16"/>
        <v>No</v>
      </c>
      <c r="T33" s="15" t="str">
        <f t="shared" si="16"/>
        <v>No</v>
      </c>
      <c r="U33" s="15" t="str">
        <f t="shared" si="16"/>
        <v>No</v>
      </c>
      <c r="V33" s="15" t="str">
        <f t="shared" si="16"/>
        <v>No</v>
      </c>
      <c r="W33" s="15" t="str">
        <f t="shared" si="16"/>
        <v>No</v>
      </c>
      <c r="X33" s="15" t="str">
        <f t="shared" si="16"/>
        <v>Yes</v>
      </c>
      <c r="Y33" s="15" t="str">
        <f t="shared" si="16"/>
        <v>Yes</v>
      </c>
      <c r="Z33" s="15" t="str">
        <f t="shared" si="16"/>
        <v>Yes</v>
      </c>
      <c r="AA33" s="15" t="str">
        <f t="shared" si="16"/>
        <v>Yes</v>
      </c>
      <c r="AB33" s="15" t="str">
        <f t="shared" si="16"/>
        <v>Yes</v>
      </c>
      <c r="AC33" s="15" t="str">
        <f t="shared" si="16"/>
        <v>Yes</v>
      </c>
      <c r="AD33" s="15" t="str">
        <f t="shared" si="16"/>
        <v>Yes</v>
      </c>
      <c r="AE33" s="15" t="str">
        <f t="shared" si="16"/>
        <v>Yes</v>
      </c>
      <c r="AF33" s="15" t="str">
        <f t="shared" si="16"/>
        <v>Yes</v>
      </c>
      <c r="AG33" s="15" t="str">
        <f t="shared" si="16"/>
        <v>Yes</v>
      </c>
      <c r="AH33" s="15" t="str">
        <f t="shared" si="16"/>
        <v>Yes</v>
      </c>
      <c r="AI33" s="15" t="str">
        <f t="shared" si="16"/>
        <v>Yes</v>
      </c>
      <c r="AJ33" s="15" t="str">
        <f t="shared" si="16"/>
        <v>Yes</v>
      </c>
      <c r="AK33" s="15" t="str">
        <f t="shared" si="16"/>
        <v>Yes</v>
      </c>
      <c r="AL33" s="15" t="str">
        <f t="shared" si="16"/>
        <v>Yes</v>
      </c>
      <c r="AM33" s="15" t="str">
        <f t="shared" si="16"/>
        <v>Yes</v>
      </c>
      <c r="AN33" s="15" t="str">
        <f t="shared" si="16"/>
        <v>Yes</v>
      </c>
      <c r="AO33" s="15" t="str">
        <f t="shared" si="16"/>
        <v>Yes</v>
      </c>
      <c r="AP33" s="15" t="str">
        <f t="shared" si="16"/>
        <v>Yes</v>
      </c>
      <c r="AQ33" s="15" t="str">
        <f t="shared" si="16"/>
        <v>Yes</v>
      </c>
      <c r="AR33" s="15" t="str">
        <f t="shared" si="16"/>
        <v>Yes</v>
      </c>
      <c r="AS33" s="15" t="str">
        <f t="shared" si="16"/>
        <v>Yes</v>
      </c>
      <c r="AT33" s="15" t="str">
        <f t="shared" si="16"/>
        <v>Yes</v>
      </c>
      <c r="AU33" s="15" t="str">
        <f t="shared" si="16"/>
        <v>Yes</v>
      </c>
      <c r="AV33" s="15" t="str">
        <f t="shared" si="16"/>
        <v>Yes</v>
      </c>
      <c r="AW33" s="15" t="str">
        <f t="shared" si="16"/>
        <v>Yes</v>
      </c>
      <c r="AX33" s="15" t="str">
        <f t="shared" si="16"/>
        <v>Yes</v>
      </c>
      <c r="AY33" s="15" t="str">
        <f t="shared" si="16"/>
        <v>Yes</v>
      </c>
      <c r="AZ33" s="15" t="str">
        <f t="shared" si="16"/>
        <v>Yes</v>
      </c>
      <c r="BA33" s="15" t="str">
        <f t="shared" si="16"/>
        <v>Yes</v>
      </c>
      <c r="BB33" s="15" t="str">
        <f t="shared" si="16"/>
        <v>Yes</v>
      </c>
      <c r="BC33" s="15" t="str">
        <f t="shared" si="16"/>
        <v>Yes</v>
      </c>
      <c r="BD33" s="15" t="str">
        <f t="shared" si="16"/>
        <v>Yes</v>
      </c>
      <c r="BE33" s="15" t="str">
        <f t="shared" si="16"/>
        <v>Yes</v>
      </c>
      <c r="BF33" s="15" t="str">
        <f t="shared" si="16"/>
        <v>Yes</v>
      </c>
      <c r="BG33" s="15" t="str">
        <f t="shared" si="16"/>
        <v>Yes</v>
      </c>
      <c r="BH33" s="15" t="str">
        <f t="shared" si="16"/>
        <v>Yes</v>
      </c>
      <c r="BI33" s="15" t="str">
        <f t="shared" si="16"/>
        <v>Yes</v>
      </c>
      <c r="BJ33" s="15" t="str">
        <f t="shared" si="16"/>
        <v>Yes</v>
      </c>
      <c r="BK33" s="15" t="str">
        <f t="shared" si="16"/>
        <v>Yes</v>
      </c>
      <c r="BL33" s="15" t="str">
        <f t="shared" si="16"/>
        <v>Yes</v>
      </c>
      <c r="BM33" s="15" t="str">
        <f t="shared" si="16"/>
        <v>Yes</v>
      </c>
      <c r="BN33" s="15" t="str">
        <f t="shared" si="16"/>
        <v>Yes</v>
      </c>
    </row>
    <row r="34" spans="1:116" ht="16.5" customHeight="1" thickBot="1">
      <c r="A34" s="278"/>
      <c r="B34" s="180"/>
      <c r="C34" s="27"/>
      <c r="D34" s="27"/>
      <c r="F34" s="176" t="s">
        <v>78</v>
      </c>
      <c r="G34" s="22">
        <f>J36/J32</f>
        <v>6.25E-2</v>
      </c>
      <c r="H34" s="27"/>
      <c r="I34" s="176" t="s">
        <v>58</v>
      </c>
      <c r="J34" s="15">
        <f t="shared" si="17"/>
        <v>1.8095573684677208E-7</v>
      </c>
      <c r="K34" s="14" t="s">
        <v>60</v>
      </c>
      <c r="L34" s="27"/>
      <c r="M34" s="218"/>
      <c r="N34" s="218" t="s">
        <v>19</v>
      </c>
      <c r="O34" s="39" t="s">
        <v>12</v>
      </c>
      <c r="P34" s="15">
        <f t="shared" ref="P34:BN36" si="18">P28*$J33*1000000*60</f>
        <v>3.7741052105002932</v>
      </c>
      <c r="Q34" s="15">
        <f t="shared" si="18"/>
        <v>63.430871689380368</v>
      </c>
      <c r="R34" s="15">
        <f t="shared" si="18"/>
        <v>63.388814359955589</v>
      </c>
      <c r="S34" s="15">
        <f t="shared" si="18"/>
        <v>63.388841558584552</v>
      </c>
      <c r="T34" s="15">
        <f t="shared" si="18"/>
        <v>63.388841476637701</v>
      </c>
      <c r="U34" s="15">
        <f t="shared" si="18"/>
        <v>63.38884147688433</v>
      </c>
      <c r="V34" s="15">
        <f t="shared" si="18"/>
        <v>63.38884147688357</v>
      </c>
      <c r="W34" s="15">
        <f t="shared" si="18"/>
        <v>63.388841476883584</v>
      </c>
      <c r="X34" s="15">
        <f t="shared" si="18"/>
        <v>63.388841476883584</v>
      </c>
      <c r="Y34" s="15">
        <f t="shared" si="18"/>
        <v>63.388841476883584</v>
      </c>
      <c r="Z34" s="15">
        <f t="shared" si="18"/>
        <v>63.388841476883584</v>
      </c>
      <c r="AA34" s="15">
        <f t="shared" si="18"/>
        <v>63.388841476883584</v>
      </c>
      <c r="AB34" s="15">
        <f t="shared" si="18"/>
        <v>63.388841476883584</v>
      </c>
      <c r="AC34" s="15">
        <f t="shared" si="18"/>
        <v>63.388841476883584</v>
      </c>
      <c r="AD34" s="15">
        <f t="shared" si="18"/>
        <v>63.388841476883584</v>
      </c>
      <c r="AE34" s="15">
        <f t="shared" si="18"/>
        <v>63.388841476883584</v>
      </c>
      <c r="AF34" s="15">
        <f t="shared" si="18"/>
        <v>63.388841476883584</v>
      </c>
      <c r="AG34" s="15">
        <f t="shared" si="18"/>
        <v>63.388841476883584</v>
      </c>
      <c r="AH34" s="15">
        <f t="shared" si="18"/>
        <v>63.388841476883584</v>
      </c>
      <c r="AI34" s="15">
        <f t="shared" si="18"/>
        <v>63.388841476883584</v>
      </c>
      <c r="AJ34" s="15">
        <f t="shared" si="18"/>
        <v>63.388841476883584</v>
      </c>
      <c r="AK34" s="15">
        <f t="shared" si="18"/>
        <v>63.388841476883584</v>
      </c>
      <c r="AL34" s="15">
        <f t="shared" si="18"/>
        <v>63.388841476883584</v>
      </c>
      <c r="AM34" s="15">
        <f t="shared" si="18"/>
        <v>63.388841476883584</v>
      </c>
      <c r="AN34" s="15">
        <f t="shared" si="18"/>
        <v>63.388841476883584</v>
      </c>
      <c r="AO34" s="15">
        <f t="shared" si="18"/>
        <v>63.388841476883584</v>
      </c>
      <c r="AP34" s="15">
        <f t="shared" si="18"/>
        <v>63.388841476883584</v>
      </c>
      <c r="AQ34" s="15">
        <f t="shared" si="18"/>
        <v>63.388841476883584</v>
      </c>
      <c r="AR34" s="15">
        <f t="shared" si="18"/>
        <v>63.388841476883584</v>
      </c>
      <c r="AS34" s="15">
        <f t="shared" si="18"/>
        <v>63.388841476883584</v>
      </c>
      <c r="AT34" s="15">
        <f t="shared" si="18"/>
        <v>63.388841476883584</v>
      </c>
      <c r="AU34" s="15">
        <f t="shared" si="18"/>
        <v>63.388841476883584</v>
      </c>
      <c r="AV34" s="15">
        <f t="shared" si="18"/>
        <v>63.388841476883584</v>
      </c>
      <c r="AW34" s="15">
        <f t="shared" si="18"/>
        <v>63.388841476883584</v>
      </c>
      <c r="AX34" s="15">
        <f t="shared" si="18"/>
        <v>63.388841476883584</v>
      </c>
      <c r="AY34" s="15">
        <f t="shared" si="18"/>
        <v>63.388841476883584</v>
      </c>
      <c r="AZ34" s="15">
        <f t="shared" si="18"/>
        <v>63.388841476883584</v>
      </c>
      <c r="BA34" s="15">
        <f t="shared" si="18"/>
        <v>63.388841476883584</v>
      </c>
      <c r="BB34" s="15">
        <f t="shared" si="18"/>
        <v>63.388841476883584</v>
      </c>
      <c r="BC34" s="15">
        <f t="shared" si="18"/>
        <v>63.388841476883584</v>
      </c>
      <c r="BD34" s="15">
        <f t="shared" si="18"/>
        <v>63.388841476883584</v>
      </c>
      <c r="BE34" s="15">
        <f t="shared" si="18"/>
        <v>63.388841476883584</v>
      </c>
      <c r="BF34" s="15">
        <f t="shared" si="18"/>
        <v>63.388841476883584</v>
      </c>
      <c r="BG34" s="15">
        <f t="shared" si="18"/>
        <v>63.388841476883584</v>
      </c>
      <c r="BH34" s="15">
        <f t="shared" si="18"/>
        <v>63.388841476883584</v>
      </c>
      <c r="BI34" s="15">
        <f t="shared" si="18"/>
        <v>63.388841476883584</v>
      </c>
      <c r="BJ34" s="15">
        <f t="shared" si="18"/>
        <v>63.388841476883584</v>
      </c>
      <c r="BK34" s="15">
        <f t="shared" si="18"/>
        <v>63.388841476883584</v>
      </c>
      <c r="BL34" s="15">
        <f t="shared" si="18"/>
        <v>63.388841476883584</v>
      </c>
      <c r="BM34" s="15">
        <f t="shared" si="18"/>
        <v>63.388841476883584</v>
      </c>
      <c r="BN34" s="15">
        <f t="shared" si="18"/>
        <v>63.388841476883584</v>
      </c>
    </row>
    <row r="35" spans="1:116" ht="20.100000000000001" customHeight="1">
      <c r="A35" s="278"/>
      <c r="B35" s="220" t="s">
        <v>104</v>
      </c>
      <c r="C35" s="221"/>
      <c r="D35" s="222"/>
      <c r="F35" s="176" t="s">
        <v>79</v>
      </c>
      <c r="G35" s="22">
        <f>J37/J32</f>
        <v>0.25</v>
      </c>
      <c r="H35" s="27"/>
      <c r="I35" s="176" t="s">
        <v>59</v>
      </c>
      <c r="J35" s="15">
        <f t="shared" si="17"/>
        <v>1.0207034531513237E-6</v>
      </c>
      <c r="K35" s="14" t="s">
        <v>60</v>
      </c>
      <c r="L35" s="27"/>
      <c r="M35" s="218"/>
      <c r="N35" s="218"/>
      <c r="O35" s="39" t="s">
        <v>13</v>
      </c>
      <c r="P35" s="15">
        <f t="shared" si="18"/>
        <v>10.857344210806325</v>
      </c>
      <c r="Q35" s="15">
        <f t="shared" si="18"/>
        <v>198.38174118302618</v>
      </c>
      <c r="R35" s="15">
        <f t="shared" si="18"/>
        <v>198.94527225269439</v>
      </c>
      <c r="S35" s="15">
        <f t="shared" si="18"/>
        <v>198.94399600599129</v>
      </c>
      <c r="T35" s="15">
        <f t="shared" si="18"/>
        <v>198.94399983473724</v>
      </c>
      <c r="U35" s="15">
        <f t="shared" si="18"/>
        <v>198.9439998232136</v>
      </c>
      <c r="V35" s="15">
        <f t="shared" si="18"/>
        <v>198.94399982324833</v>
      </c>
      <c r="W35" s="15">
        <f t="shared" si="18"/>
        <v>198.94399982324816</v>
      </c>
      <c r="X35" s="15">
        <f t="shared" si="18"/>
        <v>198.94399982324816</v>
      </c>
      <c r="Y35" s="15">
        <f t="shared" si="18"/>
        <v>198.94399982324816</v>
      </c>
      <c r="Z35" s="15">
        <f t="shared" si="18"/>
        <v>198.94399982324816</v>
      </c>
      <c r="AA35" s="15">
        <f t="shared" si="18"/>
        <v>198.94399982324816</v>
      </c>
      <c r="AB35" s="15">
        <f t="shared" si="18"/>
        <v>198.94399982324816</v>
      </c>
      <c r="AC35" s="15">
        <f t="shared" si="18"/>
        <v>198.94399982324816</v>
      </c>
      <c r="AD35" s="15">
        <f t="shared" si="18"/>
        <v>198.94399982324816</v>
      </c>
      <c r="AE35" s="15">
        <f t="shared" si="18"/>
        <v>198.94399982324816</v>
      </c>
      <c r="AF35" s="15">
        <f t="shared" si="18"/>
        <v>198.94399982324816</v>
      </c>
      <c r="AG35" s="15">
        <f t="shared" si="18"/>
        <v>198.94399982324816</v>
      </c>
      <c r="AH35" s="15">
        <f t="shared" si="18"/>
        <v>198.94399982324816</v>
      </c>
      <c r="AI35" s="15">
        <f t="shared" si="18"/>
        <v>198.94399982324816</v>
      </c>
      <c r="AJ35" s="15">
        <f t="shared" si="18"/>
        <v>198.94399982324816</v>
      </c>
      <c r="AK35" s="15">
        <f t="shared" si="18"/>
        <v>198.94399982324816</v>
      </c>
      <c r="AL35" s="15">
        <f t="shared" si="18"/>
        <v>198.94399982324816</v>
      </c>
      <c r="AM35" s="15">
        <f t="shared" si="18"/>
        <v>198.94399982324816</v>
      </c>
      <c r="AN35" s="15">
        <f t="shared" si="18"/>
        <v>198.94399982324816</v>
      </c>
      <c r="AO35" s="15">
        <f t="shared" si="18"/>
        <v>198.94399982324816</v>
      </c>
      <c r="AP35" s="15">
        <f t="shared" si="18"/>
        <v>198.94399982324816</v>
      </c>
      <c r="AQ35" s="15">
        <f t="shared" si="18"/>
        <v>198.94399982324816</v>
      </c>
      <c r="AR35" s="15">
        <f t="shared" si="18"/>
        <v>198.94399982324816</v>
      </c>
      <c r="AS35" s="15">
        <f t="shared" si="18"/>
        <v>198.94399982324816</v>
      </c>
      <c r="AT35" s="15">
        <f t="shared" si="18"/>
        <v>198.94399982324816</v>
      </c>
      <c r="AU35" s="15">
        <f t="shared" si="18"/>
        <v>198.94399982324816</v>
      </c>
      <c r="AV35" s="15">
        <f t="shared" si="18"/>
        <v>198.94399982324816</v>
      </c>
      <c r="AW35" s="15">
        <f t="shared" si="18"/>
        <v>198.94399982324816</v>
      </c>
      <c r="AX35" s="15">
        <f t="shared" si="18"/>
        <v>198.94399982324816</v>
      </c>
      <c r="AY35" s="15">
        <f t="shared" si="18"/>
        <v>198.94399982324816</v>
      </c>
      <c r="AZ35" s="15">
        <f t="shared" si="18"/>
        <v>198.94399982324816</v>
      </c>
      <c r="BA35" s="15">
        <f t="shared" si="18"/>
        <v>198.94399982324816</v>
      </c>
      <c r="BB35" s="15">
        <f t="shared" si="18"/>
        <v>198.94399982324816</v>
      </c>
      <c r="BC35" s="15">
        <f t="shared" si="18"/>
        <v>198.94399982324816</v>
      </c>
      <c r="BD35" s="15">
        <f t="shared" si="18"/>
        <v>198.94399982324816</v>
      </c>
      <c r="BE35" s="15">
        <f t="shared" si="18"/>
        <v>198.94399982324816</v>
      </c>
      <c r="BF35" s="15">
        <f t="shared" si="18"/>
        <v>198.94399982324816</v>
      </c>
      <c r="BG35" s="15">
        <f t="shared" si="18"/>
        <v>198.94399982324816</v>
      </c>
      <c r="BH35" s="15">
        <f t="shared" si="18"/>
        <v>198.94399982324816</v>
      </c>
      <c r="BI35" s="15">
        <f t="shared" si="18"/>
        <v>198.94399982324816</v>
      </c>
      <c r="BJ35" s="15">
        <f t="shared" si="18"/>
        <v>198.94399982324816</v>
      </c>
      <c r="BK35" s="15">
        <f t="shared" si="18"/>
        <v>198.94399982324816</v>
      </c>
      <c r="BL35" s="15">
        <f t="shared" si="18"/>
        <v>198.94399982324816</v>
      </c>
      <c r="BM35" s="15">
        <f t="shared" si="18"/>
        <v>198.94399982324816</v>
      </c>
      <c r="BN35" s="15">
        <f t="shared" si="18"/>
        <v>198.94399982324816</v>
      </c>
    </row>
    <row r="36" spans="1:116" ht="20.100000000000001" customHeight="1" thickBot="1">
      <c r="A36" s="278"/>
      <c r="B36" s="34" t="s">
        <v>85</v>
      </c>
      <c r="C36" s="15">
        <v>0</v>
      </c>
      <c r="D36" s="22" t="s">
        <v>91</v>
      </c>
      <c r="F36" s="177" t="s">
        <v>80</v>
      </c>
      <c r="G36" s="24">
        <f>J38/J32</f>
        <v>0.5625</v>
      </c>
      <c r="H36" s="27"/>
      <c r="I36" s="176" t="s">
        <v>72</v>
      </c>
      <c r="J36" s="15">
        <f t="shared" si="17"/>
        <v>7.8539816339744823E-7</v>
      </c>
      <c r="K36" s="14" t="s">
        <v>60</v>
      </c>
      <c r="L36" s="27"/>
      <c r="M36" s="218"/>
      <c r="N36" s="218"/>
      <c r="O36" s="39" t="s">
        <v>14</v>
      </c>
      <c r="P36" s="15">
        <f t="shared" si="18"/>
        <v>61.242207189079423</v>
      </c>
      <c r="Q36" s="15">
        <f t="shared" si="18"/>
        <v>1202.9862684200316</v>
      </c>
      <c r="R36" s="15">
        <f t="shared" si="18"/>
        <v>1207.7150489448811</v>
      </c>
      <c r="S36" s="15">
        <f t="shared" si="18"/>
        <v>1207.7005525567731</v>
      </c>
      <c r="T36" s="15">
        <f t="shared" si="18"/>
        <v>1207.700596199805</v>
      </c>
      <c r="U36" s="15">
        <f t="shared" si="18"/>
        <v>1207.7005960684457</v>
      </c>
      <c r="V36" s="15">
        <f t="shared" si="18"/>
        <v>1207.7005960688412</v>
      </c>
      <c r="W36" s="15">
        <f t="shared" si="18"/>
        <v>1207.7005960688398</v>
      </c>
      <c r="X36" s="15">
        <f t="shared" si="18"/>
        <v>1207.7005960688398</v>
      </c>
      <c r="Y36" s="15">
        <f t="shared" si="18"/>
        <v>1207.7005960688398</v>
      </c>
      <c r="Z36" s="15">
        <f t="shared" si="18"/>
        <v>1207.7005960688398</v>
      </c>
      <c r="AA36" s="15">
        <f t="shared" si="18"/>
        <v>1207.7005960688398</v>
      </c>
      <c r="AB36" s="15">
        <f t="shared" si="18"/>
        <v>1207.7005960688398</v>
      </c>
      <c r="AC36" s="15">
        <f t="shared" si="18"/>
        <v>1207.7005960688398</v>
      </c>
      <c r="AD36" s="15">
        <f t="shared" si="18"/>
        <v>1207.7005960688398</v>
      </c>
      <c r="AE36" s="15">
        <f t="shared" si="18"/>
        <v>1207.7005960688398</v>
      </c>
      <c r="AF36" s="15">
        <f t="shared" si="18"/>
        <v>1207.7005960688398</v>
      </c>
      <c r="AG36" s="15">
        <f t="shared" si="18"/>
        <v>1207.7005960688398</v>
      </c>
      <c r="AH36" s="15">
        <f t="shared" si="18"/>
        <v>1207.7005960688398</v>
      </c>
      <c r="AI36" s="15">
        <f t="shared" si="18"/>
        <v>1207.7005960688398</v>
      </c>
      <c r="AJ36" s="15">
        <f t="shared" si="18"/>
        <v>1207.7005960688398</v>
      </c>
      <c r="AK36" s="15">
        <f t="shared" si="18"/>
        <v>1207.7005960688398</v>
      </c>
      <c r="AL36" s="15">
        <f t="shared" si="18"/>
        <v>1207.7005960688398</v>
      </c>
      <c r="AM36" s="15">
        <f t="shared" si="18"/>
        <v>1207.7005960688398</v>
      </c>
      <c r="AN36" s="15">
        <f t="shared" si="18"/>
        <v>1207.7005960688398</v>
      </c>
      <c r="AO36" s="15">
        <f t="shared" si="18"/>
        <v>1207.7005960688398</v>
      </c>
      <c r="AP36" s="15">
        <f t="shared" si="18"/>
        <v>1207.7005960688398</v>
      </c>
      <c r="AQ36" s="15">
        <f t="shared" si="18"/>
        <v>1207.7005960688398</v>
      </c>
      <c r="AR36" s="15">
        <f t="shared" si="18"/>
        <v>1207.7005960688398</v>
      </c>
      <c r="AS36" s="15">
        <f t="shared" si="18"/>
        <v>1207.7005960688398</v>
      </c>
      <c r="AT36" s="15">
        <f t="shared" si="18"/>
        <v>1207.7005960688398</v>
      </c>
      <c r="AU36" s="15">
        <f t="shared" si="18"/>
        <v>1207.7005960688398</v>
      </c>
      <c r="AV36" s="15">
        <f t="shared" si="18"/>
        <v>1207.7005960688398</v>
      </c>
      <c r="AW36" s="15">
        <f t="shared" si="18"/>
        <v>1207.7005960688398</v>
      </c>
      <c r="AX36" s="15">
        <f t="shared" si="18"/>
        <v>1207.7005960688398</v>
      </c>
      <c r="AY36" s="15">
        <f t="shared" si="18"/>
        <v>1207.7005960688398</v>
      </c>
      <c r="AZ36" s="15">
        <f t="shared" si="18"/>
        <v>1207.7005960688398</v>
      </c>
      <c r="BA36" s="15">
        <f t="shared" si="18"/>
        <v>1207.7005960688398</v>
      </c>
      <c r="BB36" s="15">
        <f t="shared" si="18"/>
        <v>1207.7005960688398</v>
      </c>
      <c r="BC36" s="15">
        <f t="shared" si="18"/>
        <v>1207.7005960688398</v>
      </c>
      <c r="BD36" s="15">
        <f t="shared" si="18"/>
        <v>1207.7005960688398</v>
      </c>
      <c r="BE36" s="15">
        <f t="shared" si="18"/>
        <v>1207.7005960688398</v>
      </c>
      <c r="BF36" s="15">
        <f t="shared" si="18"/>
        <v>1207.7005960688398</v>
      </c>
      <c r="BG36" s="15">
        <f t="shared" si="18"/>
        <v>1207.7005960688398</v>
      </c>
      <c r="BH36" s="15">
        <f t="shared" si="18"/>
        <v>1207.7005960688398</v>
      </c>
      <c r="BI36" s="15">
        <f t="shared" si="18"/>
        <v>1207.7005960688398</v>
      </c>
      <c r="BJ36" s="15">
        <f t="shared" si="18"/>
        <v>1207.7005960688398</v>
      </c>
      <c r="BK36" s="15">
        <f t="shared" si="18"/>
        <v>1207.7005960688398</v>
      </c>
      <c r="BL36" s="15">
        <f t="shared" si="18"/>
        <v>1207.7005960688398</v>
      </c>
      <c r="BM36" s="15">
        <f t="shared" si="18"/>
        <v>1207.7005960688398</v>
      </c>
      <c r="BN36" s="15">
        <f t="shared" si="18"/>
        <v>1207.7005960688398</v>
      </c>
    </row>
    <row r="37" spans="1:116" ht="20.100000000000001" customHeight="1">
      <c r="A37" s="278"/>
      <c r="B37" s="34" t="s">
        <v>86</v>
      </c>
      <c r="C37" s="15">
        <v>0</v>
      </c>
      <c r="D37" s="22" t="s">
        <v>91</v>
      </c>
      <c r="E37" s="27"/>
      <c r="F37" s="27"/>
      <c r="G37" s="27"/>
      <c r="H37" s="27"/>
      <c r="I37" s="176" t="s">
        <v>73</v>
      </c>
      <c r="J37" s="15">
        <f t="shared" si="17"/>
        <v>3.1415926535897929E-6</v>
      </c>
      <c r="K37" s="14" t="s">
        <v>60</v>
      </c>
      <c r="L37" s="27"/>
      <c r="M37" s="218"/>
      <c r="N37" s="218"/>
      <c r="O37" s="39" t="s">
        <v>15</v>
      </c>
      <c r="P37" s="15">
        <f t="shared" ref="P37:BN37" si="19">P24*$J32*1000000*60</f>
        <v>753.98223686155029</v>
      </c>
      <c r="Q37" s="15">
        <f t="shared" si="19"/>
        <v>1464.798881292438</v>
      </c>
      <c r="R37" s="15">
        <f t="shared" si="19"/>
        <v>1470.0491355575311</v>
      </c>
      <c r="S37" s="15">
        <f t="shared" si="19"/>
        <v>1470.0333901213489</v>
      </c>
      <c r="T37" s="15">
        <f t="shared" si="19"/>
        <v>1470.03343751118</v>
      </c>
      <c r="U37" s="15">
        <f t="shared" si="19"/>
        <v>1470.0334373685437</v>
      </c>
      <c r="V37" s="15">
        <f t="shared" si="19"/>
        <v>1470.033437368973</v>
      </c>
      <c r="W37" s="15">
        <f t="shared" si="19"/>
        <v>1470.0334373689714</v>
      </c>
      <c r="X37" s="15">
        <f t="shared" si="19"/>
        <v>1470.0334373689714</v>
      </c>
      <c r="Y37" s="15">
        <f t="shared" si="19"/>
        <v>1470.0334373689714</v>
      </c>
      <c r="Z37" s="15">
        <f t="shared" si="19"/>
        <v>1470.0334373689714</v>
      </c>
      <c r="AA37" s="15">
        <f t="shared" si="19"/>
        <v>1470.0334373689714</v>
      </c>
      <c r="AB37" s="15">
        <f t="shared" si="19"/>
        <v>1470.0334373689714</v>
      </c>
      <c r="AC37" s="15">
        <f t="shared" si="19"/>
        <v>1470.0334373689714</v>
      </c>
      <c r="AD37" s="15">
        <f t="shared" si="19"/>
        <v>1470.0334373689714</v>
      </c>
      <c r="AE37" s="15">
        <f t="shared" si="19"/>
        <v>1470.0334373689714</v>
      </c>
      <c r="AF37" s="15">
        <f t="shared" si="19"/>
        <v>1470.0334373689714</v>
      </c>
      <c r="AG37" s="15">
        <f t="shared" si="19"/>
        <v>1470.0334373689714</v>
      </c>
      <c r="AH37" s="15">
        <f t="shared" si="19"/>
        <v>1470.0334373689714</v>
      </c>
      <c r="AI37" s="15">
        <f t="shared" si="19"/>
        <v>1470.0334373689714</v>
      </c>
      <c r="AJ37" s="15">
        <f t="shared" si="19"/>
        <v>1470.0334373689714</v>
      </c>
      <c r="AK37" s="15">
        <f t="shared" si="19"/>
        <v>1470.0334373689714</v>
      </c>
      <c r="AL37" s="15">
        <f t="shared" si="19"/>
        <v>1470.0334373689714</v>
      </c>
      <c r="AM37" s="15">
        <f t="shared" si="19"/>
        <v>1470.0334373689714</v>
      </c>
      <c r="AN37" s="15">
        <f t="shared" si="19"/>
        <v>1470.0334373689714</v>
      </c>
      <c r="AO37" s="15">
        <f t="shared" si="19"/>
        <v>1470.0334373689714</v>
      </c>
      <c r="AP37" s="15">
        <f t="shared" si="19"/>
        <v>1470.0334373689714</v>
      </c>
      <c r="AQ37" s="15">
        <f t="shared" si="19"/>
        <v>1470.0334373689714</v>
      </c>
      <c r="AR37" s="15">
        <f t="shared" si="19"/>
        <v>1470.0334373689714</v>
      </c>
      <c r="AS37" s="15">
        <f t="shared" si="19"/>
        <v>1470.0334373689714</v>
      </c>
      <c r="AT37" s="15">
        <f t="shared" si="19"/>
        <v>1470.0334373689714</v>
      </c>
      <c r="AU37" s="15">
        <f t="shared" si="19"/>
        <v>1470.0334373689714</v>
      </c>
      <c r="AV37" s="15">
        <f t="shared" si="19"/>
        <v>1470.0334373689714</v>
      </c>
      <c r="AW37" s="15">
        <f t="shared" si="19"/>
        <v>1470.0334373689714</v>
      </c>
      <c r="AX37" s="15">
        <f t="shared" si="19"/>
        <v>1470.0334373689714</v>
      </c>
      <c r="AY37" s="15">
        <f t="shared" si="19"/>
        <v>1470.0334373689714</v>
      </c>
      <c r="AZ37" s="15">
        <f t="shared" si="19"/>
        <v>1470.0334373689714</v>
      </c>
      <c r="BA37" s="15">
        <f t="shared" si="19"/>
        <v>1470.0334373689714</v>
      </c>
      <c r="BB37" s="15">
        <f t="shared" si="19"/>
        <v>1470.0334373689714</v>
      </c>
      <c r="BC37" s="15">
        <f t="shared" si="19"/>
        <v>1470.0334373689714</v>
      </c>
      <c r="BD37" s="15">
        <f t="shared" si="19"/>
        <v>1470.0334373689714</v>
      </c>
      <c r="BE37" s="15">
        <f t="shared" si="19"/>
        <v>1470.0334373689714</v>
      </c>
      <c r="BF37" s="15">
        <f t="shared" si="19"/>
        <v>1470.0334373689714</v>
      </c>
      <c r="BG37" s="15">
        <f t="shared" si="19"/>
        <v>1470.0334373689714</v>
      </c>
      <c r="BH37" s="15">
        <f t="shared" si="19"/>
        <v>1470.0334373689714</v>
      </c>
      <c r="BI37" s="15">
        <f t="shared" si="19"/>
        <v>1470.0334373689714</v>
      </c>
      <c r="BJ37" s="15">
        <f t="shared" si="19"/>
        <v>1470.0334373689714</v>
      </c>
      <c r="BK37" s="15">
        <f t="shared" si="19"/>
        <v>1470.0334373689714</v>
      </c>
      <c r="BL37" s="15">
        <f t="shared" si="19"/>
        <v>1470.0334373689714</v>
      </c>
      <c r="BM37" s="15">
        <f t="shared" si="19"/>
        <v>1470.0334373689714</v>
      </c>
      <c r="BN37" s="15">
        <f t="shared" si="19"/>
        <v>1470.0334373689714</v>
      </c>
    </row>
    <row r="38" spans="1:116" ht="20.100000000000001" customHeight="1" thickBot="1">
      <c r="A38" s="278"/>
      <c r="B38" s="34" t="s">
        <v>87</v>
      </c>
      <c r="C38" s="15">
        <v>0</v>
      </c>
      <c r="D38" s="22" t="s">
        <v>91</v>
      </c>
      <c r="E38" s="27"/>
      <c r="F38" s="27"/>
      <c r="G38" s="27"/>
      <c r="H38" s="27"/>
      <c r="I38" s="177" t="s">
        <v>74</v>
      </c>
      <c r="J38" s="15">
        <f t="shared" si="17"/>
        <v>7.0685834705770344E-6</v>
      </c>
      <c r="K38" s="21" t="s">
        <v>60</v>
      </c>
      <c r="L38" s="27"/>
      <c r="M38" s="29"/>
      <c r="N38" s="29"/>
      <c r="O38" s="16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116" ht="19.5" customHeight="1" thickBot="1">
      <c r="A39" s="278"/>
      <c r="B39" s="34" t="s">
        <v>82</v>
      </c>
      <c r="C39" s="15">
        <v>0</v>
      </c>
      <c r="D39" s="22" t="s">
        <v>91</v>
      </c>
      <c r="E39" s="27"/>
      <c r="F39" s="27"/>
      <c r="G39" s="27"/>
      <c r="H39" s="27"/>
      <c r="I39" s="27"/>
      <c r="J39" s="27"/>
      <c r="K39" s="27"/>
      <c r="L39" s="27"/>
      <c r="M39" s="29"/>
      <c r="N39" s="29"/>
      <c r="O39" s="29"/>
      <c r="P39" s="27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</row>
    <row r="40" spans="1:116" ht="20.100000000000001" customHeight="1">
      <c r="A40" s="278"/>
      <c r="B40" s="34" t="s">
        <v>83</v>
      </c>
      <c r="C40" s="15">
        <v>0</v>
      </c>
      <c r="D40" s="22" t="s">
        <v>91</v>
      </c>
      <c r="E40" s="294" t="s">
        <v>89</v>
      </c>
      <c r="F40" s="208"/>
      <c r="G40" s="208"/>
      <c r="H40" s="208"/>
      <c r="I40" s="209"/>
      <c r="J40" s="27"/>
      <c r="K40" s="7"/>
      <c r="L40" s="7"/>
      <c r="M40" s="29"/>
      <c r="N40" s="2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116" ht="20.100000000000001" customHeight="1" thickBot="1">
      <c r="A41" s="278"/>
      <c r="B41" s="35" t="s">
        <v>84</v>
      </c>
      <c r="C41" s="20">
        <v>0</v>
      </c>
      <c r="D41" s="24" t="s">
        <v>91</v>
      </c>
      <c r="E41" s="90"/>
      <c r="F41" s="262" t="s">
        <v>90</v>
      </c>
      <c r="G41" s="262"/>
      <c r="H41" s="262" t="s">
        <v>111</v>
      </c>
      <c r="I41" s="263"/>
      <c r="J41" s="27"/>
      <c r="K41" s="7"/>
      <c r="L41" s="7"/>
      <c r="M41" s="29"/>
      <c r="N41" s="27"/>
      <c r="Q41" s="6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116" ht="20.100000000000001" customHeight="1">
      <c r="A42" s="278"/>
      <c r="B42" s="27"/>
      <c r="C42" s="27"/>
      <c r="D42" s="27"/>
      <c r="E42" s="86" t="s">
        <v>112</v>
      </c>
      <c r="F42" s="84" t="s">
        <v>105</v>
      </c>
      <c r="G42" s="13">
        <v>500</v>
      </c>
      <c r="H42" s="84" t="s">
        <v>106</v>
      </c>
      <c r="I42" s="14">
        <v>0.7</v>
      </c>
      <c r="J42" s="27"/>
      <c r="K42" s="27"/>
      <c r="L42" s="27"/>
      <c r="M42" s="29"/>
      <c r="N42" s="27"/>
      <c r="Q42" s="6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116" ht="20.100000000000001" customHeight="1">
      <c r="A43" s="278"/>
      <c r="B43" s="27"/>
      <c r="C43" s="27"/>
      <c r="D43" s="27"/>
      <c r="E43" s="86" t="s">
        <v>113</v>
      </c>
      <c r="F43" s="84" t="s">
        <v>107</v>
      </c>
      <c r="G43" s="13">
        <v>200</v>
      </c>
      <c r="H43" s="84" t="s">
        <v>108</v>
      </c>
      <c r="I43" s="14">
        <v>1.1000000000000001</v>
      </c>
      <c r="J43" s="27"/>
      <c r="K43" s="27"/>
      <c r="L43" s="27"/>
      <c r="M43" s="29"/>
      <c r="N43" s="2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116" ht="20.100000000000001" customHeight="1">
      <c r="A44" s="278"/>
      <c r="B44" s="27"/>
      <c r="C44" s="27"/>
      <c r="D44" s="27"/>
      <c r="E44" s="86" t="s">
        <v>114</v>
      </c>
      <c r="F44" s="84" t="s">
        <v>109</v>
      </c>
      <c r="G44" s="13">
        <v>160</v>
      </c>
      <c r="H44" s="84" t="s">
        <v>110</v>
      </c>
      <c r="I44" s="14">
        <v>1</v>
      </c>
      <c r="J44" s="27"/>
      <c r="K44" s="27"/>
      <c r="L44" s="27"/>
      <c r="M44" s="29"/>
      <c r="N44" s="2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116" ht="20.100000000000001" customHeight="1">
      <c r="A45" s="278"/>
      <c r="B45" s="27"/>
      <c r="C45" s="27"/>
      <c r="D45" s="27"/>
      <c r="E45" s="86"/>
      <c r="F45" s="13"/>
      <c r="G45" s="13"/>
      <c r="H45" s="13"/>
      <c r="I45" s="14"/>
      <c r="J45" s="27"/>
      <c r="K45" s="27"/>
      <c r="L45" s="27"/>
      <c r="M45" s="29"/>
      <c r="N45" s="2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</row>
    <row r="46" spans="1:116" ht="20.100000000000001" customHeight="1">
      <c r="A46" s="278"/>
      <c r="B46" s="27"/>
      <c r="C46" s="27"/>
      <c r="D46" s="27"/>
      <c r="E46" s="86" t="s">
        <v>26</v>
      </c>
      <c r="F46" s="13"/>
      <c r="G46" s="13">
        <f>$G$42*$C$31/($C$32*J27)</f>
        <v>16.273849607182939</v>
      </c>
      <c r="H46" s="13"/>
      <c r="I46" s="14">
        <f>$I$42*(0.0254/$J$23+1)</f>
        <v>5.1449999999999996</v>
      </c>
      <c r="J46" s="27"/>
      <c r="K46" s="27"/>
      <c r="L46" s="27"/>
      <c r="M46" s="29"/>
      <c r="N46" s="2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</row>
    <row r="47" spans="1:116" ht="20.100000000000001" customHeight="1">
      <c r="A47" s="278"/>
      <c r="B47" s="180"/>
      <c r="C47" s="27"/>
      <c r="D47" s="27"/>
      <c r="E47" s="86" t="s">
        <v>27</v>
      </c>
      <c r="F47" s="85"/>
      <c r="G47" s="13">
        <f t="shared" ref="G47:G48" si="20">$G$42*$C$31/($C$32*J28)</f>
        <v>8.1369248035914694</v>
      </c>
      <c r="H47" s="13"/>
      <c r="I47" s="14">
        <f>$I$42*(0.0254/$J$23+1)</f>
        <v>5.1449999999999996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5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</row>
    <row r="48" spans="1:116" ht="20.100000000000001" customHeight="1">
      <c r="A48" s="278"/>
      <c r="B48" s="180"/>
      <c r="C48" s="27"/>
      <c r="D48" s="27"/>
      <c r="E48" s="86" t="s">
        <v>28</v>
      </c>
      <c r="F48" s="85"/>
      <c r="G48" s="13">
        <f t="shared" si="20"/>
        <v>5.4246165357276466</v>
      </c>
      <c r="H48" s="13"/>
      <c r="I48" s="14">
        <f>$I$42*(0.0254/$J$23+1)</f>
        <v>5.1449999999999996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5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</row>
    <row r="49" spans="1:116" ht="20.100000000000001" customHeight="1">
      <c r="A49" s="278"/>
      <c r="B49" s="180"/>
      <c r="C49" s="27"/>
      <c r="D49" s="27"/>
      <c r="E49" s="86" t="s">
        <v>124</v>
      </c>
      <c r="F49" s="13"/>
      <c r="G49" s="13">
        <f>$G$44*$C$31/($C$32*J24)</f>
        <v>18.401526057592019</v>
      </c>
      <c r="H49" s="13"/>
      <c r="I49" s="14">
        <f>$I$44</f>
        <v>1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5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</row>
    <row r="50" spans="1:116" ht="20.100000000000001" customHeight="1">
      <c r="A50" s="278"/>
      <c r="B50" s="180"/>
      <c r="C50" s="27"/>
      <c r="D50" s="27"/>
      <c r="E50" s="86" t="s">
        <v>125</v>
      </c>
      <c r="F50" s="13"/>
      <c r="G50" s="13">
        <f t="shared" ref="G50:G51" si="21">$G$44*$C$31/($C$32*J25)</f>
        <v>10.849233071455295</v>
      </c>
      <c r="H50" s="13"/>
      <c r="I50" s="14">
        <f>$I$44</f>
        <v>1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5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1:116" ht="20.100000000000001" customHeight="1">
      <c r="A51" s="278"/>
      <c r="B51" s="180"/>
      <c r="C51" s="27"/>
      <c r="D51" s="27"/>
      <c r="E51" s="86" t="s">
        <v>126</v>
      </c>
      <c r="F51" s="13"/>
      <c r="G51" s="13">
        <f t="shared" si="21"/>
        <v>4.5680981353495982</v>
      </c>
      <c r="H51" s="13"/>
      <c r="I51" s="14">
        <f>$I$44</f>
        <v>1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5"/>
    </row>
    <row r="52" spans="1:116" ht="20.100000000000001" customHeight="1">
      <c r="A52" s="278"/>
      <c r="B52" s="180"/>
      <c r="C52" s="27"/>
      <c r="D52" s="27"/>
      <c r="E52" s="86" t="s">
        <v>127</v>
      </c>
      <c r="F52" s="13"/>
      <c r="G52" s="13">
        <f>$G$43*$C$31/$C$32/$J$23</f>
        <v>1.6273849607182942</v>
      </c>
      <c r="H52" s="13"/>
      <c r="I52" s="14">
        <f>$I$43*(0.0254/$J$23+1)</f>
        <v>8.0850000000000009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5"/>
    </row>
    <row r="53" spans="1:116" ht="20.100000000000001" customHeight="1" thickBot="1">
      <c r="A53" s="278"/>
      <c r="B53" s="180"/>
      <c r="C53" s="27"/>
      <c r="D53" s="27"/>
      <c r="E53" s="87" t="s">
        <v>128</v>
      </c>
      <c r="F53" s="19"/>
      <c r="G53" s="19">
        <f>$G$43*$C$31/$C$32/$J$23</f>
        <v>1.6273849607182942</v>
      </c>
      <c r="H53" s="19"/>
      <c r="I53" s="21">
        <f>$I$43*(0.0254/$J$23+1)</f>
        <v>8.0850000000000009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5"/>
    </row>
    <row r="54" spans="1:116" ht="20.100000000000001" customHeight="1" thickBot="1">
      <c r="A54" s="279"/>
      <c r="B54" s="6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26"/>
    </row>
    <row r="55" spans="1:116" ht="20.100000000000001" customHeight="1">
      <c r="I55" s="6"/>
    </row>
    <row r="60" spans="1:116" ht="15.75" customHeight="1">
      <c r="D60" s="6"/>
    </row>
    <row r="61" spans="1:116" ht="16.5" customHeight="1">
      <c r="D61" s="6"/>
    </row>
    <row r="62" spans="1:116" ht="16.5" customHeight="1">
      <c r="D62" s="6"/>
    </row>
    <row r="64" spans="1:116" ht="15.75" customHeight="1">
      <c r="B64" s="8"/>
    </row>
    <row r="65" spans="2:2" ht="20.100000000000001" customHeight="1">
      <c r="B65" s="8"/>
    </row>
  </sheetData>
  <mergeCells count="29">
    <mergeCell ref="A1:A54"/>
    <mergeCell ref="B1:BN1"/>
    <mergeCell ref="C2:E2"/>
    <mergeCell ref="C9:Q9"/>
    <mergeCell ref="C10:C11"/>
    <mergeCell ref="D10:G10"/>
    <mergeCell ref="H10:H11"/>
    <mergeCell ref="I10:L10"/>
    <mergeCell ref="M10:M11"/>
    <mergeCell ref="F30:G30"/>
    <mergeCell ref="B35:D35"/>
    <mergeCell ref="N10:Q10"/>
    <mergeCell ref="M15:Q19"/>
    <mergeCell ref="C18:G19"/>
    <mergeCell ref="T2:W2"/>
    <mergeCell ref="B21:BN21"/>
    <mergeCell ref="B22:C22"/>
    <mergeCell ref="E22:G22"/>
    <mergeCell ref="I22:K22"/>
    <mergeCell ref="N24:N30"/>
    <mergeCell ref="B30:D30"/>
    <mergeCell ref="E40:I40"/>
    <mergeCell ref="F41:G41"/>
    <mergeCell ref="H41:I41"/>
    <mergeCell ref="I31:K31"/>
    <mergeCell ref="M22:BN22"/>
    <mergeCell ref="M23:M37"/>
    <mergeCell ref="N31:O33"/>
    <mergeCell ref="N34:N3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DL65"/>
  <sheetViews>
    <sheetView topLeftCell="J26" zoomScale="70" zoomScaleNormal="70" workbookViewId="0">
      <selection activeCell="Q39" sqref="Q39:Z53"/>
    </sheetView>
  </sheetViews>
  <sheetFormatPr defaultColWidth="15.7109375" defaultRowHeight="20.100000000000001" customHeight="1"/>
  <cols>
    <col min="1" max="1" width="15.7109375" style="2"/>
    <col min="2" max="2" width="48.85546875" style="76" customWidth="1"/>
    <col min="3" max="3" width="21.28515625" style="2" customWidth="1"/>
    <col min="4" max="4" width="17.28515625" style="2" customWidth="1"/>
    <col min="5" max="5" width="18.5703125" style="2" customWidth="1"/>
    <col min="6" max="7" width="15.7109375" style="2"/>
    <col min="8" max="8" width="18.85546875" style="2" customWidth="1"/>
    <col min="9" max="15" width="15.7109375" style="2"/>
    <col min="16" max="16" width="17.85546875" style="2" bestFit="1" customWidth="1"/>
    <col min="17" max="17" width="35" style="2" customWidth="1"/>
    <col min="18" max="18" width="34.7109375" style="2" customWidth="1"/>
    <col min="19" max="19" width="35" style="2" customWidth="1"/>
    <col min="20" max="20" width="34.42578125" style="2" customWidth="1"/>
    <col min="21" max="21" width="34.7109375" style="2" customWidth="1"/>
    <col min="22" max="22" width="34.85546875" style="2" customWidth="1"/>
    <col min="23" max="23" width="35.28515625" style="2" customWidth="1"/>
    <col min="24" max="24" width="34.28515625" style="2" customWidth="1"/>
    <col min="25" max="25" width="34.5703125" style="2" customWidth="1"/>
    <col min="26" max="26" width="15.7109375" style="2"/>
    <col min="27" max="27" width="16.140625" style="2" bestFit="1" customWidth="1"/>
    <col min="28" max="16384" width="15.7109375" style="2"/>
  </cols>
  <sheetData>
    <row r="1" spans="1:66" ht="93" thickBot="1">
      <c r="A1" s="277">
        <v>1</v>
      </c>
      <c r="B1" s="316" t="s">
        <v>161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7"/>
    </row>
    <row r="2" spans="1:66" ht="21" customHeight="1">
      <c r="A2" s="278"/>
      <c r="B2" s="175"/>
      <c r="C2" s="199" t="s">
        <v>97</v>
      </c>
      <c r="D2" s="200"/>
      <c r="E2" s="20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8" t="s">
        <v>146</v>
      </c>
      <c r="U2" s="319"/>
      <c r="V2" s="319"/>
      <c r="W2" s="320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5"/>
    </row>
    <row r="3" spans="1:66" ht="15.75" customHeight="1">
      <c r="A3" s="278"/>
      <c r="B3" s="175"/>
      <c r="C3" s="34" t="s">
        <v>98</v>
      </c>
      <c r="D3" s="33" t="s">
        <v>1</v>
      </c>
      <c r="E3" s="42" t="s">
        <v>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T3" s="171" t="s">
        <v>145</v>
      </c>
      <c r="U3" s="173" t="s">
        <v>154</v>
      </c>
      <c r="V3" s="129" t="s">
        <v>143</v>
      </c>
      <c r="W3" s="133" t="s">
        <v>144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5"/>
    </row>
    <row r="4" spans="1:66" ht="15.75" customHeight="1">
      <c r="A4" s="278"/>
      <c r="B4" s="175"/>
      <c r="C4" s="40" t="s">
        <v>12</v>
      </c>
      <c r="D4" s="15">
        <f>BJ28</f>
        <v>16.396137913501175</v>
      </c>
      <c r="E4" s="22">
        <f>BJ34</f>
        <v>61.880749531426197</v>
      </c>
      <c r="F4" s="7"/>
      <c r="G4" s="27"/>
      <c r="H4" s="27"/>
      <c r="I4" s="7"/>
      <c r="J4" s="27"/>
      <c r="K4" s="27"/>
      <c r="L4" s="27"/>
      <c r="M4" s="27"/>
      <c r="N4" s="27"/>
      <c r="O4" s="27"/>
      <c r="P4" s="27"/>
      <c r="Q4" s="27"/>
      <c r="R4" s="27"/>
      <c r="T4" s="100"/>
      <c r="U4" s="119" t="s">
        <v>15</v>
      </c>
      <c r="V4" s="101">
        <f>C25</f>
        <v>490341.51234567899</v>
      </c>
      <c r="W4" s="134">
        <f>D7</f>
        <v>1.902512585622693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5"/>
    </row>
    <row r="5" spans="1:66" ht="15.75" customHeight="1">
      <c r="A5" s="278"/>
      <c r="B5" s="175"/>
      <c r="C5" s="40" t="s">
        <v>13</v>
      </c>
      <c r="D5" s="15">
        <f>BJ29</f>
        <v>17.931452563639603</v>
      </c>
      <c r="E5" s="22">
        <f>BJ35</f>
        <v>194.68795268318067</v>
      </c>
      <c r="F5" s="27"/>
      <c r="G5" s="27"/>
      <c r="H5" s="27"/>
      <c r="I5" s="7"/>
      <c r="J5" s="27"/>
      <c r="K5" s="27"/>
      <c r="L5" s="27"/>
      <c r="M5" s="27"/>
      <c r="N5" s="27"/>
      <c r="O5" s="27"/>
      <c r="P5" s="27"/>
      <c r="Q5" s="27"/>
      <c r="R5" s="27"/>
      <c r="T5" s="110" t="s">
        <v>22</v>
      </c>
      <c r="U5" s="119" t="s">
        <v>137</v>
      </c>
      <c r="V5" s="102">
        <f>V4-D12</f>
        <v>484824.22584737319</v>
      </c>
      <c r="W5" s="134">
        <f>D7</f>
        <v>1.902512585622693</v>
      </c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5"/>
    </row>
    <row r="6" spans="1:66" ht="15.75" customHeight="1">
      <c r="A6" s="278"/>
      <c r="B6" s="175"/>
      <c r="C6" s="40" t="s">
        <v>14</v>
      </c>
      <c r="D6" s="15">
        <f>BJ30</f>
        <v>19.233336726643682</v>
      </c>
      <c r="E6" s="22">
        <f>BJ36</f>
        <v>1177.891992750443</v>
      </c>
      <c r="F6" s="27"/>
      <c r="G6" s="27"/>
      <c r="H6" s="27"/>
      <c r="I6" s="7"/>
      <c r="J6" s="27"/>
      <c r="K6" s="27"/>
      <c r="L6" s="27"/>
      <c r="M6" s="27"/>
      <c r="N6" s="27"/>
      <c r="O6" s="27"/>
      <c r="P6" s="27"/>
      <c r="Q6" s="27"/>
      <c r="R6" s="27"/>
      <c r="T6" s="110" t="s">
        <v>21</v>
      </c>
      <c r="U6" s="119" t="s">
        <v>147</v>
      </c>
      <c r="V6" s="102">
        <f>V4-D12-I15-D13</f>
        <v>466288.52389969025</v>
      </c>
      <c r="W6" s="135">
        <f>D7-D4*G31</f>
        <v>1.8204406925380432</v>
      </c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5"/>
    </row>
    <row r="7" spans="1:66" ht="16.5" customHeight="1" thickBot="1">
      <c r="A7" s="278"/>
      <c r="B7" s="175"/>
      <c r="C7" s="41" t="s">
        <v>15</v>
      </c>
      <c r="D7" s="20">
        <f>BJ24</f>
        <v>1.902512585622693</v>
      </c>
      <c r="E7" s="24">
        <f>BJ37</f>
        <v>1434.4606949650499</v>
      </c>
      <c r="F7" s="27"/>
      <c r="G7" s="27"/>
      <c r="H7" s="27"/>
      <c r="I7" s="7"/>
      <c r="J7" s="27"/>
      <c r="K7" s="27"/>
      <c r="L7" s="27"/>
      <c r="M7" s="27"/>
      <c r="N7" s="27"/>
      <c r="O7" s="27"/>
      <c r="P7" s="27"/>
      <c r="Q7" s="27"/>
      <c r="R7" s="27"/>
      <c r="T7" s="110" t="s">
        <v>22</v>
      </c>
      <c r="U7" s="119" t="s">
        <v>138</v>
      </c>
      <c r="V7" s="102">
        <f>V4-D12-D13-D14-I15-I16</f>
        <v>451834.89023291063</v>
      </c>
      <c r="W7" s="135">
        <f>D7-D4*G31</f>
        <v>1.8204406925380432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5"/>
    </row>
    <row r="8" spans="1:66" ht="16.5" customHeight="1" thickBot="1">
      <c r="A8" s="278"/>
      <c r="B8" s="17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T8" s="110" t="s">
        <v>21</v>
      </c>
      <c r="U8" s="119" t="s">
        <v>148</v>
      </c>
      <c r="V8" s="102">
        <f>V5-I12</f>
        <v>462734.63860974647</v>
      </c>
      <c r="W8" s="135">
        <f>D7-D4*G31-D5*G32</f>
        <v>1.562227775621633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5"/>
    </row>
    <row r="9" spans="1:66" ht="21" customHeight="1">
      <c r="A9" s="278"/>
      <c r="B9" s="175"/>
      <c r="C9" s="264" t="s">
        <v>20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6"/>
      <c r="R9" s="27"/>
      <c r="T9" s="110" t="s">
        <v>22</v>
      </c>
      <c r="U9" s="119" t="s">
        <v>149</v>
      </c>
      <c r="V9" s="102">
        <f>V6-I13</f>
        <v>452093.40538372821</v>
      </c>
      <c r="W9" s="135">
        <f>D7-D4*G31-D5*G32</f>
        <v>1.562227775621633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5"/>
    </row>
    <row r="10" spans="1:66" ht="15.75" customHeight="1">
      <c r="A10" s="278"/>
      <c r="B10" s="175"/>
      <c r="C10" s="267"/>
      <c r="D10" s="268" t="s">
        <v>22</v>
      </c>
      <c r="E10" s="269"/>
      <c r="F10" s="269"/>
      <c r="G10" s="270"/>
      <c r="H10" s="271"/>
      <c r="I10" s="273" t="s">
        <v>21</v>
      </c>
      <c r="J10" s="274"/>
      <c r="K10" s="274"/>
      <c r="L10" s="275"/>
      <c r="M10" s="271"/>
      <c r="N10" s="273" t="s">
        <v>35</v>
      </c>
      <c r="O10" s="274"/>
      <c r="P10" s="274"/>
      <c r="Q10" s="276"/>
      <c r="R10" s="27"/>
      <c r="T10" s="110" t="s">
        <v>21</v>
      </c>
      <c r="U10" s="125" t="s">
        <v>140</v>
      </c>
      <c r="V10" s="102">
        <f>V7-I14</f>
        <v>442465.51499991061</v>
      </c>
      <c r="W10" s="135">
        <f>D4*G31/G34</f>
        <v>1.3131502893543954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5"/>
    </row>
    <row r="11" spans="1:66" ht="15.75" customHeight="1">
      <c r="A11" s="278"/>
      <c r="B11" s="175"/>
      <c r="C11" s="242"/>
      <c r="D11" s="173" t="s">
        <v>36</v>
      </c>
      <c r="E11" s="173" t="s">
        <v>37</v>
      </c>
      <c r="F11" s="174" t="s">
        <v>33</v>
      </c>
      <c r="G11" s="173" t="s">
        <v>34</v>
      </c>
      <c r="H11" s="272"/>
      <c r="I11" s="173" t="s">
        <v>36</v>
      </c>
      <c r="J11" s="173" t="s">
        <v>37</v>
      </c>
      <c r="K11" s="174" t="s">
        <v>33</v>
      </c>
      <c r="L11" s="173" t="s">
        <v>34</v>
      </c>
      <c r="M11" s="272"/>
      <c r="N11" s="173" t="s">
        <v>36</v>
      </c>
      <c r="O11" s="173" t="s">
        <v>37</v>
      </c>
      <c r="P11" s="174" t="s">
        <v>33</v>
      </c>
      <c r="Q11" s="11" t="s">
        <v>34</v>
      </c>
      <c r="R11" s="27"/>
      <c r="T11" s="110"/>
      <c r="U11" s="125" t="s">
        <v>141</v>
      </c>
      <c r="V11" s="102">
        <f>-I17 +V8-D15</f>
        <v>198981.69758141175</v>
      </c>
      <c r="W11" s="135">
        <f t="shared" ref="W11:W12" si="0">D5*G32/G35</f>
        <v>1.0328516676656412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5"/>
    </row>
    <row r="12" spans="1:66" ht="15.75" customHeight="1">
      <c r="A12" s="278"/>
      <c r="B12" s="175"/>
      <c r="C12" s="171" t="s">
        <v>129</v>
      </c>
      <c r="D12" s="13">
        <f>F12*891*9.81</f>
        <v>5517.2864983058098</v>
      </c>
      <c r="E12" s="13">
        <f t="shared" ref="E12:E17" si="1">D12/6895</f>
        <v>0.80018658423579547</v>
      </c>
      <c r="F12" s="13">
        <f>C36*D7/C33</f>
        <v>0.63121720069717557</v>
      </c>
      <c r="G12" s="13">
        <f t="shared" ref="G12:G17" si="2">F12*0.891/13.6*1000</f>
        <v>41.354009251557606</v>
      </c>
      <c r="H12" s="173" t="s">
        <v>30</v>
      </c>
      <c r="I12" s="13">
        <f t="shared" ref="I12:I19" si="3">K12*891*9.81</f>
        <v>22089.587237626711</v>
      </c>
      <c r="J12" s="13">
        <f t="shared" ref="J12:J19" si="4">I12/6895</f>
        <v>3.203710984427369</v>
      </c>
      <c r="K12" s="13">
        <f>D7^2*(G46/D7+I46)/C$33</f>
        <v>2.5272074279579932</v>
      </c>
      <c r="L12" s="13">
        <f t="shared" ref="L12:L19" si="5">K12*0.891/13.6*1000</f>
        <v>165.5692513463656</v>
      </c>
      <c r="M12" s="173" t="s">
        <v>38</v>
      </c>
      <c r="N12" s="13">
        <f>P12*891*9.81</f>
        <v>291359.81476426724</v>
      </c>
      <c r="O12" s="13">
        <f>N12/6895</f>
        <v>42.256680894019901</v>
      </c>
      <c r="P12" s="15">
        <f>K17+F15+F12+K12</f>
        <v>33.333655362581212</v>
      </c>
      <c r="Q12" s="14">
        <f>P12*0.891/13.6*1000</f>
        <v>2183.8446270632248</v>
      </c>
      <c r="R12" s="27"/>
      <c r="T12" s="110"/>
      <c r="U12" s="125" t="s">
        <v>139</v>
      </c>
      <c r="V12" s="102">
        <f>-I18 +V9-D16</f>
        <v>218390.46190718358</v>
      </c>
      <c r="W12" s="135">
        <f t="shared" si="0"/>
        <v>2.7772938233273474</v>
      </c>
      <c r="X12" s="27"/>
      <c r="Y12" s="27"/>
      <c r="Z12" s="27"/>
      <c r="AA12" s="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5"/>
    </row>
    <row r="13" spans="1:66" ht="15.75" customHeight="1">
      <c r="A13" s="278"/>
      <c r="B13" s="175"/>
      <c r="C13" s="171" t="s">
        <v>130</v>
      </c>
      <c r="D13" s="13">
        <f t="shared" ref="D13:D17" si="6">F13*891*9.81</f>
        <v>5279.2780083603257</v>
      </c>
      <c r="E13" s="13">
        <f t="shared" si="1"/>
        <v>0.76566758641919153</v>
      </c>
      <c r="F13" s="13">
        <f>C37*(D7-G31*D4)/C33</f>
        <v>0.60398732006442557</v>
      </c>
      <c r="G13" s="13">
        <f t="shared" si="2"/>
        <v>39.57005163069141</v>
      </c>
      <c r="H13" s="173" t="s">
        <v>31</v>
      </c>
      <c r="I13" s="13">
        <f t="shared" si="3"/>
        <v>14195.118515962031</v>
      </c>
      <c r="J13" s="13">
        <f t="shared" si="4"/>
        <v>2.0587554047805701</v>
      </c>
      <c r="K13" s="15">
        <f>(G47/(D7-G31*D4)+I47)*(D7-G31*D4)^2/C33</f>
        <v>1.6240235079257899</v>
      </c>
      <c r="L13" s="13">
        <f t="shared" si="5"/>
        <v>106.3974224677852</v>
      </c>
      <c r="M13" s="173" t="s">
        <v>39</v>
      </c>
      <c r="N13" s="13">
        <f>P13*891*9.81</f>
        <v>271951.05043849547</v>
      </c>
      <c r="O13" s="13">
        <f>N13/6895</f>
        <v>39.441776713342342</v>
      </c>
      <c r="P13" s="15">
        <f>K18+K15+K13+F16+F13+F12</f>
        <v>31.113153329477292</v>
      </c>
      <c r="Q13" s="14">
        <f>P13*0.891/13.6*1000</f>
        <v>2038.3690894532549</v>
      </c>
      <c r="R13" s="27"/>
      <c r="T13" s="110" t="s">
        <v>22</v>
      </c>
      <c r="U13" s="125" t="s">
        <v>134</v>
      </c>
      <c r="V13" s="102">
        <f>-I19 +V10-D17</f>
        <v>235914.21063567817</v>
      </c>
      <c r="W13" s="135">
        <f>D4*G31/G34</f>
        <v>1.3131502893543954</v>
      </c>
      <c r="X13" s="27"/>
      <c r="Y13" s="27"/>
      <c r="Z13" s="27"/>
      <c r="AA13" s="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5"/>
    </row>
    <row r="14" spans="1:66" ht="15.75" customHeight="1">
      <c r="A14" s="278"/>
      <c r="B14" s="175"/>
      <c r="C14" s="171" t="s">
        <v>131</v>
      </c>
      <c r="D14" s="13">
        <f t="shared" si="6"/>
        <v>4530.4605493027366</v>
      </c>
      <c r="E14" s="13">
        <f t="shared" si="1"/>
        <v>0.65706461918821413</v>
      </c>
      <c r="F14" s="13">
        <f>C38*(D7-D4*G31-D5*G32)/C33</f>
        <v>0.51831722472233221</v>
      </c>
      <c r="G14" s="13">
        <f t="shared" si="2"/>
        <v>33.957400531441031</v>
      </c>
      <c r="H14" s="173" t="s">
        <v>32</v>
      </c>
      <c r="I14" s="13">
        <f t="shared" si="3"/>
        <v>9369.3752330000025</v>
      </c>
      <c r="J14" s="13">
        <f t="shared" si="4"/>
        <v>1.3588651534445253</v>
      </c>
      <c r="K14" s="15">
        <f>(G48/(D7-D4*G31-D5*G32)+I48)*(D7-D4*G31-D5*G32)^2/C$33</f>
        <v>1.071923817744783</v>
      </c>
      <c r="L14" s="13">
        <f t="shared" si="5"/>
        <v>70.226773647838357</v>
      </c>
      <c r="M14" s="173" t="s">
        <v>40</v>
      </c>
      <c r="N14" s="13">
        <f>P14*891*9.81</f>
        <v>254427.30171000081</v>
      </c>
      <c r="O14" s="13">
        <f>N14/6895</f>
        <v>36.900261306744135</v>
      </c>
      <c r="P14" s="15">
        <f>K19+K16+K14+F17+F14+F13+F12+K15</f>
        <v>29.108310618931505</v>
      </c>
      <c r="Q14" s="14">
        <f>P14*0.891/13.6*1000</f>
        <v>1907.0224089314684</v>
      </c>
      <c r="R14" s="27"/>
      <c r="T14" s="110"/>
      <c r="U14" s="125" t="s">
        <v>135</v>
      </c>
      <c r="V14" s="102">
        <f>V5-I15</f>
        <v>471567.80190805055</v>
      </c>
      <c r="W14" s="135">
        <f t="shared" ref="W14:W15" si="7">D5*G32/G35</f>
        <v>1.0328516676656412</v>
      </c>
      <c r="X14" s="27"/>
      <c r="Y14" s="27"/>
      <c r="Z14" s="27"/>
      <c r="AA14" s="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5"/>
    </row>
    <row r="15" spans="1:66" ht="15.75" customHeight="1">
      <c r="A15" s="278"/>
      <c r="B15" s="175"/>
      <c r="C15" s="17" t="s">
        <v>26</v>
      </c>
      <c r="D15" s="13">
        <f t="shared" si="6"/>
        <v>9574.1199752827433</v>
      </c>
      <c r="E15" s="13">
        <f t="shared" si="1"/>
        <v>1.3885598223760325</v>
      </c>
      <c r="F15" s="15">
        <f>C39*BJ25/C$33</f>
        <v>1.0953480867438392</v>
      </c>
      <c r="G15" s="13">
        <f t="shared" si="2"/>
        <v>71.761407741820648</v>
      </c>
      <c r="H15" s="173" t="s">
        <v>132</v>
      </c>
      <c r="I15" s="13">
        <f t="shared" si="3"/>
        <v>13256.42393932264</v>
      </c>
      <c r="J15" s="13">
        <f t="shared" si="4"/>
        <v>1.92261405936514</v>
      </c>
      <c r="K15" s="13">
        <f>(G52/(D7-G31*D4)+I52)*(D7-G31*D4)^2/C$33</f>
        <v>1.5166301066300838</v>
      </c>
      <c r="L15" s="13">
        <f t="shared" si="5"/>
        <v>99.361575368191524</v>
      </c>
      <c r="M15" s="297"/>
      <c r="N15" s="298"/>
      <c r="O15" s="298"/>
      <c r="P15" s="298"/>
      <c r="Q15" s="299"/>
      <c r="R15" s="27"/>
      <c r="T15" s="110"/>
      <c r="U15" s="125" t="s">
        <v>136</v>
      </c>
      <c r="V15" s="102">
        <f>V6-I16</f>
        <v>456365.35078221338</v>
      </c>
      <c r="W15" s="135">
        <f t="shared" si="7"/>
        <v>2.7772938233273474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5"/>
    </row>
    <row r="16" spans="1:66" ht="15.75" customHeight="1">
      <c r="A16" s="278"/>
      <c r="B16" s="175"/>
      <c r="C16" s="17" t="s">
        <v>27</v>
      </c>
      <c r="D16" s="13">
        <f t="shared" si="6"/>
        <v>3789.5265763833472</v>
      </c>
      <c r="E16" s="13">
        <f t="shared" si="1"/>
        <v>0.54960501470389367</v>
      </c>
      <c r="F16" s="15">
        <f>C40*BJ26/C$33</f>
        <v>0.43354905681384542</v>
      </c>
      <c r="G16" s="13">
        <f t="shared" si="2"/>
        <v>28.403838942730605</v>
      </c>
      <c r="H16" s="173" t="s">
        <v>133</v>
      </c>
      <c r="I16" s="13">
        <f t="shared" si="3"/>
        <v>9923.1731174768684</v>
      </c>
      <c r="J16" s="13">
        <f t="shared" si="4"/>
        <v>1.4391839184157895</v>
      </c>
      <c r="K16" s="13">
        <f>(G53/(D7-D4*G31-D5*G32)+I53)*(D7-D4*G31-D5*G32)^2/C$33</f>
        <v>1.1352822731193311</v>
      </c>
      <c r="L16" s="13">
        <f t="shared" si="5"/>
        <v>74.37768421686205</v>
      </c>
      <c r="M16" s="300"/>
      <c r="N16" s="237"/>
      <c r="O16" s="237"/>
      <c r="P16" s="237"/>
      <c r="Q16" s="301"/>
      <c r="R16" s="27"/>
      <c r="T16" s="110" t="s">
        <v>21</v>
      </c>
      <c r="U16" s="125" t="s">
        <v>150</v>
      </c>
      <c r="V16" s="15">
        <v>101325</v>
      </c>
      <c r="W16" s="136">
        <f>D4</f>
        <v>16.396137913501175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5"/>
    </row>
    <row r="17" spans="1:116" ht="15.75" customHeight="1">
      <c r="A17" s="278"/>
      <c r="B17" s="175"/>
      <c r="C17" s="17" t="s">
        <v>28</v>
      </c>
      <c r="D17" s="13">
        <f t="shared" si="6"/>
        <v>2609.8638398867065</v>
      </c>
      <c r="E17" s="13">
        <f t="shared" si="1"/>
        <v>0.37851542275369204</v>
      </c>
      <c r="F17" s="15">
        <f>C41*BJ27/C$33</f>
        <v>0.29858716739105934</v>
      </c>
      <c r="G17" s="13">
        <f t="shared" si="2"/>
        <v>19.561850451870136</v>
      </c>
      <c r="H17" s="174" t="s">
        <v>12</v>
      </c>
      <c r="I17" s="13">
        <f>K17*891*9.81</f>
        <v>254178.82105305197</v>
      </c>
      <c r="J17" s="13">
        <f t="shared" si="4"/>
        <v>36.864223502980707</v>
      </c>
      <c r="K17" s="13">
        <f>(G49/D4+I49)*D4^2/C$33</f>
        <v>29.079882647182206</v>
      </c>
      <c r="L17" s="13">
        <f t="shared" si="5"/>
        <v>1905.1599587234814</v>
      </c>
      <c r="M17" s="300"/>
      <c r="N17" s="237"/>
      <c r="O17" s="237"/>
      <c r="P17" s="237"/>
      <c r="Q17" s="301"/>
      <c r="R17" s="27"/>
      <c r="T17" s="110"/>
      <c r="U17" s="125" t="s">
        <v>151</v>
      </c>
      <c r="V17" s="15">
        <v>101325</v>
      </c>
      <c r="W17" s="136">
        <f>D5</f>
        <v>17.931452563639603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5"/>
    </row>
    <row r="18" spans="1:116" ht="15.75" customHeight="1" thickBot="1">
      <c r="A18" s="278"/>
      <c r="B18" s="175"/>
      <c r="C18" s="305"/>
      <c r="D18" s="306"/>
      <c r="E18" s="306"/>
      <c r="F18" s="306"/>
      <c r="G18" s="286"/>
      <c r="H18" s="174" t="s">
        <v>13</v>
      </c>
      <c r="I18" s="13">
        <f t="shared" si="3"/>
        <v>229913.41690016128</v>
      </c>
      <c r="J18" s="13">
        <f t="shared" si="4"/>
        <v>33.344948063837748</v>
      </c>
      <c r="K18" s="13">
        <f t="shared" ref="K18:K19" si="8">(G50/D5+I50)*D5^2/C$33</f>
        <v>26.303746137345968</v>
      </c>
      <c r="L18" s="13">
        <f t="shared" si="5"/>
        <v>1723.2821917922984</v>
      </c>
      <c r="M18" s="300"/>
      <c r="N18" s="237"/>
      <c r="O18" s="237"/>
      <c r="P18" s="237"/>
      <c r="Q18" s="301"/>
      <c r="R18" s="27"/>
      <c r="T18" s="111"/>
      <c r="U18" s="137" t="s">
        <v>152</v>
      </c>
      <c r="V18" s="20">
        <v>101325</v>
      </c>
      <c r="W18" s="138">
        <f>D6</f>
        <v>19.233336726643682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5"/>
    </row>
    <row r="19" spans="1:116" ht="16.5" customHeight="1" thickBot="1">
      <c r="A19" s="278"/>
      <c r="B19" s="175"/>
      <c r="C19" s="307"/>
      <c r="D19" s="308"/>
      <c r="E19" s="308"/>
      <c r="F19" s="308"/>
      <c r="G19" s="309"/>
      <c r="H19" s="81" t="s">
        <v>14</v>
      </c>
      <c r="I19" s="19">
        <f t="shared" si="3"/>
        <v>203941.44052434573</v>
      </c>
      <c r="J19" s="19">
        <f t="shared" si="4"/>
        <v>29.578163962921789</v>
      </c>
      <c r="K19" s="13">
        <f t="shared" si="8"/>
        <v>23.332365508562315</v>
      </c>
      <c r="L19" s="19">
        <f t="shared" si="5"/>
        <v>1528.6130638330164</v>
      </c>
      <c r="M19" s="302"/>
      <c r="N19" s="303"/>
      <c r="O19" s="303"/>
      <c r="P19" s="303"/>
      <c r="Q19" s="30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5"/>
    </row>
    <row r="20" spans="1:116" ht="15.75" customHeight="1">
      <c r="A20" s="278"/>
      <c r="B20" s="175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5"/>
    </row>
    <row r="21" spans="1:116" ht="34.5" customHeight="1" thickBot="1">
      <c r="A21" s="278"/>
      <c r="B21" s="310" t="s">
        <v>99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1"/>
    </row>
    <row r="22" spans="1:116" ht="16.5" customHeight="1">
      <c r="A22" s="278"/>
      <c r="B22" s="207" t="s">
        <v>0</v>
      </c>
      <c r="C22" s="230"/>
      <c r="D22" s="27"/>
      <c r="E22" s="228" t="s">
        <v>62</v>
      </c>
      <c r="F22" s="229"/>
      <c r="G22" s="230"/>
      <c r="H22" s="175"/>
      <c r="I22" s="207" t="s">
        <v>68</v>
      </c>
      <c r="J22" s="208"/>
      <c r="K22" s="209"/>
      <c r="L22" s="175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</row>
    <row r="23" spans="1:116" ht="15.75" customHeight="1">
      <c r="A23" s="278"/>
      <c r="B23" s="17" t="s">
        <v>64</v>
      </c>
      <c r="C23" s="22">
        <v>5</v>
      </c>
      <c r="D23" s="27"/>
      <c r="E23" s="171" t="s">
        <v>43</v>
      </c>
      <c r="F23" s="15">
        <v>0.05</v>
      </c>
      <c r="G23" s="14" t="s">
        <v>61</v>
      </c>
      <c r="H23" s="27"/>
      <c r="I23" s="171" t="s">
        <v>49</v>
      </c>
      <c r="J23" s="15">
        <v>4.0000000000000001E-3</v>
      </c>
      <c r="K23" s="14" t="s">
        <v>61</v>
      </c>
      <c r="L23" s="27"/>
      <c r="M23" s="218" t="s">
        <v>88</v>
      </c>
      <c r="N23" s="13"/>
      <c r="O23" s="173" t="s">
        <v>16</v>
      </c>
      <c r="P23" s="174" t="s">
        <v>42</v>
      </c>
      <c r="Q23" s="43">
        <v>1</v>
      </c>
      <c r="R23" s="43">
        <v>2</v>
      </c>
      <c r="S23" s="43">
        <v>3</v>
      </c>
      <c r="T23" s="43">
        <v>4</v>
      </c>
      <c r="U23" s="43">
        <v>5</v>
      </c>
      <c r="V23" s="43">
        <v>6</v>
      </c>
      <c r="W23" s="43">
        <v>7</v>
      </c>
      <c r="X23" s="43">
        <v>8</v>
      </c>
      <c r="Y23" s="43">
        <v>9</v>
      </c>
      <c r="Z23" s="43">
        <v>10</v>
      </c>
      <c r="AA23" s="43">
        <v>11</v>
      </c>
      <c r="AB23" s="43">
        <v>12</v>
      </c>
      <c r="AC23" s="43">
        <v>13</v>
      </c>
      <c r="AD23" s="43">
        <v>14</v>
      </c>
      <c r="AE23" s="43">
        <v>15</v>
      </c>
      <c r="AF23" s="43">
        <v>16</v>
      </c>
      <c r="AG23" s="43">
        <v>17</v>
      </c>
      <c r="AH23" s="43">
        <v>18</v>
      </c>
      <c r="AI23" s="43">
        <v>19</v>
      </c>
      <c r="AJ23" s="43">
        <v>20</v>
      </c>
      <c r="AK23" s="43">
        <v>21</v>
      </c>
      <c r="AL23" s="43">
        <v>22</v>
      </c>
      <c r="AM23" s="43">
        <v>23</v>
      </c>
      <c r="AN23" s="43">
        <v>24</v>
      </c>
      <c r="AO23" s="43">
        <v>25</v>
      </c>
      <c r="AP23" s="43">
        <v>26</v>
      </c>
      <c r="AQ23" s="43">
        <v>27</v>
      </c>
      <c r="AR23" s="43">
        <v>28</v>
      </c>
      <c r="AS23" s="43">
        <v>29</v>
      </c>
      <c r="AT23" s="43">
        <v>30</v>
      </c>
      <c r="AU23" s="43">
        <v>31</v>
      </c>
      <c r="AV23" s="43">
        <v>32</v>
      </c>
      <c r="AW23" s="43">
        <v>33</v>
      </c>
      <c r="AX23" s="43">
        <v>34</v>
      </c>
      <c r="AY23" s="43">
        <v>35</v>
      </c>
      <c r="AZ23" s="43">
        <v>36</v>
      </c>
      <c r="BA23" s="43">
        <v>37</v>
      </c>
      <c r="BB23" s="43">
        <v>38</v>
      </c>
      <c r="BC23" s="43">
        <v>39</v>
      </c>
      <c r="BD23" s="43">
        <v>40</v>
      </c>
      <c r="BE23" s="43">
        <v>41</v>
      </c>
      <c r="BF23" s="43">
        <v>42</v>
      </c>
      <c r="BG23" s="43">
        <v>43</v>
      </c>
      <c r="BH23" s="43">
        <v>44</v>
      </c>
      <c r="BI23" s="43">
        <v>45</v>
      </c>
      <c r="BJ23" s="43">
        <v>46</v>
      </c>
      <c r="BK23" s="43">
        <v>47</v>
      </c>
      <c r="BL23" s="43">
        <v>48</v>
      </c>
      <c r="BM23" s="43">
        <v>49</v>
      </c>
      <c r="BN23" s="43">
        <v>50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spans="1:116" ht="15.75" customHeight="1">
      <c r="A24" s="278"/>
      <c r="B24" s="17" t="s">
        <v>17</v>
      </c>
      <c r="C24" s="22">
        <f>(C23*(30.48/12)^2/0.4536)</f>
        <v>71.115520282186949</v>
      </c>
      <c r="D24" s="27"/>
      <c r="E24" s="171" t="s">
        <v>44</v>
      </c>
      <c r="F24" s="15">
        <v>0.05</v>
      </c>
      <c r="G24" s="14" t="s">
        <v>61</v>
      </c>
      <c r="H24" s="27"/>
      <c r="I24" s="171" t="s">
        <v>50</v>
      </c>
      <c r="J24" s="15">
        <v>2.8299999999999999E-4</v>
      </c>
      <c r="K24" s="14" t="s">
        <v>61</v>
      </c>
      <c r="L24" s="27"/>
      <c r="M24" s="218"/>
      <c r="N24" s="217" t="s">
        <v>1</v>
      </c>
      <c r="O24" s="173" t="s">
        <v>5</v>
      </c>
      <c r="P24" s="15">
        <v>1</v>
      </c>
      <c r="Q24" s="15">
        <f>Q28*$G$31+Q29*$G$32+Q30*$G$33</f>
        <v>1.9010915252108136</v>
      </c>
      <c r="R24" s="15">
        <f t="shared" ref="R24:BN24" si="9">R28*$G$31+R29*$G$32+R30*$G$33</f>
        <v>1.9025413724744009</v>
      </c>
      <c r="S24" s="15">
        <f t="shared" si="9"/>
        <v>1.9025116773805641</v>
      </c>
      <c r="T24" s="15">
        <f t="shared" si="9"/>
        <v>1.9025126148930798</v>
      </c>
      <c r="U24" s="15">
        <f t="shared" si="9"/>
        <v>1.9025125846793638</v>
      </c>
      <c r="V24" s="15">
        <f t="shared" si="9"/>
        <v>1.9025125856530949</v>
      </c>
      <c r="W24" s="15">
        <f t="shared" si="9"/>
        <v>1.9025125856217131</v>
      </c>
      <c r="X24" s="15">
        <f t="shared" si="9"/>
        <v>1.9025125856227243</v>
      </c>
      <c r="Y24" s="15">
        <f t="shared" si="9"/>
        <v>1.9025125856226919</v>
      </c>
      <c r="Z24" s="15">
        <f t="shared" si="9"/>
        <v>1.902512585622693</v>
      </c>
      <c r="AA24" s="15">
        <f t="shared" si="9"/>
        <v>1.902512585622693</v>
      </c>
      <c r="AB24" s="15">
        <f t="shared" si="9"/>
        <v>1.902512585622693</v>
      </c>
      <c r="AC24" s="15">
        <f t="shared" si="9"/>
        <v>1.902512585622693</v>
      </c>
      <c r="AD24" s="15">
        <f t="shared" si="9"/>
        <v>1.902512585622693</v>
      </c>
      <c r="AE24" s="15">
        <f t="shared" si="9"/>
        <v>1.902512585622693</v>
      </c>
      <c r="AF24" s="15">
        <f t="shared" si="9"/>
        <v>1.902512585622693</v>
      </c>
      <c r="AG24" s="15">
        <f t="shared" si="9"/>
        <v>1.902512585622693</v>
      </c>
      <c r="AH24" s="15">
        <f t="shared" si="9"/>
        <v>1.902512585622693</v>
      </c>
      <c r="AI24" s="15">
        <f t="shared" si="9"/>
        <v>1.902512585622693</v>
      </c>
      <c r="AJ24" s="15">
        <f t="shared" si="9"/>
        <v>1.902512585622693</v>
      </c>
      <c r="AK24" s="15">
        <f t="shared" si="9"/>
        <v>1.902512585622693</v>
      </c>
      <c r="AL24" s="15">
        <f t="shared" si="9"/>
        <v>1.902512585622693</v>
      </c>
      <c r="AM24" s="15">
        <f t="shared" si="9"/>
        <v>1.902512585622693</v>
      </c>
      <c r="AN24" s="15">
        <f t="shared" si="9"/>
        <v>1.902512585622693</v>
      </c>
      <c r="AO24" s="15">
        <f t="shared" si="9"/>
        <v>1.902512585622693</v>
      </c>
      <c r="AP24" s="15">
        <f t="shared" si="9"/>
        <v>1.902512585622693</v>
      </c>
      <c r="AQ24" s="15">
        <f t="shared" si="9"/>
        <v>1.902512585622693</v>
      </c>
      <c r="AR24" s="15">
        <f t="shared" si="9"/>
        <v>1.902512585622693</v>
      </c>
      <c r="AS24" s="15">
        <f t="shared" si="9"/>
        <v>1.902512585622693</v>
      </c>
      <c r="AT24" s="15">
        <f t="shared" si="9"/>
        <v>1.902512585622693</v>
      </c>
      <c r="AU24" s="15">
        <f t="shared" si="9"/>
        <v>1.902512585622693</v>
      </c>
      <c r="AV24" s="15">
        <f t="shared" si="9"/>
        <v>1.902512585622693</v>
      </c>
      <c r="AW24" s="15">
        <f t="shared" si="9"/>
        <v>1.902512585622693</v>
      </c>
      <c r="AX24" s="15">
        <f t="shared" si="9"/>
        <v>1.902512585622693</v>
      </c>
      <c r="AY24" s="15">
        <f t="shared" si="9"/>
        <v>1.902512585622693</v>
      </c>
      <c r="AZ24" s="15">
        <f t="shared" si="9"/>
        <v>1.902512585622693</v>
      </c>
      <c r="BA24" s="15">
        <f t="shared" si="9"/>
        <v>1.902512585622693</v>
      </c>
      <c r="BB24" s="15">
        <f t="shared" si="9"/>
        <v>1.902512585622693</v>
      </c>
      <c r="BC24" s="15">
        <f t="shared" si="9"/>
        <v>1.902512585622693</v>
      </c>
      <c r="BD24" s="15">
        <f t="shared" si="9"/>
        <v>1.902512585622693</v>
      </c>
      <c r="BE24" s="15">
        <f t="shared" si="9"/>
        <v>1.902512585622693</v>
      </c>
      <c r="BF24" s="15">
        <f t="shared" si="9"/>
        <v>1.902512585622693</v>
      </c>
      <c r="BG24" s="15">
        <f t="shared" si="9"/>
        <v>1.902512585622693</v>
      </c>
      <c r="BH24" s="15">
        <f t="shared" si="9"/>
        <v>1.902512585622693</v>
      </c>
      <c r="BI24" s="15">
        <f t="shared" si="9"/>
        <v>1.902512585622693</v>
      </c>
      <c r="BJ24" s="15">
        <f t="shared" si="9"/>
        <v>1.902512585622693</v>
      </c>
      <c r="BK24" s="15">
        <f t="shared" si="9"/>
        <v>1.902512585622693</v>
      </c>
      <c r="BL24" s="15">
        <f t="shared" si="9"/>
        <v>1.902512585622693</v>
      </c>
      <c r="BM24" s="15">
        <f t="shared" si="9"/>
        <v>1.902512585622693</v>
      </c>
      <c r="BN24" s="15">
        <f t="shared" si="9"/>
        <v>1.902512585622693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ht="15.75" customHeight="1">
      <c r="A25" s="278"/>
      <c r="B25" s="17" t="s">
        <v>65</v>
      </c>
      <c r="C25" s="22">
        <f>(C23*(30.48/12)^2/0.4536)*6895</f>
        <v>490341.51234567899</v>
      </c>
      <c r="D25" s="27"/>
      <c r="E25" s="171" t="s">
        <v>45</v>
      </c>
      <c r="F25" s="15">
        <v>0.05</v>
      </c>
      <c r="G25" s="14" t="s">
        <v>61</v>
      </c>
      <c r="H25" s="27"/>
      <c r="I25" s="171" t="s">
        <v>51</v>
      </c>
      <c r="J25" s="15">
        <v>4.8000000000000001E-4</v>
      </c>
      <c r="K25" s="14" t="s">
        <v>61</v>
      </c>
      <c r="L25" s="27"/>
      <c r="M25" s="218"/>
      <c r="N25" s="217"/>
      <c r="O25" s="173" t="s">
        <v>6</v>
      </c>
      <c r="P25" s="15">
        <v>1</v>
      </c>
      <c r="Q25" s="15">
        <f>((-$G46)+($G46^2+4*Q$24^2*(1+$I46))^0.5)/(2*(1+$I46))</f>
        <v>0.2060514066258945</v>
      </c>
      <c r="R25" s="15">
        <f t="shared" ref="R25:BN25" si="10">((-$G46)+($G46^2+4*R$24^2*(1+$I46))^0.5)/(2*(1+$I46))</f>
        <v>0.20634461589620695</v>
      </c>
      <c r="S25" s="15">
        <f t="shared" si="10"/>
        <v>0.20633860884247365</v>
      </c>
      <c r="T25" s="15">
        <f t="shared" si="10"/>
        <v>0.20633879849185577</v>
      </c>
      <c r="U25" s="15">
        <f t="shared" si="10"/>
        <v>0.20633879237992267</v>
      </c>
      <c r="V25" s="15">
        <f t="shared" si="10"/>
        <v>0.20633879257689883</v>
      </c>
      <c r="W25" s="15">
        <f t="shared" si="10"/>
        <v>0.20633879257055046</v>
      </c>
      <c r="X25" s="15">
        <f t="shared" si="10"/>
        <v>0.20633879257075513</v>
      </c>
      <c r="Y25" s="15">
        <f t="shared" si="10"/>
        <v>0.2063387925707485</v>
      </c>
      <c r="Z25" s="15">
        <f t="shared" si="10"/>
        <v>0.20633879257074877</v>
      </c>
      <c r="AA25" s="15">
        <f t="shared" si="10"/>
        <v>0.20633879257074877</v>
      </c>
      <c r="AB25" s="15">
        <f t="shared" si="10"/>
        <v>0.20633879257074877</v>
      </c>
      <c r="AC25" s="15">
        <f t="shared" si="10"/>
        <v>0.20633879257074877</v>
      </c>
      <c r="AD25" s="15">
        <f t="shared" si="10"/>
        <v>0.20633879257074877</v>
      </c>
      <c r="AE25" s="15">
        <f t="shared" si="10"/>
        <v>0.20633879257074877</v>
      </c>
      <c r="AF25" s="15">
        <f t="shared" si="10"/>
        <v>0.20633879257074877</v>
      </c>
      <c r="AG25" s="15">
        <f t="shared" si="10"/>
        <v>0.20633879257074877</v>
      </c>
      <c r="AH25" s="15">
        <f t="shared" si="10"/>
        <v>0.20633879257074877</v>
      </c>
      <c r="AI25" s="15">
        <f t="shared" si="10"/>
        <v>0.20633879257074877</v>
      </c>
      <c r="AJ25" s="15">
        <f t="shared" si="10"/>
        <v>0.20633879257074877</v>
      </c>
      <c r="AK25" s="15">
        <f t="shared" si="10"/>
        <v>0.20633879257074877</v>
      </c>
      <c r="AL25" s="15">
        <f t="shared" si="10"/>
        <v>0.20633879257074877</v>
      </c>
      <c r="AM25" s="15">
        <f t="shared" si="10"/>
        <v>0.20633879257074877</v>
      </c>
      <c r="AN25" s="15">
        <f t="shared" si="10"/>
        <v>0.20633879257074877</v>
      </c>
      <c r="AO25" s="15">
        <f t="shared" si="10"/>
        <v>0.20633879257074877</v>
      </c>
      <c r="AP25" s="15">
        <f t="shared" si="10"/>
        <v>0.20633879257074877</v>
      </c>
      <c r="AQ25" s="15">
        <f t="shared" si="10"/>
        <v>0.20633879257074877</v>
      </c>
      <c r="AR25" s="15">
        <f t="shared" si="10"/>
        <v>0.20633879257074877</v>
      </c>
      <c r="AS25" s="15">
        <f t="shared" si="10"/>
        <v>0.20633879257074877</v>
      </c>
      <c r="AT25" s="15">
        <f t="shared" si="10"/>
        <v>0.20633879257074877</v>
      </c>
      <c r="AU25" s="15">
        <f t="shared" si="10"/>
        <v>0.20633879257074877</v>
      </c>
      <c r="AV25" s="15">
        <f t="shared" si="10"/>
        <v>0.20633879257074877</v>
      </c>
      <c r="AW25" s="15">
        <f t="shared" si="10"/>
        <v>0.20633879257074877</v>
      </c>
      <c r="AX25" s="15">
        <f t="shared" si="10"/>
        <v>0.20633879257074877</v>
      </c>
      <c r="AY25" s="15">
        <f t="shared" si="10"/>
        <v>0.20633879257074877</v>
      </c>
      <c r="AZ25" s="15">
        <f t="shared" si="10"/>
        <v>0.20633879257074877</v>
      </c>
      <c r="BA25" s="15">
        <f t="shared" si="10"/>
        <v>0.20633879257074877</v>
      </c>
      <c r="BB25" s="15">
        <f t="shared" si="10"/>
        <v>0.20633879257074877</v>
      </c>
      <c r="BC25" s="15">
        <f t="shared" si="10"/>
        <v>0.20633879257074877</v>
      </c>
      <c r="BD25" s="15">
        <f t="shared" si="10"/>
        <v>0.20633879257074877</v>
      </c>
      <c r="BE25" s="15">
        <f t="shared" si="10"/>
        <v>0.20633879257074877</v>
      </c>
      <c r="BF25" s="15">
        <f t="shared" si="10"/>
        <v>0.20633879257074877</v>
      </c>
      <c r="BG25" s="15">
        <f t="shared" si="10"/>
        <v>0.20633879257074877</v>
      </c>
      <c r="BH25" s="15">
        <f t="shared" si="10"/>
        <v>0.20633879257074877</v>
      </c>
      <c r="BI25" s="15">
        <f t="shared" si="10"/>
        <v>0.20633879257074877</v>
      </c>
      <c r="BJ25" s="15">
        <f t="shared" si="10"/>
        <v>0.20633879257074877</v>
      </c>
      <c r="BK25" s="15">
        <f t="shared" si="10"/>
        <v>0.20633879257074877</v>
      </c>
      <c r="BL25" s="15">
        <f t="shared" si="10"/>
        <v>0.20633879257074877</v>
      </c>
      <c r="BM25" s="15">
        <f t="shared" si="10"/>
        <v>0.20633879257074877</v>
      </c>
      <c r="BN25" s="15">
        <f t="shared" si="10"/>
        <v>0.20633879257074877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</row>
    <row r="26" spans="1:116" ht="15.75" customHeight="1">
      <c r="A26" s="278"/>
      <c r="B26" s="17" t="s">
        <v>66</v>
      </c>
      <c r="C26" s="22">
        <f>101325</f>
        <v>101325</v>
      </c>
      <c r="D26" s="27"/>
      <c r="E26" s="171" t="s">
        <v>46</v>
      </c>
      <c r="F26" s="15">
        <v>0.05</v>
      </c>
      <c r="G26" s="14" t="s">
        <v>61</v>
      </c>
      <c r="H26" s="27"/>
      <c r="I26" s="171" t="s">
        <v>52</v>
      </c>
      <c r="J26" s="15">
        <v>1.14E-3</v>
      </c>
      <c r="K26" s="14" t="s">
        <v>61</v>
      </c>
      <c r="L26" s="27"/>
      <c r="M26" s="218"/>
      <c r="N26" s="217"/>
      <c r="O26" s="174" t="s">
        <v>7</v>
      </c>
      <c r="P26" s="15">
        <v>1</v>
      </c>
      <c r="Q26" s="15">
        <f>((-$G47)+($G47^2+4*(Q$24-Q28*$G31)^2*(1+$I47))^0.5)/(2*(1+$I47))</f>
        <v>0.32764245992230218</v>
      </c>
      <c r="R26" s="15">
        <f t="shared" ref="R26:BN26" si="11">((-$G47)+($G47^2+4*(R$24-R28*$G31)^2*(1+$I47))^0.5)/(2*(1+$I47))</f>
        <v>0.32669125299279533</v>
      </c>
      <c r="S26" s="15">
        <f t="shared" si="11"/>
        <v>0.3266830675611318</v>
      </c>
      <c r="T26" s="15">
        <f t="shared" si="11"/>
        <v>0.32668333387420845</v>
      </c>
      <c r="U26" s="15">
        <f t="shared" si="11"/>
        <v>0.32668332528202421</v>
      </c>
      <c r="V26" s="15">
        <f t="shared" si="11"/>
        <v>0.32668332555893426</v>
      </c>
      <c r="W26" s="15">
        <f t="shared" si="11"/>
        <v>0.32668332555000995</v>
      </c>
      <c r="X26" s="15">
        <f t="shared" si="11"/>
        <v>0.32668332555029744</v>
      </c>
      <c r="Y26" s="15">
        <f t="shared" si="11"/>
        <v>0.32668332555028834</v>
      </c>
      <c r="Z26" s="15">
        <f t="shared" si="11"/>
        <v>0.32668332555028851</v>
      </c>
      <c r="AA26" s="15">
        <f t="shared" si="11"/>
        <v>0.32668332555028851</v>
      </c>
      <c r="AB26" s="15">
        <f t="shared" si="11"/>
        <v>0.32668332555028851</v>
      </c>
      <c r="AC26" s="15">
        <f t="shared" si="11"/>
        <v>0.32668332555028851</v>
      </c>
      <c r="AD26" s="15">
        <f t="shared" si="11"/>
        <v>0.32668332555028851</v>
      </c>
      <c r="AE26" s="15">
        <f t="shared" si="11"/>
        <v>0.32668332555028851</v>
      </c>
      <c r="AF26" s="15">
        <f t="shared" si="11"/>
        <v>0.32668332555028851</v>
      </c>
      <c r="AG26" s="15">
        <f t="shared" si="11"/>
        <v>0.32668332555028851</v>
      </c>
      <c r="AH26" s="15">
        <f t="shared" si="11"/>
        <v>0.32668332555028851</v>
      </c>
      <c r="AI26" s="15">
        <f t="shared" si="11"/>
        <v>0.32668332555028851</v>
      </c>
      <c r="AJ26" s="15">
        <f t="shared" si="11"/>
        <v>0.32668332555028851</v>
      </c>
      <c r="AK26" s="15">
        <f t="shared" si="11"/>
        <v>0.32668332555028851</v>
      </c>
      <c r="AL26" s="15">
        <f t="shared" si="11"/>
        <v>0.32668332555028851</v>
      </c>
      <c r="AM26" s="15">
        <f t="shared" si="11"/>
        <v>0.32668332555028851</v>
      </c>
      <c r="AN26" s="15">
        <f t="shared" si="11"/>
        <v>0.32668332555028851</v>
      </c>
      <c r="AO26" s="15">
        <f t="shared" si="11"/>
        <v>0.32668332555028851</v>
      </c>
      <c r="AP26" s="15">
        <f t="shared" si="11"/>
        <v>0.32668332555028851</v>
      </c>
      <c r="AQ26" s="15">
        <f t="shared" si="11"/>
        <v>0.32668332555028851</v>
      </c>
      <c r="AR26" s="15">
        <f t="shared" si="11"/>
        <v>0.32668332555028851</v>
      </c>
      <c r="AS26" s="15">
        <f t="shared" si="11"/>
        <v>0.32668332555028851</v>
      </c>
      <c r="AT26" s="15">
        <f t="shared" si="11"/>
        <v>0.32668332555028851</v>
      </c>
      <c r="AU26" s="15">
        <f t="shared" si="11"/>
        <v>0.32668332555028851</v>
      </c>
      <c r="AV26" s="15">
        <f t="shared" si="11"/>
        <v>0.32668332555028851</v>
      </c>
      <c r="AW26" s="15">
        <f t="shared" si="11"/>
        <v>0.32668332555028851</v>
      </c>
      <c r="AX26" s="15">
        <f t="shared" si="11"/>
        <v>0.32668332555028851</v>
      </c>
      <c r="AY26" s="15">
        <f t="shared" si="11"/>
        <v>0.32668332555028851</v>
      </c>
      <c r="AZ26" s="15">
        <f t="shared" si="11"/>
        <v>0.32668332555028851</v>
      </c>
      <c r="BA26" s="15">
        <f t="shared" si="11"/>
        <v>0.32668332555028851</v>
      </c>
      <c r="BB26" s="15">
        <f t="shared" si="11"/>
        <v>0.32668332555028851</v>
      </c>
      <c r="BC26" s="15">
        <f t="shared" si="11"/>
        <v>0.32668332555028851</v>
      </c>
      <c r="BD26" s="15">
        <f t="shared" si="11"/>
        <v>0.32668332555028851</v>
      </c>
      <c r="BE26" s="15">
        <f t="shared" si="11"/>
        <v>0.32668332555028851</v>
      </c>
      <c r="BF26" s="15">
        <f t="shared" si="11"/>
        <v>0.32668332555028851</v>
      </c>
      <c r="BG26" s="15">
        <f t="shared" si="11"/>
        <v>0.32668332555028851</v>
      </c>
      <c r="BH26" s="15">
        <f t="shared" si="11"/>
        <v>0.32668332555028851</v>
      </c>
      <c r="BI26" s="15">
        <f t="shared" si="11"/>
        <v>0.32668332555028851</v>
      </c>
      <c r="BJ26" s="15">
        <f t="shared" si="11"/>
        <v>0.32668332555028851</v>
      </c>
      <c r="BK26" s="15">
        <f t="shared" si="11"/>
        <v>0.32668332555028851</v>
      </c>
      <c r="BL26" s="15">
        <f t="shared" si="11"/>
        <v>0.32668332555028851</v>
      </c>
      <c r="BM26" s="15">
        <f t="shared" si="11"/>
        <v>0.32668332555028851</v>
      </c>
      <c r="BN26" s="15">
        <f t="shared" si="11"/>
        <v>0.32668332555028851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</row>
    <row r="27" spans="1:116" ht="15.75" customHeight="1">
      <c r="A27" s="278"/>
      <c r="B27" s="17" t="s">
        <v>67</v>
      </c>
      <c r="C27" s="22">
        <f>C25-C26</f>
        <v>389016.51234567899</v>
      </c>
      <c r="D27" s="27"/>
      <c r="E27" s="171" t="s">
        <v>47</v>
      </c>
      <c r="F27" s="15">
        <v>0.05</v>
      </c>
      <c r="G27" s="14" t="s">
        <v>61</v>
      </c>
      <c r="H27" s="27"/>
      <c r="I27" s="171" t="s">
        <v>53</v>
      </c>
      <c r="J27" s="15">
        <v>1E-3</v>
      </c>
      <c r="K27" s="14" t="s">
        <v>61</v>
      </c>
      <c r="L27" s="27"/>
      <c r="M27" s="218"/>
      <c r="N27" s="217"/>
      <c r="O27" s="174" t="s">
        <v>8</v>
      </c>
      <c r="P27" s="15">
        <v>1</v>
      </c>
      <c r="Q27" s="15">
        <f>((-$G48)+($G48^2+4*(Q$24-$G31*Q28+$G32*Q29)^2*(1+$I48))^0.5)/(2*(1+$I48))</f>
        <v>0.50672035610817356</v>
      </c>
      <c r="R27" s="15">
        <f t="shared" ref="R27:BN27" si="12">((-$G48)+($G48^2+4*(R$24-$G31*R28+$G32*R29)^2*(1+$I48))^0.5)/(2*(1+$I48))</f>
        <v>0.50623281583823232</v>
      </c>
      <c r="S27" s="15">
        <f t="shared" si="12"/>
        <v>0.50622324346012371</v>
      </c>
      <c r="T27" s="15">
        <f t="shared" si="12"/>
        <v>0.50622360078707629</v>
      </c>
      <c r="U27" s="15">
        <f t="shared" si="12"/>
        <v>0.50622358927371391</v>
      </c>
      <c r="V27" s="15">
        <f t="shared" si="12"/>
        <v>0.50622358964478276</v>
      </c>
      <c r="W27" s="15">
        <f t="shared" si="12"/>
        <v>0.50622358963282366</v>
      </c>
      <c r="X27" s="15">
        <f t="shared" si="12"/>
        <v>0.50622358963320913</v>
      </c>
      <c r="Y27" s="15">
        <f t="shared" si="12"/>
        <v>0.5062235896331968</v>
      </c>
      <c r="Z27" s="15">
        <f t="shared" si="12"/>
        <v>0.50622358963319725</v>
      </c>
      <c r="AA27" s="15">
        <f t="shared" si="12"/>
        <v>0.50622358963319725</v>
      </c>
      <c r="AB27" s="15">
        <f t="shared" si="12"/>
        <v>0.50622358963319725</v>
      </c>
      <c r="AC27" s="15">
        <f t="shared" si="12"/>
        <v>0.50622358963319725</v>
      </c>
      <c r="AD27" s="15">
        <f t="shared" si="12"/>
        <v>0.50622358963319725</v>
      </c>
      <c r="AE27" s="15">
        <f t="shared" si="12"/>
        <v>0.50622358963319725</v>
      </c>
      <c r="AF27" s="15">
        <f t="shared" si="12"/>
        <v>0.50622358963319725</v>
      </c>
      <c r="AG27" s="15">
        <f t="shared" si="12"/>
        <v>0.50622358963319725</v>
      </c>
      <c r="AH27" s="15">
        <f t="shared" si="12"/>
        <v>0.50622358963319725</v>
      </c>
      <c r="AI27" s="15">
        <f t="shared" si="12"/>
        <v>0.50622358963319725</v>
      </c>
      <c r="AJ27" s="15">
        <f t="shared" si="12"/>
        <v>0.50622358963319725</v>
      </c>
      <c r="AK27" s="15">
        <f t="shared" si="12"/>
        <v>0.50622358963319725</v>
      </c>
      <c r="AL27" s="15">
        <f t="shared" si="12"/>
        <v>0.50622358963319725</v>
      </c>
      <c r="AM27" s="15">
        <f t="shared" si="12"/>
        <v>0.50622358963319725</v>
      </c>
      <c r="AN27" s="15">
        <f t="shared" si="12"/>
        <v>0.50622358963319725</v>
      </c>
      <c r="AO27" s="15">
        <f t="shared" si="12"/>
        <v>0.50622358963319725</v>
      </c>
      <c r="AP27" s="15">
        <f t="shared" si="12"/>
        <v>0.50622358963319725</v>
      </c>
      <c r="AQ27" s="15">
        <f t="shared" si="12"/>
        <v>0.50622358963319725</v>
      </c>
      <c r="AR27" s="15">
        <f t="shared" si="12"/>
        <v>0.50622358963319725</v>
      </c>
      <c r="AS27" s="15">
        <f t="shared" si="12"/>
        <v>0.50622358963319725</v>
      </c>
      <c r="AT27" s="15">
        <f t="shared" si="12"/>
        <v>0.50622358963319725</v>
      </c>
      <c r="AU27" s="15">
        <f t="shared" si="12"/>
        <v>0.50622358963319725</v>
      </c>
      <c r="AV27" s="15">
        <f t="shared" si="12"/>
        <v>0.50622358963319725</v>
      </c>
      <c r="AW27" s="15">
        <f t="shared" si="12"/>
        <v>0.50622358963319725</v>
      </c>
      <c r="AX27" s="15">
        <f t="shared" si="12"/>
        <v>0.50622358963319725</v>
      </c>
      <c r="AY27" s="15">
        <f t="shared" si="12"/>
        <v>0.50622358963319725</v>
      </c>
      <c r="AZ27" s="15">
        <f t="shared" si="12"/>
        <v>0.50622358963319725</v>
      </c>
      <c r="BA27" s="15">
        <f t="shared" si="12"/>
        <v>0.50622358963319725</v>
      </c>
      <c r="BB27" s="15">
        <f t="shared" si="12"/>
        <v>0.50622358963319725</v>
      </c>
      <c r="BC27" s="15">
        <f t="shared" si="12"/>
        <v>0.50622358963319725</v>
      </c>
      <c r="BD27" s="15">
        <f t="shared" si="12"/>
        <v>0.50622358963319725</v>
      </c>
      <c r="BE27" s="15">
        <f t="shared" si="12"/>
        <v>0.50622358963319725</v>
      </c>
      <c r="BF27" s="15">
        <f t="shared" si="12"/>
        <v>0.50622358963319725</v>
      </c>
      <c r="BG27" s="15">
        <f t="shared" si="12"/>
        <v>0.50622358963319725</v>
      </c>
      <c r="BH27" s="15">
        <f t="shared" si="12"/>
        <v>0.50622358963319725</v>
      </c>
      <c r="BI27" s="15">
        <f t="shared" si="12"/>
        <v>0.50622358963319725</v>
      </c>
      <c r="BJ27" s="15">
        <f t="shared" si="12"/>
        <v>0.50622358963319725</v>
      </c>
      <c r="BK27" s="15">
        <f t="shared" si="12"/>
        <v>0.50622358963319725</v>
      </c>
      <c r="BL27" s="15">
        <f t="shared" si="12"/>
        <v>0.50622358963319725</v>
      </c>
      <c r="BM27" s="15">
        <f t="shared" si="12"/>
        <v>0.50622358963319725</v>
      </c>
      <c r="BN27" s="15">
        <f t="shared" si="12"/>
        <v>0.50622358963319725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16.5" customHeight="1" thickBot="1">
      <c r="A28" s="278"/>
      <c r="B28" s="18" t="s">
        <v>81</v>
      </c>
      <c r="C28" s="24">
        <f>C27*2/C32</f>
        <v>873.21327125853873</v>
      </c>
      <c r="D28" s="27"/>
      <c r="E28" s="172" t="s">
        <v>48</v>
      </c>
      <c r="F28" s="20">
        <v>0.05</v>
      </c>
      <c r="G28" s="24" t="s">
        <v>61</v>
      </c>
      <c r="H28" s="7"/>
      <c r="I28" s="171" t="s">
        <v>54</v>
      </c>
      <c r="J28" s="15">
        <v>2E-3</v>
      </c>
      <c r="K28" s="14" t="s">
        <v>61</v>
      </c>
      <c r="L28" s="27"/>
      <c r="M28" s="218"/>
      <c r="N28" s="217"/>
      <c r="O28" s="174" t="s">
        <v>9</v>
      </c>
      <c r="P28" s="15">
        <v>1</v>
      </c>
      <c r="Q28" s="15">
        <f>(-$G49+($G49^2-4*($C36*P24+P25*$C39-P25^2-$C28)*(1+$I49))^0.5)/(2*(1+$I49))</f>
        <v>15.472960435632693</v>
      </c>
      <c r="R28" s="15">
        <f t="shared" ref="R28:BN28" si="13">(-$G49+($G49^2-4*($C36*Q24+Q25*$C39-Q25^2-$C28)*(1+$I49))^0.5)/(2*(1+$I49))</f>
        <v>16.396603032325025</v>
      </c>
      <c r="S28" s="15">
        <f t="shared" si="13"/>
        <v>16.396128489310012</v>
      </c>
      <c r="T28" s="15">
        <f t="shared" si="13"/>
        <v>16.396138210838576</v>
      </c>
      <c r="U28" s="15">
        <f t="shared" si="13"/>
        <v>16.396137903918728</v>
      </c>
      <c r="V28" s="15">
        <f t="shared" si="13"/>
        <v>16.396137913809998</v>
      </c>
      <c r="W28" s="15">
        <f t="shared" si="13"/>
        <v>16.39613791349122</v>
      </c>
      <c r="X28" s="15">
        <f t="shared" si="13"/>
        <v>16.396137913501494</v>
      </c>
      <c r="Y28" s="15">
        <f t="shared" si="13"/>
        <v>16.396137913501164</v>
      </c>
      <c r="Z28" s="15">
        <f t="shared" si="13"/>
        <v>16.396137913501175</v>
      </c>
      <c r="AA28" s="15">
        <f t="shared" si="13"/>
        <v>16.396137913501175</v>
      </c>
      <c r="AB28" s="15">
        <f t="shared" si="13"/>
        <v>16.396137913501175</v>
      </c>
      <c r="AC28" s="15">
        <f t="shared" si="13"/>
        <v>16.396137913501175</v>
      </c>
      <c r="AD28" s="15">
        <f t="shared" si="13"/>
        <v>16.396137913501175</v>
      </c>
      <c r="AE28" s="15">
        <f t="shared" si="13"/>
        <v>16.396137913501175</v>
      </c>
      <c r="AF28" s="15">
        <f t="shared" si="13"/>
        <v>16.396137913501175</v>
      </c>
      <c r="AG28" s="15">
        <f t="shared" si="13"/>
        <v>16.396137913501175</v>
      </c>
      <c r="AH28" s="15">
        <f t="shared" si="13"/>
        <v>16.396137913501175</v>
      </c>
      <c r="AI28" s="15">
        <f t="shared" si="13"/>
        <v>16.396137913501175</v>
      </c>
      <c r="AJ28" s="15">
        <f t="shared" si="13"/>
        <v>16.396137913501175</v>
      </c>
      <c r="AK28" s="15">
        <f t="shared" si="13"/>
        <v>16.396137913501175</v>
      </c>
      <c r="AL28" s="15">
        <f t="shared" si="13"/>
        <v>16.396137913501175</v>
      </c>
      <c r="AM28" s="15">
        <f t="shared" si="13"/>
        <v>16.396137913501175</v>
      </c>
      <c r="AN28" s="15">
        <f t="shared" si="13"/>
        <v>16.396137913501175</v>
      </c>
      <c r="AO28" s="15">
        <f t="shared" si="13"/>
        <v>16.396137913501175</v>
      </c>
      <c r="AP28" s="15">
        <f t="shared" si="13"/>
        <v>16.396137913501175</v>
      </c>
      <c r="AQ28" s="15">
        <f t="shared" si="13"/>
        <v>16.396137913501175</v>
      </c>
      <c r="AR28" s="15">
        <f t="shared" si="13"/>
        <v>16.396137913501175</v>
      </c>
      <c r="AS28" s="15">
        <f t="shared" si="13"/>
        <v>16.396137913501175</v>
      </c>
      <c r="AT28" s="15">
        <f t="shared" si="13"/>
        <v>16.396137913501175</v>
      </c>
      <c r="AU28" s="15">
        <f t="shared" si="13"/>
        <v>16.396137913501175</v>
      </c>
      <c r="AV28" s="15">
        <f t="shared" si="13"/>
        <v>16.396137913501175</v>
      </c>
      <c r="AW28" s="15">
        <f t="shared" si="13"/>
        <v>16.396137913501175</v>
      </c>
      <c r="AX28" s="15">
        <f t="shared" si="13"/>
        <v>16.396137913501175</v>
      </c>
      <c r="AY28" s="15">
        <f t="shared" si="13"/>
        <v>16.396137913501175</v>
      </c>
      <c r="AZ28" s="15">
        <f t="shared" si="13"/>
        <v>16.396137913501175</v>
      </c>
      <c r="BA28" s="15">
        <f t="shared" si="13"/>
        <v>16.396137913501175</v>
      </c>
      <c r="BB28" s="15">
        <f t="shared" si="13"/>
        <v>16.396137913501175</v>
      </c>
      <c r="BC28" s="15">
        <f t="shared" si="13"/>
        <v>16.396137913501175</v>
      </c>
      <c r="BD28" s="15">
        <f t="shared" si="13"/>
        <v>16.396137913501175</v>
      </c>
      <c r="BE28" s="15">
        <f t="shared" si="13"/>
        <v>16.396137913501175</v>
      </c>
      <c r="BF28" s="15">
        <f t="shared" si="13"/>
        <v>16.396137913501175</v>
      </c>
      <c r="BG28" s="15">
        <f t="shared" si="13"/>
        <v>16.396137913501175</v>
      </c>
      <c r="BH28" s="15">
        <f t="shared" si="13"/>
        <v>16.396137913501175</v>
      </c>
      <c r="BI28" s="15">
        <f t="shared" si="13"/>
        <v>16.396137913501175</v>
      </c>
      <c r="BJ28" s="15">
        <f t="shared" si="13"/>
        <v>16.396137913501175</v>
      </c>
      <c r="BK28" s="15">
        <f t="shared" si="13"/>
        <v>16.396137913501175</v>
      </c>
      <c r="BL28" s="15">
        <f t="shared" si="13"/>
        <v>16.396137913501175</v>
      </c>
      <c r="BM28" s="15">
        <f t="shared" si="13"/>
        <v>16.396137913501175</v>
      </c>
      <c r="BN28" s="15">
        <f t="shared" si="13"/>
        <v>16.396137913501175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</row>
    <row r="29" spans="1:116" ht="16.5" customHeight="1" thickBot="1">
      <c r="A29" s="278"/>
      <c r="B29" s="27"/>
      <c r="C29" s="27"/>
      <c r="D29" s="27"/>
      <c r="E29" s="27"/>
      <c r="F29" s="27"/>
      <c r="G29" s="7"/>
      <c r="H29" s="7"/>
      <c r="I29" s="172" t="s">
        <v>55</v>
      </c>
      <c r="J29" s="20">
        <v>3.0000000000000001E-3</v>
      </c>
      <c r="K29" s="21" t="s">
        <v>61</v>
      </c>
      <c r="L29" s="27"/>
      <c r="M29" s="218"/>
      <c r="N29" s="217"/>
      <c r="O29" s="174" t="s">
        <v>10</v>
      </c>
      <c r="P29" s="15">
        <v>1</v>
      </c>
      <c r="Q29" s="183">
        <f>(-$G50+($G50^2-4*($C36*P24+$C40*P26+(P24-Q28*$G31)*($C37+$G52+I52*(P24-Q28*$G31))-P26^2-$C28)*(1+$I50))^0.5)/(2*(1+$I50))</f>
        <v>17.805866273542307</v>
      </c>
      <c r="R29" s="15">
        <f t="shared" ref="R29:BN29" si="14">(-$G50+($G50^2-4*($C36*Q24+$C40*Q26+(Q24-R28*$G31)*($C37+$G52+J52*(Q24-R28*$G31))-Q26^2-$C28)*(1+$I50))^0.5)/(2*(1+$I50))</f>
        <v>17.931410007735941</v>
      </c>
      <c r="S29" s="15">
        <f t="shared" si="14"/>
        <v>17.931445016008226</v>
      </c>
      <c r="T29" s="15">
        <f t="shared" si="14"/>
        <v>17.931452804192283</v>
      </c>
      <c r="U29" s="15">
        <f t="shared" si="14"/>
        <v>17.931452555884242</v>
      </c>
      <c r="V29" s="15">
        <f t="shared" si="14"/>
        <v>17.931452563889543</v>
      </c>
      <c r="W29" s="15">
        <f t="shared" si="14"/>
        <v>17.931452563631545</v>
      </c>
      <c r="X29" s="15">
        <f t="shared" si="14"/>
        <v>17.931452563639859</v>
      </c>
      <c r="Y29" s="15">
        <f>(-$G50+($G50^2-4*($C36*X24+$C40*X26+(X24-Y28*$G31)*($C37+$G52+Q51*(X24-Y28*$G31))-X26^2-$C28)*(1+$I50))^0.5)/(2*(1+$I50))</f>
        <v>17.931452563639596</v>
      </c>
      <c r="Z29" s="15">
        <f t="shared" si="14"/>
        <v>17.931452563639603</v>
      </c>
      <c r="AA29" s="15">
        <f t="shared" si="14"/>
        <v>17.931452563639603</v>
      </c>
      <c r="AB29" s="15">
        <f t="shared" si="14"/>
        <v>17.931452563639603</v>
      </c>
      <c r="AC29" s="15">
        <f t="shared" si="14"/>
        <v>17.931452563639603</v>
      </c>
      <c r="AD29" s="15">
        <f t="shared" si="14"/>
        <v>17.931452563639603</v>
      </c>
      <c r="AE29" s="15">
        <f t="shared" si="14"/>
        <v>17.931452563639603</v>
      </c>
      <c r="AF29" s="15">
        <f t="shared" si="14"/>
        <v>17.931452563639603</v>
      </c>
      <c r="AG29" s="15">
        <f t="shared" si="14"/>
        <v>17.931452563639603</v>
      </c>
      <c r="AH29" s="15">
        <f t="shared" si="14"/>
        <v>17.931452563639603</v>
      </c>
      <c r="AI29" s="15">
        <f t="shared" si="14"/>
        <v>17.931452563639603</v>
      </c>
      <c r="AJ29" s="15">
        <f t="shared" si="14"/>
        <v>17.931452563639603</v>
      </c>
      <c r="AK29" s="15">
        <f t="shared" si="14"/>
        <v>17.931452563639603</v>
      </c>
      <c r="AL29" s="15">
        <f t="shared" si="14"/>
        <v>17.931452563639603</v>
      </c>
      <c r="AM29" s="15">
        <f t="shared" si="14"/>
        <v>17.931452563639603</v>
      </c>
      <c r="AN29" s="15">
        <f t="shared" si="14"/>
        <v>17.931452563639603</v>
      </c>
      <c r="AO29" s="15">
        <f t="shared" si="14"/>
        <v>17.931452563639603</v>
      </c>
      <c r="AP29" s="15">
        <f t="shared" si="14"/>
        <v>17.931452563639603</v>
      </c>
      <c r="AQ29" s="15">
        <f t="shared" si="14"/>
        <v>17.931452563639603</v>
      </c>
      <c r="AR29" s="15">
        <f t="shared" si="14"/>
        <v>17.931452563639603</v>
      </c>
      <c r="AS29" s="15">
        <f t="shared" si="14"/>
        <v>17.931452563639603</v>
      </c>
      <c r="AT29" s="15">
        <f t="shared" si="14"/>
        <v>17.931452563639603</v>
      </c>
      <c r="AU29" s="15">
        <f t="shared" si="14"/>
        <v>17.931452563639603</v>
      </c>
      <c r="AV29" s="15">
        <f t="shared" si="14"/>
        <v>17.931452563639603</v>
      </c>
      <c r="AW29" s="15">
        <f t="shared" si="14"/>
        <v>17.931452563639603</v>
      </c>
      <c r="AX29" s="15">
        <f t="shared" si="14"/>
        <v>17.931452563639603</v>
      </c>
      <c r="AY29" s="15">
        <f t="shared" si="14"/>
        <v>17.931452563639603</v>
      </c>
      <c r="AZ29" s="15">
        <f t="shared" si="14"/>
        <v>17.931452563639603</v>
      </c>
      <c r="BA29" s="15">
        <f t="shared" si="14"/>
        <v>17.931452563639603</v>
      </c>
      <c r="BB29" s="15">
        <f t="shared" si="14"/>
        <v>17.931452563639603</v>
      </c>
      <c r="BC29" s="15">
        <f t="shared" si="14"/>
        <v>17.931452563639603</v>
      </c>
      <c r="BD29" s="15">
        <f t="shared" si="14"/>
        <v>17.931452563639603</v>
      </c>
      <c r="BE29" s="15">
        <f t="shared" si="14"/>
        <v>17.931452563639603</v>
      </c>
      <c r="BF29" s="15">
        <f t="shared" si="14"/>
        <v>17.931452563639603</v>
      </c>
      <c r="BG29" s="15">
        <f t="shared" si="14"/>
        <v>17.931452563639603</v>
      </c>
      <c r="BH29" s="15">
        <f t="shared" si="14"/>
        <v>17.931452563639603</v>
      </c>
      <c r="BI29" s="15">
        <f t="shared" si="14"/>
        <v>17.931452563639603</v>
      </c>
      <c r="BJ29" s="15">
        <f t="shared" si="14"/>
        <v>17.931452563639603</v>
      </c>
      <c r="BK29" s="15">
        <f t="shared" si="14"/>
        <v>17.931452563639603</v>
      </c>
      <c r="BL29" s="15">
        <f t="shared" si="14"/>
        <v>17.931452563639603</v>
      </c>
      <c r="BM29" s="15">
        <f t="shared" si="14"/>
        <v>17.931452563639603</v>
      </c>
      <c r="BN29" s="15">
        <f t="shared" si="14"/>
        <v>17.931452563639603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</row>
    <row r="30" spans="1:116" ht="16.5" customHeight="1" thickBot="1">
      <c r="A30" s="278"/>
      <c r="B30" s="207" t="s">
        <v>69</v>
      </c>
      <c r="C30" s="208"/>
      <c r="D30" s="209"/>
      <c r="F30" s="228" t="s">
        <v>63</v>
      </c>
      <c r="G30" s="230"/>
      <c r="H30" s="7"/>
      <c r="I30" s="27"/>
      <c r="J30" s="27"/>
      <c r="K30" s="27"/>
      <c r="L30" s="27"/>
      <c r="M30" s="218"/>
      <c r="N30" s="217"/>
      <c r="O30" s="174" t="s">
        <v>11</v>
      </c>
      <c r="P30" s="15">
        <v>1</v>
      </c>
      <c r="Q30" s="182">
        <f>(-$G51+($G51^2-4*($C36*P24+$C41*P27+(P24-Q28*$G31)*($C37+$G52+I52*(P24-Q28*$G31))+(P24-Q28*$G31-Q29*$G32)*($C38+$G53+I53*(P24-Q28*$G31-Q29*$G32))-P27^2-$C28)*(1+$I51))^0.5)/(2*(1+$I51))</f>
        <v>19.294997603585323</v>
      </c>
      <c r="R30" s="15">
        <f t="shared" ref="R30:BN30" si="15">(-$G51+($G51^2-4*($C36*Q24+$C41*Q27+(Q24-R28*$G31)*($C37+$G52+J52*(Q24-R28*$G31))+(Q24-R28*$G31-R29*$G32)*($C38+$G53+J53*(Q24-R28*$G31-R29*$G32))-Q27^2-$C28)*(1+$I51))^0.5)/(2*(1+$I51))</f>
        <v>19.233670016583698</v>
      </c>
      <c r="S30" s="15">
        <f t="shared" si="15"/>
        <v>19.233327463696817</v>
      </c>
      <c r="T30" s="15">
        <f t="shared" si="15"/>
        <v>19.233337026035336</v>
      </c>
      <c r="U30" s="15">
        <f t="shared" si="15"/>
        <v>19.233336716995343</v>
      </c>
      <c r="V30" s="15">
        <f t="shared" si="15"/>
        <v>19.233336726954633</v>
      </c>
      <c r="W30" s="15">
        <f t="shared" si="15"/>
        <v>19.233336726633659</v>
      </c>
      <c r="X30" s="15">
        <f t="shared" si="15"/>
        <v>19.233336726644005</v>
      </c>
      <c r="Y30" s="15">
        <f>(-$G51+($G51^2-4*($C36*X24+$C41*X27+(X24-Y28*$G31)*($C37+$G52+Q51*(X24-Y28*$G31))+(X24-Y28*$G31-Y29*$G32)*($C38+$G53+Q52*(X24-Y28*$G31-Y29*$G32))-X27^2-$C28)*(1+$I51))^0.5)/(2*(1+$I51))</f>
        <v>19.233336726643671</v>
      </c>
      <c r="Z30" s="15">
        <f t="shared" si="15"/>
        <v>19.233336726643682</v>
      </c>
      <c r="AA30" s="15">
        <f t="shared" si="15"/>
        <v>19.233336726643682</v>
      </c>
      <c r="AB30" s="15">
        <f t="shared" si="15"/>
        <v>19.233336726643682</v>
      </c>
      <c r="AC30" s="15">
        <f t="shared" si="15"/>
        <v>19.233336726643682</v>
      </c>
      <c r="AD30" s="15">
        <f t="shared" si="15"/>
        <v>19.233336726643682</v>
      </c>
      <c r="AE30" s="15">
        <f t="shared" si="15"/>
        <v>19.233336726643682</v>
      </c>
      <c r="AF30" s="15">
        <f t="shared" si="15"/>
        <v>19.233336726643682</v>
      </c>
      <c r="AG30" s="15">
        <f t="shared" si="15"/>
        <v>19.233336726643682</v>
      </c>
      <c r="AH30" s="15">
        <f t="shared" si="15"/>
        <v>19.233336726643682</v>
      </c>
      <c r="AI30" s="15">
        <f t="shared" si="15"/>
        <v>19.233336726643682</v>
      </c>
      <c r="AJ30" s="15">
        <f t="shared" si="15"/>
        <v>19.233336726643682</v>
      </c>
      <c r="AK30" s="15">
        <f t="shared" si="15"/>
        <v>19.233336726643682</v>
      </c>
      <c r="AL30" s="15">
        <f t="shared" si="15"/>
        <v>19.233336726643682</v>
      </c>
      <c r="AM30" s="15">
        <f t="shared" si="15"/>
        <v>19.233336726643682</v>
      </c>
      <c r="AN30" s="15">
        <f t="shared" si="15"/>
        <v>19.233336726643682</v>
      </c>
      <c r="AO30" s="15">
        <f t="shared" si="15"/>
        <v>19.233336726643682</v>
      </c>
      <c r="AP30" s="15">
        <f t="shared" si="15"/>
        <v>19.233336726643682</v>
      </c>
      <c r="AQ30" s="15">
        <f t="shared" si="15"/>
        <v>19.233336726643682</v>
      </c>
      <c r="AR30" s="15">
        <f t="shared" si="15"/>
        <v>19.233336726643682</v>
      </c>
      <c r="AS30" s="15">
        <f t="shared" si="15"/>
        <v>19.233336726643682</v>
      </c>
      <c r="AT30" s="15">
        <f t="shared" si="15"/>
        <v>19.233336726643682</v>
      </c>
      <c r="AU30" s="15">
        <f t="shared" si="15"/>
        <v>19.233336726643682</v>
      </c>
      <c r="AV30" s="15">
        <f t="shared" si="15"/>
        <v>19.233336726643682</v>
      </c>
      <c r="AW30" s="15">
        <f t="shared" si="15"/>
        <v>19.233336726643682</v>
      </c>
      <c r="AX30" s="15">
        <f t="shared" si="15"/>
        <v>19.233336726643682</v>
      </c>
      <c r="AY30" s="15">
        <f t="shared" si="15"/>
        <v>19.233336726643682</v>
      </c>
      <c r="AZ30" s="15">
        <f t="shared" si="15"/>
        <v>19.233336726643682</v>
      </c>
      <c r="BA30" s="15">
        <f t="shared" si="15"/>
        <v>19.233336726643682</v>
      </c>
      <c r="BB30" s="15">
        <f t="shared" si="15"/>
        <v>19.233336726643682</v>
      </c>
      <c r="BC30" s="15">
        <f t="shared" si="15"/>
        <v>19.233336726643682</v>
      </c>
      <c r="BD30" s="15">
        <f t="shared" si="15"/>
        <v>19.233336726643682</v>
      </c>
      <c r="BE30" s="15">
        <f t="shared" si="15"/>
        <v>19.233336726643682</v>
      </c>
      <c r="BF30" s="15">
        <f t="shared" si="15"/>
        <v>19.233336726643682</v>
      </c>
      <c r="BG30" s="15">
        <f t="shared" si="15"/>
        <v>19.233336726643682</v>
      </c>
      <c r="BH30" s="15">
        <f t="shared" si="15"/>
        <v>19.233336726643682</v>
      </c>
      <c r="BI30" s="15">
        <f t="shared" si="15"/>
        <v>19.233336726643682</v>
      </c>
      <c r="BJ30" s="15">
        <f t="shared" si="15"/>
        <v>19.233336726643682</v>
      </c>
      <c r="BK30" s="15">
        <f t="shared" si="15"/>
        <v>19.233336726643682</v>
      </c>
      <c r="BL30" s="15">
        <f t="shared" si="15"/>
        <v>19.233336726643682</v>
      </c>
      <c r="BM30" s="15">
        <f t="shared" si="15"/>
        <v>19.233336726643682</v>
      </c>
      <c r="BN30" s="15">
        <f t="shared" si="15"/>
        <v>19.233336726643682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</row>
    <row r="31" spans="1:116" ht="15.75" customHeight="1">
      <c r="A31" s="278"/>
      <c r="B31" s="17" t="s">
        <v>3</v>
      </c>
      <c r="C31" s="15">
        <v>2.9000000000000001E-2</v>
      </c>
      <c r="D31" s="14"/>
      <c r="F31" s="171" t="s">
        <v>75</v>
      </c>
      <c r="G31" s="22">
        <f>J33/J32</f>
        <v>5.0055624999999996E-3</v>
      </c>
      <c r="H31" s="175"/>
      <c r="I31" s="207" t="s">
        <v>18</v>
      </c>
      <c r="J31" s="208"/>
      <c r="K31" s="209"/>
      <c r="L31" s="27"/>
      <c r="M31" s="218"/>
      <c r="N31" s="315" t="s">
        <v>41</v>
      </c>
      <c r="O31" s="315"/>
      <c r="P31" s="15"/>
      <c r="Q31" s="15" t="str">
        <f t="shared" ref="Q31:BN33" si="16">IF((Q28-P28)=0,"Yes","No")</f>
        <v>No</v>
      </c>
      <c r="R31" s="15" t="str">
        <f t="shared" si="16"/>
        <v>No</v>
      </c>
      <c r="S31" s="15" t="str">
        <f t="shared" si="16"/>
        <v>No</v>
      </c>
      <c r="T31" s="15" t="str">
        <f t="shared" si="16"/>
        <v>No</v>
      </c>
      <c r="U31" s="15" t="str">
        <f t="shared" si="16"/>
        <v>No</v>
      </c>
      <c r="V31" s="15" t="str">
        <f t="shared" si="16"/>
        <v>No</v>
      </c>
      <c r="W31" s="15" t="str">
        <f t="shared" si="16"/>
        <v>No</v>
      </c>
      <c r="X31" s="15" t="str">
        <f t="shared" si="16"/>
        <v>No</v>
      </c>
      <c r="Y31" s="15" t="str">
        <f t="shared" si="16"/>
        <v>No</v>
      </c>
      <c r="Z31" s="15" t="str">
        <f t="shared" si="16"/>
        <v>No</v>
      </c>
      <c r="AA31" s="15" t="str">
        <f t="shared" si="16"/>
        <v>Yes</v>
      </c>
      <c r="AB31" s="15" t="str">
        <f t="shared" si="16"/>
        <v>Yes</v>
      </c>
      <c r="AC31" s="15" t="str">
        <f t="shared" si="16"/>
        <v>Yes</v>
      </c>
      <c r="AD31" s="15" t="str">
        <f t="shared" si="16"/>
        <v>Yes</v>
      </c>
      <c r="AE31" s="15" t="str">
        <f t="shared" si="16"/>
        <v>Yes</v>
      </c>
      <c r="AF31" s="15" t="str">
        <f t="shared" si="16"/>
        <v>Yes</v>
      </c>
      <c r="AG31" s="15" t="str">
        <f t="shared" si="16"/>
        <v>Yes</v>
      </c>
      <c r="AH31" s="15" t="str">
        <f t="shared" si="16"/>
        <v>Yes</v>
      </c>
      <c r="AI31" s="15" t="str">
        <f t="shared" si="16"/>
        <v>Yes</v>
      </c>
      <c r="AJ31" s="15" t="str">
        <f t="shared" si="16"/>
        <v>Yes</v>
      </c>
      <c r="AK31" s="15" t="str">
        <f t="shared" si="16"/>
        <v>Yes</v>
      </c>
      <c r="AL31" s="15" t="str">
        <f t="shared" si="16"/>
        <v>Yes</v>
      </c>
      <c r="AM31" s="15" t="str">
        <f t="shared" si="16"/>
        <v>Yes</v>
      </c>
      <c r="AN31" s="15" t="str">
        <f t="shared" si="16"/>
        <v>Yes</v>
      </c>
      <c r="AO31" s="15" t="str">
        <f t="shared" si="16"/>
        <v>Yes</v>
      </c>
      <c r="AP31" s="15" t="str">
        <f t="shared" si="16"/>
        <v>Yes</v>
      </c>
      <c r="AQ31" s="15" t="str">
        <f t="shared" si="16"/>
        <v>Yes</v>
      </c>
      <c r="AR31" s="15" t="str">
        <f t="shared" si="16"/>
        <v>Yes</v>
      </c>
      <c r="AS31" s="15" t="str">
        <f t="shared" si="16"/>
        <v>Yes</v>
      </c>
      <c r="AT31" s="15" t="str">
        <f t="shared" si="16"/>
        <v>Yes</v>
      </c>
      <c r="AU31" s="15" t="str">
        <f t="shared" si="16"/>
        <v>Yes</v>
      </c>
      <c r="AV31" s="15" t="str">
        <f t="shared" si="16"/>
        <v>Yes</v>
      </c>
      <c r="AW31" s="15" t="str">
        <f t="shared" si="16"/>
        <v>Yes</v>
      </c>
      <c r="AX31" s="15" t="str">
        <f t="shared" si="16"/>
        <v>Yes</v>
      </c>
      <c r="AY31" s="15" t="str">
        <f t="shared" si="16"/>
        <v>Yes</v>
      </c>
      <c r="AZ31" s="15" t="str">
        <f t="shared" si="16"/>
        <v>Yes</v>
      </c>
      <c r="BA31" s="15" t="str">
        <f t="shared" si="16"/>
        <v>Yes</v>
      </c>
      <c r="BB31" s="15" t="str">
        <f t="shared" si="16"/>
        <v>Yes</v>
      </c>
      <c r="BC31" s="15" t="str">
        <f t="shared" si="16"/>
        <v>Yes</v>
      </c>
      <c r="BD31" s="15" t="str">
        <f t="shared" si="16"/>
        <v>Yes</v>
      </c>
      <c r="BE31" s="15" t="str">
        <f t="shared" si="16"/>
        <v>Yes</v>
      </c>
      <c r="BF31" s="15" t="str">
        <f t="shared" si="16"/>
        <v>Yes</v>
      </c>
      <c r="BG31" s="15" t="str">
        <f t="shared" si="16"/>
        <v>Yes</v>
      </c>
      <c r="BH31" s="15" t="str">
        <f t="shared" si="16"/>
        <v>Yes</v>
      </c>
      <c r="BI31" s="15" t="str">
        <f t="shared" si="16"/>
        <v>Yes</v>
      </c>
      <c r="BJ31" s="15" t="str">
        <f t="shared" si="16"/>
        <v>Yes</v>
      </c>
      <c r="BK31" s="15" t="str">
        <f t="shared" si="16"/>
        <v>Yes</v>
      </c>
      <c r="BL31" s="15" t="str">
        <f t="shared" si="16"/>
        <v>Yes</v>
      </c>
      <c r="BM31" s="15" t="str">
        <f t="shared" si="16"/>
        <v>Yes</v>
      </c>
      <c r="BN31" s="15" t="str">
        <f t="shared" si="16"/>
        <v>Yes</v>
      </c>
    </row>
    <row r="32" spans="1:116" ht="15.75" customHeight="1">
      <c r="A32" s="278"/>
      <c r="B32" s="17" t="s">
        <v>2</v>
      </c>
      <c r="C32" s="15">
        <v>891</v>
      </c>
      <c r="D32" s="14" t="s">
        <v>71</v>
      </c>
      <c r="F32" s="171" t="s">
        <v>76</v>
      </c>
      <c r="G32" s="22">
        <f>J34/J32</f>
        <v>1.4400000000000001E-2</v>
      </c>
      <c r="H32" s="27"/>
      <c r="I32" s="171" t="s">
        <v>56</v>
      </c>
      <c r="J32" s="15">
        <f>J23^2*PI()/4</f>
        <v>1.2566370614359172E-5</v>
      </c>
      <c r="K32" s="14" t="s">
        <v>60</v>
      </c>
      <c r="L32" s="27"/>
      <c r="M32" s="218"/>
      <c r="N32" s="315"/>
      <c r="O32" s="315"/>
      <c r="P32" s="15"/>
      <c r="Q32" s="15" t="str">
        <f t="shared" si="16"/>
        <v>No</v>
      </c>
      <c r="R32" s="15" t="str">
        <f t="shared" si="16"/>
        <v>No</v>
      </c>
      <c r="S32" s="15" t="str">
        <f t="shared" si="16"/>
        <v>No</v>
      </c>
      <c r="T32" s="15" t="str">
        <f t="shared" si="16"/>
        <v>No</v>
      </c>
      <c r="U32" s="15" t="str">
        <f t="shared" si="16"/>
        <v>No</v>
      </c>
      <c r="V32" s="15" t="str">
        <f t="shared" si="16"/>
        <v>No</v>
      </c>
      <c r="W32" s="15" t="str">
        <f t="shared" si="16"/>
        <v>No</v>
      </c>
      <c r="X32" s="15" t="str">
        <f t="shared" si="16"/>
        <v>No</v>
      </c>
      <c r="Y32" s="15" t="str">
        <f t="shared" si="16"/>
        <v>No</v>
      </c>
      <c r="Z32" s="15" t="str">
        <f t="shared" si="16"/>
        <v>No</v>
      </c>
      <c r="AA32" s="15" t="str">
        <f t="shared" si="16"/>
        <v>Yes</v>
      </c>
      <c r="AB32" s="15" t="str">
        <f t="shared" si="16"/>
        <v>Yes</v>
      </c>
      <c r="AC32" s="15" t="str">
        <f t="shared" si="16"/>
        <v>Yes</v>
      </c>
      <c r="AD32" s="15" t="str">
        <f t="shared" si="16"/>
        <v>Yes</v>
      </c>
      <c r="AE32" s="15" t="str">
        <f t="shared" si="16"/>
        <v>Yes</v>
      </c>
      <c r="AF32" s="15" t="str">
        <f t="shared" si="16"/>
        <v>Yes</v>
      </c>
      <c r="AG32" s="15" t="str">
        <f t="shared" si="16"/>
        <v>Yes</v>
      </c>
      <c r="AH32" s="15" t="str">
        <f t="shared" si="16"/>
        <v>Yes</v>
      </c>
      <c r="AI32" s="15" t="str">
        <f t="shared" si="16"/>
        <v>Yes</v>
      </c>
      <c r="AJ32" s="15" t="str">
        <f t="shared" si="16"/>
        <v>Yes</v>
      </c>
      <c r="AK32" s="15" t="str">
        <f t="shared" si="16"/>
        <v>Yes</v>
      </c>
      <c r="AL32" s="15" t="str">
        <f t="shared" si="16"/>
        <v>Yes</v>
      </c>
      <c r="AM32" s="15" t="str">
        <f t="shared" si="16"/>
        <v>Yes</v>
      </c>
      <c r="AN32" s="15" t="str">
        <f t="shared" si="16"/>
        <v>Yes</v>
      </c>
      <c r="AO32" s="15" t="str">
        <f t="shared" si="16"/>
        <v>Yes</v>
      </c>
      <c r="AP32" s="15" t="str">
        <f t="shared" si="16"/>
        <v>Yes</v>
      </c>
      <c r="AQ32" s="15" t="str">
        <f t="shared" si="16"/>
        <v>Yes</v>
      </c>
      <c r="AR32" s="15" t="str">
        <f t="shared" si="16"/>
        <v>Yes</v>
      </c>
      <c r="AS32" s="15" t="str">
        <f t="shared" si="16"/>
        <v>Yes</v>
      </c>
      <c r="AT32" s="15" t="str">
        <f t="shared" si="16"/>
        <v>Yes</v>
      </c>
      <c r="AU32" s="15" t="str">
        <f t="shared" si="16"/>
        <v>Yes</v>
      </c>
      <c r="AV32" s="15" t="str">
        <f t="shared" si="16"/>
        <v>Yes</v>
      </c>
      <c r="AW32" s="15" t="str">
        <f t="shared" si="16"/>
        <v>Yes</v>
      </c>
      <c r="AX32" s="15" t="str">
        <f t="shared" si="16"/>
        <v>Yes</v>
      </c>
      <c r="AY32" s="15" t="str">
        <f t="shared" si="16"/>
        <v>Yes</v>
      </c>
      <c r="AZ32" s="15" t="str">
        <f t="shared" si="16"/>
        <v>Yes</v>
      </c>
      <c r="BA32" s="15" t="str">
        <f t="shared" si="16"/>
        <v>Yes</v>
      </c>
      <c r="BB32" s="15" t="str">
        <f t="shared" si="16"/>
        <v>Yes</v>
      </c>
      <c r="BC32" s="15" t="str">
        <f t="shared" si="16"/>
        <v>Yes</v>
      </c>
      <c r="BD32" s="15" t="str">
        <f t="shared" si="16"/>
        <v>Yes</v>
      </c>
      <c r="BE32" s="15" t="str">
        <f t="shared" si="16"/>
        <v>Yes</v>
      </c>
      <c r="BF32" s="15" t="str">
        <f t="shared" si="16"/>
        <v>Yes</v>
      </c>
      <c r="BG32" s="15" t="str">
        <f t="shared" si="16"/>
        <v>Yes</v>
      </c>
      <c r="BH32" s="15" t="str">
        <f t="shared" si="16"/>
        <v>Yes</v>
      </c>
      <c r="BI32" s="15" t="str">
        <f t="shared" si="16"/>
        <v>Yes</v>
      </c>
      <c r="BJ32" s="15" t="str">
        <f t="shared" si="16"/>
        <v>Yes</v>
      </c>
      <c r="BK32" s="15" t="str">
        <f t="shared" si="16"/>
        <v>Yes</v>
      </c>
      <c r="BL32" s="15" t="str">
        <f t="shared" si="16"/>
        <v>Yes</v>
      </c>
      <c r="BM32" s="15" t="str">
        <f t="shared" si="16"/>
        <v>Yes</v>
      </c>
      <c r="BN32" s="15" t="str">
        <f t="shared" si="16"/>
        <v>Yes</v>
      </c>
    </row>
    <row r="33" spans="1:116" ht="15.75" customHeight="1" thickBot="1">
      <c r="A33" s="278"/>
      <c r="B33" s="18" t="s">
        <v>29</v>
      </c>
      <c r="C33" s="20">
        <f>2*9.81</f>
        <v>19.62</v>
      </c>
      <c r="D33" s="21" t="s">
        <v>70</v>
      </c>
      <c r="F33" s="171" t="s">
        <v>77</v>
      </c>
      <c r="G33" s="22">
        <f>J35/J32</f>
        <v>8.1224999999999992E-2</v>
      </c>
      <c r="H33" s="27"/>
      <c r="I33" s="171" t="s">
        <v>57</v>
      </c>
      <c r="J33" s="15">
        <f t="shared" ref="J33:J38" si="17">J24^2*PI()/4</f>
        <v>6.2901753508338228E-8</v>
      </c>
      <c r="K33" s="14" t="s">
        <v>60</v>
      </c>
      <c r="L33" s="27"/>
      <c r="M33" s="218"/>
      <c r="N33" s="315"/>
      <c r="O33" s="315"/>
      <c r="P33" s="15"/>
      <c r="Q33" s="15" t="str">
        <f t="shared" si="16"/>
        <v>No</v>
      </c>
      <c r="R33" s="15" t="str">
        <f t="shared" si="16"/>
        <v>No</v>
      </c>
      <c r="S33" s="15" t="str">
        <f t="shared" si="16"/>
        <v>No</v>
      </c>
      <c r="T33" s="15" t="str">
        <f t="shared" si="16"/>
        <v>No</v>
      </c>
      <c r="U33" s="15" t="str">
        <f t="shared" si="16"/>
        <v>No</v>
      </c>
      <c r="V33" s="15" t="str">
        <f t="shared" si="16"/>
        <v>No</v>
      </c>
      <c r="W33" s="15" t="str">
        <f t="shared" si="16"/>
        <v>No</v>
      </c>
      <c r="X33" s="15" t="str">
        <f t="shared" si="16"/>
        <v>No</v>
      </c>
      <c r="Y33" s="15" t="str">
        <f t="shared" si="16"/>
        <v>No</v>
      </c>
      <c r="Z33" s="15" t="str">
        <f t="shared" si="16"/>
        <v>No</v>
      </c>
      <c r="AA33" s="15" t="str">
        <f t="shared" si="16"/>
        <v>Yes</v>
      </c>
      <c r="AB33" s="15" t="str">
        <f t="shared" si="16"/>
        <v>Yes</v>
      </c>
      <c r="AC33" s="15" t="str">
        <f t="shared" si="16"/>
        <v>Yes</v>
      </c>
      <c r="AD33" s="15" t="str">
        <f t="shared" si="16"/>
        <v>Yes</v>
      </c>
      <c r="AE33" s="15" t="str">
        <f t="shared" si="16"/>
        <v>Yes</v>
      </c>
      <c r="AF33" s="15" t="str">
        <f t="shared" si="16"/>
        <v>Yes</v>
      </c>
      <c r="AG33" s="15" t="str">
        <f t="shared" si="16"/>
        <v>Yes</v>
      </c>
      <c r="AH33" s="15" t="str">
        <f t="shared" si="16"/>
        <v>Yes</v>
      </c>
      <c r="AI33" s="15" t="str">
        <f t="shared" si="16"/>
        <v>Yes</v>
      </c>
      <c r="AJ33" s="15" t="str">
        <f t="shared" si="16"/>
        <v>Yes</v>
      </c>
      <c r="AK33" s="15" t="str">
        <f t="shared" si="16"/>
        <v>Yes</v>
      </c>
      <c r="AL33" s="15" t="str">
        <f t="shared" si="16"/>
        <v>Yes</v>
      </c>
      <c r="AM33" s="15" t="str">
        <f t="shared" si="16"/>
        <v>Yes</v>
      </c>
      <c r="AN33" s="15" t="str">
        <f t="shared" si="16"/>
        <v>Yes</v>
      </c>
      <c r="AO33" s="15" t="str">
        <f t="shared" si="16"/>
        <v>Yes</v>
      </c>
      <c r="AP33" s="15" t="str">
        <f t="shared" si="16"/>
        <v>Yes</v>
      </c>
      <c r="AQ33" s="15" t="str">
        <f t="shared" si="16"/>
        <v>Yes</v>
      </c>
      <c r="AR33" s="15" t="str">
        <f t="shared" si="16"/>
        <v>Yes</v>
      </c>
      <c r="AS33" s="15" t="str">
        <f t="shared" si="16"/>
        <v>Yes</v>
      </c>
      <c r="AT33" s="15" t="str">
        <f t="shared" si="16"/>
        <v>Yes</v>
      </c>
      <c r="AU33" s="15" t="str">
        <f t="shared" si="16"/>
        <v>Yes</v>
      </c>
      <c r="AV33" s="15" t="str">
        <f t="shared" si="16"/>
        <v>Yes</v>
      </c>
      <c r="AW33" s="15" t="str">
        <f t="shared" si="16"/>
        <v>Yes</v>
      </c>
      <c r="AX33" s="15" t="str">
        <f t="shared" si="16"/>
        <v>Yes</v>
      </c>
      <c r="AY33" s="15" t="str">
        <f t="shared" si="16"/>
        <v>Yes</v>
      </c>
      <c r="AZ33" s="15" t="str">
        <f t="shared" si="16"/>
        <v>Yes</v>
      </c>
      <c r="BA33" s="15" t="str">
        <f t="shared" si="16"/>
        <v>Yes</v>
      </c>
      <c r="BB33" s="15" t="str">
        <f t="shared" si="16"/>
        <v>Yes</v>
      </c>
      <c r="BC33" s="15" t="str">
        <f t="shared" si="16"/>
        <v>Yes</v>
      </c>
      <c r="BD33" s="15" t="str">
        <f t="shared" si="16"/>
        <v>Yes</v>
      </c>
      <c r="BE33" s="15" t="str">
        <f t="shared" si="16"/>
        <v>Yes</v>
      </c>
      <c r="BF33" s="15" t="str">
        <f t="shared" si="16"/>
        <v>Yes</v>
      </c>
      <c r="BG33" s="15" t="str">
        <f t="shared" si="16"/>
        <v>Yes</v>
      </c>
      <c r="BH33" s="15" t="str">
        <f t="shared" si="16"/>
        <v>Yes</v>
      </c>
      <c r="BI33" s="15" t="str">
        <f t="shared" si="16"/>
        <v>Yes</v>
      </c>
      <c r="BJ33" s="15" t="str">
        <f t="shared" si="16"/>
        <v>Yes</v>
      </c>
      <c r="BK33" s="15" t="str">
        <f t="shared" si="16"/>
        <v>Yes</v>
      </c>
      <c r="BL33" s="15" t="str">
        <f t="shared" si="16"/>
        <v>Yes</v>
      </c>
      <c r="BM33" s="15" t="str">
        <f t="shared" si="16"/>
        <v>Yes</v>
      </c>
      <c r="BN33" s="15" t="str">
        <f t="shared" si="16"/>
        <v>Yes</v>
      </c>
    </row>
    <row r="34" spans="1:116" ht="16.5" customHeight="1" thickBot="1">
      <c r="A34" s="278"/>
      <c r="B34" s="175"/>
      <c r="C34" s="27"/>
      <c r="D34" s="27"/>
      <c r="F34" s="171" t="s">
        <v>78</v>
      </c>
      <c r="G34" s="22">
        <f>J36/J32</f>
        <v>6.25E-2</v>
      </c>
      <c r="H34" s="27"/>
      <c r="I34" s="171" t="s">
        <v>58</v>
      </c>
      <c r="J34" s="15">
        <f t="shared" si="17"/>
        <v>1.8095573684677208E-7</v>
      </c>
      <c r="K34" s="14" t="s">
        <v>60</v>
      </c>
      <c r="L34" s="27"/>
      <c r="M34" s="218"/>
      <c r="N34" s="218" t="s">
        <v>19</v>
      </c>
      <c r="O34" s="39" t="s">
        <v>12</v>
      </c>
      <c r="P34" s="15">
        <f t="shared" ref="P34:BN36" si="18">P28*$J33*1000000*60</f>
        <v>3.7741052105002932</v>
      </c>
      <c r="Q34" s="15">
        <f t="shared" si="18"/>
        <v>58.396580601986244</v>
      </c>
      <c r="R34" s="15">
        <f t="shared" si="18"/>
        <v>61.882504938802803</v>
      </c>
      <c r="S34" s="15">
        <f t="shared" si="18"/>
        <v>61.880713963537232</v>
      </c>
      <c r="T34" s="15">
        <f t="shared" si="18"/>
        <v>61.880750653608835</v>
      </c>
      <c r="U34" s="15">
        <f t="shared" si="18"/>
        <v>61.880749495261036</v>
      </c>
      <c r="V34" s="15">
        <f t="shared" si="18"/>
        <v>61.880749532591736</v>
      </c>
      <c r="W34" s="15">
        <f t="shared" si="18"/>
        <v>61.880749531388631</v>
      </c>
      <c r="X34" s="15">
        <f t="shared" si="18"/>
        <v>61.880749531427398</v>
      </c>
      <c r="Y34" s="15">
        <f t="shared" si="18"/>
        <v>61.880749531426162</v>
      </c>
      <c r="Z34" s="15">
        <f t="shared" si="18"/>
        <v>61.880749531426197</v>
      </c>
      <c r="AA34" s="15">
        <f t="shared" si="18"/>
        <v>61.880749531426197</v>
      </c>
      <c r="AB34" s="15">
        <f t="shared" si="18"/>
        <v>61.880749531426197</v>
      </c>
      <c r="AC34" s="15">
        <f t="shared" si="18"/>
        <v>61.880749531426197</v>
      </c>
      <c r="AD34" s="15">
        <f t="shared" si="18"/>
        <v>61.880749531426197</v>
      </c>
      <c r="AE34" s="15">
        <f t="shared" si="18"/>
        <v>61.880749531426197</v>
      </c>
      <c r="AF34" s="15">
        <f t="shared" si="18"/>
        <v>61.880749531426197</v>
      </c>
      <c r="AG34" s="15">
        <f t="shared" si="18"/>
        <v>61.880749531426197</v>
      </c>
      <c r="AH34" s="15">
        <f t="shared" si="18"/>
        <v>61.880749531426197</v>
      </c>
      <c r="AI34" s="15">
        <f t="shared" si="18"/>
        <v>61.880749531426197</v>
      </c>
      <c r="AJ34" s="15">
        <f t="shared" si="18"/>
        <v>61.880749531426197</v>
      </c>
      <c r="AK34" s="15">
        <f t="shared" si="18"/>
        <v>61.880749531426197</v>
      </c>
      <c r="AL34" s="15">
        <f t="shared" si="18"/>
        <v>61.880749531426197</v>
      </c>
      <c r="AM34" s="15">
        <f t="shared" si="18"/>
        <v>61.880749531426197</v>
      </c>
      <c r="AN34" s="15">
        <f t="shared" si="18"/>
        <v>61.880749531426197</v>
      </c>
      <c r="AO34" s="15">
        <f t="shared" si="18"/>
        <v>61.880749531426197</v>
      </c>
      <c r="AP34" s="15">
        <f t="shared" si="18"/>
        <v>61.880749531426197</v>
      </c>
      <c r="AQ34" s="15">
        <f t="shared" si="18"/>
        <v>61.880749531426197</v>
      </c>
      <c r="AR34" s="15">
        <f t="shared" si="18"/>
        <v>61.880749531426197</v>
      </c>
      <c r="AS34" s="15">
        <f t="shared" si="18"/>
        <v>61.880749531426197</v>
      </c>
      <c r="AT34" s="15">
        <f t="shared" si="18"/>
        <v>61.880749531426197</v>
      </c>
      <c r="AU34" s="15">
        <f t="shared" si="18"/>
        <v>61.880749531426197</v>
      </c>
      <c r="AV34" s="15">
        <f t="shared" si="18"/>
        <v>61.880749531426197</v>
      </c>
      <c r="AW34" s="15">
        <f t="shared" si="18"/>
        <v>61.880749531426197</v>
      </c>
      <c r="AX34" s="15">
        <f t="shared" si="18"/>
        <v>61.880749531426197</v>
      </c>
      <c r="AY34" s="15">
        <f t="shared" si="18"/>
        <v>61.880749531426197</v>
      </c>
      <c r="AZ34" s="15">
        <f t="shared" si="18"/>
        <v>61.880749531426197</v>
      </c>
      <c r="BA34" s="15">
        <f t="shared" si="18"/>
        <v>61.880749531426197</v>
      </c>
      <c r="BB34" s="15">
        <f t="shared" si="18"/>
        <v>61.880749531426197</v>
      </c>
      <c r="BC34" s="15">
        <f t="shared" si="18"/>
        <v>61.880749531426197</v>
      </c>
      <c r="BD34" s="15">
        <f t="shared" si="18"/>
        <v>61.880749531426197</v>
      </c>
      <c r="BE34" s="15">
        <f t="shared" si="18"/>
        <v>61.880749531426197</v>
      </c>
      <c r="BF34" s="15">
        <f t="shared" si="18"/>
        <v>61.880749531426197</v>
      </c>
      <c r="BG34" s="15">
        <f t="shared" si="18"/>
        <v>61.880749531426197</v>
      </c>
      <c r="BH34" s="15">
        <f t="shared" si="18"/>
        <v>61.880749531426197</v>
      </c>
      <c r="BI34" s="15">
        <f t="shared" si="18"/>
        <v>61.880749531426197</v>
      </c>
      <c r="BJ34" s="15">
        <f t="shared" si="18"/>
        <v>61.880749531426197</v>
      </c>
      <c r="BK34" s="15">
        <f t="shared" si="18"/>
        <v>61.880749531426197</v>
      </c>
      <c r="BL34" s="15">
        <f t="shared" si="18"/>
        <v>61.880749531426197</v>
      </c>
      <c r="BM34" s="15">
        <f t="shared" si="18"/>
        <v>61.880749531426197</v>
      </c>
      <c r="BN34" s="15">
        <f t="shared" si="18"/>
        <v>61.880749531426197</v>
      </c>
    </row>
    <row r="35" spans="1:116" ht="20.100000000000001" customHeight="1">
      <c r="A35" s="278"/>
      <c r="B35" s="220" t="s">
        <v>104</v>
      </c>
      <c r="C35" s="221"/>
      <c r="D35" s="222"/>
      <c r="F35" s="171" t="s">
        <v>79</v>
      </c>
      <c r="G35" s="22">
        <f>J37/J32</f>
        <v>0.25</v>
      </c>
      <c r="H35" s="27"/>
      <c r="I35" s="171" t="s">
        <v>59</v>
      </c>
      <c r="J35" s="15">
        <f t="shared" si="17"/>
        <v>1.0207034531513237E-6</v>
      </c>
      <c r="K35" s="14" t="s">
        <v>60</v>
      </c>
      <c r="L35" s="27"/>
      <c r="M35" s="218"/>
      <c r="N35" s="218"/>
      <c r="O35" s="39" t="s">
        <v>13</v>
      </c>
      <c r="P35" s="15">
        <f t="shared" si="18"/>
        <v>10.857344210806325</v>
      </c>
      <c r="Q35" s="15">
        <f t="shared" si="18"/>
        <v>193.32441910343616</v>
      </c>
      <c r="R35" s="15">
        <f t="shared" si="18"/>
        <v>194.68749063908641</v>
      </c>
      <c r="S35" s="15">
        <f t="shared" si="18"/>
        <v>194.68787073594885</v>
      </c>
      <c r="T35" s="15">
        <f t="shared" si="18"/>
        <v>194.68795529494392</v>
      </c>
      <c r="U35" s="15">
        <f t="shared" si="18"/>
        <v>194.68795259897806</v>
      </c>
      <c r="V35" s="15">
        <f t="shared" si="18"/>
        <v>194.68795268589437</v>
      </c>
      <c r="W35" s="15">
        <f t="shared" si="18"/>
        <v>194.68795268309319</v>
      </c>
      <c r="X35" s="15">
        <f t="shared" si="18"/>
        <v>194.68795268318343</v>
      </c>
      <c r="Y35" s="15">
        <f t="shared" si="18"/>
        <v>194.68795268318058</v>
      </c>
      <c r="Z35" s="15">
        <f t="shared" si="18"/>
        <v>194.68795268318067</v>
      </c>
      <c r="AA35" s="15">
        <f t="shared" si="18"/>
        <v>194.68795268318067</v>
      </c>
      <c r="AB35" s="15">
        <f t="shared" si="18"/>
        <v>194.68795268318067</v>
      </c>
      <c r="AC35" s="15">
        <f t="shared" si="18"/>
        <v>194.68795268318067</v>
      </c>
      <c r="AD35" s="15">
        <f t="shared" si="18"/>
        <v>194.68795268318067</v>
      </c>
      <c r="AE35" s="15">
        <f t="shared" si="18"/>
        <v>194.68795268318067</v>
      </c>
      <c r="AF35" s="15">
        <f t="shared" si="18"/>
        <v>194.68795268318067</v>
      </c>
      <c r="AG35" s="15">
        <f t="shared" si="18"/>
        <v>194.68795268318067</v>
      </c>
      <c r="AH35" s="15">
        <f t="shared" si="18"/>
        <v>194.68795268318067</v>
      </c>
      <c r="AI35" s="15">
        <f t="shared" si="18"/>
        <v>194.68795268318067</v>
      </c>
      <c r="AJ35" s="15">
        <f t="shared" si="18"/>
        <v>194.68795268318067</v>
      </c>
      <c r="AK35" s="15">
        <f t="shared" si="18"/>
        <v>194.68795268318067</v>
      </c>
      <c r="AL35" s="15">
        <f t="shared" si="18"/>
        <v>194.68795268318067</v>
      </c>
      <c r="AM35" s="15">
        <f t="shared" si="18"/>
        <v>194.68795268318067</v>
      </c>
      <c r="AN35" s="15">
        <f t="shared" si="18"/>
        <v>194.68795268318067</v>
      </c>
      <c r="AO35" s="15">
        <f t="shared" si="18"/>
        <v>194.68795268318067</v>
      </c>
      <c r="AP35" s="15">
        <f t="shared" si="18"/>
        <v>194.68795268318067</v>
      </c>
      <c r="AQ35" s="15">
        <f t="shared" si="18"/>
        <v>194.68795268318067</v>
      </c>
      <c r="AR35" s="15">
        <f t="shared" si="18"/>
        <v>194.68795268318067</v>
      </c>
      <c r="AS35" s="15">
        <f t="shared" si="18"/>
        <v>194.68795268318067</v>
      </c>
      <c r="AT35" s="15">
        <f t="shared" si="18"/>
        <v>194.68795268318067</v>
      </c>
      <c r="AU35" s="15">
        <f t="shared" si="18"/>
        <v>194.68795268318067</v>
      </c>
      <c r="AV35" s="15">
        <f t="shared" si="18"/>
        <v>194.68795268318067</v>
      </c>
      <c r="AW35" s="15">
        <f t="shared" si="18"/>
        <v>194.68795268318067</v>
      </c>
      <c r="AX35" s="15">
        <f t="shared" si="18"/>
        <v>194.68795268318067</v>
      </c>
      <c r="AY35" s="15">
        <f t="shared" si="18"/>
        <v>194.68795268318067</v>
      </c>
      <c r="AZ35" s="15">
        <f t="shared" si="18"/>
        <v>194.68795268318067</v>
      </c>
      <c r="BA35" s="15">
        <f t="shared" si="18"/>
        <v>194.68795268318067</v>
      </c>
      <c r="BB35" s="15">
        <f t="shared" si="18"/>
        <v>194.68795268318067</v>
      </c>
      <c r="BC35" s="15">
        <f t="shared" si="18"/>
        <v>194.68795268318067</v>
      </c>
      <c r="BD35" s="15">
        <f t="shared" si="18"/>
        <v>194.68795268318067</v>
      </c>
      <c r="BE35" s="15">
        <f t="shared" si="18"/>
        <v>194.68795268318067</v>
      </c>
      <c r="BF35" s="15">
        <f t="shared" si="18"/>
        <v>194.68795268318067</v>
      </c>
      <c r="BG35" s="15">
        <f t="shared" si="18"/>
        <v>194.68795268318067</v>
      </c>
      <c r="BH35" s="15">
        <f t="shared" si="18"/>
        <v>194.68795268318067</v>
      </c>
      <c r="BI35" s="15">
        <f t="shared" si="18"/>
        <v>194.68795268318067</v>
      </c>
      <c r="BJ35" s="15">
        <f t="shared" si="18"/>
        <v>194.68795268318067</v>
      </c>
      <c r="BK35" s="15">
        <f t="shared" si="18"/>
        <v>194.68795268318067</v>
      </c>
      <c r="BL35" s="15">
        <f t="shared" si="18"/>
        <v>194.68795268318067</v>
      </c>
      <c r="BM35" s="15">
        <f t="shared" si="18"/>
        <v>194.68795268318067</v>
      </c>
      <c r="BN35" s="15">
        <f t="shared" si="18"/>
        <v>194.68795268318067</v>
      </c>
    </row>
    <row r="36" spans="1:116" ht="20.100000000000001" customHeight="1" thickBot="1">
      <c r="A36" s="278"/>
      <c r="B36" s="34" t="s">
        <v>85</v>
      </c>
      <c r="C36" s="15">
        <f>64*$C$31*(F23)/($C$32*$J$23^2)</f>
        <v>6.5095398428731768</v>
      </c>
      <c r="D36" s="22" t="s">
        <v>91</v>
      </c>
      <c r="F36" s="172" t="s">
        <v>80</v>
      </c>
      <c r="G36" s="24">
        <f>J38/J32</f>
        <v>0.5625</v>
      </c>
      <c r="H36" s="27"/>
      <c r="I36" s="171" t="s">
        <v>72</v>
      </c>
      <c r="J36" s="15">
        <f t="shared" si="17"/>
        <v>7.8539816339744823E-7</v>
      </c>
      <c r="K36" s="14" t="s">
        <v>60</v>
      </c>
      <c r="L36" s="27"/>
      <c r="M36" s="218"/>
      <c r="N36" s="218"/>
      <c r="O36" s="39" t="s">
        <v>14</v>
      </c>
      <c r="P36" s="15">
        <f t="shared" si="18"/>
        <v>61.242207189079423</v>
      </c>
      <c r="Q36" s="15">
        <f t="shared" si="18"/>
        <v>1181.6682409515633</v>
      </c>
      <c r="R36" s="15">
        <f t="shared" si="18"/>
        <v>1177.9124041620032</v>
      </c>
      <c r="S36" s="15">
        <f t="shared" si="18"/>
        <v>1177.8914254671317</v>
      </c>
      <c r="T36" s="15">
        <f t="shared" si="18"/>
        <v>1177.8920110858487</v>
      </c>
      <c r="U36" s="15">
        <f t="shared" si="18"/>
        <v>1177.8919921595575</v>
      </c>
      <c r="V36" s="15">
        <f t="shared" si="18"/>
        <v>1177.8919927694863</v>
      </c>
      <c r="W36" s="15">
        <f t="shared" si="18"/>
        <v>1177.8919927498289</v>
      </c>
      <c r="X36" s="15">
        <f t="shared" si="18"/>
        <v>1177.8919927504628</v>
      </c>
      <c r="Y36" s="15">
        <f t="shared" si="18"/>
        <v>1177.8919927504423</v>
      </c>
      <c r="Z36" s="15">
        <f t="shared" si="18"/>
        <v>1177.891992750443</v>
      </c>
      <c r="AA36" s="15">
        <f t="shared" si="18"/>
        <v>1177.891992750443</v>
      </c>
      <c r="AB36" s="15">
        <f t="shared" si="18"/>
        <v>1177.891992750443</v>
      </c>
      <c r="AC36" s="15">
        <f t="shared" si="18"/>
        <v>1177.891992750443</v>
      </c>
      <c r="AD36" s="15">
        <f t="shared" si="18"/>
        <v>1177.891992750443</v>
      </c>
      <c r="AE36" s="15">
        <f t="shared" si="18"/>
        <v>1177.891992750443</v>
      </c>
      <c r="AF36" s="15">
        <f t="shared" si="18"/>
        <v>1177.891992750443</v>
      </c>
      <c r="AG36" s="15">
        <f t="shared" si="18"/>
        <v>1177.891992750443</v>
      </c>
      <c r="AH36" s="15">
        <f t="shared" si="18"/>
        <v>1177.891992750443</v>
      </c>
      <c r="AI36" s="15">
        <f t="shared" si="18"/>
        <v>1177.891992750443</v>
      </c>
      <c r="AJ36" s="15">
        <f t="shared" si="18"/>
        <v>1177.891992750443</v>
      </c>
      <c r="AK36" s="15">
        <f t="shared" si="18"/>
        <v>1177.891992750443</v>
      </c>
      <c r="AL36" s="15">
        <f t="shared" si="18"/>
        <v>1177.891992750443</v>
      </c>
      <c r="AM36" s="15">
        <f t="shared" si="18"/>
        <v>1177.891992750443</v>
      </c>
      <c r="AN36" s="15">
        <f t="shared" si="18"/>
        <v>1177.891992750443</v>
      </c>
      <c r="AO36" s="15">
        <f t="shared" si="18"/>
        <v>1177.891992750443</v>
      </c>
      <c r="AP36" s="15">
        <f t="shared" si="18"/>
        <v>1177.891992750443</v>
      </c>
      <c r="AQ36" s="15">
        <f t="shared" si="18"/>
        <v>1177.891992750443</v>
      </c>
      <c r="AR36" s="15">
        <f t="shared" si="18"/>
        <v>1177.891992750443</v>
      </c>
      <c r="AS36" s="15">
        <f t="shared" si="18"/>
        <v>1177.891992750443</v>
      </c>
      <c r="AT36" s="15">
        <f t="shared" si="18"/>
        <v>1177.891992750443</v>
      </c>
      <c r="AU36" s="15">
        <f t="shared" si="18"/>
        <v>1177.891992750443</v>
      </c>
      <c r="AV36" s="15">
        <f t="shared" si="18"/>
        <v>1177.891992750443</v>
      </c>
      <c r="AW36" s="15">
        <f t="shared" si="18"/>
        <v>1177.891992750443</v>
      </c>
      <c r="AX36" s="15">
        <f t="shared" si="18"/>
        <v>1177.891992750443</v>
      </c>
      <c r="AY36" s="15">
        <f t="shared" si="18"/>
        <v>1177.891992750443</v>
      </c>
      <c r="AZ36" s="15">
        <f t="shared" si="18"/>
        <v>1177.891992750443</v>
      </c>
      <c r="BA36" s="15">
        <f t="shared" si="18"/>
        <v>1177.891992750443</v>
      </c>
      <c r="BB36" s="15">
        <f t="shared" si="18"/>
        <v>1177.891992750443</v>
      </c>
      <c r="BC36" s="15">
        <f t="shared" si="18"/>
        <v>1177.891992750443</v>
      </c>
      <c r="BD36" s="15">
        <f t="shared" si="18"/>
        <v>1177.891992750443</v>
      </c>
      <c r="BE36" s="15">
        <f t="shared" si="18"/>
        <v>1177.891992750443</v>
      </c>
      <c r="BF36" s="15">
        <f t="shared" si="18"/>
        <v>1177.891992750443</v>
      </c>
      <c r="BG36" s="15">
        <f t="shared" si="18"/>
        <v>1177.891992750443</v>
      </c>
      <c r="BH36" s="15">
        <f t="shared" si="18"/>
        <v>1177.891992750443</v>
      </c>
      <c r="BI36" s="15">
        <f t="shared" si="18"/>
        <v>1177.891992750443</v>
      </c>
      <c r="BJ36" s="15">
        <f t="shared" si="18"/>
        <v>1177.891992750443</v>
      </c>
      <c r="BK36" s="15">
        <f t="shared" si="18"/>
        <v>1177.891992750443</v>
      </c>
      <c r="BL36" s="15">
        <f t="shared" si="18"/>
        <v>1177.891992750443</v>
      </c>
      <c r="BM36" s="15">
        <f t="shared" si="18"/>
        <v>1177.891992750443</v>
      </c>
      <c r="BN36" s="15">
        <f t="shared" si="18"/>
        <v>1177.891992750443</v>
      </c>
    </row>
    <row r="37" spans="1:116" ht="20.100000000000001" customHeight="1">
      <c r="A37" s="278"/>
      <c r="B37" s="34" t="s">
        <v>86</v>
      </c>
      <c r="C37" s="15">
        <f>64*$C$31*(F24)/($C$32*$J$23^2)</f>
        <v>6.5095398428731768</v>
      </c>
      <c r="D37" s="22" t="s">
        <v>91</v>
      </c>
      <c r="E37" s="27"/>
      <c r="F37" s="27"/>
      <c r="G37" s="27"/>
      <c r="H37" s="27"/>
      <c r="I37" s="171" t="s">
        <v>73</v>
      </c>
      <c r="J37" s="15">
        <f t="shared" si="17"/>
        <v>3.1415926535897929E-6</v>
      </c>
      <c r="K37" s="14" t="s">
        <v>60</v>
      </c>
      <c r="L37" s="27"/>
      <c r="M37" s="218"/>
      <c r="N37" s="218"/>
      <c r="O37" s="39" t="s">
        <v>15</v>
      </c>
      <c r="P37" s="15">
        <f t="shared" ref="P37:BN37" si="19">P24*$J32*1000000*60</f>
        <v>753.98223686155029</v>
      </c>
      <c r="Q37" s="15">
        <f t="shared" si="19"/>
        <v>1433.3892406569855</v>
      </c>
      <c r="R37" s="15">
        <f t="shared" si="19"/>
        <v>1434.4823997398928</v>
      </c>
      <c r="S37" s="15">
        <f t="shared" si="19"/>
        <v>1434.4600101666178</v>
      </c>
      <c r="T37" s="15">
        <f t="shared" si="19"/>
        <v>1434.4607170344013</v>
      </c>
      <c r="U37" s="15">
        <f t="shared" si="19"/>
        <v>1434.4606942537964</v>
      </c>
      <c r="V37" s="15">
        <f t="shared" si="19"/>
        <v>1434.4606949879724</v>
      </c>
      <c r="W37" s="15">
        <f t="shared" si="19"/>
        <v>1434.460694964311</v>
      </c>
      <c r="X37" s="15">
        <f t="shared" si="19"/>
        <v>1434.4606949650733</v>
      </c>
      <c r="Y37" s="15">
        <f t="shared" si="19"/>
        <v>1434.460694965049</v>
      </c>
      <c r="Z37" s="15">
        <f t="shared" si="19"/>
        <v>1434.4606949650499</v>
      </c>
      <c r="AA37" s="15">
        <f t="shared" si="19"/>
        <v>1434.4606949650499</v>
      </c>
      <c r="AB37" s="15">
        <f t="shared" si="19"/>
        <v>1434.4606949650499</v>
      </c>
      <c r="AC37" s="15">
        <f t="shared" si="19"/>
        <v>1434.4606949650499</v>
      </c>
      <c r="AD37" s="15">
        <f t="shared" si="19"/>
        <v>1434.4606949650499</v>
      </c>
      <c r="AE37" s="15">
        <f t="shared" si="19"/>
        <v>1434.4606949650499</v>
      </c>
      <c r="AF37" s="15">
        <f t="shared" si="19"/>
        <v>1434.4606949650499</v>
      </c>
      <c r="AG37" s="15">
        <f t="shared" si="19"/>
        <v>1434.4606949650499</v>
      </c>
      <c r="AH37" s="15">
        <f t="shared" si="19"/>
        <v>1434.4606949650499</v>
      </c>
      <c r="AI37" s="15">
        <f t="shared" si="19"/>
        <v>1434.4606949650499</v>
      </c>
      <c r="AJ37" s="15">
        <f t="shared" si="19"/>
        <v>1434.4606949650499</v>
      </c>
      <c r="AK37" s="15">
        <f t="shared" si="19"/>
        <v>1434.4606949650499</v>
      </c>
      <c r="AL37" s="15">
        <f t="shared" si="19"/>
        <v>1434.4606949650499</v>
      </c>
      <c r="AM37" s="15">
        <f t="shared" si="19"/>
        <v>1434.4606949650499</v>
      </c>
      <c r="AN37" s="15">
        <f t="shared" si="19"/>
        <v>1434.4606949650499</v>
      </c>
      <c r="AO37" s="15">
        <f t="shared" si="19"/>
        <v>1434.4606949650499</v>
      </c>
      <c r="AP37" s="15">
        <f t="shared" si="19"/>
        <v>1434.4606949650499</v>
      </c>
      <c r="AQ37" s="15">
        <f t="shared" si="19"/>
        <v>1434.4606949650499</v>
      </c>
      <c r="AR37" s="15">
        <f t="shared" si="19"/>
        <v>1434.4606949650499</v>
      </c>
      <c r="AS37" s="15">
        <f t="shared" si="19"/>
        <v>1434.4606949650499</v>
      </c>
      <c r="AT37" s="15">
        <f t="shared" si="19"/>
        <v>1434.4606949650499</v>
      </c>
      <c r="AU37" s="15">
        <f t="shared" si="19"/>
        <v>1434.4606949650499</v>
      </c>
      <c r="AV37" s="15">
        <f t="shared" si="19"/>
        <v>1434.4606949650499</v>
      </c>
      <c r="AW37" s="15">
        <f t="shared" si="19"/>
        <v>1434.4606949650499</v>
      </c>
      <c r="AX37" s="15">
        <f t="shared" si="19"/>
        <v>1434.4606949650499</v>
      </c>
      <c r="AY37" s="15">
        <f t="shared" si="19"/>
        <v>1434.4606949650499</v>
      </c>
      <c r="AZ37" s="15">
        <f t="shared" si="19"/>
        <v>1434.4606949650499</v>
      </c>
      <c r="BA37" s="15">
        <f t="shared" si="19"/>
        <v>1434.4606949650499</v>
      </c>
      <c r="BB37" s="15">
        <f t="shared" si="19"/>
        <v>1434.4606949650499</v>
      </c>
      <c r="BC37" s="15">
        <f t="shared" si="19"/>
        <v>1434.4606949650499</v>
      </c>
      <c r="BD37" s="15">
        <f t="shared" si="19"/>
        <v>1434.4606949650499</v>
      </c>
      <c r="BE37" s="15">
        <f t="shared" si="19"/>
        <v>1434.4606949650499</v>
      </c>
      <c r="BF37" s="15">
        <f t="shared" si="19"/>
        <v>1434.4606949650499</v>
      </c>
      <c r="BG37" s="15">
        <f t="shared" si="19"/>
        <v>1434.4606949650499</v>
      </c>
      <c r="BH37" s="15">
        <f t="shared" si="19"/>
        <v>1434.4606949650499</v>
      </c>
      <c r="BI37" s="15">
        <f t="shared" si="19"/>
        <v>1434.4606949650499</v>
      </c>
      <c r="BJ37" s="15">
        <f t="shared" si="19"/>
        <v>1434.4606949650499</v>
      </c>
      <c r="BK37" s="15">
        <f t="shared" si="19"/>
        <v>1434.4606949650499</v>
      </c>
      <c r="BL37" s="15">
        <f t="shared" si="19"/>
        <v>1434.4606949650499</v>
      </c>
      <c r="BM37" s="15">
        <f t="shared" si="19"/>
        <v>1434.4606949650499</v>
      </c>
      <c r="BN37" s="15">
        <f t="shared" si="19"/>
        <v>1434.4606949650499</v>
      </c>
    </row>
    <row r="38" spans="1:116" ht="20.100000000000001" customHeight="1" thickBot="1">
      <c r="A38" s="278"/>
      <c r="B38" s="34" t="s">
        <v>87</v>
      </c>
      <c r="C38" s="15">
        <f>64*$C$31*(F25)/($C$32*$J$23^2)</f>
        <v>6.5095398428731768</v>
      </c>
      <c r="D38" s="22" t="s">
        <v>91</v>
      </c>
      <c r="E38" s="27"/>
      <c r="F38" s="27"/>
      <c r="G38" s="27"/>
      <c r="H38" s="27"/>
      <c r="I38" s="172" t="s">
        <v>74</v>
      </c>
      <c r="J38" s="15">
        <f t="shared" si="17"/>
        <v>7.0685834705770344E-6</v>
      </c>
      <c r="K38" s="21" t="s">
        <v>60</v>
      </c>
      <c r="L38" s="27"/>
      <c r="M38" s="29"/>
      <c r="N38" s="29"/>
      <c r="O38" s="16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116" ht="19.5" customHeight="1" thickBot="1">
      <c r="A39" s="278"/>
      <c r="B39" s="34" t="s">
        <v>82</v>
      </c>
      <c r="C39" s="15">
        <f>64*$C$31*F26/($C$32*J27^2)</f>
        <v>104.15263748597083</v>
      </c>
      <c r="D39" s="22" t="s">
        <v>91</v>
      </c>
      <c r="E39" s="27"/>
      <c r="F39" s="27"/>
      <c r="G39" s="27"/>
      <c r="H39" s="27"/>
      <c r="I39" s="27"/>
      <c r="J39" s="27"/>
      <c r="K39" s="27"/>
      <c r="L39" s="27"/>
      <c r="M39" s="29"/>
      <c r="N39" s="29"/>
      <c r="O39" s="29"/>
      <c r="P39" s="27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</row>
    <row r="40" spans="1:116" ht="20.100000000000001" customHeight="1">
      <c r="A40" s="278"/>
      <c r="B40" s="34" t="s">
        <v>83</v>
      </c>
      <c r="C40" s="15">
        <f>64*$C$31*F27/($C$32*J28^2)</f>
        <v>26.038159371492707</v>
      </c>
      <c r="D40" s="22" t="s">
        <v>91</v>
      </c>
      <c r="E40" s="294" t="s">
        <v>89</v>
      </c>
      <c r="F40" s="208"/>
      <c r="G40" s="208"/>
      <c r="H40" s="208"/>
      <c r="I40" s="209"/>
      <c r="J40" s="27"/>
      <c r="K40" s="7"/>
      <c r="L40" s="7"/>
      <c r="M40" s="29"/>
      <c r="N40" s="2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116" ht="20.100000000000001" customHeight="1" thickBot="1">
      <c r="A41" s="278"/>
      <c r="B41" s="35" t="s">
        <v>84</v>
      </c>
      <c r="C41" s="20">
        <f>64*$C$31*F28/($C$32*J29^2)</f>
        <v>11.572515276218981</v>
      </c>
      <c r="D41" s="24" t="s">
        <v>91</v>
      </c>
      <c r="E41" s="90"/>
      <c r="F41" s="262" t="s">
        <v>90</v>
      </c>
      <c r="G41" s="262"/>
      <c r="H41" s="262" t="s">
        <v>111</v>
      </c>
      <c r="I41" s="263"/>
      <c r="J41" s="27"/>
      <c r="K41" s="7"/>
      <c r="L41" s="7"/>
      <c r="M41" s="29"/>
      <c r="N41" s="2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116" ht="20.100000000000001" customHeight="1">
      <c r="A42" s="278"/>
      <c r="B42" s="27"/>
      <c r="C42" s="27"/>
      <c r="D42" s="27"/>
      <c r="E42" s="86" t="s">
        <v>112</v>
      </c>
      <c r="F42" s="84" t="s">
        <v>105</v>
      </c>
      <c r="G42" s="13">
        <v>500</v>
      </c>
      <c r="H42" s="84" t="s">
        <v>106</v>
      </c>
      <c r="I42" s="14">
        <v>0.7</v>
      </c>
      <c r="J42" s="27"/>
      <c r="K42" s="27"/>
      <c r="L42" s="27"/>
      <c r="M42" s="29"/>
      <c r="N42" s="2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116" ht="20.100000000000001" customHeight="1">
      <c r="A43" s="278"/>
      <c r="B43" s="27"/>
      <c r="C43" s="27"/>
      <c r="D43" s="27"/>
      <c r="E43" s="86" t="s">
        <v>113</v>
      </c>
      <c r="F43" s="84" t="s">
        <v>107</v>
      </c>
      <c r="G43" s="13">
        <v>200</v>
      </c>
      <c r="H43" s="84" t="s">
        <v>108</v>
      </c>
      <c r="I43" s="14">
        <v>1.1000000000000001</v>
      </c>
      <c r="J43" s="27"/>
      <c r="K43" s="27"/>
      <c r="L43" s="27"/>
      <c r="M43" s="29"/>
      <c r="N43" s="2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116" ht="20.100000000000001" customHeight="1">
      <c r="A44" s="278"/>
      <c r="B44" s="27"/>
      <c r="C44" s="27"/>
      <c r="D44" s="27"/>
      <c r="E44" s="86" t="s">
        <v>114</v>
      </c>
      <c r="F44" s="84" t="s">
        <v>109</v>
      </c>
      <c r="G44" s="13">
        <v>160</v>
      </c>
      <c r="H44" s="84" t="s">
        <v>110</v>
      </c>
      <c r="I44" s="14">
        <v>1</v>
      </c>
      <c r="J44" s="27"/>
      <c r="K44" s="27"/>
      <c r="L44" s="27"/>
      <c r="M44" s="29"/>
      <c r="N44" s="2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116" ht="20.100000000000001" customHeight="1">
      <c r="A45" s="278"/>
      <c r="B45" s="27"/>
      <c r="C45" s="27"/>
      <c r="D45" s="27"/>
      <c r="E45" s="86"/>
      <c r="F45" s="13"/>
      <c r="G45" s="13"/>
      <c r="H45" s="13"/>
      <c r="I45" s="14"/>
      <c r="J45" s="27"/>
      <c r="K45" s="27"/>
      <c r="L45" s="27"/>
      <c r="M45" s="29"/>
      <c r="N45" s="2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</row>
    <row r="46" spans="1:116" ht="20.100000000000001" customHeight="1">
      <c r="A46" s="278"/>
      <c r="B46" s="27"/>
      <c r="C46" s="27"/>
      <c r="D46" s="27"/>
      <c r="E46" s="86" t="s">
        <v>26</v>
      </c>
      <c r="F46" s="13"/>
      <c r="G46" s="13">
        <f>$G$42*$C$31/($C$32*J27)</f>
        <v>16.273849607182939</v>
      </c>
      <c r="H46" s="13"/>
      <c r="I46" s="14">
        <f>$I$42*(0.0254/$J$23+1)</f>
        <v>5.1449999999999996</v>
      </c>
      <c r="J46" s="27"/>
      <c r="K46" s="27"/>
      <c r="L46" s="27"/>
      <c r="M46" s="29"/>
      <c r="N46" s="2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</row>
    <row r="47" spans="1:116" ht="20.100000000000001" customHeight="1">
      <c r="A47" s="278"/>
      <c r="B47" s="175"/>
      <c r="C47" s="27"/>
      <c r="D47" s="27"/>
      <c r="E47" s="86" t="s">
        <v>27</v>
      </c>
      <c r="F47" s="85"/>
      <c r="G47" s="13">
        <f t="shared" ref="G47:G48" si="20">$G$42*$C$31/($C$32*J28)</f>
        <v>8.1369248035914694</v>
      </c>
      <c r="H47" s="13"/>
      <c r="I47" s="14">
        <f>$I$42*(0.0254/$J$23+1)</f>
        <v>5.1449999999999996</v>
      </c>
      <c r="J47" s="27"/>
      <c r="K47" s="27"/>
      <c r="L47" s="27"/>
      <c r="M47" s="27"/>
      <c r="N47" s="27"/>
      <c r="O47" s="27"/>
      <c r="P47" s="27"/>
      <c r="Q47" s="184"/>
      <c r="R47" s="184"/>
      <c r="S47" s="184"/>
      <c r="T47" s="184"/>
      <c r="U47" s="184"/>
      <c r="V47" s="184"/>
      <c r="W47" s="184"/>
      <c r="X47" s="184"/>
      <c r="Y47" s="184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5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</row>
    <row r="48" spans="1:116" ht="20.100000000000001" customHeight="1">
      <c r="A48" s="278"/>
      <c r="B48" s="175"/>
      <c r="C48" s="27"/>
      <c r="D48" s="27"/>
      <c r="E48" s="86" t="s">
        <v>28</v>
      </c>
      <c r="F48" s="85"/>
      <c r="G48" s="13">
        <f t="shared" si="20"/>
        <v>5.4246165357276466</v>
      </c>
      <c r="H48" s="13"/>
      <c r="I48" s="14">
        <f>$I$42*(0.0254/$J$23+1)</f>
        <v>5.1449999999999996</v>
      </c>
      <c r="J48" s="27"/>
      <c r="K48" s="27"/>
      <c r="L48" s="27"/>
      <c r="M48" s="27"/>
      <c r="N48" s="27"/>
      <c r="O48" s="27"/>
      <c r="P48" s="27"/>
      <c r="Q48" s="184"/>
      <c r="R48" s="184"/>
      <c r="S48" s="184"/>
      <c r="T48" s="184"/>
      <c r="U48" s="184"/>
      <c r="V48" s="184"/>
      <c r="W48" s="184"/>
      <c r="X48" s="184"/>
      <c r="Y48" s="184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5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</row>
    <row r="49" spans="1:116" ht="20.100000000000001" customHeight="1">
      <c r="A49" s="278"/>
      <c r="B49" s="175"/>
      <c r="C49" s="27"/>
      <c r="D49" s="27"/>
      <c r="E49" s="86" t="s">
        <v>124</v>
      </c>
      <c r="F49" s="13"/>
      <c r="G49" s="13">
        <f>$G$44*$C$31/($C$32*J24)</f>
        <v>18.401526057592019</v>
      </c>
      <c r="H49" s="13"/>
      <c r="I49" s="14">
        <f>$I$44</f>
        <v>1</v>
      </c>
      <c r="J49" s="27"/>
      <c r="K49" s="27"/>
      <c r="L49" s="27"/>
      <c r="M49" s="27"/>
      <c r="N49" s="27"/>
      <c r="O49" s="27"/>
      <c r="P49" s="27"/>
      <c r="Q49" s="184"/>
      <c r="R49" s="184"/>
      <c r="S49" s="184"/>
      <c r="T49" s="184"/>
      <c r="U49" s="184"/>
      <c r="V49" s="184"/>
      <c r="W49" s="184"/>
      <c r="X49" s="184"/>
      <c r="Y49" s="184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5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</row>
    <row r="50" spans="1:116" ht="20.100000000000001" customHeight="1">
      <c r="A50" s="278"/>
      <c r="B50" s="175"/>
      <c r="C50" s="27"/>
      <c r="D50" s="27"/>
      <c r="E50" s="86" t="s">
        <v>125</v>
      </c>
      <c r="F50" s="13"/>
      <c r="G50" s="13">
        <f t="shared" ref="G50:G51" si="21">$G$44*$C$31/($C$32*J25)</f>
        <v>10.849233071455295</v>
      </c>
      <c r="H50" s="13"/>
      <c r="I50" s="14">
        <f>$I$44</f>
        <v>1</v>
      </c>
      <c r="J50" s="27"/>
      <c r="K50" s="27"/>
      <c r="L50" s="27"/>
      <c r="M50" s="27"/>
      <c r="N50" s="27"/>
      <c r="O50" s="27"/>
      <c r="P50" s="27"/>
      <c r="Q50" s="184"/>
      <c r="R50" s="184"/>
      <c r="S50" s="184"/>
      <c r="T50" s="184"/>
      <c r="U50" s="184"/>
      <c r="V50" s="184"/>
      <c r="W50" s="184"/>
      <c r="X50" s="184"/>
      <c r="Y50" s="184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5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1:116" ht="20.100000000000001" customHeight="1">
      <c r="A51" s="278"/>
      <c r="B51" s="175"/>
      <c r="C51" s="27"/>
      <c r="D51" s="27"/>
      <c r="E51" s="86" t="s">
        <v>126</v>
      </c>
      <c r="F51" s="13"/>
      <c r="G51" s="13">
        <f t="shared" si="21"/>
        <v>4.5680981353495982</v>
      </c>
      <c r="H51" s="13"/>
      <c r="I51" s="14">
        <f>$I$44</f>
        <v>1</v>
      </c>
      <c r="J51" s="27"/>
      <c r="K51" s="27"/>
      <c r="L51" s="27"/>
      <c r="M51" s="27"/>
      <c r="N51" s="27"/>
      <c r="O51" s="27"/>
      <c r="P51" s="27"/>
      <c r="Q51" s="184"/>
      <c r="R51" s="184"/>
      <c r="S51" s="184"/>
      <c r="T51" s="184"/>
      <c r="U51" s="184"/>
      <c r="V51" s="184"/>
      <c r="W51" s="184"/>
      <c r="X51" s="184"/>
      <c r="Y51" s="184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5"/>
    </row>
    <row r="52" spans="1:116" ht="20.100000000000001" customHeight="1">
      <c r="A52" s="278"/>
      <c r="B52" s="175"/>
      <c r="C52" s="27"/>
      <c r="D52" s="27"/>
      <c r="E52" s="86" t="s">
        <v>127</v>
      </c>
      <c r="F52" s="13"/>
      <c r="G52" s="13">
        <f>$G$43*$C$31/$C$32/$J$23</f>
        <v>1.6273849607182942</v>
      </c>
      <c r="H52" s="13"/>
      <c r="I52" s="14">
        <f>$I$43*(0.0254/$J$23+1)</f>
        <v>8.0850000000000009</v>
      </c>
      <c r="J52" s="27"/>
      <c r="K52" s="27"/>
      <c r="L52" s="27"/>
      <c r="M52" s="27"/>
      <c r="N52" s="27"/>
      <c r="O52" s="27"/>
      <c r="P52" s="27"/>
      <c r="Q52" s="184"/>
      <c r="R52" s="184"/>
      <c r="S52" s="184"/>
      <c r="T52" s="184"/>
      <c r="U52" s="184"/>
      <c r="V52" s="184"/>
      <c r="W52" s="184"/>
      <c r="X52" s="184"/>
      <c r="Y52" s="184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5"/>
    </row>
    <row r="53" spans="1:116" ht="20.100000000000001" customHeight="1" thickBot="1">
      <c r="A53" s="278"/>
      <c r="B53" s="175"/>
      <c r="C53" s="27"/>
      <c r="D53" s="27"/>
      <c r="E53" s="87" t="s">
        <v>128</v>
      </c>
      <c r="F53" s="19"/>
      <c r="G53" s="19">
        <f>$G$43*$C$31/$C$32/$J$23</f>
        <v>1.6273849607182942</v>
      </c>
      <c r="H53" s="19"/>
      <c r="I53" s="21">
        <f>$I$43*(0.0254/$J$23+1)</f>
        <v>8.0850000000000009</v>
      </c>
      <c r="J53" s="27"/>
      <c r="K53" s="27"/>
      <c r="L53" s="27"/>
      <c r="M53" s="27"/>
      <c r="N53" s="27"/>
      <c r="O53" s="27"/>
      <c r="P53" s="27"/>
      <c r="Q53" s="184"/>
      <c r="R53" s="184"/>
      <c r="S53" s="184"/>
      <c r="T53" s="184"/>
      <c r="U53" s="184"/>
      <c r="V53" s="184"/>
      <c r="W53" s="184"/>
      <c r="X53" s="184"/>
      <c r="Y53" s="184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5"/>
    </row>
    <row r="54" spans="1:116" ht="20.100000000000001" customHeight="1" thickBot="1">
      <c r="A54" s="279"/>
      <c r="B54" s="6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26"/>
    </row>
    <row r="55" spans="1:116" ht="20.100000000000001" customHeight="1">
      <c r="I55" s="6"/>
    </row>
    <row r="60" spans="1:116" ht="15.75" customHeight="1">
      <c r="D60" s="6"/>
    </row>
    <row r="61" spans="1:116" ht="16.5" customHeight="1">
      <c r="D61" s="6"/>
    </row>
    <row r="62" spans="1:116" ht="16.5" customHeight="1">
      <c r="D62" s="6"/>
    </row>
    <row r="64" spans="1:116" ht="15.75" customHeight="1">
      <c r="B64" s="8"/>
    </row>
    <row r="65" spans="2:2" ht="15.75">
      <c r="B65" s="8"/>
    </row>
  </sheetData>
  <mergeCells count="29">
    <mergeCell ref="A1:A54"/>
    <mergeCell ref="B1:BN1"/>
    <mergeCell ref="C2:E2"/>
    <mergeCell ref="T2:W2"/>
    <mergeCell ref="C9:Q9"/>
    <mergeCell ref="C10:C11"/>
    <mergeCell ref="D10:G10"/>
    <mergeCell ref="H10:H11"/>
    <mergeCell ref="I10:L10"/>
    <mergeCell ref="M10:M11"/>
    <mergeCell ref="F30:G30"/>
    <mergeCell ref="N10:Q10"/>
    <mergeCell ref="M15:Q19"/>
    <mergeCell ref="C18:G19"/>
    <mergeCell ref="B21:BN21"/>
    <mergeCell ref="B22:C22"/>
    <mergeCell ref="B30:D30"/>
    <mergeCell ref="I31:K31"/>
    <mergeCell ref="M22:BN22"/>
    <mergeCell ref="M23:M37"/>
    <mergeCell ref="N31:O33"/>
    <mergeCell ref="N34:N37"/>
    <mergeCell ref="B35:D35"/>
    <mergeCell ref="F41:G41"/>
    <mergeCell ref="H41:I41"/>
    <mergeCell ref="E40:I40"/>
    <mergeCell ref="N24:N30"/>
    <mergeCell ref="E22:G22"/>
    <mergeCell ref="I22:K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7030A0"/>
  </sheetPr>
  <dimension ref="A1:L30"/>
  <sheetViews>
    <sheetView tabSelected="1" topLeftCell="A43" zoomScale="115" zoomScaleNormal="115" workbookViewId="0">
      <selection activeCell="D52" sqref="D52"/>
    </sheetView>
  </sheetViews>
  <sheetFormatPr defaultRowHeight="15.75"/>
  <cols>
    <col min="1" max="1" width="11" style="197" bestFit="1" customWidth="1"/>
    <col min="2" max="4" width="14.42578125" style="197" bestFit="1" customWidth="1"/>
    <col min="5" max="5" width="11" style="197" bestFit="1" customWidth="1"/>
    <col min="6" max="7" width="13.7109375" style="197" bestFit="1" customWidth="1"/>
    <col min="8" max="8" width="14.42578125" style="197" bestFit="1" customWidth="1"/>
    <col min="9" max="9" width="11" style="197" bestFit="1" customWidth="1"/>
    <col min="10" max="10" width="10.7109375" style="197" bestFit="1" customWidth="1"/>
    <col min="11" max="11" width="11" style="197" bestFit="1" customWidth="1"/>
    <col min="12" max="12" width="14.42578125" style="197" bestFit="1" customWidth="1"/>
    <col min="13" max="16384" width="9.140625" style="197"/>
  </cols>
  <sheetData>
    <row r="1" spans="1:12" ht="23.25">
      <c r="A1" s="337" t="s">
        <v>175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 ht="21">
      <c r="A2" s="338" t="s">
        <v>153</v>
      </c>
      <c r="B2" s="338"/>
      <c r="C2" s="338"/>
      <c r="D2" s="338"/>
      <c r="E2" s="338" t="s">
        <v>158</v>
      </c>
      <c r="F2" s="338"/>
      <c r="G2" s="338"/>
      <c r="H2" s="338"/>
      <c r="I2" s="338" t="s">
        <v>159</v>
      </c>
      <c r="J2" s="338"/>
      <c r="K2" s="338"/>
      <c r="L2" s="338"/>
    </row>
    <row r="3" spans="1:12">
      <c r="A3" s="129"/>
      <c r="B3" s="129" t="s">
        <v>172</v>
      </c>
      <c r="C3" s="129" t="s">
        <v>174</v>
      </c>
      <c r="D3" s="129" t="s">
        <v>173</v>
      </c>
      <c r="E3" s="129"/>
      <c r="F3" s="129" t="s">
        <v>172</v>
      </c>
      <c r="G3" s="129" t="s">
        <v>174</v>
      </c>
      <c r="H3" s="129" t="s">
        <v>173</v>
      </c>
      <c r="I3" s="198"/>
      <c r="J3" s="129" t="s">
        <v>172</v>
      </c>
      <c r="K3" s="129" t="s">
        <v>174</v>
      </c>
      <c r="L3" s="129" t="s">
        <v>173</v>
      </c>
    </row>
    <row r="4" spans="1:12">
      <c r="A4" s="336" t="s">
        <v>171</v>
      </c>
      <c r="B4" s="198">
        <f>'ANSYS FLUENT'!D21-Analytical!D21</f>
        <v>-1.6362410064695325</v>
      </c>
      <c r="C4" s="198">
        <f>'ANSYS FLUENT'!D21-Charts!$B1</f>
        <v>-1.634491448087104</v>
      </c>
      <c r="D4" s="198">
        <f>'ANSYS FLUENT'!D21-Charts!$C1</f>
        <v>-1.6344914481784372</v>
      </c>
      <c r="E4" s="336" t="s">
        <v>171</v>
      </c>
      <c r="F4" s="198">
        <f>'ANSYS FLUENT'!H21-Analytical!H21</f>
        <v>0.17950599786388466</v>
      </c>
      <c r="G4" s="198">
        <f>'ANSYS FLUENT'!H21-Charts!$B5</f>
        <v>0.17969647936530464</v>
      </c>
      <c r="H4" s="198">
        <f>'ANSYS FLUENT'!H21-Charts!$C5</f>
        <v>0.17969647952532597</v>
      </c>
      <c r="I4" s="336" t="s">
        <v>171</v>
      </c>
      <c r="J4" s="198">
        <f>'ANSYS FLUENT'!L21-Analytical!L21</f>
        <v>1.3567743742977072</v>
      </c>
      <c r="K4" s="198">
        <f>'ANSYS FLUENT'!L21-Charts!B9</f>
        <v>1.3007253180103575</v>
      </c>
      <c r="L4" s="198">
        <f>'ANSYS FLUENT'!L21-Charts!C9</f>
        <v>1.300725314944664</v>
      </c>
    </row>
    <row r="5" spans="1:12">
      <c r="A5" s="336"/>
      <c r="B5" s="198">
        <f>'ANSYS FLUENT'!D22-Analytical!D22</f>
        <v>12.580943784907532</v>
      </c>
      <c r="C5" s="198">
        <f>'ANSYS FLUENT'!D22-Charts!$B2</f>
        <v>16.578978865298751</v>
      </c>
      <c r="D5" s="198">
        <f>'ANSYS FLUENT'!D22-Charts!$C2</f>
        <v>16.578978877664127</v>
      </c>
      <c r="E5" s="336"/>
      <c r="F5" s="198">
        <f>'ANSYS FLUENT'!H22-Analytical!H22</f>
        <v>4.8521617929134493</v>
      </c>
      <c r="G5" s="198">
        <f>'ANSYS FLUENT'!H22-Charts!$B6</f>
        <v>8.3073142237914226</v>
      </c>
      <c r="H5" s="198">
        <f>'ANSYS FLUENT'!H22-Charts!$C6</f>
        <v>8.307314047406237</v>
      </c>
      <c r="I5" s="336"/>
      <c r="J5" s="198">
        <f>'ANSYS FLUENT'!L22-Analytical!L22</f>
        <v>9.0081483269203488</v>
      </c>
      <c r="K5" s="198">
        <f>'ANSYS FLUENT'!L22-Charts!B10</f>
        <v>12.245984875520065</v>
      </c>
      <c r="L5" s="198">
        <f>'ANSYS FLUENT'!L22-Charts!C10</f>
        <v>12.245984858458826</v>
      </c>
    </row>
    <row r="6" spans="1:12">
      <c r="A6" s="336"/>
      <c r="B6" s="198">
        <f>'ANSYS FLUENT'!D23-Analytical!D23</f>
        <v>-37.318565436055906</v>
      </c>
      <c r="C6" s="198">
        <f>'ANSYS FLUENT'!D23-Charts!$B3</f>
        <v>1.956161744376459</v>
      </c>
      <c r="D6" s="198">
        <f>'ANSYS FLUENT'!D23-Charts!$C3</f>
        <v>1.9561618768555036</v>
      </c>
      <c r="E6" s="336"/>
      <c r="F6" s="198">
        <f>'ANSYS FLUENT'!H23-Analytical!H23</f>
        <v>22.757922449678745</v>
      </c>
      <c r="G6" s="198">
        <f>'ANSYS FLUENT'!H23-Charts!$B7</f>
        <v>57.154218123632972</v>
      </c>
      <c r="H6" s="198">
        <f>'ANSYS FLUENT'!H23-Charts!$C7</f>
        <v>57.15421622009012</v>
      </c>
      <c r="I6" s="336"/>
      <c r="J6" s="198">
        <f>'ANSYS FLUENT'!L23-Analytical!L23</f>
        <v>30.744976946526776</v>
      </c>
      <c r="K6" s="198">
        <f>'ANSYS FLUENT'!L23-Charts!B11</f>
        <v>62.014023500950088</v>
      </c>
      <c r="L6" s="198">
        <f>'ANSYS FLUENT'!L23-Charts!C11</f>
        <v>62.014023346405338</v>
      </c>
    </row>
    <row r="7" spans="1:12">
      <c r="A7" s="336"/>
      <c r="B7" s="198">
        <f>'ANSYS FLUENT'!D24-Analytical!D24</f>
        <v>6.7692686555130877</v>
      </c>
      <c r="C7" s="198">
        <f>'ANSYS FLUENT'!D24-Charts!$B4</f>
        <v>50.043780474722098</v>
      </c>
      <c r="D7" s="198">
        <f>'ANSYS FLUENT'!D24-Charts!$C4</f>
        <v>50.043780619471818</v>
      </c>
      <c r="E7" s="336"/>
      <c r="F7" s="198">
        <f>'ANSYS FLUENT'!H24-Analytical!H24</f>
        <v>27.163262967728997</v>
      </c>
      <c r="G7" s="198">
        <f>'ANSYS FLUENT'!H24-Charts!$B8</f>
        <v>65.014901554064181</v>
      </c>
      <c r="H7" s="198">
        <f>'ANSYS FLUENT'!H24-Charts!$C8</f>
        <v>65.014899474294452</v>
      </c>
      <c r="I7" s="336"/>
      <c r="J7" s="198">
        <f>'ANSYS FLUENT'!L24-Analytical!L24</f>
        <v>49.02677978242491</v>
      </c>
      <c r="K7" s="198">
        <f>'ANSYS FLUENT'!L24-Charts!B12</f>
        <v>83.477613829157008</v>
      </c>
      <c r="L7" s="198">
        <f>'ANSYS FLUENT'!L24-Charts!C12</f>
        <v>83.477613654489232</v>
      </c>
    </row>
    <row r="8" spans="1:12">
      <c r="A8" s="336" t="s">
        <v>172</v>
      </c>
      <c r="B8" s="198"/>
      <c r="C8" s="198">
        <f>Analytical!D21-Charts!$B1</f>
        <v>1.7495583824285177E-3</v>
      </c>
      <c r="D8" s="198">
        <f>Analytical!D21-Charts!$C1</f>
        <v>1.7495582910953544E-3</v>
      </c>
      <c r="E8" s="336" t="s">
        <v>172</v>
      </c>
      <c r="F8" s="198"/>
      <c r="G8" s="198">
        <f>Analytical!H21-Charts!$B5</f>
        <v>1.9048150141998121E-4</v>
      </c>
      <c r="H8" s="198">
        <f>Analytical!H21-Charts!$C5</f>
        <v>1.9048166144131073E-4</v>
      </c>
      <c r="I8" s="336" t="s">
        <v>172</v>
      </c>
      <c r="J8" s="198"/>
      <c r="K8" s="198">
        <f>Analytical!L21-Charts!B9</f>
        <v>-5.6049056287349686E-2</v>
      </c>
      <c r="L8" s="198">
        <f>Analytical!L21-Charts!C9</f>
        <v>-5.6049059353043162E-2</v>
      </c>
    </row>
    <row r="9" spans="1:12">
      <c r="A9" s="336"/>
      <c r="B9" s="198"/>
      <c r="C9" s="198">
        <f>Analytical!D22-Charts!$B2</f>
        <v>3.9980350803912188</v>
      </c>
      <c r="D9" s="198">
        <f>Analytical!D22-Charts!$C2</f>
        <v>3.9980350927565951</v>
      </c>
      <c r="E9" s="336"/>
      <c r="F9" s="198"/>
      <c r="G9" s="198">
        <f>Analytical!H22-Charts!$B6</f>
        <v>3.4551524308779733</v>
      </c>
      <c r="H9" s="198">
        <f>Analytical!H22-Charts!$C6</f>
        <v>3.4551522544927877</v>
      </c>
      <c r="I9" s="336"/>
      <c r="J9" s="198"/>
      <c r="K9" s="198">
        <f>Analytical!L22-Charts!B10</f>
        <v>3.2378365485997165</v>
      </c>
      <c r="L9" s="198">
        <f>Analytical!L22-Charts!C10</f>
        <v>3.2378365315384769</v>
      </c>
    </row>
    <row r="10" spans="1:12">
      <c r="A10" s="336"/>
      <c r="B10" s="198"/>
      <c r="C10" s="198">
        <f>Analytical!D23-Charts!$B3</f>
        <v>39.274727180432365</v>
      </c>
      <c r="D10" s="198">
        <f>Analytical!D23-Charts!$C3</f>
        <v>39.274727312911409</v>
      </c>
      <c r="E10" s="336"/>
      <c r="F10" s="198"/>
      <c r="G10" s="198">
        <f>Analytical!H23-Charts!$B7</f>
        <v>34.396295673954228</v>
      </c>
      <c r="H10" s="198">
        <f>Analytical!H23-Charts!$C7</f>
        <v>34.396293770411376</v>
      </c>
      <c r="I10" s="336"/>
      <c r="J10" s="198"/>
      <c r="K10" s="198">
        <f>Analytical!L23-Charts!B11</f>
        <v>31.269046554423312</v>
      </c>
      <c r="L10" s="198">
        <f>Analytical!L23-Charts!C11</f>
        <v>31.269046399878562</v>
      </c>
    </row>
    <row r="11" spans="1:12">
      <c r="A11" s="336"/>
      <c r="B11" s="198"/>
      <c r="C11" s="198">
        <f>Analytical!D24-Charts!$B4</f>
        <v>43.27451181920901</v>
      </c>
      <c r="D11" s="198">
        <f>Analytical!D24-Charts!$C4</f>
        <v>43.27451196395873</v>
      </c>
      <c r="E11" s="336"/>
      <c r="F11" s="198"/>
      <c r="G11" s="198">
        <f>Analytical!H24-Charts!$B8</f>
        <v>37.851638586335184</v>
      </c>
      <c r="H11" s="198">
        <f>Analytical!H24-Charts!$C8</f>
        <v>37.851636506565455</v>
      </c>
      <c r="I11" s="336"/>
      <c r="J11" s="198"/>
      <c r="K11" s="198">
        <f>Analytical!L24-Charts!B12</f>
        <v>34.450834046732098</v>
      </c>
      <c r="L11" s="198">
        <f>Analytical!L24-Charts!C12</f>
        <v>34.450833872064322</v>
      </c>
    </row>
    <row r="12" spans="1:12">
      <c r="A12" s="336" t="s">
        <v>174</v>
      </c>
      <c r="B12" s="198"/>
      <c r="C12" s="198"/>
      <c r="D12" s="198">
        <f>Charts!$B1-Charts!$C1</f>
        <v>-9.1333163254603278E-11</v>
      </c>
      <c r="E12" s="336" t="s">
        <v>174</v>
      </c>
      <c r="F12" s="198"/>
      <c r="G12" s="198"/>
      <c r="H12" s="198">
        <f>Charts!$B5-Charts!$C5</f>
        <v>1.6002132952053216E-10</v>
      </c>
      <c r="I12" s="336" t="s">
        <v>174</v>
      </c>
      <c r="J12" s="198"/>
      <c r="K12" s="198"/>
      <c r="L12" s="198">
        <f>Charts!B9-Charts!C9</f>
        <v>-3.0656934768558131E-9</v>
      </c>
    </row>
    <row r="13" spans="1:12">
      <c r="A13" s="336"/>
      <c r="B13" s="198"/>
      <c r="C13" s="198"/>
      <c r="D13" s="198">
        <f>Charts!$B2-Charts!$C2</f>
        <v>1.2365376278467011E-8</v>
      </c>
      <c r="E13" s="336"/>
      <c r="F13" s="198"/>
      <c r="G13" s="198"/>
      <c r="H13" s="198">
        <f>Charts!$B6-Charts!$C6</f>
        <v>-1.7638518556850613E-7</v>
      </c>
      <c r="I13" s="336"/>
      <c r="J13" s="198"/>
      <c r="K13" s="198"/>
      <c r="L13" s="198">
        <f>Charts!B10-Charts!C10</f>
        <v>-1.7061239532267791E-8</v>
      </c>
    </row>
    <row r="14" spans="1:12">
      <c r="A14" s="336"/>
      <c r="B14" s="198"/>
      <c r="C14" s="198"/>
      <c r="D14" s="198">
        <f>Charts!$B3-Charts!$C3</f>
        <v>1.3247904462332372E-7</v>
      </c>
      <c r="E14" s="336"/>
      <c r="F14" s="198"/>
      <c r="G14" s="198"/>
      <c r="H14" s="198">
        <f>Charts!$B7-Charts!$C7</f>
        <v>-1.9035428522329312E-6</v>
      </c>
      <c r="I14" s="336"/>
      <c r="J14" s="198"/>
      <c r="K14" s="198"/>
      <c r="L14" s="198">
        <f>Charts!B11-Charts!C11</f>
        <v>-1.5454475033038761E-7</v>
      </c>
    </row>
    <row r="15" spans="1:12">
      <c r="A15" s="336"/>
      <c r="B15" s="198"/>
      <c r="C15" s="198"/>
      <c r="D15" s="198">
        <f>Charts!$B4-Charts!$C4</f>
        <v>1.4474971976596862E-7</v>
      </c>
      <c r="E15" s="336"/>
      <c r="F15" s="198"/>
      <c r="G15" s="198"/>
      <c r="H15" s="198">
        <f>Charts!$B8-Charts!$C8</f>
        <v>-2.07976972887991E-6</v>
      </c>
      <c r="I15" s="336"/>
      <c r="J15" s="198"/>
      <c r="K15" s="198"/>
      <c r="L15" s="198">
        <f>Charts!B12-Charts!C12</f>
        <v>-1.7466777535446454E-7</v>
      </c>
    </row>
    <row r="16" spans="1:12" ht="23.25">
      <c r="A16" s="337" t="s">
        <v>176</v>
      </c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</row>
    <row r="17" spans="1:12" ht="21">
      <c r="A17" s="338" t="s">
        <v>153</v>
      </c>
      <c r="B17" s="338"/>
      <c r="C17" s="338"/>
      <c r="D17" s="338"/>
      <c r="E17" s="338" t="s">
        <v>158</v>
      </c>
      <c r="F17" s="338"/>
      <c r="G17" s="338"/>
      <c r="H17" s="338"/>
      <c r="I17" s="338" t="s">
        <v>159</v>
      </c>
      <c r="J17" s="338"/>
      <c r="K17" s="338"/>
      <c r="L17" s="338"/>
    </row>
    <row r="18" spans="1:12">
      <c r="A18" s="129"/>
      <c r="B18" s="129" t="s">
        <v>172</v>
      </c>
      <c r="C18" s="129" t="s">
        <v>174</v>
      </c>
      <c r="D18" s="129" t="s">
        <v>173</v>
      </c>
      <c r="E18" s="129"/>
      <c r="F18" s="129" t="s">
        <v>172</v>
      </c>
      <c r="G18" s="129" t="s">
        <v>174</v>
      </c>
      <c r="H18" s="129" t="s">
        <v>173</v>
      </c>
      <c r="I18" s="198"/>
      <c r="J18" s="129" t="s">
        <v>172</v>
      </c>
      <c r="K18" s="129" t="s">
        <v>174</v>
      </c>
      <c r="L18" s="129" t="s">
        <v>173</v>
      </c>
    </row>
    <row r="19" spans="1:12">
      <c r="A19" s="336" t="s">
        <v>171</v>
      </c>
      <c r="B19" s="198">
        <f>B4*100/'ANSYS FLUENT'!D21</f>
        <v>-2.1179274505862744</v>
      </c>
      <c r="C19" s="198">
        <f>C4*100/'ANSYS FLUENT'!D21</f>
        <v>-2.1156628467107463</v>
      </c>
      <c r="D19" s="198">
        <f>D4*100/'ANSYS FLUENT'!D21</f>
        <v>-2.1156628468289669</v>
      </c>
      <c r="E19" s="336" t="s">
        <v>171</v>
      </c>
      <c r="F19" s="198">
        <f>F4*100/'ANSYS FLUENT'!H21</f>
        <v>0.28238267155708813</v>
      </c>
      <c r="G19" s="198">
        <f>G4*100/'ANSYS FLUENT'!H21</f>
        <v>0.2826823199025098</v>
      </c>
      <c r="H19" s="198">
        <f>H4*100/'ANSYS FLUENT'!H21</f>
        <v>0.28268232015424094</v>
      </c>
      <c r="I19" s="336" t="s">
        <v>171</v>
      </c>
      <c r="J19" s="198">
        <f>J4*100/'ANSYS FLUENT'!L21</f>
        <v>2.1455210300776808</v>
      </c>
      <c r="K19" s="198">
        <f>K4*100/'ANSYS FLUENT'!L21</f>
        <v>2.0568884384997612</v>
      </c>
      <c r="L19" s="198">
        <f>L4*100/'ANSYS FLUENT'!L21</f>
        <v>2.0568884336518587</v>
      </c>
    </row>
    <row r="20" spans="1:12">
      <c r="A20" s="336"/>
      <c r="B20" s="198">
        <f>B5*100/'ANSYS FLUENT'!D22</f>
        <v>5.2523222760913226</v>
      </c>
      <c r="C20" s="198">
        <f>C5*100/'ANSYS FLUENT'!D22</f>
        <v>6.9214314520280542</v>
      </c>
      <c r="D20" s="198">
        <f>D5*100/'ANSYS FLUENT'!D22</f>
        <v>6.9214314571903808</v>
      </c>
      <c r="E20" s="336"/>
      <c r="F20" s="198">
        <f>F5*100/'ANSYS FLUENT'!H22</f>
        <v>2.3808896862602436</v>
      </c>
      <c r="G20" s="198">
        <f>G5*100/'ANSYS FLUENT'!H22</f>
        <v>4.0762859113302499</v>
      </c>
      <c r="H20" s="198">
        <f>H5*100/'ANSYS FLUENT'!H22</f>
        <v>4.0762858247804425</v>
      </c>
      <c r="I20" s="336"/>
      <c r="J20" s="198">
        <f>J5*100/'ANSYS FLUENT'!L22</f>
        <v>4.4223469581647255</v>
      </c>
      <c r="K20" s="198">
        <f>K5*100/'ANSYS FLUENT'!L22</f>
        <v>6.0118896801627066</v>
      </c>
      <c r="L20" s="198">
        <f>L5*100/'ANSYS FLUENT'!L22</f>
        <v>6.0118896717868759</v>
      </c>
    </row>
    <row r="21" spans="1:12">
      <c r="A21" s="336"/>
      <c r="B21" s="198">
        <f>B6*100/'ANSYS FLUENT'!D23</f>
        <v>-3.0023555211022512</v>
      </c>
      <c r="C21" s="198">
        <f>C6*100/'ANSYS FLUENT'!D23</f>
        <v>0.15737724493887681</v>
      </c>
      <c r="D21" s="198">
        <f>D6*100/'ANSYS FLUENT'!D23</f>
        <v>0.15737725559708907</v>
      </c>
      <c r="E21" s="336"/>
      <c r="F21" s="198">
        <f>F6*100/'ANSYS FLUENT'!H23</f>
        <v>1.8495481243105585</v>
      </c>
      <c r="G21" s="198">
        <f>G6*100/'ANSYS FLUENT'!H23</f>
        <v>4.6449528580977351</v>
      </c>
      <c r="H21" s="198">
        <f>H6*100/'ANSYS FLUENT'!H23</f>
        <v>4.6449527033958233</v>
      </c>
      <c r="I21" s="336"/>
      <c r="J21" s="198">
        <f>J6*100/'ANSYS FLUENT'!L23</f>
        <v>2.5437726726359511</v>
      </c>
      <c r="K21" s="198">
        <f>K6*100/'ANSYS FLUENT'!L23</f>
        <v>5.1309057273416254</v>
      </c>
      <c r="L21" s="198">
        <f>L6*100/'ANSYS FLUENT'!L23</f>
        <v>5.1309057145549284</v>
      </c>
    </row>
    <row r="22" spans="1:12">
      <c r="A22" s="336"/>
      <c r="B22" s="198">
        <f>B7*100/'ANSYS FLUENT'!D24</f>
        <v>0.42496316915322707</v>
      </c>
      <c r="C22" s="198">
        <f>C7*100/'ANSYS FLUENT'!D24</f>
        <v>3.1416633951477202</v>
      </c>
      <c r="D22" s="198">
        <f>D7*100/'ANSYS FLUENT'!D24</f>
        <v>3.1416634042348615</v>
      </c>
      <c r="E22" s="336"/>
      <c r="F22" s="198">
        <f>F7*100/'ANSYS FLUENT'!H24</f>
        <v>1.814274835205042</v>
      </c>
      <c r="G22" s="198">
        <f>G7*100/'ANSYS FLUENT'!H24</f>
        <v>4.3424422148033832</v>
      </c>
      <c r="H22" s="198">
        <f>H7*100/'ANSYS FLUENT'!H24</f>
        <v>4.3424420758924622</v>
      </c>
      <c r="I22" s="336"/>
      <c r="J22" s="198">
        <f>J7*100/'ANSYS FLUENT'!L24</f>
        <v>3.3048327415619365</v>
      </c>
      <c r="K22" s="198">
        <f>K7*100/'ANSYS FLUENT'!L24</f>
        <v>5.6271195578086637</v>
      </c>
      <c r="L22" s="198">
        <f>L7*100/'ANSYS FLUENT'!L24</f>
        <v>5.6271195460345309</v>
      </c>
    </row>
    <row r="23" spans="1:12">
      <c r="A23" s="336" t="s">
        <v>172</v>
      </c>
      <c r="B23" s="198"/>
      <c r="C23" s="198">
        <f>C8*100/Analytical!D21</f>
        <v>2.2176359548853738E-3</v>
      </c>
      <c r="D23" s="198">
        <f>D8*100/'ANSYS FLUENT'!D21</f>
        <v>2.2646037573075943E-3</v>
      </c>
      <c r="E23" s="336" t="s">
        <v>172</v>
      </c>
      <c r="F23" s="198"/>
      <c r="G23" s="198">
        <f>G8*100/Analytical!H21</f>
        <v>3.0049689658620017E-4</v>
      </c>
      <c r="H23" s="198">
        <f>H8*100/Analytical!H21</f>
        <v>3.0049714903020419E-4</v>
      </c>
      <c r="I23" s="336" t="s">
        <v>172</v>
      </c>
      <c r="J23" s="198"/>
      <c r="K23" s="198">
        <f>K8*100/Analytical!L21</f>
        <v>-9.0575916923703578E-2</v>
      </c>
      <c r="L23" s="198">
        <f>L8*100/Analytical!L21</f>
        <v>-9.0575921877899354E-2</v>
      </c>
    </row>
    <row r="24" spans="1:12">
      <c r="A24" s="336"/>
      <c r="B24" s="198"/>
      <c r="C24" s="198">
        <f>C9*100/Analytical!D22</f>
        <v>1.7616359746572956</v>
      </c>
      <c r="D24" s="198">
        <f>D9*100/'ANSYS FLUENT'!D22</f>
        <v>1.6691091810990586</v>
      </c>
      <c r="E24" s="336"/>
      <c r="F24" s="198"/>
      <c r="G24" s="198">
        <f>G9*100/Analytical!H22</f>
        <v>1.7367462371057705</v>
      </c>
      <c r="H24" s="198">
        <f>H9*100/Analytical!H22</f>
        <v>1.736746148445049</v>
      </c>
      <c r="I24" s="336"/>
      <c r="J24" s="198"/>
      <c r="K24" s="198">
        <f>K9*100/Analytical!L22</f>
        <v>1.6630903473871894</v>
      </c>
      <c r="L24" s="198">
        <f>L9*100/Analytical!L22</f>
        <v>1.6630903386238123</v>
      </c>
    </row>
    <row r="25" spans="1:12">
      <c r="A25" s="336"/>
      <c r="B25" s="198"/>
      <c r="C25" s="198">
        <f>C10*100/Analytical!D23</f>
        <v>3.0676315605168747</v>
      </c>
      <c r="D25" s="198">
        <f>D10*100/'ANSYS FLUENT'!D23</f>
        <v>3.1597327766993404</v>
      </c>
      <c r="E25" s="336"/>
      <c r="F25" s="198"/>
      <c r="G25" s="198">
        <f>G10*100/Analytical!H23</f>
        <v>2.8480813693325042</v>
      </c>
      <c r="H25" s="198">
        <f>H10*100/Analytical!H23</f>
        <v>2.848081211715388</v>
      </c>
      <c r="I25" s="336"/>
      <c r="J25" s="198"/>
      <c r="K25" s="198">
        <f>K10*100/Analytical!L23</f>
        <v>2.6546616113255306</v>
      </c>
      <c r="L25" s="198">
        <f>L10*100/Analytical!L23</f>
        <v>2.6546615982050787</v>
      </c>
    </row>
    <row r="26" spans="1:12">
      <c r="A26" s="336"/>
      <c r="B26" s="198"/>
      <c r="C26" s="198">
        <f>C11*100/Analytical!D24</f>
        <v>2.7282944726492957</v>
      </c>
      <c r="D26" s="198">
        <f>D11*100/'ANSYS FLUENT'!D24</f>
        <v>2.7167002350816341</v>
      </c>
      <c r="E26" s="336"/>
      <c r="F26" s="198"/>
      <c r="G26" s="198">
        <f>G11*100/Analytical!H24</f>
        <v>2.5748828308341807</v>
      </c>
      <c r="H26" s="198">
        <f>H11*100/Analytical!H24</f>
        <v>2.5748826893564649</v>
      </c>
      <c r="I26" s="336"/>
      <c r="J26" s="198"/>
      <c r="K26" s="198">
        <f>K11*100/Analytical!L24</f>
        <v>2.4016575823690642</v>
      </c>
      <c r="L26" s="198">
        <f>L11*100/Analytical!L24</f>
        <v>2.4016575701925178</v>
      </c>
    </row>
    <row r="27" spans="1:12">
      <c r="A27" s="336" t="s">
        <v>174</v>
      </c>
      <c r="B27" s="198"/>
      <c r="C27" s="198"/>
      <c r="D27" s="198">
        <f>D12*100/Charts!B1</f>
        <v>-1.1577104286588453E-10</v>
      </c>
      <c r="E27" s="336" t="s">
        <v>174</v>
      </c>
      <c r="F27" s="198"/>
      <c r="G27" s="198"/>
      <c r="H27" s="198">
        <f>H12*100/Charts!B5</f>
        <v>2.5244476259983768E-10</v>
      </c>
      <c r="I27" s="336" t="s">
        <v>174</v>
      </c>
      <c r="J27" s="198"/>
      <c r="K27" s="198"/>
      <c r="L27" s="198">
        <f>L12*100/Charts!B9</f>
        <v>-4.9497125243149996E-9</v>
      </c>
    </row>
    <row r="28" spans="1:12">
      <c r="A28" s="336"/>
      <c r="B28" s="198"/>
      <c r="C28" s="198"/>
      <c r="D28" s="198">
        <f>D13*100/Charts!B2</f>
        <v>5.5462033014889399E-9</v>
      </c>
      <c r="E28" s="336"/>
      <c r="F28" s="198"/>
      <c r="G28" s="198"/>
      <c r="H28" s="198">
        <f>H13*100/Charts!B6</f>
        <v>-9.022774849885904E-8</v>
      </c>
      <c r="I28" s="336"/>
      <c r="J28" s="198"/>
      <c r="K28" s="198"/>
      <c r="L28" s="198">
        <f>L13*100/Charts!B10</f>
        <v>-8.9115848434766666E-9</v>
      </c>
    </row>
    <row r="29" spans="1:12">
      <c r="A29" s="336"/>
      <c r="B29" s="198"/>
      <c r="C29" s="198"/>
      <c r="D29" s="198">
        <f>D14*100/Charts!B3</f>
        <v>1.067501228412517E-8</v>
      </c>
      <c r="E29" s="336"/>
      <c r="F29" s="198"/>
      <c r="G29" s="198"/>
      <c r="H29" s="198">
        <f>H14*100/Charts!B7</f>
        <v>-1.6223778022396046E-7</v>
      </c>
      <c r="I29" s="336"/>
      <c r="J29" s="198"/>
      <c r="K29" s="198"/>
      <c r="L29" s="198">
        <f>L14*100/Charts!B11</f>
        <v>-1.3478253757531866E-8</v>
      </c>
    </row>
    <row r="30" spans="1:12">
      <c r="A30" s="336"/>
      <c r="B30" s="198"/>
      <c r="C30" s="198"/>
      <c r="D30" s="198">
        <f>D15*100/Charts!B4</f>
        <v>9.3818884903535373E-9</v>
      </c>
      <c r="E30" s="336"/>
      <c r="F30" s="198"/>
      <c r="G30" s="198"/>
      <c r="H30" s="198">
        <f>H15*100/Charts!B8</f>
        <v>-1.4521688033235221E-7</v>
      </c>
      <c r="I30" s="336"/>
      <c r="J30" s="198"/>
      <c r="K30" s="198"/>
      <c r="L30" s="198">
        <f>L15*100/Charts!B12</f>
        <v>-1.2476181792026347E-8</v>
      </c>
    </row>
  </sheetData>
  <mergeCells count="26">
    <mergeCell ref="A19:A22"/>
    <mergeCell ref="E19:E22"/>
    <mergeCell ref="I19:I22"/>
    <mergeCell ref="E2:H2"/>
    <mergeCell ref="E4:E7"/>
    <mergeCell ref="E8:E11"/>
    <mergeCell ref="E12:E15"/>
    <mergeCell ref="I2:L2"/>
    <mergeCell ref="I4:I7"/>
    <mergeCell ref="I8:I11"/>
    <mergeCell ref="I12:I15"/>
    <mergeCell ref="A4:A7"/>
    <mergeCell ref="A8:A11"/>
    <mergeCell ref="A12:A15"/>
    <mergeCell ref="A2:D2"/>
    <mergeCell ref="A1:L1"/>
    <mergeCell ref="A16:L16"/>
    <mergeCell ref="A17:D17"/>
    <mergeCell ref="E17:H17"/>
    <mergeCell ref="I17:L17"/>
    <mergeCell ref="A23:A26"/>
    <mergeCell ref="E23:E26"/>
    <mergeCell ref="I23:I26"/>
    <mergeCell ref="A27:A30"/>
    <mergeCell ref="E27:E30"/>
    <mergeCell ref="I27:I3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F0"/>
  </sheetPr>
  <dimension ref="B1:D31"/>
  <sheetViews>
    <sheetView zoomScale="71" zoomScaleNormal="71" workbookViewId="0">
      <selection activeCell="C5" sqref="C5"/>
    </sheetView>
  </sheetViews>
  <sheetFormatPr defaultRowHeight="15"/>
  <cols>
    <col min="2" max="2" width="14" customWidth="1"/>
    <col min="3" max="3" width="29.85546875" customWidth="1"/>
    <col min="4" max="4" width="18" customWidth="1"/>
  </cols>
  <sheetData>
    <row r="1" spans="2:4" ht="15.75" thickBot="1"/>
    <row r="2" spans="2:4" ht="21.75" thickBot="1">
      <c r="B2" s="339" t="s">
        <v>162</v>
      </c>
      <c r="C2" s="340"/>
      <c r="D2" s="341"/>
    </row>
    <row r="3" spans="2:4" ht="15.75">
      <c r="B3" s="159" t="s">
        <v>154</v>
      </c>
      <c r="C3" s="159" t="s">
        <v>163</v>
      </c>
      <c r="D3" s="159" t="s">
        <v>164</v>
      </c>
    </row>
    <row r="4" spans="2:4" ht="15.75">
      <c r="B4" s="160" t="s">
        <v>15</v>
      </c>
      <c r="C4" s="161">
        <v>389016.512346</v>
      </c>
      <c r="D4" s="162">
        <f>C4+101325</f>
        <v>490341.512346</v>
      </c>
    </row>
    <row r="5" spans="2:4" ht="15.75">
      <c r="B5" s="160" t="s">
        <v>137</v>
      </c>
      <c r="C5" s="161">
        <v>315915.16368949943</v>
      </c>
      <c r="D5" s="162">
        <f t="shared" ref="D5:D18" si="0">C5+101325</f>
        <v>417240.16368949943</v>
      </c>
    </row>
    <row r="6" spans="2:4" ht="15.75">
      <c r="B6" s="160" t="s">
        <v>147</v>
      </c>
      <c r="C6" s="161">
        <v>315339.06595346093</v>
      </c>
      <c r="D6" s="162">
        <f t="shared" si="0"/>
        <v>416664.06595346093</v>
      </c>
    </row>
    <row r="7" spans="2:4" ht="15.75">
      <c r="B7" s="160" t="s">
        <v>138</v>
      </c>
      <c r="C7" s="161">
        <v>243449.62964238462</v>
      </c>
      <c r="D7" s="162">
        <f t="shared" si="0"/>
        <v>344774.62964238459</v>
      </c>
    </row>
    <row r="8" spans="2:4" ht="15.75">
      <c r="B8" s="160" t="s">
        <v>148</v>
      </c>
      <c r="C8" s="161">
        <v>242961.76343459988</v>
      </c>
      <c r="D8" s="162">
        <f t="shared" si="0"/>
        <v>344286.76343459985</v>
      </c>
    </row>
    <row r="9" spans="2:4" ht="15.75">
      <c r="B9" s="160" t="s">
        <v>149</v>
      </c>
      <c r="C9" s="161">
        <v>185475.55380785573</v>
      </c>
      <c r="D9" s="162">
        <f t="shared" si="0"/>
        <v>286800.5538078557</v>
      </c>
    </row>
    <row r="10" spans="2:4" ht="15.75">
      <c r="B10" s="163" t="s">
        <v>140</v>
      </c>
      <c r="C10" s="161">
        <v>315238.03498261864</v>
      </c>
      <c r="D10" s="162">
        <f t="shared" si="0"/>
        <v>416563.03498261864</v>
      </c>
    </row>
    <row r="11" spans="2:4" ht="15.75">
      <c r="B11" s="163" t="s">
        <v>141</v>
      </c>
      <c r="C11" s="161">
        <v>242602.06518183267</v>
      </c>
      <c r="D11" s="162">
        <f t="shared" si="0"/>
        <v>343927.06518183264</v>
      </c>
    </row>
    <row r="12" spans="2:4" ht="15.75">
      <c r="B12" s="163" t="s">
        <v>139</v>
      </c>
      <c r="C12" s="161">
        <v>185304.78073141826</v>
      </c>
      <c r="D12" s="162">
        <f t="shared" si="0"/>
        <v>286629.78073141829</v>
      </c>
    </row>
    <row r="13" spans="2:4" ht="15.75">
      <c r="B13" s="163" t="s">
        <v>134</v>
      </c>
      <c r="C13" s="161">
        <v>4988.4745539939686</v>
      </c>
      <c r="D13" s="162">
        <f t="shared" si="0"/>
        <v>106313.47455399396</v>
      </c>
    </row>
    <row r="14" spans="2:4" ht="15.75">
      <c r="B14" s="163" t="s">
        <v>135</v>
      </c>
      <c r="C14" s="161">
        <v>12150.438232517585</v>
      </c>
      <c r="D14" s="162">
        <f t="shared" si="0"/>
        <v>113475.43823251758</v>
      </c>
    </row>
    <row r="15" spans="2:4" ht="15.75">
      <c r="B15" s="163" t="s">
        <v>136</v>
      </c>
      <c r="C15" s="161">
        <v>3619.9700592392437</v>
      </c>
      <c r="D15" s="162">
        <f t="shared" si="0"/>
        <v>104944.97005923925</v>
      </c>
    </row>
    <row r="16" spans="2:4" ht="15.75">
      <c r="B16" s="163" t="s">
        <v>150</v>
      </c>
      <c r="C16" s="161">
        <v>0</v>
      </c>
      <c r="D16" s="162">
        <f t="shared" si="0"/>
        <v>101325</v>
      </c>
    </row>
    <row r="17" spans="2:4" ht="15.75">
      <c r="B17" s="163" t="s">
        <v>151</v>
      </c>
      <c r="C17" s="161">
        <v>0</v>
      </c>
      <c r="D17" s="162">
        <f t="shared" si="0"/>
        <v>101325</v>
      </c>
    </row>
    <row r="18" spans="2:4" ht="16.5" thickBot="1">
      <c r="B18" s="164" t="s">
        <v>152</v>
      </c>
      <c r="C18" s="165">
        <v>0</v>
      </c>
      <c r="D18" s="162">
        <f t="shared" si="0"/>
        <v>101325</v>
      </c>
    </row>
    <row r="19" spans="2:4" ht="21.75" thickBot="1">
      <c r="B19" s="342" t="s">
        <v>155</v>
      </c>
      <c r="C19" s="343"/>
      <c r="D19" s="344"/>
    </row>
    <row r="20" spans="2:4" ht="15.75">
      <c r="B20" s="159" t="s">
        <v>154</v>
      </c>
      <c r="C20" s="159" t="s">
        <v>165</v>
      </c>
      <c r="D20" s="159" t="s">
        <v>157</v>
      </c>
    </row>
    <row r="21" spans="2:4" ht="15.75">
      <c r="B21" s="163" t="s">
        <v>12</v>
      </c>
      <c r="C21" s="161">
        <v>9.4543330147255785E-9</v>
      </c>
      <c r="D21" s="166">
        <f>C21*1000000*60</f>
        <v>0.56725998088353469</v>
      </c>
    </row>
    <row r="22" spans="2:4" ht="15.75">
      <c r="B22" s="163" t="s">
        <v>13</v>
      </c>
      <c r="C22" s="161">
        <v>1.1236200544898432E-7</v>
      </c>
      <c r="D22" s="166">
        <f t="shared" ref="D22:D24" si="1">C22*1000000*60</f>
        <v>6.7417203269390598</v>
      </c>
    </row>
    <row r="23" spans="2:4" ht="15.75">
      <c r="B23" s="163" t="s">
        <v>14</v>
      </c>
      <c r="C23" s="161">
        <v>4.4845963622498967E-7</v>
      </c>
      <c r="D23" s="166">
        <f t="shared" si="1"/>
        <v>26.907578173499381</v>
      </c>
    </row>
    <row r="24" spans="2:4" ht="15.75">
      <c r="B24" s="163" t="s">
        <v>15</v>
      </c>
      <c r="C24" s="167">
        <f>SUM(C21:C23)</f>
        <v>5.7027597468869957E-7</v>
      </c>
      <c r="D24" s="166">
        <f t="shared" si="1"/>
        <v>34.216558481321975</v>
      </c>
    </row>
    <row r="29" spans="2:4">
      <c r="C29">
        <v>327042.22584686399</v>
      </c>
      <c r="D29">
        <f>C29+101325</f>
        <v>428367.22584686399</v>
      </c>
    </row>
    <row r="30" spans="2:4">
      <c r="C30">
        <v>385630.71182998602</v>
      </c>
      <c r="D30">
        <f>C30+101325</f>
        <v>486955.71182998602</v>
      </c>
    </row>
    <row r="31" spans="2:4">
      <c r="C31">
        <v>385563.49330390402</v>
      </c>
      <c r="D31">
        <f>C31+101325</f>
        <v>486888.49330390402</v>
      </c>
    </row>
  </sheetData>
  <mergeCells count="2">
    <mergeCell ref="B2:D2"/>
    <mergeCell ref="B19:D1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E43" sqref="E43"/>
    </sheetView>
  </sheetViews>
  <sheetFormatPr defaultRowHeight="15"/>
  <sheetData>
    <row r="1" spans="2:3">
      <c r="B1">
        <v>78.891198518794184</v>
      </c>
      <c r="C1">
        <v>78.891198518885517</v>
      </c>
    </row>
    <row r="2" spans="2:3">
      <c r="B2">
        <v>222.95209184177196</v>
      </c>
      <c r="C2">
        <v>222.95209182940658</v>
      </c>
    </row>
    <row r="3" spans="2:3">
      <c r="B3">
        <v>1241.0200672118526</v>
      </c>
      <c r="C3">
        <v>1241.0200670793736</v>
      </c>
    </row>
    <row r="4" spans="2:3">
      <c r="B4">
        <v>1542.8633575724159</v>
      </c>
      <c r="C4">
        <v>1542.8633574276662</v>
      </c>
    </row>
    <row r="5" spans="2:3">
      <c r="B5">
        <v>63.388650995382164</v>
      </c>
      <c r="C5">
        <v>63.388650995222143</v>
      </c>
    </row>
    <row r="6" spans="2:3">
      <c r="B6">
        <v>195.48884739237019</v>
      </c>
      <c r="C6">
        <v>195.48884756875538</v>
      </c>
    </row>
    <row r="7" spans="2:3">
      <c r="B7">
        <v>1173.3043003948856</v>
      </c>
      <c r="C7">
        <v>1173.3043022984284</v>
      </c>
    </row>
    <row r="8" spans="2:3">
      <c r="B8">
        <v>1432.1817987826362</v>
      </c>
      <c r="C8">
        <v>1432.1818008624059</v>
      </c>
    </row>
    <row r="9" spans="2:3">
      <c r="B9">
        <v>61.936798587713547</v>
      </c>
      <c r="C9">
        <v>61.93679859077924</v>
      </c>
    </row>
    <row r="10" spans="2:3">
      <c r="B10">
        <v>191.45011613458095</v>
      </c>
      <c r="C10">
        <v>191.45011615164219</v>
      </c>
    </row>
    <row r="11" spans="2:3">
      <c r="B11">
        <v>1146.6229461960197</v>
      </c>
      <c r="C11">
        <v>1146.6229463505645</v>
      </c>
    </row>
    <row r="12" spans="2:3">
      <c r="B12">
        <v>1400.0098609183178</v>
      </c>
      <c r="C12">
        <v>1400.0098610929856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561"/>
  <sheetViews>
    <sheetView zoomScale="66" zoomScaleNormal="66" workbookViewId="0">
      <selection activeCell="C2" sqref="C2:E2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3:33" ht="16.5" thickBot="1"/>
    <row r="2" spans="3:33" ht="21">
      <c r="C2" s="199" t="s">
        <v>97</v>
      </c>
      <c r="D2" s="200"/>
      <c r="E2" s="201"/>
    </row>
    <row r="3" spans="3:33" ht="15.75">
      <c r="C3" s="34" t="s">
        <v>98</v>
      </c>
      <c r="D3" s="33" t="s">
        <v>1</v>
      </c>
      <c r="E3" s="42" t="s">
        <v>4</v>
      </c>
    </row>
    <row r="4" spans="3:33" ht="15.75">
      <c r="C4" s="40" t="s">
        <v>12</v>
      </c>
      <c r="D4" s="15">
        <f>AA22</f>
        <v>29.230789744915185</v>
      </c>
      <c r="E4" s="22">
        <f>AA25</f>
        <v>110.32007588332287</v>
      </c>
    </row>
    <row r="5" spans="3:33" ht="15.75">
      <c r="C5" s="40" t="s">
        <v>13</v>
      </c>
      <c r="D5" s="15">
        <f>AA23</f>
        <v>28.907868599471989</v>
      </c>
      <c r="E5" s="22">
        <f>AA26</f>
        <v>313.86267978522676</v>
      </c>
    </row>
    <row r="6" spans="3:33" ht="15.75">
      <c r="C6" s="40" t="s">
        <v>14</v>
      </c>
      <c r="D6" s="15">
        <f>AA24</f>
        <v>28.58129921499788</v>
      </c>
      <c r="E6" s="22">
        <f>AA27</f>
        <v>1750.3818482579716</v>
      </c>
    </row>
    <row r="7" spans="3:33" ht="16.5" thickBot="1">
      <c r="C7" s="41" t="s">
        <v>15</v>
      </c>
      <c r="D7" s="20">
        <f>AA21</f>
        <v>2.8841058815631309</v>
      </c>
      <c r="E7" s="24">
        <f>AA28</f>
        <v>2174.5646039265207</v>
      </c>
    </row>
    <row r="8" spans="3:33" ht="16.5" thickBot="1">
      <c r="C8" s="50"/>
      <c r="D8" s="7"/>
      <c r="E8" s="7"/>
    </row>
    <row r="9" spans="3:33" ht="16.5" thickBot="1">
      <c r="C9" s="233" t="s">
        <v>102</v>
      </c>
      <c r="D9" s="211"/>
      <c r="E9" s="211"/>
      <c r="F9" s="211"/>
      <c r="G9" s="212"/>
    </row>
    <row r="10" spans="3:33" ht="15.75">
      <c r="C10" s="231"/>
      <c r="D10" s="221" t="s">
        <v>22</v>
      </c>
      <c r="E10" s="221"/>
      <c r="F10" s="221"/>
      <c r="G10" s="222"/>
    </row>
    <row r="11" spans="3:33" ht="15.75">
      <c r="C11" s="232"/>
      <c r="D11" s="9" t="s">
        <v>36</v>
      </c>
      <c r="E11" s="9" t="s">
        <v>37</v>
      </c>
      <c r="F11" s="10" t="s">
        <v>33</v>
      </c>
      <c r="G11" s="11" t="s">
        <v>34</v>
      </c>
    </row>
    <row r="12" spans="3:33" ht="15.75">
      <c r="C12" s="12" t="s">
        <v>23</v>
      </c>
      <c r="D12" s="13">
        <f>F12*891*9.81</f>
        <v>8363.9070565330803</v>
      </c>
      <c r="E12" s="13">
        <f>D12/6895</f>
        <v>1.2130394570751386</v>
      </c>
      <c r="F12" s="13">
        <f>D7*J32/$C$30</f>
        <v>0.9568910370591267</v>
      </c>
      <c r="G12" s="14">
        <f>F12*0.891/13.6*1000</f>
        <v>62.690434854388371</v>
      </c>
    </row>
    <row r="13" spans="3:33" ht="15.75">
      <c r="C13" s="12" t="s">
        <v>24</v>
      </c>
      <c r="D13" s="13">
        <f>F13*891*9.81</f>
        <v>8363.9070565330803</v>
      </c>
      <c r="E13" s="13">
        <f>D13/6895</f>
        <v>1.2130394570751386</v>
      </c>
      <c r="F13" s="13">
        <f>(D7)*(J33-J32)/C30</f>
        <v>0.9568910370591267</v>
      </c>
      <c r="G13" s="14">
        <f>F13*0.891/13.6*1000</f>
        <v>62.690434854388371</v>
      </c>
    </row>
    <row r="14" spans="3:33" ht="16.5" thickBot="1">
      <c r="C14" s="23" t="s">
        <v>25</v>
      </c>
      <c r="D14" s="19">
        <f>F14*891*9.81</f>
        <v>8363.907056533084</v>
      </c>
      <c r="E14" s="19">
        <f>D14/6895</f>
        <v>1.213039457075139</v>
      </c>
      <c r="F14" s="19">
        <f>(D7)*(J34-J33)/C30</f>
        <v>0.95689103705912726</v>
      </c>
      <c r="G14" s="21">
        <f>F14*0.891/13.6*1000</f>
        <v>62.690434854388414</v>
      </c>
    </row>
    <row r="15" spans="3:33" ht="15.75">
      <c r="C15" s="50"/>
      <c r="D15" s="7"/>
      <c r="E15" s="7"/>
    </row>
    <row r="16" spans="3:33" ht="16.5" thickBot="1"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ht="34.5" thickBot="1">
      <c r="A17" s="202" t="s">
        <v>99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4"/>
      <c r="AC17" s="52"/>
      <c r="AD17" s="52"/>
      <c r="AE17" s="27"/>
      <c r="AF17" s="27"/>
      <c r="AG17" s="27"/>
    </row>
    <row r="18" spans="1:33" ht="16.5" thickBot="1">
      <c r="A18" s="213"/>
      <c r="D18" s="27"/>
      <c r="E18" s="27"/>
      <c r="F18" s="27"/>
      <c r="G18" s="27"/>
      <c r="H18" s="28"/>
      <c r="I18" s="27"/>
      <c r="J18" s="27"/>
      <c r="K18" s="27"/>
      <c r="L18" s="28"/>
      <c r="M18" s="27"/>
      <c r="N18" s="27"/>
      <c r="O18" s="27"/>
      <c r="P18" s="27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6"/>
      <c r="AC18" s="53"/>
      <c r="AD18" s="53"/>
      <c r="AE18" s="27"/>
      <c r="AF18" s="27"/>
      <c r="AG18" s="27"/>
    </row>
    <row r="19" spans="1:33" ht="15.75">
      <c r="A19" s="213"/>
      <c r="B19" s="207" t="s">
        <v>0</v>
      </c>
      <c r="C19" s="209"/>
      <c r="D19" s="27"/>
      <c r="E19" s="228" t="s">
        <v>62</v>
      </c>
      <c r="F19" s="229"/>
      <c r="G19" s="230"/>
      <c r="H19" s="27"/>
      <c r="I19" s="207" t="s">
        <v>68</v>
      </c>
      <c r="J19" s="208"/>
      <c r="K19" s="209"/>
      <c r="L19" s="27"/>
      <c r="M19" s="225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7"/>
      <c r="AB19" s="49"/>
      <c r="AC19" s="5"/>
      <c r="AD19" s="5"/>
      <c r="AE19" s="5"/>
      <c r="AF19" s="5"/>
      <c r="AG19" s="27"/>
    </row>
    <row r="20" spans="1:33" ht="15.75">
      <c r="A20" s="213"/>
      <c r="B20" s="17" t="s">
        <v>64</v>
      </c>
      <c r="C20" s="22">
        <v>5</v>
      </c>
      <c r="D20" s="27"/>
      <c r="E20" s="12" t="s">
        <v>43</v>
      </c>
      <c r="F20" s="15">
        <v>0.05</v>
      </c>
      <c r="G20" s="14" t="s">
        <v>61</v>
      </c>
      <c r="H20" s="27"/>
      <c r="I20" s="12" t="s">
        <v>49</v>
      </c>
      <c r="J20" s="15">
        <v>4.0000000000000001E-3</v>
      </c>
      <c r="K20" s="14" t="s">
        <v>61</v>
      </c>
      <c r="L20" s="27"/>
      <c r="M20" s="215" t="s">
        <v>88</v>
      </c>
      <c r="N20" s="13"/>
      <c r="O20" s="9" t="s">
        <v>16</v>
      </c>
      <c r="P20" s="10" t="s">
        <v>101</v>
      </c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  <c r="AA20" s="44">
        <v>11</v>
      </c>
      <c r="AB20" s="49"/>
      <c r="AC20" s="7"/>
      <c r="AD20" s="7"/>
      <c r="AE20" s="7"/>
      <c r="AF20" s="7"/>
      <c r="AG20" s="27"/>
    </row>
    <row r="21" spans="1:33" ht="15.75">
      <c r="A21" s="213"/>
      <c r="B21" s="17" t="s">
        <v>17</v>
      </c>
      <c r="C21" s="22">
        <f>(C20*(30.48/12)^2/0.4536)</f>
        <v>71.115520282186949</v>
      </c>
      <c r="D21" s="27"/>
      <c r="E21" s="12" t="s">
        <v>44</v>
      </c>
      <c r="F21" s="15">
        <v>0.05</v>
      </c>
      <c r="G21" s="14" t="s">
        <v>61</v>
      </c>
      <c r="H21" s="27"/>
      <c r="I21" s="12" t="s">
        <v>50</v>
      </c>
      <c r="J21" s="15">
        <v>2.8299999999999999E-4</v>
      </c>
      <c r="K21" s="14" t="s">
        <v>61</v>
      </c>
      <c r="L21" s="27"/>
      <c r="M21" s="215"/>
      <c r="N21" s="217" t="s">
        <v>1</v>
      </c>
      <c r="O21" s="9" t="s">
        <v>5</v>
      </c>
      <c r="P21" s="15">
        <f>P22*$G$25+P23*$G$26+P24*$G$27</f>
        <v>2.9086665558536695</v>
      </c>
      <c r="Q21" s="15">
        <f>Q22*$G$25+Q23*$G$26+Q24*$G$27</f>
        <v>2.8833309059067989</v>
      </c>
      <c r="R21" s="15">
        <f t="shared" ref="R21:Z21" si="0">R22*$G$25+R23*$G$26+R24*$G$27</f>
        <v>2.884130331244724</v>
      </c>
      <c r="S21" s="15">
        <f t="shared" si="0"/>
        <v>2.8841051101974187</v>
      </c>
      <c r="T21" s="15">
        <f t="shared" si="0"/>
        <v>2.8841059058990304</v>
      </c>
      <c r="U21" s="15">
        <f t="shared" si="0"/>
        <v>2.8841058807953557</v>
      </c>
      <c r="V21" s="15">
        <f t="shared" si="0"/>
        <v>2.8841058815873537</v>
      </c>
      <c r="W21" s="15">
        <f t="shared" si="0"/>
        <v>2.884105881562367</v>
      </c>
      <c r="X21" s="15">
        <f t="shared" si="0"/>
        <v>2.8841058815631557</v>
      </c>
      <c r="Y21" s="15">
        <f t="shared" si="0"/>
        <v>2.8841058815631304</v>
      </c>
      <c r="Z21" s="15">
        <f t="shared" si="0"/>
        <v>2.8841058815631309</v>
      </c>
      <c r="AA21" s="22">
        <f>AA22*$G$25+AA23*$G$26+AA24*$G$27</f>
        <v>2.8841058815631309</v>
      </c>
      <c r="AB21" s="38"/>
      <c r="AC21" s="7"/>
      <c r="AD21" s="7"/>
      <c r="AE21" s="7"/>
      <c r="AF21" s="7"/>
      <c r="AG21" s="27"/>
    </row>
    <row r="22" spans="1:33" ht="16.5" thickBot="1">
      <c r="A22" s="213"/>
      <c r="B22" s="17" t="s">
        <v>65</v>
      </c>
      <c r="C22" s="22">
        <f>(C20*(30.48/12)^2/0.4536)*6895</f>
        <v>490341.51234567899</v>
      </c>
      <c r="D22" s="27"/>
      <c r="E22" s="23" t="s">
        <v>45</v>
      </c>
      <c r="F22" s="20">
        <v>0.05</v>
      </c>
      <c r="G22" s="21" t="s">
        <v>61</v>
      </c>
      <c r="H22" s="27"/>
      <c r="I22" s="12" t="s">
        <v>51</v>
      </c>
      <c r="J22" s="15">
        <v>4.8000000000000001E-4</v>
      </c>
      <c r="K22" s="14" t="s">
        <v>61</v>
      </c>
      <c r="L22" s="27"/>
      <c r="M22" s="215"/>
      <c r="N22" s="217"/>
      <c r="O22" s="10" t="s">
        <v>9</v>
      </c>
      <c r="P22" s="15">
        <f>(-J32*G25+((J32*G25)^2+4*$C$25)^0.5)/2</f>
        <v>29.533894791106341</v>
      </c>
      <c r="Q22" s="15">
        <f t="shared" ref="Q22:AA22" si="1">($C$25-$J32*P$21)^0.5</f>
        <v>29.228054851864101</v>
      </c>
      <c r="R22" s="15">
        <f t="shared" si="1"/>
        <v>29.23087603624549</v>
      </c>
      <c r="S22" s="15">
        <f t="shared" si="1"/>
        <v>29.230787022508686</v>
      </c>
      <c r="T22" s="15">
        <f t="shared" si="1"/>
        <v>29.230789830804682</v>
      </c>
      <c r="U22" s="15">
        <f t="shared" si="1"/>
        <v>29.230789742205445</v>
      </c>
      <c r="V22" s="15">
        <f t="shared" si="1"/>
        <v>29.230789745000674</v>
      </c>
      <c r="W22" s="15">
        <f t="shared" si="1"/>
        <v>29.230789744912489</v>
      </c>
      <c r="X22" s="15">
        <f t="shared" si="1"/>
        <v>29.230789744915267</v>
      </c>
      <c r="Y22" s="15">
        <f t="shared" si="1"/>
        <v>29.230789744915182</v>
      </c>
      <c r="Z22" s="15">
        <f t="shared" si="1"/>
        <v>29.230789744915185</v>
      </c>
      <c r="AA22" s="22">
        <f t="shared" si="1"/>
        <v>29.230789744915185</v>
      </c>
      <c r="AB22" s="38"/>
      <c r="AC22" s="7"/>
      <c r="AD22" s="7"/>
      <c r="AE22" s="7"/>
      <c r="AF22" s="7"/>
      <c r="AG22" s="27"/>
    </row>
    <row r="23" spans="1:33" ht="16.5" thickBot="1">
      <c r="A23" s="213"/>
      <c r="B23" s="17" t="s">
        <v>66</v>
      </c>
      <c r="C23" s="22">
        <f>101325</f>
        <v>101325</v>
      </c>
      <c r="D23" s="27"/>
      <c r="E23" s="28"/>
      <c r="F23" s="27"/>
      <c r="G23" s="27"/>
      <c r="H23" s="27"/>
      <c r="I23" s="23" t="s">
        <v>52</v>
      </c>
      <c r="J23" s="20">
        <v>1.14E-3</v>
      </c>
      <c r="K23" s="21" t="s">
        <v>61</v>
      </c>
      <c r="L23" s="27"/>
      <c r="M23" s="215"/>
      <c r="N23" s="217"/>
      <c r="O23" s="10" t="s">
        <v>10</v>
      </c>
      <c r="P23" s="15">
        <f>(-J33*G26+((J33*G26)^2+4*$C$25)^0.5)/2</f>
        <v>29.456593554253498</v>
      </c>
      <c r="Q23" s="15">
        <f t="shared" ref="Q23:AA23" si="2">($C$25-$J33*P$21)^0.5</f>
        <v>28.902337441608669</v>
      </c>
      <c r="R23" s="15">
        <f t="shared" si="2"/>
        <v>28.908043109732677</v>
      </c>
      <c r="S23" s="15">
        <f t="shared" si="2"/>
        <v>28.907863093836351</v>
      </c>
      <c r="T23" s="15">
        <f t="shared" si="2"/>
        <v>28.907868773169881</v>
      </c>
      <c r="U23" s="15">
        <f t="shared" si="2"/>
        <v>28.907868593991974</v>
      </c>
      <c r="V23" s="15">
        <f t="shared" si="2"/>
        <v>28.907868599644878</v>
      </c>
      <c r="W23" s="15">
        <f t="shared" si="2"/>
        <v>28.907868599466532</v>
      </c>
      <c r="X23" s="15">
        <f t="shared" si="2"/>
        <v>28.90786859947216</v>
      </c>
      <c r="Y23" s="15">
        <f t="shared" si="2"/>
        <v>28.907868599471982</v>
      </c>
      <c r="Z23" s="15">
        <f t="shared" si="2"/>
        <v>28.907868599471989</v>
      </c>
      <c r="AA23" s="22">
        <f t="shared" si="2"/>
        <v>28.907868599471989</v>
      </c>
      <c r="AB23" s="38"/>
      <c r="AC23" s="7"/>
      <c r="AD23" s="7"/>
      <c r="AE23" s="7"/>
      <c r="AF23" s="7"/>
      <c r="AG23" s="27"/>
    </row>
    <row r="24" spans="1:33" ht="16.5" thickBot="1">
      <c r="A24" s="213"/>
      <c r="B24" s="17" t="s">
        <v>67</v>
      </c>
      <c r="C24" s="22">
        <f>C22-C23</f>
        <v>389016.51234567899</v>
      </c>
      <c r="D24" s="27"/>
      <c r="E24" s="28"/>
      <c r="F24" s="207" t="s">
        <v>63</v>
      </c>
      <c r="G24" s="209"/>
      <c r="H24" s="7"/>
      <c r="I24" s="27"/>
      <c r="J24" s="27"/>
      <c r="K24" s="27"/>
      <c r="L24" s="27"/>
      <c r="M24" s="215"/>
      <c r="N24" s="217"/>
      <c r="O24" s="10" t="s">
        <v>11</v>
      </c>
      <c r="P24" s="15">
        <f>(-J34*G27+((J34*G27)^2+4*$C$25)^0.5)/2</f>
        <v>28.76771748140489</v>
      </c>
      <c r="Q24" s="15">
        <f t="shared" ref="Q24:AA24" si="3">($C$25-$J34*P$21)^0.5</f>
        <v>28.572907250639584</v>
      </c>
      <c r="R24" s="15">
        <f t="shared" si="3"/>
        <v>28.581563970888208</v>
      </c>
      <c r="S24" s="15">
        <f t="shared" si="3"/>
        <v>28.581290862183064</v>
      </c>
      <c r="T24" s="15">
        <f t="shared" si="3"/>
        <v>28.581299478521721</v>
      </c>
      <c r="U24" s="15">
        <f t="shared" si="3"/>
        <v>28.581299206683941</v>
      </c>
      <c r="V24" s="15">
        <f t="shared" si="3"/>
        <v>28.581299215260177</v>
      </c>
      <c r="W24" s="15">
        <f t="shared" si="3"/>
        <v>28.581299214989606</v>
      </c>
      <c r="X24" s="15">
        <f t="shared" si="3"/>
        <v>28.581299214998143</v>
      </c>
      <c r="Y24" s="15">
        <f t="shared" si="3"/>
        <v>28.581299214997873</v>
      </c>
      <c r="Z24" s="15">
        <f t="shared" si="3"/>
        <v>28.58129921499788</v>
      </c>
      <c r="AA24" s="22">
        <f t="shared" si="3"/>
        <v>28.58129921499788</v>
      </c>
      <c r="AB24" s="38"/>
      <c r="AC24" s="7"/>
      <c r="AD24" s="7"/>
      <c r="AE24" s="7"/>
      <c r="AF24" s="7"/>
      <c r="AG24" s="27"/>
    </row>
    <row r="25" spans="1:33" ht="16.5" thickBot="1">
      <c r="A25" s="213"/>
      <c r="B25" s="18" t="s">
        <v>81</v>
      </c>
      <c r="C25" s="24">
        <f>C24*2/C29</f>
        <v>873.21327125853873</v>
      </c>
      <c r="D25" s="27"/>
      <c r="E25" s="27"/>
      <c r="F25" s="12" t="s">
        <v>75</v>
      </c>
      <c r="G25" s="22">
        <f>J27/J26</f>
        <v>5.0055625000000005E-3</v>
      </c>
      <c r="H25" s="7"/>
      <c r="I25" s="207" t="s">
        <v>18</v>
      </c>
      <c r="J25" s="208"/>
      <c r="K25" s="209"/>
      <c r="L25" s="27"/>
      <c r="M25" s="215"/>
      <c r="N25" s="218" t="s">
        <v>19</v>
      </c>
      <c r="O25" s="39" t="s">
        <v>12</v>
      </c>
      <c r="P25" s="15">
        <f t="shared" ref="P25:Q27" si="4">P22*$J27*1000000*60</f>
        <v>111.46402621748183</v>
      </c>
      <c r="Q25" s="15">
        <f t="shared" si="4"/>
        <v>110.30975410920861</v>
      </c>
      <c r="R25" s="15">
        <f t="shared" ref="R25:Z25" si="5">R22*$J27*1000000*60</f>
        <v>110.32040155588217</v>
      </c>
      <c r="S25" s="15">
        <f t="shared" si="5"/>
        <v>110.32006560867431</v>
      </c>
      <c r="T25" s="15">
        <f t="shared" si="5"/>
        <v>110.32007620747886</v>
      </c>
      <c r="U25" s="15">
        <f t="shared" si="5"/>
        <v>110.32007587309602</v>
      </c>
      <c r="V25" s="15">
        <f t="shared" si="5"/>
        <v>110.3200758836455</v>
      </c>
      <c r="W25" s="15">
        <f t="shared" si="5"/>
        <v>110.32007588331268</v>
      </c>
      <c r="X25" s="15">
        <f t="shared" si="5"/>
        <v>110.32007588332316</v>
      </c>
      <c r="Y25" s="15">
        <f t="shared" si="5"/>
        <v>110.32007588332286</v>
      </c>
      <c r="Z25" s="15">
        <f t="shared" si="5"/>
        <v>110.32007588332287</v>
      </c>
      <c r="AA25" s="22">
        <f>AA22*$J27*1000000*60</f>
        <v>110.32007588332287</v>
      </c>
      <c r="AB25" s="38"/>
      <c r="AC25" s="7"/>
      <c r="AD25" s="7"/>
      <c r="AE25" s="7"/>
      <c r="AF25" s="7"/>
      <c r="AG25" s="27"/>
    </row>
    <row r="26" spans="1:33" ht="16.5" thickBot="1">
      <c r="A26" s="213"/>
      <c r="E26" s="27"/>
      <c r="F26" s="12" t="s">
        <v>76</v>
      </c>
      <c r="G26" s="22">
        <f>J28/J26</f>
        <v>1.44E-2</v>
      </c>
      <c r="H26" s="7"/>
      <c r="I26" s="12" t="s">
        <v>56</v>
      </c>
      <c r="J26" s="15">
        <f>J20^2*3.14159265358979/4</f>
        <v>1.256637061435916E-5</v>
      </c>
      <c r="K26" s="14" t="s">
        <v>60</v>
      </c>
      <c r="L26" s="27"/>
      <c r="M26" s="215"/>
      <c r="N26" s="218"/>
      <c r="O26" s="39" t="s">
        <v>13</v>
      </c>
      <c r="P26" s="15">
        <f t="shared" si="4"/>
        <v>319.82037549634879</v>
      </c>
      <c r="Q26" s="15">
        <f t="shared" si="4"/>
        <v>313.80262610042047</v>
      </c>
      <c r="R26" s="15">
        <f t="shared" ref="R26:Z26" si="6">R23*$J28*1000000*60</f>
        <v>313.86457450319546</v>
      </c>
      <c r="S26" s="15">
        <f t="shared" si="6"/>
        <v>313.86262000864559</v>
      </c>
      <c r="T26" s="15">
        <f t="shared" si="6"/>
        <v>313.86268167112462</v>
      </c>
      <c r="U26" s="15">
        <f t="shared" si="6"/>
        <v>313.86267972572841</v>
      </c>
      <c r="V26" s="15">
        <f t="shared" si="6"/>
        <v>313.8626797871039</v>
      </c>
      <c r="W26" s="15">
        <f t="shared" si="6"/>
        <v>313.86267978516753</v>
      </c>
      <c r="X26" s="15">
        <f t="shared" si="6"/>
        <v>313.86267978522869</v>
      </c>
      <c r="Y26" s="15">
        <f t="shared" si="6"/>
        <v>313.8626797852267</v>
      </c>
      <c r="Z26" s="15">
        <f t="shared" si="6"/>
        <v>313.86267978522676</v>
      </c>
      <c r="AA26" s="22">
        <f>AA23*$J28*1000000*60</f>
        <v>313.86267978522676</v>
      </c>
      <c r="AB26" s="38"/>
      <c r="AC26" s="7"/>
      <c r="AD26" s="7"/>
      <c r="AE26" s="7"/>
      <c r="AF26" s="7"/>
      <c r="AG26" s="27"/>
    </row>
    <row r="27" spans="1:33" ht="16.5" thickBot="1">
      <c r="A27" s="213"/>
      <c r="B27" s="207" t="s">
        <v>69</v>
      </c>
      <c r="C27" s="208"/>
      <c r="D27" s="209"/>
      <c r="E27" s="27"/>
      <c r="F27" s="23" t="s">
        <v>77</v>
      </c>
      <c r="G27" s="24">
        <f>J29/J26</f>
        <v>8.1224999999999992E-2</v>
      </c>
      <c r="H27" s="28"/>
      <c r="I27" s="12" t="s">
        <v>57</v>
      </c>
      <c r="J27" s="15">
        <f>J21^2*3.14159265358979/4</f>
        <v>6.2901753508338175E-8</v>
      </c>
      <c r="K27" s="14" t="s">
        <v>60</v>
      </c>
      <c r="L27" s="27"/>
      <c r="M27" s="215"/>
      <c r="N27" s="218"/>
      <c r="O27" s="39" t="s">
        <v>14</v>
      </c>
      <c r="P27" s="15">
        <f t="shared" si="4"/>
        <v>1761.7985143530984</v>
      </c>
      <c r="Q27" s="15">
        <f t="shared" si="4"/>
        <v>1749.8679058380171</v>
      </c>
      <c r="R27" s="15">
        <f t="shared" ref="R27:Z27" si="7">R24*$J29*1000000*60</f>
        <v>1750.3980624930612</v>
      </c>
      <c r="S27" s="15">
        <f t="shared" si="7"/>
        <v>1750.3813367131556</v>
      </c>
      <c r="T27" s="15">
        <f t="shared" si="7"/>
        <v>1750.3818643967529</v>
      </c>
      <c r="U27" s="15">
        <f t="shared" si="7"/>
        <v>1750.3818477488073</v>
      </c>
      <c r="V27" s="15">
        <f t="shared" si="7"/>
        <v>1750.3818482740351</v>
      </c>
      <c r="W27" s="15">
        <f t="shared" si="7"/>
        <v>1750.3818482574645</v>
      </c>
      <c r="X27" s="15">
        <f t="shared" si="7"/>
        <v>1750.3818482579875</v>
      </c>
      <c r="Y27" s="15">
        <f t="shared" si="7"/>
        <v>1750.3818482579709</v>
      </c>
      <c r="Z27" s="15">
        <f t="shared" si="7"/>
        <v>1750.3818482579716</v>
      </c>
      <c r="AA27" s="22">
        <f>AA24*$J29*1000000*60</f>
        <v>1750.3818482579716</v>
      </c>
      <c r="AB27" s="38"/>
      <c r="AC27" s="7"/>
      <c r="AD27" s="7"/>
      <c r="AE27" s="7"/>
      <c r="AF27" s="7"/>
      <c r="AG27" s="27"/>
    </row>
    <row r="28" spans="1:33" ht="15.75">
      <c r="A28" s="213"/>
      <c r="B28" s="17" t="s">
        <v>3</v>
      </c>
      <c r="C28" s="15">
        <v>2.9000000000000001E-2</v>
      </c>
      <c r="D28" s="14"/>
      <c r="E28" s="27"/>
      <c r="F28" s="27"/>
      <c r="G28" s="27"/>
      <c r="H28" s="27"/>
      <c r="I28" s="12" t="s">
        <v>58</v>
      </c>
      <c r="J28" s="15">
        <f>J22^2*3.14159265358979/4</f>
        <v>1.8095573684677189E-7</v>
      </c>
      <c r="K28" s="14" t="s">
        <v>60</v>
      </c>
      <c r="L28" s="27"/>
      <c r="M28" s="215"/>
      <c r="N28" s="218"/>
      <c r="O28" s="39" t="s">
        <v>15</v>
      </c>
      <c r="P28" s="15">
        <f>P21*$J26*1000000*60</f>
        <v>2193.0829160669291</v>
      </c>
      <c r="Q28" s="15">
        <f>Q21*$J26*1000000*60</f>
        <v>2173.9802860476466</v>
      </c>
      <c r="R28" s="15">
        <f t="shared" ref="R28:Z28" si="8">R21*$J26*1000000*60</f>
        <v>2174.583038552139</v>
      </c>
      <c r="S28" s="15">
        <f t="shared" si="8"/>
        <v>2174.5640223304754</v>
      </c>
      <c r="T28" s="15">
        <f t="shared" si="8"/>
        <v>2174.5646222753567</v>
      </c>
      <c r="U28" s="15">
        <f t="shared" si="8"/>
        <v>2174.5646033476319</v>
      </c>
      <c r="V28" s="15">
        <f t="shared" si="8"/>
        <v>2174.5646039447843</v>
      </c>
      <c r="W28" s="15">
        <f t="shared" si="8"/>
        <v>2174.564603925945</v>
      </c>
      <c r="X28" s="15">
        <f t="shared" si="8"/>
        <v>2174.5646039265393</v>
      </c>
      <c r="Y28" s="15">
        <f t="shared" si="8"/>
        <v>2174.5646039265202</v>
      </c>
      <c r="Z28" s="15">
        <f t="shared" si="8"/>
        <v>2174.5646039265207</v>
      </c>
      <c r="AA28" s="22">
        <f>AA21*$J26*1000000*60</f>
        <v>2174.5646039265207</v>
      </c>
      <c r="AB28" s="38"/>
      <c r="AC28" s="7"/>
      <c r="AD28" s="7"/>
      <c r="AE28" s="7"/>
      <c r="AF28" s="7"/>
      <c r="AG28" s="27"/>
    </row>
    <row r="29" spans="1:33" ht="16.5" thickBot="1">
      <c r="A29" s="213"/>
      <c r="B29" s="17" t="s">
        <v>2</v>
      </c>
      <c r="C29" s="15">
        <v>891</v>
      </c>
      <c r="D29" s="14" t="s">
        <v>71</v>
      </c>
      <c r="E29" s="27"/>
      <c r="F29" s="27"/>
      <c r="G29" s="27"/>
      <c r="H29" s="27"/>
      <c r="I29" s="23" t="s">
        <v>59</v>
      </c>
      <c r="J29" s="20">
        <f>J23^2*3.14159265358979/4</f>
        <v>1.0207034531513226E-6</v>
      </c>
      <c r="K29" s="21" t="s">
        <v>60</v>
      </c>
      <c r="L29" s="27"/>
      <c r="M29" s="215"/>
      <c r="N29" s="223"/>
      <c r="O29" s="39" t="s">
        <v>41</v>
      </c>
      <c r="P29" s="15"/>
      <c r="Q29" s="15" t="str">
        <f>IF(Q22-P22=0,"YES","NO")</f>
        <v>NO</v>
      </c>
      <c r="R29" s="15" t="str">
        <f t="shared" ref="R29:Z29" si="9">IF(R22-Q22=0,"YES","NO")</f>
        <v>NO</v>
      </c>
      <c r="S29" s="15" t="str">
        <f t="shared" si="9"/>
        <v>NO</v>
      </c>
      <c r="T29" s="15" t="str">
        <f t="shared" si="9"/>
        <v>NO</v>
      </c>
      <c r="U29" s="15" t="str">
        <f t="shared" si="9"/>
        <v>NO</v>
      </c>
      <c r="V29" s="15" t="str">
        <f t="shared" si="9"/>
        <v>NO</v>
      </c>
      <c r="W29" s="15" t="str">
        <f t="shared" si="9"/>
        <v>NO</v>
      </c>
      <c r="X29" s="15" t="str">
        <f t="shared" si="9"/>
        <v>NO</v>
      </c>
      <c r="Y29" s="15" t="str">
        <f t="shared" si="9"/>
        <v>NO</v>
      </c>
      <c r="Z29" s="15" t="str">
        <f t="shared" si="9"/>
        <v>NO</v>
      </c>
      <c r="AA29" s="22" t="str">
        <f>IF(AA26-Z26=0,"YES","NO")</f>
        <v>YES</v>
      </c>
      <c r="AB29" s="38"/>
      <c r="AC29" s="7"/>
      <c r="AD29" s="7"/>
      <c r="AE29" s="7"/>
      <c r="AF29" s="7"/>
      <c r="AG29" s="27"/>
    </row>
    <row r="30" spans="1:33" ht="16.5" thickBot="1">
      <c r="A30" s="213"/>
      <c r="B30" s="18" t="s">
        <v>29</v>
      </c>
      <c r="C30" s="20">
        <f>2*9.81</f>
        <v>19.62</v>
      </c>
      <c r="D30" s="21" t="s">
        <v>70</v>
      </c>
      <c r="E30" s="27"/>
      <c r="F30" s="27"/>
      <c r="G30" s="27"/>
      <c r="H30" s="27"/>
      <c r="I30" s="27"/>
      <c r="J30" s="27"/>
      <c r="K30" s="27"/>
      <c r="L30" s="27"/>
      <c r="M30" s="215"/>
      <c r="N30" s="223"/>
      <c r="O30" s="39" t="s">
        <v>41</v>
      </c>
      <c r="P30" s="15"/>
      <c r="Q30" s="15" t="str">
        <f t="shared" ref="Q30:Z31" si="10">IF(Q23-P23=0,"YES","NO")</f>
        <v>NO</v>
      </c>
      <c r="R30" s="15" t="str">
        <f t="shared" si="10"/>
        <v>NO</v>
      </c>
      <c r="S30" s="15" t="str">
        <f t="shared" si="10"/>
        <v>NO</v>
      </c>
      <c r="T30" s="15" t="str">
        <f t="shared" si="10"/>
        <v>NO</v>
      </c>
      <c r="U30" s="15" t="str">
        <f t="shared" si="10"/>
        <v>NO</v>
      </c>
      <c r="V30" s="15" t="str">
        <f t="shared" si="10"/>
        <v>NO</v>
      </c>
      <c r="W30" s="15" t="str">
        <f t="shared" si="10"/>
        <v>NO</v>
      </c>
      <c r="X30" s="15" t="str">
        <f t="shared" si="10"/>
        <v>NO</v>
      </c>
      <c r="Y30" s="15" t="str">
        <f t="shared" si="10"/>
        <v>NO</v>
      </c>
      <c r="Z30" s="15" t="str">
        <f t="shared" si="10"/>
        <v>NO</v>
      </c>
      <c r="AA30" s="22" t="str">
        <f>IF(AA27-Z27=0,"YES","NO")</f>
        <v>YES</v>
      </c>
      <c r="AB30" s="38"/>
      <c r="AC30" s="7"/>
      <c r="AD30" s="7"/>
      <c r="AE30" s="7"/>
      <c r="AF30" s="7"/>
      <c r="AG30" s="27"/>
    </row>
    <row r="31" spans="1:33" ht="16.5" thickBot="1">
      <c r="A31" s="213"/>
      <c r="B31" s="32"/>
      <c r="C31" s="32"/>
      <c r="D31" s="32"/>
      <c r="E31" s="27"/>
      <c r="F31" s="27"/>
      <c r="G31" s="27"/>
      <c r="H31" s="27"/>
      <c r="I31" s="220" t="s">
        <v>104</v>
      </c>
      <c r="J31" s="221"/>
      <c r="K31" s="222"/>
      <c r="L31" s="27"/>
      <c r="M31" s="216"/>
      <c r="N31" s="224"/>
      <c r="O31" s="45" t="s">
        <v>41</v>
      </c>
      <c r="P31" s="20"/>
      <c r="Q31" s="20" t="str">
        <f t="shared" si="10"/>
        <v>NO</v>
      </c>
      <c r="R31" s="20" t="str">
        <f t="shared" si="10"/>
        <v>NO</v>
      </c>
      <c r="S31" s="20" t="str">
        <f t="shared" si="10"/>
        <v>NO</v>
      </c>
      <c r="T31" s="20" t="str">
        <f t="shared" si="10"/>
        <v>NO</v>
      </c>
      <c r="U31" s="20" t="str">
        <f t="shared" si="10"/>
        <v>NO</v>
      </c>
      <c r="V31" s="20" t="str">
        <f t="shared" si="10"/>
        <v>NO</v>
      </c>
      <c r="W31" s="20" t="str">
        <f t="shared" si="10"/>
        <v>NO</v>
      </c>
      <c r="X31" s="20" t="str">
        <f t="shared" si="10"/>
        <v>NO</v>
      </c>
      <c r="Y31" s="20" t="str">
        <f t="shared" si="10"/>
        <v>NO</v>
      </c>
      <c r="Z31" s="20" t="str">
        <f t="shared" si="10"/>
        <v>NO</v>
      </c>
      <c r="AA31" s="24" t="str">
        <f>IF(AA28-Z28=0,"YES","NO")</f>
        <v>YES</v>
      </c>
      <c r="AB31" s="38"/>
      <c r="AC31" s="7"/>
      <c r="AD31" s="7"/>
      <c r="AE31" s="7"/>
      <c r="AF31" s="7"/>
      <c r="AG31" s="27"/>
    </row>
    <row r="32" spans="1:33" ht="15.75">
      <c r="A32" s="213"/>
      <c r="B32" s="57"/>
      <c r="C32" s="7"/>
      <c r="D32" s="7"/>
      <c r="E32" s="27"/>
      <c r="F32" s="27"/>
      <c r="G32" s="27"/>
      <c r="H32" s="27"/>
      <c r="I32" s="12" t="s">
        <v>90</v>
      </c>
      <c r="J32" s="15">
        <f>64*$C$28*(F20)/($C$29*$J$20^2)</f>
        <v>6.5095398428731768</v>
      </c>
      <c r="K32" s="22" t="s">
        <v>91</v>
      </c>
      <c r="L32" s="27"/>
      <c r="M32" s="29"/>
      <c r="N32" s="27"/>
      <c r="O32" s="27"/>
      <c r="P32" s="2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8"/>
      <c r="AC32" s="7"/>
      <c r="AD32" s="7"/>
      <c r="AE32" s="7"/>
      <c r="AF32" s="7"/>
      <c r="AG32" s="27"/>
    </row>
    <row r="33" spans="1:56" ht="15.75">
      <c r="A33" s="213"/>
      <c r="B33" s="57"/>
      <c r="C33" s="7"/>
      <c r="D33" s="7"/>
      <c r="E33" s="27"/>
      <c r="F33" s="27"/>
      <c r="G33" s="27"/>
      <c r="H33" s="27"/>
      <c r="I33" s="12" t="s">
        <v>92</v>
      </c>
      <c r="J33" s="15">
        <f>64*$C$28*(F21+F20)/($C$29*$J$20^2)</f>
        <v>13.019079685746354</v>
      </c>
      <c r="K33" s="22" t="s">
        <v>91</v>
      </c>
      <c r="L33" s="27"/>
      <c r="M33" s="29"/>
      <c r="N33" s="27"/>
      <c r="O33" s="27"/>
      <c r="P33" s="2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38"/>
      <c r="AC33" s="7"/>
      <c r="AD33" s="7"/>
      <c r="AE33" s="7"/>
      <c r="AF33" s="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ht="16.5" thickBot="1">
      <c r="A34" s="213"/>
      <c r="B34" s="57"/>
      <c r="C34" s="7"/>
      <c r="D34" s="7"/>
      <c r="E34" s="27"/>
      <c r="F34" s="27"/>
      <c r="G34" s="27"/>
      <c r="H34" s="27"/>
      <c r="I34" s="23" t="s">
        <v>93</v>
      </c>
      <c r="J34" s="20">
        <f>64*$C$28*(F22+F21+F20)/($C$29*$J$20^2)</f>
        <v>19.528619528619533</v>
      </c>
      <c r="K34" s="24" t="s">
        <v>91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5"/>
      <c r="AC34" s="27"/>
      <c r="AD34" s="7"/>
      <c r="AE34" s="7"/>
      <c r="AF34" s="7"/>
      <c r="AG34" s="7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</row>
    <row r="35" spans="1:56" ht="16.5" thickBot="1">
      <c r="A35" s="214"/>
      <c r="B35" s="59"/>
      <c r="C35" s="30"/>
      <c r="D35" s="30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6"/>
      <c r="AC35" s="27"/>
      <c r="AD35" s="27"/>
      <c r="AE35" s="27"/>
      <c r="AF35" s="27"/>
      <c r="AG35" s="27"/>
    </row>
    <row r="36" spans="1:56" ht="15.75">
      <c r="A36" s="53"/>
      <c r="B36" s="57"/>
      <c r="C36" s="7"/>
      <c r="D36" s="7"/>
      <c r="H36" s="7"/>
      <c r="I36" s="27"/>
      <c r="J36" s="27"/>
      <c r="K36" s="7"/>
      <c r="L36" s="7"/>
      <c r="M36" s="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56" ht="15.75">
      <c r="A37" s="53"/>
      <c r="B37" s="57"/>
      <c r="C37" s="7"/>
      <c r="D37" s="7"/>
      <c r="E37" s="27"/>
      <c r="F37" s="58"/>
      <c r="G37" s="27"/>
      <c r="H37" s="7"/>
      <c r="I37" s="27"/>
      <c r="J37" s="27"/>
      <c r="K37" s="27"/>
      <c r="L37" s="27"/>
      <c r="M37" s="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56" ht="15.75">
      <c r="A38" s="53"/>
      <c r="B38" s="27"/>
      <c r="C38" s="27"/>
      <c r="D38" s="27"/>
      <c r="E38" s="27"/>
      <c r="F38" s="5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56" ht="15.75">
      <c r="A39" s="53"/>
      <c r="B39" s="27"/>
      <c r="C39" s="27"/>
      <c r="D39" s="27"/>
      <c r="E39" s="27"/>
      <c r="F39" s="5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56" ht="15.75">
      <c r="A40" s="53"/>
      <c r="B40" s="27"/>
      <c r="C40" s="27"/>
      <c r="D40" s="27"/>
      <c r="E40" s="27"/>
      <c r="F40" s="5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spans="1:56" ht="15.75">
      <c r="A41" s="53"/>
      <c r="B41" s="27"/>
      <c r="C41" s="27"/>
      <c r="D41" s="27"/>
      <c r="E41" s="27"/>
      <c r="F41" s="27"/>
      <c r="G41" s="27"/>
      <c r="H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spans="1:56" ht="15.75">
      <c r="A42" s="27"/>
      <c r="B42" s="27"/>
      <c r="C42" s="27"/>
      <c r="D42" s="27"/>
      <c r="E42" s="27"/>
      <c r="F42" s="27"/>
      <c r="G42" s="27"/>
      <c r="H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spans="1:56" ht="15.75">
      <c r="A43" s="27"/>
      <c r="B43" s="28"/>
      <c r="C43" s="27"/>
      <c r="D43" s="27"/>
      <c r="E43" s="27"/>
      <c r="F43" s="27"/>
      <c r="G43" s="27"/>
      <c r="H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spans="1:56" ht="15.75">
      <c r="A44" s="27"/>
      <c r="B44" s="28"/>
      <c r="C44" s="27"/>
      <c r="D44" s="27"/>
      <c r="E44" s="27"/>
      <c r="F44" s="27"/>
      <c r="G44" s="27"/>
      <c r="H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spans="1:56" ht="15.75">
      <c r="A45" s="27"/>
      <c r="B45" s="28"/>
      <c r="C45" s="27"/>
      <c r="D45" s="27"/>
      <c r="E45" s="27"/>
      <c r="F45" s="27"/>
      <c r="G45" s="27"/>
      <c r="H45" s="27"/>
      <c r="M45" s="27"/>
      <c r="N45" s="27"/>
      <c r="O45" s="27"/>
      <c r="P45" s="27"/>
      <c r="Q45" s="27"/>
      <c r="R45" s="27"/>
      <c r="S45" s="27"/>
    </row>
    <row r="46" spans="1:56" ht="15.75">
      <c r="A46" s="27"/>
      <c r="B46" s="28"/>
      <c r="C46" s="27"/>
      <c r="D46" s="27"/>
      <c r="E46" s="27"/>
      <c r="F46" s="27"/>
      <c r="G46" s="27"/>
      <c r="H46" s="27"/>
      <c r="M46" s="27"/>
      <c r="N46" s="27"/>
      <c r="O46" s="27"/>
      <c r="P46" s="27"/>
      <c r="Q46" s="27"/>
      <c r="R46" s="27"/>
      <c r="S46" s="27"/>
    </row>
    <row r="47" spans="1:56" ht="15.75">
      <c r="A47" s="27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56" ht="15.75">
      <c r="A48" s="27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38" ht="15.75">
      <c r="A49" s="27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1:38" ht="15.7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38" ht="15.75"/>
    <row r="52" spans="1:38" ht="15.75"/>
    <row r="53" spans="1:38" ht="15.75"/>
    <row r="54" spans="1:38" ht="15.75"/>
    <row r="55" spans="1:38" ht="15.75"/>
    <row r="56" spans="1:38" ht="15.75"/>
    <row r="57" spans="1:38" ht="15.75"/>
    <row r="58" spans="1:38" ht="15.75">
      <c r="D58" s="6"/>
    </row>
    <row r="59" spans="1:38" ht="15.75">
      <c r="D59" s="6"/>
    </row>
    <row r="60" spans="1:38" ht="15.75">
      <c r="D60" s="6"/>
    </row>
    <row r="61" spans="1:38" ht="15.75"/>
    <row r="62" spans="1:38" ht="15.75">
      <c r="B62" s="8"/>
    </row>
    <row r="63" spans="1:38" ht="15.75">
      <c r="B63" s="8"/>
    </row>
    <row r="64" spans="1:38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  <row r="109" ht="15.75"/>
    <row r="110" ht="15.75"/>
    <row r="111" ht="15.75"/>
    <row r="112" ht="15.75"/>
    <row r="113" ht="15.75"/>
    <row r="114" ht="15.75"/>
    <row r="115" ht="15.75"/>
    <row r="116" ht="15.75"/>
    <row r="117" ht="15.75"/>
    <row r="118" ht="15.75"/>
    <row r="119" ht="15.75"/>
    <row r="120" ht="15.75"/>
    <row r="121" ht="15.75"/>
    <row r="122" ht="15.75"/>
    <row r="123" ht="15.75"/>
    <row r="124" ht="15.75"/>
    <row r="125" ht="15.75"/>
    <row r="126" ht="15.75"/>
    <row r="127" ht="15.75"/>
    <row r="128" ht="15.75"/>
    <row r="129" ht="15.75"/>
    <row r="130" ht="15.75"/>
    <row r="131" ht="15.75"/>
    <row r="132" ht="15.75"/>
    <row r="133" ht="15.75"/>
    <row r="134" ht="15.75"/>
    <row r="135" ht="15.75"/>
    <row r="136" ht="15.75"/>
    <row r="137" ht="15.75"/>
    <row r="138" ht="15.75"/>
    <row r="139" ht="15.75"/>
    <row r="140" ht="15.75"/>
    <row r="141" ht="15.75"/>
    <row r="142" ht="15.75"/>
    <row r="143" ht="15.75"/>
    <row r="144" ht="15.75"/>
    <row r="145" ht="15.75"/>
    <row r="146" ht="15.75"/>
    <row r="147" ht="15.75"/>
    <row r="148" ht="15.75"/>
    <row r="149" ht="15.75"/>
    <row r="150" ht="15.75"/>
    <row r="151" ht="15.75"/>
    <row r="152" ht="15.75"/>
    <row r="153" ht="15.75"/>
    <row r="154" ht="15.75"/>
    <row r="155" ht="15.75"/>
    <row r="156" ht="15.75"/>
    <row r="157" ht="15.75"/>
    <row r="158" ht="15.75"/>
    <row r="159" ht="15.75"/>
    <row r="160" ht="15.75"/>
    <row r="161" ht="15.75"/>
    <row r="162" ht="15.75"/>
    <row r="163" ht="15.75"/>
    <row r="164" ht="15.75"/>
    <row r="165" ht="15.75"/>
    <row r="166" ht="15.75"/>
    <row r="167" ht="15.75"/>
    <row r="168" ht="15.75"/>
    <row r="169" ht="15.75"/>
    <row r="170" ht="15.75"/>
    <row r="171" ht="15.75"/>
    <row r="172" ht="15.75"/>
    <row r="173" ht="15.75"/>
    <row r="174" ht="15.75"/>
    <row r="175" ht="15.75"/>
    <row r="176" ht="15.75"/>
    <row r="177" ht="15.75"/>
    <row r="178" ht="15.75"/>
    <row r="179" ht="15.75"/>
    <row r="180" ht="15.75"/>
    <row r="181" ht="15.75"/>
    <row r="182" ht="15.75"/>
    <row r="183" ht="15.75"/>
    <row r="184" ht="15.75"/>
    <row r="185" ht="15.75"/>
    <row r="186" ht="15.75"/>
    <row r="187" ht="15.75"/>
    <row r="188" ht="15.75"/>
    <row r="189" ht="15.75"/>
    <row r="190" ht="15.75"/>
    <row r="191" ht="15.75"/>
    <row r="192" ht="15.75"/>
    <row r="193" ht="15.75"/>
    <row r="194" ht="15.75"/>
    <row r="195" ht="15.75"/>
    <row r="196" ht="15.75"/>
    <row r="197" ht="15.75"/>
    <row r="198" ht="15.75"/>
    <row r="199" ht="15.75"/>
    <row r="200" ht="15.75"/>
    <row r="201" ht="15.75"/>
    <row r="202" ht="15.75"/>
    <row r="203" ht="15.75"/>
    <row r="204" ht="15.75"/>
    <row r="205" ht="15.75"/>
    <row r="206" ht="15.75"/>
    <row r="207" ht="15.75"/>
    <row r="208" ht="15.75"/>
    <row r="209" ht="15.75"/>
    <row r="210" ht="15.75"/>
    <row r="211" ht="15.75"/>
    <row r="212" ht="15.75"/>
    <row r="213" ht="15.75"/>
    <row r="214" ht="15.75"/>
    <row r="215" ht="15.75"/>
    <row r="216" ht="15.75"/>
    <row r="217" ht="15.75"/>
    <row r="218" ht="15.75"/>
    <row r="219" ht="15.75"/>
    <row r="220" ht="15.75"/>
    <row r="221" ht="15.75"/>
    <row r="222" ht="15.75"/>
    <row r="223" ht="15.75"/>
    <row r="224" ht="15.75"/>
    <row r="225" ht="15.75"/>
    <row r="226" ht="15.75"/>
    <row r="227" ht="15.75"/>
    <row r="228" ht="15.75"/>
    <row r="229" ht="15.75"/>
    <row r="230" ht="15.75"/>
    <row r="231" ht="15.75"/>
    <row r="232" ht="15.75"/>
    <row r="233" ht="15.75"/>
    <row r="234" ht="15.75"/>
    <row r="235" ht="15.75"/>
    <row r="236" ht="15.75"/>
    <row r="237" ht="15.75"/>
    <row r="238" ht="15.75"/>
    <row r="239" ht="15.75"/>
    <row r="240" ht="15.75"/>
    <row r="241" ht="15.75"/>
    <row r="242" ht="15.75"/>
    <row r="243" ht="15.75"/>
    <row r="244" ht="15.75"/>
    <row r="245" ht="15.75"/>
    <row r="246" ht="15.75"/>
    <row r="247" ht="15.75"/>
    <row r="248" ht="15.75"/>
    <row r="249" ht="15.75"/>
    <row r="250" ht="15.75"/>
    <row r="251" ht="15.75"/>
    <row r="252" ht="15.75"/>
    <row r="253" ht="15.75"/>
    <row r="254" ht="15.75"/>
    <row r="255" ht="15.75"/>
    <row r="256" ht="15.75"/>
    <row r="257" ht="15.75"/>
    <row r="258" ht="15.75"/>
    <row r="259" ht="15.75"/>
    <row r="260" ht="15.75"/>
    <row r="261" ht="15.75"/>
    <row r="262" ht="15.75"/>
    <row r="263" ht="15.75"/>
    <row r="264" ht="15.75"/>
    <row r="265" ht="15.75"/>
    <row r="266" ht="15.75"/>
    <row r="267" ht="15.75"/>
    <row r="268" ht="15.75"/>
    <row r="269" ht="15.75"/>
    <row r="270" ht="15.75"/>
    <row r="271" ht="15.75"/>
    <row r="272" ht="15.75"/>
    <row r="273" ht="15.75"/>
    <row r="274" ht="15.75"/>
    <row r="275" ht="15.75"/>
    <row r="276" ht="15.75"/>
    <row r="277" ht="15.75"/>
    <row r="278" ht="15.75"/>
    <row r="279" ht="15.75"/>
    <row r="280" ht="15.75"/>
    <row r="281" ht="15.75"/>
    <row r="282" ht="15.75"/>
    <row r="283" ht="15.75"/>
    <row r="284" ht="15.75"/>
    <row r="285" ht="15.75"/>
    <row r="286" ht="15.75"/>
    <row r="287" ht="15.75"/>
    <row r="288" ht="15.75"/>
    <row r="289" ht="15.75"/>
    <row r="290" ht="15.75"/>
    <row r="291" ht="15.75"/>
    <row r="292" ht="15.75"/>
    <row r="293" ht="15.75"/>
    <row r="294" ht="15.75"/>
    <row r="295" ht="15.75"/>
    <row r="296" ht="15.75"/>
    <row r="297" ht="15.75"/>
    <row r="298" ht="15.75"/>
    <row r="299" ht="15.75"/>
    <row r="300" ht="15.75"/>
    <row r="301" ht="15.75"/>
    <row r="302" ht="15.75"/>
    <row r="303" ht="15.75"/>
    <row r="304" ht="15.75"/>
    <row r="305" ht="15.75"/>
    <row r="306" ht="15.75"/>
    <row r="307" ht="15.75"/>
    <row r="308" ht="15.75"/>
    <row r="309" ht="15.75"/>
    <row r="310" ht="15.75"/>
    <row r="311" ht="15.75"/>
    <row r="312" ht="15.75"/>
    <row r="313" ht="15.75"/>
    <row r="314" ht="15.75"/>
    <row r="315" ht="15.75"/>
    <row r="316" ht="15.75"/>
    <row r="317" ht="15.75"/>
    <row r="318" ht="15.75"/>
    <row r="319" ht="15.75"/>
    <row r="320" ht="15.75"/>
    <row r="321" ht="15.75"/>
    <row r="322" ht="15.75"/>
    <row r="323" ht="15.75"/>
    <row r="324" ht="15.75"/>
    <row r="325" ht="15.75"/>
    <row r="326" ht="15.75"/>
    <row r="327" ht="15.75"/>
    <row r="328" ht="15.75"/>
    <row r="329" ht="15.75"/>
    <row r="330" ht="15.75"/>
    <row r="331" ht="15.75"/>
    <row r="332" ht="15.75"/>
    <row r="333" ht="15.75"/>
    <row r="334" ht="15.75"/>
    <row r="335" ht="15.75"/>
    <row r="336" ht="15.75"/>
    <row r="337" ht="15.75"/>
    <row r="338" ht="15.75"/>
    <row r="339" ht="15.75"/>
    <row r="340" ht="15.75"/>
    <row r="341" ht="15.75"/>
    <row r="342" ht="15.75"/>
    <row r="343" ht="15.75"/>
    <row r="344" ht="15.75"/>
    <row r="345" ht="15.75"/>
    <row r="346" ht="15.75"/>
    <row r="347" ht="15.75"/>
    <row r="348" ht="15.75"/>
    <row r="349" ht="15.75"/>
    <row r="350" ht="15.75"/>
    <row r="351" ht="15.75"/>
    <row r="352" ht="15.75"/>
    <row r="353" ht="15.75"/>
    <row r="354" ht="15.75"/>
    <row r="355" ht="15.75"/>
    <row r="356" ht="15.75"/>
    <row r="357" ht="15.75"/>
    <row r="358" ht="15.75"/>
    <row r="359" ht="15.75"/>
    <row r="360" ht="15.75"/>
    <row r="361" ht="15.75"/>
    <row r="362" ht="15.75"/>
    <row r="363" ht="15.75"/>
    <row r="364" ht="15.75"/>
    <row r="365" ht="15.75"/>
    <row r="366" ht="15.75"/>
    <row r="367" ht="15.75"/>
    <row r="368" ht="15.75"/>
    <row r="369" ht="15.75"/>
    <row r="370" ht="15.75"/>
    <row r="371" ht="15.75"/>
    <row r="372" ht="15.75"/>
    <row r="373" ht="15.75"/>
    <row r="374" ht="15.75"/>
    <row r="375" ht="15.75"/>
    <row r="376" ht="15.75"/>
    <row r="377" ht="15.75"/>
    <row r="378" ht="15.75"/>
    <row r="379" ht="15.75"/>
    <row r="380" ht="15.75"/>
    <row r="381" ht="15.75"/>
    <row r="382" ht="15.75"/>
    <row r="383" ht="15.75"/>
    <row r="384" ht="15.75"/>
    <row r="385" ht="15.75"/>
    <row r="386" ht="15.75"/>
    <row r="387" ht="15.75"/>
    <row r="388" ht="15.75"/>
    <row r="389" ht="15.75"/>
    <row r="390" ht="15.75"/>
    <row r="391" ht="15.75"/>
    <row r="392" ht="15.75"/>
    <row r="393" ht="15.75"/>
    <row r="394" ht="15.75"/>
    <row r="395" ht="15.75"/>
    <row r="396" ht="15.75"/>
    <row r="397" ht="15.75"/>
    <row r="398" ht="15.75"/>
    <row r="399" ht="15.75"/>
    <row r="400" ht="15.75"/>
    <row r="401" ht="15.75"/>
    <row r="402" ht="15.75"/>
    <row r="403" ht="15.75"/>
    <row r="404" ht="15.75"/>
    <row r="405" ht="15.75"/>
    <row r="406" ht="15.75"/>
    <row r="407" ht="15.75"/>
    <row r="408" ht="15.75"/>
    <row r="409" ht="15.75"/>
    <row r="410" ht="15.75"/>
    <row r="411" ht="15.75"/>
    <row r="412" ht="15.75"/>
    <row r="413" ht="15.75"/>
    <row r="414" ht="15.75"/>
    <row r="415" ht="15.75"/>
    <row r="416" ht="15.75"/>
    <row r="417" ht="15.75"/>
    <row r="418" ht="15.75"/>
    <row r="419" ht="15.75"/>
    <row r="420" ht="15.75"/>
    <row r="421" ht="15.75"/>
    <row r="422" ht="15.75"/>
    <row r="423" ht="15.75"/>
    <row r="424" ht="15.75"/>
    <row r="425" ht="15.75"/>
    <row r="426" ht="15.75"/>
    <row r="427" ht="15.75"/>
    <row r="428" ht="15.75"/>
    <row r="429" ht="15.75"/>
    <row r="430" ht="15.75"/>
    <row r="431" ht="15.75"/>
    <row r="432" ht="15.75"/>
    <row r="433" ht="15.75"/>
    <row r="434" ht="15.75"/>
    <row r="435" ht="15.75"/>
    <row r="436" ht="15.75"/>
    <row r="437" ht="15.75"/>
    <row r="438" ht="15.75"/>
    <row r="439" ht="15.75"/>
    <row r="440" ht="15.75"/>
    <row r="441" ht="15.75"/>
    <row r="442" ht="15.75"/>
    <row r="443" ht="15.75"/>
    <row r="444" ht="15.75"/>
    <row r="445" ht="15.75"/>
    <row r="446" ht="15.75"/>
    <row r="447" ht="15.75"/>
    <row r="448" ht="15.75"/>
    <row r="449" ht="15.75"/>
    <row r="450" ht="15.75"/>
    <row r="451" ht="15.75"/>
    <row r="452" ht="15.75"/>
    <row r="453" ht="15.75"/>
    <row r="454" ht="15.75"/>
    <row r="455" ht="15.75"/>
    <row r="456" ht="15.75"/>
    <row r="457" ht="15.75"/>
    <row r="458" ht="15.75"/>
    <row r="459" ht="15.75"/>
    <row r="460" ht="15.75"/>
    <row r="461" ht="15.75"/>
    <row r="462" ht="15.75"/>
    <row r="463" ht="15.75"/>
    <row r="464" ht="15.75"/>
    <row r="465" ht="15.75"/>
    <row r="466" ht="15.75"/>
    <row r="467" ht="15.75"/>
    <row r="468" ht="15.75"/>
    <row r="469" ht="15.75"/>
    <row r="470" ht="15.75"/>
    <row r="471" ht="15.75"/>
    <row r="472" ht="15.75"/>
    <row r="473" ht="15.75"/>
    <row r="474" ht="15.75"/>
    <row r="475" ht="15.75"/>
    <row r="476" ht="15.75"/>
    <row r="477" ht="15.75"/>
    <row r="478" ht="15.75"/>
    <row r="479" ht="15.75"/>
    <row r="480" ht="15.75"/>
    <row r="481" ht="15.75"/>
    <row r="482" ht="15.75"/>
    <row r="483" ht="15.75"/>
    <row r="484" ht="15.75"/>
    <row r="485" ht="15.75"/>
    <row r="486" ht="15.75"/>
    <row r="487" ht="15.75"/>
    <row r="488" ht="15.75"/>
    <row r="489" ht="15.75"/>
    <row r="490" ht="15.75"/>
    <row r="491" ht="15.75"/>
    <row r="492" ht="15.75"/>
    <row r="493" ht="15.75"/>
    <row r="494" ht="15.75"/>
    <row r="495" ht="15.75"/>
    <row r="496" ht="15.75"/>
    <row r="497" ht="15.75"/>
    <row r="498" ht="15.75"/>
    <row r="499" ht="15.75"/>
    <row r="500" ht="15.75"/>
    <row r="501" ht="15.75"/>
    <row r="502" ht="15.75"/>
    <row r="503" ht="15.75"/>
    <row r="504" ht="15.75"/>
    <row r="505" ht="15.75"/>
    <row r="506" ht="15.75"/>
    <row r="507" ht="15.75"/>
    <row r="508" ht="15.75"/>
    <row r="509" ht="15.75"/>
    <row r="510" ht="15.75"/>
    <row r="511" ht="15.75"/>
    <row r="512" ht="15.75"/>
    <row r="513" ht="15.75"/>
    <row r="514" ht="15.75"/>
    <row r="515" ht="15.75"/>
    <row r="516" ht="15.75"/>
    <row r="517" ht="15.75"/>
    <row r="518" ht="15.75"/>
    <row r="519" ht="15.75"/>
    <row r="520" ht="15.75"/>
    <row r="521" ht="15.75"/>
    <row r="522" ht="15.75"/>
    <row r="523" ht="15.75"/>
    <row r="524" ht="15.75"/>
    <row r="525" ht="15.75"/>
    <row r="526" ht="15.75"/>
    <row r="527" ht="15.75"/>
    <row r="528" ht="15.75"/>
    <row r="529" ht="15.75"/>
    <row r="530" ht="15.75"/>
    <row r="531" ht="15.75"/>
    <row r="532" ht="15.75"/>
    <row r="533" ht="15.75"/>
    <row r="534" ht="15.75"/>
    <row r="535" ht="15.75"/>
    <row r="536" ht="15.75"/>
    <row r="537" ht="15.75"/>
    <row r="538" ht="15.75"/>
    <row r="539" ht="15.75"/>
    <row r="540" ht="15.75"/>
    <row r="541" ht="15.75"/>
    <row r="542" ht="15.75"/>
    <row r="543" ht="15.75"/>
    <row r="544" ht="15.75"/>
    <row r="545" ht="15.75"/>
    <row r="546" ht="15.75"/>
    <row r="547" ht="15.75"/>
    <row r="548" ht="15.75"/>
    <row r="549" ht="15.75"/>
    <row r="550" ht="15.75"/>
    <row r="551" ht="15.75"/>
    <row r="552" ht="15.75"/>
    <row r="553" ht="15.75"/>
    <row r="554" ht="15.75"/>
    <row r="555" ht="15.75"/>
    <row r="556" ht="15.75"/>
    <row r="557" ht="15.75"/>
    <row r="558" ht="15.75"/>
    <row r="559" ht="15.75"/>
    <row r="560" ht="15.75"/>
    <row r="561" ht="15.75"/>
  </sheetData>
  <mergeCells count="18">
    <mergeCell ref="C10:C11"/>
    <mergeCell ref="D10:G10"/>
    <mergeCell ref="C2:E2"/>
    <mergeCell ref="A17:AB17"/>
    <mergeCell ref="C9:G9"/>
    <mergeCell ref="I31:K31"/>
    <mergeCell ref="M20:M31"/>
    <mergeCell ref="N29:N31"/>
    <mergeCell ref="M19:AA19"/>
    <mergeCell ref="A18:A35"/>
    <mergeCell ref="B19:C19"/>
    <mergeCell ref="E19:G19"/>
    <mergeCell ref="I19:K19"/>
    <mergeCell ref="N21:N24"/>
    <mergeCell ref="F24:G24"/>
    <mergeCell ref="I25:K25"/>
    <mergeCell ref="N25:N28"/>
    <mergeCell ref="B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61"/>
  <sheetViews>
    <sheetView zoomScale="55" zoomScaleNormal="55" workbookViewId="0">
      <selection activeCell="C2" sqref="C2:E7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3:33" ht="16.5" thickBot="1"/>
    <row r="2" spans="3:33" ht="21">
      <c r="C2" s="199" t="s">
        <v>97</v>
      </c>
      <c r="D2" s="200"/>
      <c r="E2" s="201"/>
    </row>
    <row r="3" spans="3:33" ht="15.75">
      <c r="C3" s="34" t="s">
        <v>98</v>
      </c>
      <c r="D3" s="33" t="s">
        <v>1</v>
      </c>
      <c r="E3" s="42" t="s">
        <v>4</v>
      </c>
    </row>
    <row r="4" spans="3:33" ht="15.75">
      <c r="C4" s="40" t="s">
        <v>12</v>
      </c>
      <c r="D4" s="15">
        <f>Z22</f>
        <v>29.230057076606201</v>
      </c>
      <c r="E4" s="22">
        <f>Z25</f>
        <v>110.31731071604035</v>
      </c>
    </row>
    <row r="5" spans="3:33" ht="15.75">
      <c r="C5" s="40" t="s">
        <v>13</v>
      </c>
      <c r="D5" s="15">
        <f>Z23</f>
        <v>28.922856561046615</v>
      </c>
      <c r="E5" s="22">
        <f>Z26</f>
        <v>314.02540924306084</v>
      </c>
    </row>
    <row r="6" spans="3:33" ht="15.75">
      <c r="C6" s="40" t="s">
        <v>14</v>
      </c>
      <c r="D6" s="15">
        <f>Z24</f>
        <v>28.659696076809912</v>
      </c>
      <c r="E6" s="22">
        <f>Z27</f>
        <v>1755.1830451120375</v>
      </c>
    </row>
    <row r="7" spans="3:33" ht="16.5" thickBot="1">
      <c r="C7" s="41" t="s">
        <v>15</v>
      </c>
      <c r="D7" s="20">
        <f>Z21</f>
        <v>2.8906858258934758</v>
      </c>
      <c r="E7" s="24">
        <f>Z28</f>
        <v>2179.5257650711387</v>
      </c>
    </row>
    <row r="8" spans="3:33" ht="16.5" thickBot="1">
      <c r="C8" s="50"/>
      <c r="D8" s="7"/>
      <c r="E8" s="7"/>
    </row>
    <row r="9" spans="3:33" ht="16.5" thickBot="1">
      <c r="C9" s="233" t="s">
        <v>102</v>
      </c>
      <c r="D9" s="211"/>
      <c r="E9" s="211"/>
      <c r="F9" s="211"/>
      <c r="G9" s="212"/>
    </row>
    <row r="10" spans="3:33" ht="15.75">
      <c r="C10" s="231"/>
      <c r="D10" s="221" t="s">
        <v>22</v>
      </c>
      <c r="E10" s="221"/>
      <c r="F10" s="221"/>
      <c r="G10" s="222"/>
    </row>
    <row r="11" spans="3:33" ht="15.75">
      <c r="C11" s="232"/>
      <c r="D11" s="9" t="s">
        <v>36</v>
      </c>
      <c r="E11" s="9" t="s">
        <v>37</v>
      </c>
      <c r="F11" s="10" t="s">
        <v>33</v>
      </c>
      <c r="G11" s="11" t="s">
        <v>34</v>
      </c>
    </row>
    <row r="12" spans="3:33" ht="15.75">
      <c r="C12" s="12" t="s">
        <v>23</v>
      </c>
      <c r="D12" s="13">
        <f>F12*891*9.81</f>
        <v>8382.9888950910808</v>
      </c>
      <c r="E12" s="13">
        <f>D12/6895</f>
        <v>1.2158069463511356</v>
      </c>
      <c r="F12" s="13">
        <f>D7*J32/$C$30</f>
        <v>0.9590741364364086</v>
      </c>
      <c r="G12" s="14">
        <f>F12*0.891/13.6*1000</f>
        <v>62.833459968002948</v>
      </c>
    </row>
    <row r="13" spans="3:33" ht="15.75">
      <c r="C13" s="12" t="s">
        <v>24</v>
      </c>
      <c r="D13" s="13">
        <f>F13*891*9.81</f>
        <v>7958.6815501220735</v>
      </c>
      <c r="E13" s="13">
        <f>D13/6895</f>
        <v>1.1542685351881179</v>
      </c>
      <c r="F13" s="13">
        <f>(D7-D4*G25)*J33/C$30</f>
        <v>0.91053032878588502</v>
      </c>
      <c r="G13" s="14">
        <f>F13*0.891/13.6*1000</f>
        <v>59.653126687369387</v>
      </c>
    </row>
    <row r="14" spans="3:33" ht="16.5" thickBot="1">
      <c r="C14" s="23" t="s">
        <v>25</v>
      </c>
      <c r="D14" s="19">
        <f>F14*891*9.81</f>
        <v>6750.8630601327659</v>
      </c>
      <c r="E14" s="19">
        <f>D14/6895</f>
        <v>0.97909544019329453</v>
      </c>
      <c r="F14" s="19">
        <f>(D7-D5*G26-D4*G25)*J34/C$30</f>
        <v>0.77234721894820502</v>
      </c>
      <c r="G14" s="21">
        <f>F14*0.891/13.6*1000</f>
        <v>50.600100888444906</v>
      </c>
    </row>
    <row r="15" spans="3:33" ht="15.75">
      <c r="C15" s="28"/>
      <c r="D15" s="27"/>
      <c r="E15" s="27"/>
      <c r="F15" s="27"/>
      <c r="G15" s="27"/>
    </row>
    <row r="16" spans="3:33" ht="16.5" thickBot="1"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ht="34.5" thickBot="1">
      <c r="A17" s="202" t="s">
        <v>99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4"/>
      <c r="AC17" s="52"/>
      <c r="AD17" s="52"/>
      <c r="AE17" s="27"/>
      <c r="AF17" s="27"/>
      <c r="AG17" s="27"/>
    </row>
    <row r="18" spans="1:33" ht="16.5" thickBot="1">
      <c r="A18" s="213"/>
      <c r="D18" s="27"/>
      <c r="E18" s="27"/>
      <c r="F18" s="27"/>
      <c r="G18" s="27"/>
      <c r="H18" s="28"/>
      <c r="I18" s="27"/>
      <c r="J18" s="27"/>
      <c r="K18" s="27"/>
      <c r="L18" s="28"/>
      <c r="M18" s="27"/>
      <c r="N18" s="27"/>
      <c r="O18" s="27"/>
      <c r="P18" s="27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6"/>
      <c r="AC18" s="53"/>
      <c r="AD18" s="53"/>
      <c r="AE18" s="27"/>
      <c r="AF18" s="27"/>
      <c r="AG18" s="27"/>
    </row>
    <row r="19" spans="1:33" ht="15.75">
      <c r="A19" s="213"/>
      <c r="B19" s="207" t="s">
        <v>0</v>
      </c>
      <c r="C19" s="209"/>
      <c r="D19" s="27"/>
      <c r="E19" s="228" t="s">
        <v>62</v>
      </c>
      <c r="F19" s="229"/>
      <c r="G19" s="230"/>
      <c r="H19" s="27"/>
      <c r="I19" s="228" t="s">
        <v>68</v>
      </c>
      <c r="J19" s="229"/>
      <c r="K19" s="230"/>
      <c r="L19" s="27"/>
      <c r="M19" s="234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6"/>
      <c r="AA19" s="53"/>
      <c r="AB19" s="49"/>
      <c r="AC19" s="5"/>
      <c r="AD19" s="5"/>
      <c r="AE19" s="5"/>
      <c r="AF19" s="5"/>
      <c r="AG19" s="27"/>
    </row>
    <row r="20" spans="1:33" ht="15.75">
      <c r="A20" s="213"/>
      <c r="B20" s="17" t="s">
        <v>64</v>
      </c>
      <c r="C20" s="22">
        <v>5</v>
      </c>
      <c r="D20" s="27"/>
      <c r="E20" s="12" t="s">
        <v>43</v>
      </c>
      <c r="F20" s="15">
        <v>0.05</v>
      </c>
      <c r="G20" s="14" t="s">
        <v>61</v>
      </c>
      <c r="H20" s="27"/>
      <c r="I20" s="12" t="s">
        <v>49</v>
      </c>
      <c r="J20" s="15">
        <v>4.0000000000000001E-3</v>
      </c>
      <c r="K20" s="14" t="s">
        <v>61</v>
      </c>
      <c r="L20" s="27"/>
      <c r="M20" s="215" t="s">
        <v>88</v>
      </c>
      <c r="N20" s="13"/>
      <c r="O20" s="9" t="s">
        <v>16</v>
      </c>
      <c r="P20" s="10" t="s">
        <v>101</v>
      </c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4">
        <v>10</v>
      </c>
      <c r="AA20" s="5"/>
      <c r="AB20" s="49"/>
      <c r="AC20" s="7"/>
      <c r="AD20" s="7"/>
      <c r="AE20" s="7"/>
      <c r="AF20" s="7"/>
      <c r="AG20" s="27"/>
    </row>
    <row r="21" spans="1:33" ht="15.75">
      <c r="A21" s="213"/>
      <c r="B21" s="17" t="s">
        <v>17</v>
      </c>
      <c r="C21" s="22">
        <f>(C20*(30.48/12)^2/0.4536)</f>
        <v>71.115520282186949</v>
      </c>
      <c r="D21" s="27"/>
      <c r="E21" s="12" t="s">
        <v>44</v>
      </c>
      <c r="F21" s="15">
        <v>0.05</v>
      </c>
      <c r="G21" s="14" t="s">
        <v>61</v>
      </c>
      <c r="H21" s="27"/>
      <c r="I21" s="12" t="s">
        <v>50</v>
      </c>
      <c r="J21" s="15">
        <v>2.8299999999999999E-4</v>
      </c>
      <c r="K21" s="14" t="s">
        <v>61</v>
      </c>
      <c r="L21" s="27"/>
      <c r="M21" s="215"/>
      <c r="N21" s="217" t="s">
        <v>1</v>
      </c>
      <c r="O21" s="9" t="s">
        <v>5</v>
      </c>
      <c r="P21" s="15">
        <f>P22*$G$25+P23*$G$26+P24*$G$27</f>
        <v>2.899510557562806</v>
      </c>
      <c r="Q21" s="15">
        <f>Q22*$G$25+Q23*$G$26+Q24*$G$27</f>
        <v>2.8905073490124367</v>
      </c>
      <c r="R21" s="15">
        <f t="shared" ref="R21:Z21" si="0">R22*$G$25+R23*$G$26+R24*$G$27</f>
        <v>2.8906911030185132</v>
      </c>
      <c r="S21" s="15">
        <f t="shared" si="0"/>
        <v>2.8906856670728756</v>
      </c>
      <c r="T21" s="15">
        <f t="shared" si="0"/>
        <v>2.8906858306764969</v>
      </c>
      <c r="U21" s="15">
        <f t="shared" si="0"/>
        <v>2.8906858257494275</v>
      </c>
      <c r="V21" s="15">
        <f t="shared" si="0"/>
        <v>2.8906858258978141</v>
      </c>
      <c r="W21" s="15">
        <f t="shared" si="0"/>
        <v>2.8906858258933457</v>
      </c>
      <c r="X21" s="15">
        <f t="shared" si="0"/>
        <v>2.8906858258934802</v>
      </c>
      <c r="Y21" s="15">
        <f t="shared" si="0"/>
        <v>2.8906858258934758</v>
      </c>
      <c r="Z21" s="22">
        <f t="shared" si="0"/>
        <v>2.8906858258934758</v>
      </c>
      <c r="AA21" s="7"/>
      <c r="AB21" s="38"/>
      <c r="AC21" s="7"/>
      <c r="AD21" s="7"/>
      <c r="AE21" s="7"/>
      <c r="AF21" s="7"/>
      <c r="AG21" s="27"/>
    </row>
    <row r="22" spans="1:33" ht="16.5" thickBot="1">
      <c r="A22" s="213"/>
      <c r="B22" s="17" t="s">
        <v>65</v>
      </c>
      <c r="C22" s="22">
        <f>(C20*(30.48/12)^2/0.4536)*6895</f>
        <v>490341.51234567899</v>
      </c>
      <c r="D22" s="27"/>
      <c r="E22" s="23" t="s">
        <v>45</v>
      </c>
      <c r="F22" s="20">
        <v>0.05</v>
      </c>
      <c r="G22" s="21" t="s">
        <v>61</v>
      </c>
      <c r="H22" s="27"/>
      <c r="I22" s="12" t="s">
        <v>51</v>
      </c>
      <c r="J22" s="15">
        <v>4.8000000000000001E-4</v>
      </c>
      <c r="K22" s="14" t="s">
        <v>61</v>
      </c>
      <c r="L22" s="27"/>
      <c r="M22" s="215"/>
      <c r="N22" s="217"/>
      <c r="O22" s="10" t="s">
        <v>9</v>
      </c>
      <c r="P22" s="15">
        <f>(-J32*G25+((J32*G25)^2+4*$C$25)^0.5)/2</f>
        <v>29.533894791106341</v>
      </c>
      <c r="Q22" s="15">
        <f t="shared" ref="Q22:Z22" si="1">($C$25-$J32*P$21)^0.5</f>
        <v>29.229074425291888</v>
      </c>
      <c r="R22" s="15">
        <f t="shared" si="1"/>
        <v>29.230076950018873</v>
      </c>
      <c r="S22" s="15">
        <f t="shared" si="1"/>
        <v>29.230056488997771</v>
      </c>
      <c r="T22" s="15">
        <f t="shared" si="1"/>
        <v>29.230057094290895</v>
      </c>
      <c r="U22" s="15">
        <f t="shared" si="1"/>
        <v>29.230057076073614</v>
      </c>
      <c r="V22" s="15">
        <f t="shared" si="1"/>
        <v>29.230057076622241</v>
      </c>
      <c r="W22" s="15">
        <f t="shared" si="1"/>
        <v>29.230057076605721</v>
      </c>
      <c r="X22" s="15">
        <f t="shared" si="1"/>
        <v>29.230057076606219</v>
      </c>
      <c r="Y22" s="15">
        <f t="shared" si="1"/>
        <v>29.230057076606201</v>
      </c>
      <c r="Z22" s="22">
        <f t="shared" si="1"/>
        <v>29.230057076606201</v>
      </c>
      <c r="AA22" s="7"/>
      <c r="AB22" s="38"/>
      <c r="AC22" s="7"/>
      <c r="AD22" s="7"/>
      <c r="AE22" s="7"/>
      <c r="AF22" s="7"/>
      <c r="AG22" s="27"/>
    </row>
    <row r="23" spans="1:33" ht="16.5" thickBot="1">
      <c r="A23" s="213"/>
      <c r="B23" s="17" t="s">
        <v>66</v>
      </c>
      <c r="C23" s="22">
        <f>101325</f>
        <v>101325</v>
      </c>
      <c r="D23" s="27"/>
      <c r="E23" s="28"/>
      <c r="F23" s="27"/>
      <c r="G23" s="27"/>
      <c r="H23" s="27"/>
      <c r="I23" s="23" t="s">
        <v>52</v>
      </c>
      <c r="J23" s="20">
        <v>1.14E-3</v>
      </c>
      <c r="K23" s="21" t="s">
        <v>61</v>
      </c>
      <c r="L23" s="27"/>
      <c r="M23" s="215"/>
      <c r="N23" s="217"/>
      <c r="O23" s="10" t="s">
        <v>10</v>
      </c>
      <c r="P23" s="15">
        <f>(-(J33+J32)*G26+(((J33+J32)*G26)^2+4*($C$25-G25*P22*J32))^0.5)/2</f>
        <v>29.440306173115019</v>
      </c>
      <c r="Q23" s="15">
        <f t="shared" ref="Q23:Z23" si="2">($C$25-$J$32*P$21-$J$33*(P$21-$G$25*P$22))^0.5</f>
        <v>28.921041509364183</v>
      </c>
      <c r="R23" s="15">
        <f t="shared" si="2"/>
        <v>28.922896176506825</v>
      </c>
      <c r="S23" s="15">
        <f t="shared" si="2"/>
        <v>28.922855384541815</v>
      </c>
      <c r="T23" s="15">
        <f t="shared" si="2"/>
        <v>28.922856596460676</v>
      </c>
      <c r="U23" s="15">
        <f t="shared" si="2"/>
        <v>28.922856559980083</v>
      </c>
      <c r="V23" s="15">
        <f t="shared" si="2"/>
        <v>28.922856561078735</v>
      </c>
      <c r="W23" s="15">
        <f t="shared" si="2"/>
        <v>28.922856561045649</v>
      </c>
      <c r="X23" s="15">
        <f t="shared" si="2"/>
        <v>28.922856561046647</v>
      </c>
      <c r="Y23" s="15">
        <f t="shared" si="2"/>
        <v>28.922856561046615</v>
      </c>
      <c r="Z23" s="22">
        <f t="shared" si="2"/>
        <v>28.922856561046615</v>
      </c>
      <c r="AA23" s="7"/>
      <c r="AB23" s="38"/>
      <c r="AC23" s="7"/>
      <c r="AD23" s="7"/>
      <c r="AE23" s="7"/>
      <c r="AF23" s="7"/>
      <c r="AG23" s="27"/>
    </row>
    <row r="24" spans="1:33" ht="16.5" thickBot="1">
      <c r="A24" s="213"/>
      <c r="B24" s="17" t="s">
        <v>67</v>
      </c>
      <c r="C24" s="22">
        <f>C22-C23</f>
        <v>389016.51234567899</v>
      </c>
      <c r="D24" s="27"/>
      <c r="E24" s="28"/>
      <c r="F24" s="207" t="s">
        <v>63</v>
      </c>
      <c r="G24" s="209"/>
      <c r="H24" s="7"/>
      <c r="I24" s="27"/>
      <c r="J24" s="27"/>
      <c r="K24" s="27"/>
      <c r="L24" s="27"/>
      <c r="M24" s="215"/>
      <c r="N24" s="217"/>
      <c r="O24" s="10" t="s">
        <v>11</v>
      </c>
      <c r="P24" s="15">
        <f>(-(J34+J33+J32)*G27+(((J34+J33+J32)*G27)^2+4*($C$25-G26*P23*(J33+J32)-P22*J32*G25))^0.5)/2</f>
        <v>28.657881100949737</v>
      </c>
      <c r="Q24" s="15">
        <f t="shared" ref="Q24:Z24" si="3">($C$25-$J$32*P$21-$J$33*(P$21-P$22*$G$25)-$J$34*(P$21-$G$26*P$23-P$22*$G$25))^0.5</f>
        <v>28.657881100949737</v>
      </c>
      <c r="R24" s="15">
        <f t="shared" si="3"/>
        <v>28.659752798075544</v>
      </c>
      <c r="S24" s="15">
        <f t="shared" si="3"/>
        <v>28.659694366282114</v>
      </c>
      <c r="T24" s="15">
        <f t="shared" si="3"/>
        <v>28.659696128327759</v>
      </c>
      <c r="U24" s="15">
        <f t="shared" si="3"/>
        <v>28.659696075258367</v>
      </c>
      <c r="V24" s="15">
        <f t="shared" si="3"/>
        <v>28.65969607685664</v>
      </c>
      <c r="W24" s="15">
        <f t="shared" si="3"/>
        <v>28.659696076808508</v>
      </c>
      <c r="X24" s="15">
        <f t="shared" si="3"/>
        <v>28.659696076809958</v>
      </c>
      <c r="Y24" s="15">
        <f t="shared" si="3"/>
        <v>28.659696076809912</v>
      </c>
      <c r="Z24" s="22">
        <f t="shared" si="3"/>
        <v>28.659696076809912</v>
      </c>
      <c r="AA24" s="7"/>
      <c r="AB24" s="38"/>
      <c r="AC24" s="7"/>
      <c r="AD24" s="7"/>
      <c r="AE24" s="7"/>
      <c r="AF24" s="7"/>
      <c r="AG24" s="27"/>
    </row>
    <row r="25" spans="1:33" ht="16.5" thickBot="1">
      <c r="A25" s="213"/>
      <c r="B25" s="18" t="s">
        <v>81</v>
      </c>
      <c r="C25" s="24">
        <f>C24*2/C29</f>
        <v>873.21327125853873</v>
      </c>
      <c r="D25" s="27"/>
      <c r="E25" s="27"/>
      <c r="F25" s="12" t="s">
        <v>75</v>
      </c>
      <c r="G25" s="22">
        <f>J27/J26</f>
        <v>5.0055625000000005E-3</v>
      </c>
      <c r="H25" s="7"/>
      <c r="I25" s="228" t="s">
        <v>18</v>
      </c>
      <c r="J25" s="229"/>
      <c r="K25" s="230"/>
      <c r="L25" s="27"/>
      <c r="M25" s="215"/>
      <c r="N25" s="218" t="s">
        <v>19</v>
      </c>
      <c r="O25" s="39" t="s">
        <v>12</v>
      </c>
      <c r="P25" s="15">
        <f t="shared" ref="P25:Z25" si="4">P22*$J27*1000000*60</f>
        <v>111.46402621748183</v>
      </c>
      <c r="Q25" s="15">
        <f t="shared" si="4"/>
        <v>110.3136020865949</v>
      </c>
      <c r="R25" s="15">
        <f t="shared" si="4"/>
        <v>110.31738572039067</v>
      </c>
      <c r="S25" s="15">
        <f t="shared" si="4"/>
        <v>110.31730849834432</v>
      </c>
      <c r="T25" s="15">
        <f t="shared" si="4"/>
        <v>110.31731078278425</v>
      </c>
      <c r="U25" s="15">
        <f t="shared" si="4"/>
        <v>110.31731071403031</v>
      </c>
      <c r="V25" s="15">
        <f t="shared" si="4"/>
        <v>110.31731071610088</v>
      </c>
      <c r="W25" s="15">
        <f t="shared" si="4"/>
        <v>110.31731071603855</v>
      </c>
      <c r="X25" s="15">
        <f t="shared" si="4"/>
        <v>110.31731071604042</v>
      </c>
      <c r="Y25" s="15">
        <f t="shared" si="4"/>
        <v>110.31731071604035</v>
      </c>
      <c r="Z25" s="22">
        <f t="shared" si="4"/>
        <v>110.31731071604035</v>
      </c>
      <c r="AA25" s="7"/>
      <c r="AB25" s="38"/>
      <c r="AC25" s="7"/>
      <c r="AD25" s="7"/>
      <c r="AE25" s="7"/>
      <c r="AF25" s="7"/>
      <c r="AG25" s="27"/>
    </row>
    <row r="26" spans="1:33" ht="16.5" thickBot="1">
      <c r="A26" s="213"/>
      <c r="E26" s="27"/>
      <c r="F26" s="12" t="s">
        <v>76</v>
      </c>
      <c r="G26" s="22">
        <f>J28/J26</f>
        <v>1.44E-2</v>
      </c>
      <c r="H26" s="7"/>
      <c r="I26" s="12" t="s">
        <v>56</v>
      </c>
      <c r="J26" s="15">
        <f>J20^2*3.14159265358979/4</f>
        <v>1.256637061435916E-5</v>
      </c>
      <c r="K26" s="14" t="s">
        <v>60</v>
      </c>
      <c r="L26" s="27"/>
      <c r="M26" s="215"/>
      <c r="N26" s="218"/>
      <c r="O26" s="39" t="s">
        <v>13</v>
      </c>
      <c r="P26" s="15">
        <f t="shared" ref="P26:Z26" si="5">P23*$J28*1000000*60</f>
        <v>319.6435377930357</v>
      </c>
      <c r="Q26" s="15">
        <f t="shared" si="5"/>
        <v>314.00570260218427</v>
      </c>
      <c r="R26" s="15">
        <f t="shared" si="5"/>
        <v>314.02583936174841</v>
      </c>
      <c r="S26" s="15">
        <f t="shared" si="5"/>
        <v>314.02539646934332</v>
      </c>
      <c r="T26" s="15">
        <f t="shared" si="5"/>
        <v>314.02540962756353</v>
      </c>
      <c r="U26" s="15">
        <f t="shared" si="5"/>
        <v>314.02540923148115</v>
      </c>
      <c r="V26" s="15">
        <f t="shared" si="5"/>
        <v>314.02540924340957</v>
      </c>
      <c r="W26" s="15">
        <f t="shared" si="5"/>
        <v>314.02540924305043</v>
      </c>
      <c r="X26" s="15">
        <f t="shared" si="5"/>
        <v>314.02540924306123</v>
      </c>
      <c r="Y26" s="15">
        <f t="shared" si="5"/>
        <v>314.02540924306084</v>
      </c>
      <c r="Z26" s="22">
        <f t="shared" si="5"/>
        <v>314.02540924306084</v>
      </c>
      <c r="AA26" s="7"/>
      <c r="AB26" s="38"/>
      <c r="AC26" s="7"/>
      <c r="AD26" s="7"/>
      <c r="AE26" s="7"/>
      <c r="AF26" s="7"/>
      <c r="AG26" s="27"/>
    </row>
    <row r="27" spans="1:33" ht="16.5" thickBot="1">
      <c r="A27" s="213"/>
      <c r="B27" s="207" t="s">
        <v>69</v>
      </c>
      <c r="C27" s="208"/>
      <c r="D27" s="209"/>
      <c r="E27" s="27"/>
      <c r="F27" s="23" t="s">
        <v>77</v>
      </c>
      <c r="G27" s="24">
        <f>J29/J26</f>
        <v>8.1224999999999992E-2</v>
      </c>
      <c r="H27" s="28"/>
      <c r="I27" s="12" t="s">
        <v>57</v>
      </c>
      <c r="J27" s="15">
        <f>J21^2*3.14159265358979/4</f>
        <v>6.2901753508338175E-8</v>
      </c>
      <c r="K27" s="14" t="s">
        <v>60</v>
      </c>
      <c r="L27" s="27"/>
      <c r="M27" s="215"/>
      <c r="N27" s="218"/>
      <c r="O27" s="39" t="s">
        <v>14</v>
      </c>
      <c r="P27" s="15">
        <f t="shared" ref="P27:Z27" si="6">P24*$J29*1000000*60</f>
        <v>1755.0718919843655</v>
      </c>
      <c r="Q27" s="15">
        <f t="shared" si="6"/>
        <v>1755.0718919843655</v>
      </c>
      <c r="R27" s="15">
        <f t="shared" si="6"/>
        <v>1755.1865188475394</v>
      </c>
      <c r="S27" s="15">
        <f t="shared" si="6"/>
        <v>1755.1829403555396</v>
      </c>
      <c r="T27" s="15">
        <f t="shared" si="6"/>
        <v>1755.1830482671041</v>
      </c>
      <c r="U27" s="15">
        <f t="shared" si="6"/>
        <v>1755.1830450170173</v>
      </c>
      <c r="V27" s="15">
        <f t="shared" si="6"/>
        <v>1755.1830451148992</v>
      </c>
      <c r="W27" s="15">
        <f t="shared" si="6"/>
        <v>1755.1830451119513</v>
      </c>
      <c r="X27" s="15">
        <f t="shared" si="6"/>
        <v>1755.1830451120402</v>
      </c>
      <c r="Y27" s="15">
        <f t="shared" si="6"/>
        <v>1755.1830451120375</v>
      </c>
      <c r="Z27" s="22">
        <f t="shared" si="6"/>
        <v>1755.1830451120375</v>
      </c>
      <c r="AA27" s="7"/>
      <c r="AB27" s="38"/>
      <c r="AC27" s="7"/>
      <c r="AD27" s="7"/>
      <c r="AE27" s="7"/>
      <c r="AF27" s="7"/>
      <c r="AG27" s="27"/>
    </row>
    <row r="28" spans="1:33" ht="15.75">
      <c r="A28" s="213"/>
      <c r="B28" s="17" t="s">
        <v>3</v>
      </c>
      <c r="C28" s="15">
        <v>2.9000000000000001E-2</v>
      </c>
      <c r="D28" s="14"/>
      <c r="E28" s="27"/>
      <c r="F28" s="27"/>
      <c r="G28" s="27"/>
      <c r="H28" s="27"/>
      <c r="I28" s="12" t="s">
        <v>58</v>
      </c>
      <c r="J28" s="15">
        <f>J22^2*3.14159265358979/4</f>
        <v>1.8095573684677189E-7</v>
      </c>
      <c r="K28" s="14" t="s">
        <v>60</v>
      </c>
      <c r="L28" s="27"/>
      <c r="M28" s="215"/>
      <c r="N28" s="218"/>
      <c r="O28" s="39" t="s">
        <v>15</v>
      </c>
      <c r="P28" s="15">
        <f t="shared" ref="P28:Z28" si="7">P21*$J26*1000000*60</f>
        <v>2186.179455994883</v>
      </c>
      <c r="Q28" s="15">
        <f t="shared" si="7"/>
        <v>2179.3911966731453</v>
      </c>
      <c r="R28" s="15">
        <f t="shared" si="7"/>
        <v>2179.5297439296783</v>
      </c>
      <c r="S28" s="15">
        <f t="shared" si="7"/>
        <v>2179.5256453232273</v>
      </c>
      <c r="T28" s="15">
        <f t="shared" si="7"/>
        <v>2179.5257686774517</v>
      </c>
      <c r="U28" s="15">
        <f t="shared" si="7"/>
        <v>2179.5257649625287</v>
      </c>
      <c r="V28" s="15">
        <f t="shared" si="7"/>
        <v>2179.5257650744097</v>
      </c>
      <c r="W28" s="15">
        <f t="shared" si="7"/>
        <v>2179.5257650710405</v>
      </c>
      <c r="X28" s="15">
        <f t="shared" si="7"/>
        <v>2179.5257650711424</v>
      </c>
      <c r="Y28" s="15">
        <f t="shared" si="7"/>
        <v>2179.5257650711387</v>
      </c>
      <c r="Z28" s="22">
        <f t="shared" si="7"/>
        <v>2179.5257650711387</v>
      </c>
      <c r="AA28" s="7"/>
      <c r="AB28" s="38"/>
      <c r="AC28" s="7"/>
      <c r="AD28" s="7"/>
      <c r="AE28" s="7"/>
      <c r="AF28" s="7"/>
      <c r="AG28" s="27"/>
    </row>
    <row r="29" spans="1:33" ht="16.5" thickBot="1">
      <c r="A29" s="213"/>
      <c r="B29" s="17" t="s">
        <v>2</v>
      </c>
      <c r="C29" s="15">
        <v>891</v>
      </c>
      <c r="D29" s="14" t="s">
        <v>71</v>
      </c>
      <c r="E29" s="27"/>
      <c r="F29" s="27"/>
      <c r="G29" s="27"/>
      <c r="H29" s="27"/>
      <c r="I29" s="23" t="s">
        <v>59</v>
      </c>
      <c r="J29" s="20">
        <f>J23^2*3.14159265358979/4</f>
        <v>1.0207034531513226E-6</v>
      </c>
      <c r="K29" s="21" t="s">
        <v>60</v>
      </c>
      <c r="L29" s="27"/>
      <c r="M29" s="215"/>
      <c r="N29" s="223"/>
      <c r="O29" s="39" t="s">
        <v>41</v>
      </c>
      <c r="P29" s="15"/>
      <c r="Q29" s="15" t="str">
        <f>IF(Q22-P22=0,"YES","NO")</f>
        <v>NO</v>
      </c>
      <c r="R29" s="15" t="str">
        <f t="shared" ref="R29:Z29" si="8">IF(R22-Q22=0,"YES","NO")</f>
        <v>NO</v>
      </c>
      <c r="S29" s="15" t="str">
        <f t="shared" si="8"/>
        <v>NO</v>
      </c>
      <c r="T29" s="15" t="str">
        <f t="shared" si="8"/>
        <v>NO</v>
      </c>
      <c r="U29" s="15" t="str">
        <f t="shared" si="8"/>
        <v>NO</v>
      </c>
      <c r="V29" s="15" t="str">
        <f t="shared" si="8"/>
        <v>NO</v>
      </c>
      <c r="W29" s="15" t="str">
        <f t="shared" si="8"/>
        <v>NO</v>
      </c>
      <c r="X29" s="15" t="str">
        <f t="shared" si="8"/>
        <v>NO</v>
      </c>
      <c r="Y29" s="15" t="str">
        <f t="shared" si="8"/>
        <v>NO</v>
      </c>
      <c r="Z29" s="22" t="str">
        <f t="shared" si="8"/>
        <v>YES</v>
      </c>
      <c r="AA29" s="7"/>
      <c r="AB29" s="38"/>
      <c r="AC29" s="7"/>
      <c r="AD29" s="7"/>
      <c r="AE29" s="7"/>
      <c r="AF29" s="7"/>
      <c r="AG29" s="27"/>
    </row>
    <row r="30" spans="1:33" ht="16.5" thickBot="1">
      <c r="A30" s="213"/>
      <c r="B30" s="18" t="s">
        <v>29</v>
      </c>
      <c r="C30" s="20">
        <f>2*9.81</f>
        <v>19.62</v>
      </c>
      <c r="D30" s="21" t="s">
        <v>70</v>
      </c>
      <c r="E30" s="27"/>
      <c r="F30" s="27"/>
      <c r="G30" s="27"/>
      <c r="H30" s="27"/>
      <c r="I30" s="27"/>
      <c r="J30" s="27"/>
      <c r="K30" s="27"/>
      <c r="L30" s="27"/>
      <c r="M30" s="215"/>
      <c r="N30" s="223"/>
      <c r="O30" s="39" t="s">
        <v>41</v>
      </c>
      <c r="P30" s="15"/>
      <c r="Q30" s="15" t="str">
        <f t="shared" ref="Q30:Z31" si="9">IF(Q23-P23=0,"YES","NO")</f>
        <v>NO</v>
      </c>
      <c r="R30" s="15" t="str">
        <f t="shared" si="9"/>
        <v>NO</v>
      </c>
      <c r="S30" s="15" t="str">
        <f t="shared" si="9"/>
        <v>NO</v>
      </c>
      <c r="T30" s="15" t="str">
        <f t="shared" si="9"/>
        <v>NO</v>
      </c>
      <c r="U30" s="15" t="str">
        <f t="shared" si="9"/>
        <v>NO</v>
      </c>
      <c r="V30" s="15" t="str">
        <f t="shared" si="9"/>
        <v>NO</v>
      </c>
      <c r="W30" s="15" t="str">
        <f t="shared" si="9"/>
        <v>NO</v>
      </c>
      <c r="X30" s="15" t="str">
        <f t="shared" si="9"/>
        <v>NO</v>
      </c>
      <c r="Y30" s="15" t="str">
        <f t="shared" si="9"/>
        <v>NO</v>
      </c>
      <c r="Z30" s="22" t="str">
        <f t="shared" si="9"/>
        <v>YES</v>
      </c>
      <c r="AA30" s="7"/>
      <c r="AB30" s="38"/>
      <c r="AC30" s="7"/>
      <c r="AD30" s="7"/>
      <c r="AE30" s="7"/>
      <c r="AF30" s="7"/>
      <c r="AG30" s="27"/>
    </row>
    <row r="31" spans="1:33" ht="16.5" thickBot="1">
      <c r="A31" s="213"/>
      <c r="B31" s="32"/>
      <c r="C31" s="32"/>
      <c r="D31" s="32"/>
      <c r="E31" s="27"/>
      <c r="F31" s="27"/>
      <c r="G31" s="27"/>
      <c r="H31" s="27"/>
      <c r="I31" s="220" t="s">
        <v>104</v>
      </c>
      <c r="J31" s="221"/>
      <c r="K31" s="222"/>
      <c r="L31" s="27"/>
      <c r="M31" s="216"/>
      <c r="N31" s="224"/>
      <c r="O31" s="45" t="s">
        <v>41</v>
      </c>
      <c r="P31" s="20"/>
      <c r="Q31" s="20" t="str">
        <f t="shared" si="9"/>
        <v>YES</v>
      </c>
      <c r="R31" s="20" t="str">
        <f t="shared" si="9"/>
        <v>NO</v>
      </c>
      <c r="S31" s="20" t="str">
        <f t="shared" si="9"/>
        <v>NO</v>
      </c>
      <c r="T31" s="20" t="str">
        <f t="shared" si="9"/>
        <v>NO</v>
      </c>
      <c r="U31" s="20" t="str">
        <f t="shared" si="9"/>
        <v>NO</v>
      </c>
      <c r="V31" s="20" t="str">
        <f t="shared" si="9"/>
        <v>NO</v>
      </c>
      <c r="W31" s="20" t="str">
        <f t="shared" si="9"/>
        <v>NO</v>
      </c>
      <c r="X31" s="20" t="str">
        <f t="shared" si="9"/>
        <v>NO</v>
      </c>
      <c r="Y31" s="20" t="str">
        <f t="shared" si="9"/>
        <v>NO</v>
      </c>
      <c r="Z31" s="24" t="str">
        <f t="shared" si="9"/>
        <v>YES</v>
      </c>
      <c r="AA31" s="7"/>
      <c r="AB31" s="38"/>
      <c r="AC31" s="7"/>
      <c r="AD31" s="7"/>
      <c r="AE31" s="7"/>
      <c r="AF31" s="7"/>
      <c r="AG31" s="27"/>
    </row>
    <row r="32" spans="1:33" ht="15.75">
      <c r="A32" s="213"/>
      <c r="B32" s="57"/>
      <c r="C32" s="7"/>
      <c r="D32" s="7"/>
      <c r="E32" s="27"/>
      <c r="F32" s="27"/>
      <c r="G32" s="27"/>
      <c r="H32" s="27"/>
      <c r="I32" s="12" t="s">
        <v>90</v>
      </c>
      <c r="J32" s="15">
        <f>64*$C$28*(F20)/($C$29*$J$20^2)</f>
        <v>6.5095398428731768</v>
      </c>
      <c r="K32" s="22" t="s">
        <v>91</v>
      </c>
      <c r="L32" s="27"/>
      <c r="M32" s="29"/>
      <c r="N32" s="27"/>
      <c r="O32" s="27"/>
      <c r="P32" s="2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8"/>
      <c r="AC32" s="7"/>
      <c r="AD32" s="7"/>
      <c r="AE32" s="7"/>
      <c r="AF32" s="7"/>
      <c r="AG32" s="27"/>
    </row>
    <row r="33" spans="1:56" ht="15.75">
      <c r="A33" s="213"/>
      <c r="B33" s="57"/>
      <c r="C33" s="7"/>
      <c r="D33" s="7"/>
      <c r="E33" s="27"/>
      <c r="F33" s="27"/>
      <c r="G33" s="27"/>
      <c r="H33" s="27"/>
      <c r="I33" s="12" t="s">
        <v>92</v>
      </c>
      <c r="J33" s="15">
        <f>64*$C$28*(F21)/($C$29*$J$20^2)</f>
        <v>6.5095398428731768</v>
      </c>
      <c r="K33" s="22" t="s">
        <v>91</v>
      </c>
      <c r="L33" s="27"/>
      <c r="M33" s="29"/>
      <c r="N33" s="27"/>
      <c r="O33" s="27"/>
      <c r="P33" s="2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38"/>
      <c r="AC33" s="7"/>
      <c r="AD33" s="7"/>
      <c r="AE33" s="7"/>
      <c r="AF33" s="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ht="16.5" thickBot="1">
      <c r="A34" s="213"/>
      <c r="B34" s="57"/>
      <c r="C34" s="7"/>
      <c r="D34" s="7"/>
      <c r="E34" s="27"/>
      <c r="F34" s="27"/>
      <c r="G34" s="27"/>
      <c r="H34" s="27"/>
      <c r="I34" s="23" t="s">
        <v>93</v>
      </c>
      <c r="J34" s="20">
        <f>64*$C$28*(F22)/($C$29*$J$20^2)</f>
        <v>6.5095398428731768</v>
      </c>
      <c r="K34" s="24" t="s">
        <v>91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5"/>
      <c r="AC34" s="27"/>
      <c r="AD34" s="7"/>
      <c r="AE34" s="7"/>
      <c r="AF34" s="7"/>
      <c r="AG34" s="7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</row>
    <row r="35" spans="1:56" ht="16.5" thickBot="1">
      <c r="A35" s="214"/>
      <c r="B35" s="59"/>
      <c r="C35" s="30"/>
      <c r="D35" s="30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6"/>
      <c r="AC35" s="27"/>
      <c r="AD35" s="27"/>
      <c r="AE35" s="27"/>
      <c r="AF35" s="27"/>
      <c r="AG35" s="27"/>
    </row>
    <row r="36" spans="1:56" ht="15.75">
      <c r="A36" s="53"/>
      <c r="B36" s="57"/>
      <c r="C36" s="7"/>
      <c r="D36" s="7"/>
      <c r="H36" s="7"/>
      <c r="I36" s="27"/>
      <c r="J36" s="27"/>
      <c r="K36" s="7"/>
      <c r="L36" s="7"/>
      <c r="M36" s="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56" ht="15.75">
      <c r="A37" s="53"/>
      <c r="B37" s="57"/>
      <c r="C37" s="7"/>
      <c r="D37" s="7"/>
      <c r="E37" s="27"/>
      <c r="F37" s="58"/>
      <c r="G37" s="27"/>
      <c r="H37" s="7"/>
      <c r="I37" s="27"/>
      <c r="J37" s="27"/>
      <c r="K37" s="27"/>
      <c r="L37" s="27"/>
      <c r="M37" s="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56" ht="15.75">
      <c r="A38" s="53"/>
      <c r="B38" s="27"/>
      <c r="C38" s="27"/>
      <c r="D38" s="27"/>
      <c r="E38" s="27"/>
      <c r="F38" s="58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56" ht="15.75">
      <c r="A39" s="53"/>
      <c r="B39" s="27"/>
      <c r="C39" s="27"/>
      <c r="D39" s="27"/>
      <c r="E39" s="27"/>
      <c r="F39" s="58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56" ht="15.75">
      <c r="A40" s="53"/>
      <c r="B40" s="27"/>
      <c r="C40" s="27"/>
      <c r="D40" s="27"/>
      <c r="E40" s="27"/>
      <c r="F40" s="5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spans="1:56" ht="15.75">
      <c r="A41" s="53"/>
      <c r="B41" s="27"/>
      <c r="C41" s="27"/>
      <c r="D41" s="27"/>
      <c r="E41" s="27"/>
      <c r="F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spans="1:56" ht="15.75">
      <c r="A42" s="27"/>
      <c r="B42" s="27"/>
      <c r="C42" s="27"/>
      <c r="D42" s="27"/>
      <c r="E42" s="27"/>
      <c r="F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spans="1:56" ht="15.75">
      <c r="A43" s="27"/>
      <c r="B43" s="28"/>
      <c r="C43" s="27"/>
      <c r="D43" s="27"/>
      <c r="E43" s="27"/>
      <c r="F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spans="1:56" ht="15.75">
      <c r="A44" s="27"/>
      <c r="B44" s="28"/>
      <c r="C44" s="27"/>
      <c r="D44" s="27"/>
      <c r="E44" s="27"/>
      <c r="F44" s="27"/>
      <c r="G44" s="27"/>
      <c r="H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spans="1:56" ht="15.75">
      <c r="A45" s="27"/>
      <c r="B45" s="28"/>
      <c r="C45" s="27"/>
      <c r="D45" s="27"/>
      <c r="E45" s="27"/>
      <c r="F45" s="27"/>
      <c r="G45" s="27"/>
      <c r="H45" s="27"/>
      <c r="M45" s="27"/>
      <c r="N45" s="27"/>
      <c r="O45" s="27"/>
      <c r="P45" s="27"/>
      <c r="Q45" s="27"/>
      <c r="R45" s="27"/>
      <c r="S45" s="27"/>
    </row>
    <row r="46" spans="1:56" ht="15.75">
      <c r="A46" s="27"/>
      <c r="B46" s="28"/>
      <c r="C46" s="27"/>
      <c r="D46" s="27"/>
      <c r="E46" s="27"/>
      <c r="F46" s="27"/>
      <c r="G46" s="27"/>
      <c r="H46" s="27"/>
      <c r="M46" s="27"/>
      <c r="N46" s="27"/>
      <c r="O46" s="27"/>
      <c r="P46" s="27"/>
      <c r="Q46" s="27"/>
      <c r="R46" s="27"/>
      <c r="S46" s="27"/>
    </row>
    <row r="47" spans="1:56" ht="15.75">
      <c r="A47" s="27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56" ht="15.75">
      <c r="A48" s="27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38" ht="15.75">
      <c r="A49" s="27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1:38" ht="15.7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38" ht="15.75"/>
    <row r="52" spans="1:38" ht="15.75"/>
    <row r="53" spans="1:38" ht="15.75"/>
    <row r="54" spans="1:38" ht="15.75"/>
    <row r="55" spans="1:38" ht="15.75"/>
    <row r="56" spans="1:38" ht="15.75"/>
    <row r="57" spans="1:38" ht="15.75"/>
    <row r="58" spans="1:38" ht="15.75">
      <c r="D58" s="6"/>
    </row>
    <row r="59" spans="1:38" ht="15.75">
      <c r="D59" s="6"/>
    </row>
    <row r="60" spans="1:38" ht="15.75">
      <c r="D60" s="6"/>
    </row>
    <row r="61" spans="1:38" ht="15.75"/>
    <row r="62" spans="1:38" ht="15.75">
      <c r="B62" s="8"/>
    </row>
    <row r="63" spans="1:38" ht="15.75">
      <c r="B63" s="8"/>
    </row>
    <row r="64" spans="1:38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  <row r="109" ht="15.75"/>
    <row r="110" ht="15.75"/>
    <row r="111" ht="15.75"/>
    <row r="112" ht="15.75"/>
    <row r="113" ht="15.75"/>
    <row r="114" ht="15.75"/>
    <row r="115" ht="15.75"/>
    <row r="116" ht="15.75"/>
    <row r="117" ht="15.75"/>
    <row r="118" ht="15.75"/>
    <row r="119" ht="15.75"/>
    <row r="120" ht="15.75"/>
    <row r="121" ht="15.75"/>
    <row r="122" ht="15.75"/>
    <row r="123" ht="15.75"/>
    <row r="124" ht="15.75"/>
    <row r="125" ht="15.75"/>
    <row r="126" ht="15.75"/>
    <row r="127" ht="15.75"/>
    <row r="128" ht="15.75"/>
    <row r="129" ht="15.75"/>
    <row r="130" ht="15.75"/>
    <row r="131" ht="15.75"/>
    <row r="132" ht="15.75"/>
    <row r="133" ht="15.75"/>
    <row r="134" ht="15.75"/>
    <row r="135" ht="15.75"/>
    <row r="136" ht="15.75"/>
    <row r="137" ht="15.75"/>
    <row r="138" ht="15.75"/>
    <row r="139" ht="15.75"/>
    <row r="140" ht="15.75"/>
    <row r="141" ht="15.75"/>
    <row r="142" ht="15.75"/>
    <row r="143" ht="15.75"/>
    <row r="144" ht="15.75"/>
    <row r="145" ht="15.75"/>
    <row r="146" ht="15.75"/>
    <row r="147" ht="15.75"/>
    <row r="148" ht="15.75"/>
    <row r="149" ht="15.75"/>
    <row r="150" ht="15.75"/>
    <row r="151" ht="15.75"/>
    <row r="152" ht="15.75"/>
    <row r="153" ht="15.75"/>
    <row r="154" ht="15.75"/>
    <row r="155" ht="15.75"/>
    <row r="156" ht="15.75"/>
    <row r="157" ht="15.75"/>
    <row r="158" ht="15.75"/>
    <row r="159" ht="15.75"/>
    <row r="160" ht="15.75"/>
    <row r="161" ht="15.75"/>
    <row r="162" ht="15.75"/>
    <row r="163" ht="15.75"/>
    <row r="164" ht="15.75"/>
    <row r="165" ht="15.75"/>
    <row r="166" ht="15.75"/>
    <row r="167" ht="15.75"/>
    <row r="168" ht="15.75"/>
    <row r="169" ht="15.75"/>
    <row r="170" ht="15.75"/>
    <row r="171" ht="15.75"/>
    <row r="172" ht="15.75"/>
    <row r="173" ht="15.75"/>
    <row r="174" ht="15.75"/>
    <row r="175" ht="15.75"/>
    <row r="176" ht="15.75"/>
    <row r="177" ht="15.75"/>
    <row r="178" ht="15.75"/>
    <row r="179" ht="15.75"/>
    <row r="180" ht="15.75"/>
    <row r="181" ht="15.75"/>
    <row r="182" ht="15.75"/>
    <row r="183" ht="15.75"/>
    <row r="184" ht="15.75"/>
    <row r="185" ht="15.75"/>
    <row r="186" ht="15.75"/>
    <row r="187" ht="15.75"/>
    <row r="188" ht="15.75"/>
    <row r="189" ht="15.75"/>
    <row r="190" ht="15.75"/>
    <row r="191" ht="15.75"/>
    <row r="192" ht="15.75"/>
    <row r="193" ht="15.75"/>
    <row r="194" ht="15.75"/>
    <row r="195" ht="15.75"/>
    <row r="196" ht="15.75"/>
    <row r="197" ht="15.75"/>
    <row r="198" ht="15.75"/>
    <row r="199" ht="15.75"/>
    <row r="200" ht="15.75"/>
    <row r="201" ht="15.75"/>
    <row r="202" ht="15.75"/>
    <row r="203" ht="15.75"/>
    <row r="204" ht="15.75"/>
    <row r="205" ht="15.75"/>
    <row r="206" ht="15.75"/>
    <row r="207" ht="15.75"/>
    <row r="208" ht="15.75"/>
    <row r="209" ht="15.75"/>
    <row r="210" ht="15.75"/>
    <row r="211" ht="15.75"/>
    <row r="212" ht="15.75"/>
    <row r="213" ht="15.75"/>
    <row r="214" ht="15.75"/>
    <row r="215" ht="15.75"/>
    <row r="216" ht="15.75"/>
    <row r="217" ht="15.75"/>
    <row r="218" ht="15.75"/>
    <row r="219" ht="15.75"/>
    <row r="220" ht="15.75"/>
    <row r="221" ht="15.75"/>
    <row r="222" ht="15.75"/>
    <row r="223" ht="15.75"/>
    <row r="224" ht="15.75"/>
    <row r="225" ht="15.75"/>
    <row r="226" ht="15.75"/>
    <row r="227" ht="15.75"/>
    <row r="228" ht="15.75"/>
    <row r="229" ht="15.75"/>
    <row r="230" ht="15.75"/>
    <row r="231" ht="15.75"/>
    <row r="232" ht="15.75"/>
    <row r="233" ht="15.75"/>
    <row r="234" ht="15.75"/>
    <row r="235" ht="15.75"/>
    <row r="236" ht="15.75"/>
    <row r="237" ht="15.75"/>
    <row r="238" ht="15.75"/>
    <row r="239" ht="15.75"/>
    <row r="240" ht="15.75"/>
    <row r="241" ht="15.75"/>
    <row r="242" ht="15.75"/>
    <row r="243" ht="15.75"/>
    <row r="244" ht="15.75"/>
    <row r="245" ht="15.75"/>
    <row r="246" ht="15.75"/>
    <row r="247" ht="15.75"/>
    <row r="248" ht="15.75"/>
    <row r="249" ht="15.75"/>
    <row r="250" ht="15.75"/>
    <row r="251" ht="15.75"/>
    <row r="252" ht="15.75"/>
    <row r="253" ht="15.75"/>
    <row r="254" ht="15.75"/>
    <row r="255" ht="15.75"/>
    <row r="256" ht="15.75"/>
    <row r="257" ht="15.75"/>
    <row r="258" ht="15.75"/>
    <row r="259" ht="15.75"/>
    <row r="260" ht="15.75"/>
    <row r="261" ht="15.75"/>
    <row r="262" ht="15.75"/>
    <row r="263" ht="15.75"/>
    <row r="264" ht="15.75"/>
    <row r="265" ht="15.75"/>
    <row r="266" ht="15.75"/>
    <row r="267" ht="15.75"/>
    <row r="268" ht="15.75"/>
    <row r="269" ht="15.75"/>
    <row r="270" ht="15.75"/>
    <row r="271" ht="15.75"/>
    <row r="272" ht="15.75"/>
    <row r="273" ht="15.75"/>
    <row r="274" ht="15.75"/>
    <row r="275" ht="15.75"/>
    <row r="276" ht="15.75"/>
    <row r="277" ht="15.75"/>
    <row r="278" ht="15.75"/>
    <row r="279" ht="15.75"/>
    <row r="280" ht="15.75"/>
    <row r="281" ht="15.75"/>
    <row r="282" ht="15.75"/>
    <row r="283" ht="15.75"/>
    <row r="284" ht="15.75"/>
    <row r="285" ht="15.75"/>
    <row r="286" ht="15.75"/>
    <row r="287" ht="15.75"/>
    <row r="288" ht="15.75"/>
    <row r="289" ht="15.75"/>
    <row r="290" ht="15.75"/>
    <row r="291" ht="15.75"/>
    <row r="292" ht="15.75"/>
    <row r="293" ht="15.75"/>
    <row r="294" ht="15.75"/>
    <row r="295" ht="15.75"/>
    <row r="296" ht="15.75"/>
    <row r="297" ht="15.75"/>
    <row r="298" ht="15.75"/>
    <row r="299" ht="15.75"/>
    <row r="300" ht="15.75"/>
    <row r="301" ht="15.75"/>
    <row r="302" ht="15.75"/>
    <row r="303" ht="15.75"/>
    <row r="304" ht="15.75"/>
    <row r="305" ht="15.75"/>
    <row r="306" ht="15.75"/>
    <row r="307" ht="15.75"/>
    <row r="308" ht="15.75"/>
    <row r="309" ht="15.75"/>
    <row r="310" ht="15.75"/>
    <row r="311" ht="15.75"/>
    <row r="312" ht="15.75"/>
    <row r="313" ht="15.75"/>
    <row r="314" ht="15.75"/>
    <row r="315" ht="15.75"/>
    <row r="316" ht="15.75"/>
    <row r="317" ht="15.75"/>
    <row r="318" ht="15.75"/>
    <row r="319" ht="15.75"/>
    <row r="320" ht="15.75"/>
    <row r="321" ht="15.75"/>
    <row r="322" ht="15.75"/>
    <row r="323" ht="15.75"/>
    <row r="324" ht="15.75"/>
    <row r="325" ht="15.75"/>
    <row r="326" ht="15.75"/>
    <row r="327" ht="15.75"/>
    <row r="328" ht="15.75"/>
    <row r="329" ht="15.75"/>
    <row r="330" ht="15.75"/>
    <row r="331" ht="15.75"/>
    <row r="332" ht="15.75"/>
    <row r="333" ht="15.75"/>
    <row r="334" ht="15.75"/>
    <row r="335" ht="15.75"/>
    <row r="336" ht="15.75"/>
    <row r="337" ht="15.75"/>
    <row r="338" ht="15.75"/>
    <row r="339" ht="15.75"/>
    <row r="340" ht="15.75"/>
    <row r="341" ht="15.75"/>
    <row r="342" ht="15.75"/>
    <row r="343" ht="15.75"/>
    <row r="344" ht="15.75"/>
    <row r="345" ht="15.75"/>
    <row r="346" ht="15.75"/>
    <row r="347" ht="15.75"/>
    <row r="348" ht="15.75"/>
    <row r="349" ht="15.75"/>
    <row r="350" ht="15.75"/>
    <row r="351" ht="15.75"/>
    <row r="352" ht="15.75"/>
    <row r="353" ht="15.75"/>
    <row r="354" ht="15.75"/>
    <row r="355" ht="15.75"/>
    <row r="356" ht="15.75"/>
    <row r="357" ht="15.75"/>
    <row r="358" ht="15.75"/>
    <row r="359" ht="15.75"/>
    <row r="360" ht="15.75"/>
    <row r="361" ht="15.75"/>
    <row r="362" ht="15.75"/>
    <row r="363" ht="15.75"/>
    <row r="364" ht="15.75"/>
    <row r="365" ht="15.75"/>
    <row r="366" ht="15.75"/>
    <row r="367" ht="15.75"/>
    <row r="368" ht="15.75"/>
    <row r="369" ht="15.75"/>
    <row r="370" ht="15.75"/>
    <row r="371" ht="15.75"/>
    <row r="372" ht="15.75"/>
    <row r="373" ht="15.75"/>
    <row r="374" ht="15.75"/>
    <row r="375" ht="15.75"/>
    <row r="376" ht="15.75"/>
    <row r="377" ht="15.75"/>
    <row r="378" ht="15.75"/>
    <row r="379" ht="15.75"/>
    <row r="380" ht="15.75"/>
    <row r="381" ht="15.75"/>
    <row r="382" ht="15.75"/>
    <row r="383" ht="15.75"/>
    <row r="384" ht="15.75"/>
    <row r="385" ht="15.75"/>
    <row r="386" ht="15.75"/>
    <row r="387" ht="15.75"/>
    <row r="388" ht="15.75"/>
    <row r="389" ht="15.75"/>
    <row r="390" ht="15.75"/>
    <row r="391" ht="15.75"/>
    <row r="392" ht="15.75"/>
    <row r="393" ht="15.75"/>
    <row r="394" ht="15.75"/>
    <row r="395" ht="15.75"/>
    <row r="396" ht="15.75"/>
    <row r="397" ht="15.75"/>
    <row r="398" ht="15.75"/>
    <row r="399" ht="15.75"/>
    <row r="400" ht="15.75"/>
    <row r="401" ht="15.75"/>
    <row r="402" ht="15.75"/>
    <row r="403" ht="15.75"/>
    <row r="404" ht="15.75"/>
    <row r="405" ht="15.75"/>
    <row r="406" ht="15.75"/>
    <row r="407" ht="15.75"/>
    <row r="408" ht="15.75"/>
    <row r="409" ht="15.75"/>
    <row r="410" ht="15.75"/>
    <row r="411" ht="15.75"/>
    <row r="412" ht="15.75"/>
    <row r="413" ht="15.75"/>
    <row r="414" ht="15.75"/>
    <row r="415" ht="15.75"/>
    <row r="416" ht="15.75"/>
    <row r="417" ht="15.75"/>
    <row r="418" ht="15.75"/>
    <row r="419" ht="15.75"/>
    <row r="420" ht="15.75"/>
    <row r="421" ht="15.75"/>
    <row r="422" ht="15.75"/>
    <row r="423" ht="15.75"/>
    <row r="424" ht="15.75"/>
    <row r="425" ht="15.75"/>
    <row r="426" ht="15.75"/>
    <row r="427" ht="15.75"/>
    <row r="428" ht="15.75"/>
    <row r="429" ht="15.75"/>
    <row r="430" ht="15.75"/>
    <row r="431" ht="15.75"/>
    <row r="432" ht="15.75"/>
    <row r="433" ht="15.75"/>
    <row r="434" ht="15.75"/>
    <row r="435" ht="15.75"/>
    <row r="436" ht="15.75"/>
    <row r="437" ht="15.75"/>
    <row r="438" ht="15.75"/>
    <row r="439" ht="15.75"/>
    <row r="440" ht="15.75"/>
    <row r="441" ht="15.75"/>
    <row r="442" ht="15.75"/>
    <row r="443" ht="15.75"/>
    <row r="444" ht="15.75"/>
    <row r="445" ht="15.75"/>
    <row r="446" ht="15.75"/>
    <row r="447" ht="15.75"/>
    <row r="448" ht="15.75"/>
    <row r="449" ht="15.75"/>
    <row r="450" ht="15.75"/>
    <row r="451" ht="15.75"/>
    <row r="452" ht="15.75"/>
    <row r="453" ht="15.75"/>
    <row r="454" ht="15.75"/>
    <row r="455" ht="15.75"/>
    <row r="456" ht="15.75"/>
    <row r="457" ht="15.75"/>
    <row r="458" ht="15.75"/>
    <row r="459" ht="15.75"/>
    <row r="460" ht="15.75"/>
    <row r="461" ht="15.75"/>
    <row r="462" ht="15.75"/>
    <row r="463" ht="15.75"/>
    <row r="464" ht="15.75"/>
    <row r="465" ht="15.75"/>
    <row r="466" ht="15.75"/>
    <row r="467" ht="15.75"/>
    <row r="468" ht="15.75"/>
    <row r="469" ht="15.75"/>
    <row r="470" ht="15.75"/>
    <row r="471" ht="15.75"/>
    <row r="472" ht="15.75"/>
    <row r="473" ht="15.75"/>
    <row r="474" ht="15.75"/>
    <row r="475" ht="15.75"/>
    <row r="476" ht="15.75"/>
    <row r="477" ht="15.75"/>
    <row r="478" ht="15.75"/>
    <row r="479" ht="15.75"/>
    <row r="480" ht="15.75"/>
    <row r="481" ht="15.75"/>
    <row r="482" ht="15.75"/>
    <row r="483" ht="15.75"/>
    <row r="484" ht="15.75"/>
    <row r="485" ht="15.75"/>
    <row r="486" ht="15.75"/>
    <row r="487" ht="15.75"/>
    <row r="488" ht="15.75"/>
    <row r="489" ht="15.75"/>
    <row r="490" ht="15.75"/>
    <row r="491" ht="15.75"/>
    <row r="492" ht="15.75"/>
    <row r="493" ht="15.75"/>
    <row r="494" ht="15.75"/>
    <row r="495" ht="15.75"/>
    <row r="496" ht="15.75"/>
    <row r="497" ht="15.75"/>
    <row r="498" ht="15.75"/>
    <row r="499" ht="15.75"/>
    <row r="500" ht="15.75"/>
    <row r="501" ht="15.75"/>
    <row r="502" ht="15.75"/>
    <row r="503" ht="15.75"/>
    <row r="504" ht="15.75"/>
    <row r="505" ht="15.75"/>
    <row r="506" ht="15.75"/>
    <row r="507" ht="15.75"/>
    <row r="508" ht="15.75"/>
    <row r="509" ht="15.75"/>
    <row r="510" ht="15.75"/>
    <row r="511" ht="15.75"/>
    <row r="512" ht="15.75"/>
    <row r="513" ht="15.75"/>
    <row r="514" ht="15.75"/>
    <row r="515" ht="15.75"/>
    <row r="516" ht="15.75"/>
    <row r="517" ht="15.75"/>
    <row r="518" ht="15.75"/>
    <row r="519" ht="15.75"/>
    <row r="520" ht="15.75"/>
    <row r="521" ht="15.75"/>
    <row r="522" ht="15.75"/>
    <row r="523" ht="15.75"/>
    <row r="524" ht="15.75"/>
    <row r="525" ht="15.75"/>
    <row r="526" ht="15.75"/>
    <row r="527" ht="15.75"/>
    <row r="528" ht="15.75"/>
    <row r="529" ht="15.75"/>
    <row r="530" ht="15.75"/>
    <row r="531" ht="15.75"/>
    <row r="532" ht="15.75"/>
    <row r="533" ht="15.75"/>
    <row r="534" ht="15.75"/>
    <row r="535" ht="15.75"/>
    <row r="536" ht="15.75"/>
    <row r="537" ht="15.75"/>
    <row r="538" ht="15.75"/>
    <row r="539" ht="15.75"/>
    <row r="540" ht="15.75"/>
    <row r="541" ht="15.75"/>
    <row r="542" ht="15.75"/>
    <row r="543" ht="15.75"/>
    <row r="544" ht="15.75"/>
    <row r="545" ht="15.75"/>
    <row r="546" ht="15.75"/>
    <row r="547" ht="15.75"/>
    <row r="548" ht="15.75"/>
    <row r="549" ht="15.75"/>
    <row r="550" ht="15.75"/>
    <row r="551" ht="15.75"/>
    <row r="552" ht="15.75"/>
    <row r="553" ht="15.75"/>
    <row r="554" ht="15.75"/>
    <row r="555" ht="15.75"/>
    <row r="556" ht="15.75"/>
    <row r="557" ht="15.75"/>
    <row r="558" ht="15.75"/>
    <row r="559" ht="15.75"/>
    <row r="560" ht="15.75"/>
    <row r="561" ht="15.75"/>
  </sheetData>
  <mergeCells count="18">
    <mergeCell ref="N29:N31"/>
    <mergeCell ref="I31:K31"/>
    <mergeCell ref="M19:Z19"/>
    <mergeCell ref="N21:N24"/>
    <mergeCell ref="F24:G24"/>
    <mergeCell ref="I25:K25"/>
    <mergeCell ref="N25:N28"/>
    <mergeCell ref="M20:M31"/>
    <mergeCell ref="B27:D27"/>
    <mergeCell ref="A18:A35"/>
    <mergeCell ref="B19:C19"/>
    <mergeCell ref="E19:G19"/>
    <mergeCell ref="I19:K19"/>
    <mergeCell ref="C10:C11"/>
    <mergeCell ref="D10:G10"/>
    <mergeCell ref="C9:G9"/>
    <mergeCell ref="C2:E2"/>
    <mergeCell ref="A17:A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56"/>
  <sheetViews>
    <sheetView zoomScale="70" zoomScaleNormal="70" workbookViewId="0">
      <selection activeCell="C3" sqref="C3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1:33" ht="20.100000000000001" customHeight="1" thickBot="1"/>
    <row r="2" spans="1:33" ht="20.100000000000001" customHeight="1">
      <c r="C2" s="199" t="s">
        <v>97</v>
      </c>
      <c r="D2" s="200"/>
      <c r="E2" s="201"/>
    </row>
    <row r="3" spans="1:33" ht="20.100000000000001" customHeight="1">
      <c r="C3" s="34" t="s">
        <v>98</v>
      </c>
      <c r="D3" s="33" t="s">
        <v>1</v>
      </c>
      <c r="E3" s="42" t="s">
        <v>4</v>
      </c>
    </row>
    <row r="4" spans="1:33" ht="20.100000000000001" customHeight="1">
      <c r="C4" s="40" t="s">
        <v>12</v>
      </c>
      <c r="D4" s="15">
        <f>P17</f>
        <v>29.645411716478016</v>
      </c>
      <c r="E4" s="22">
        <f>P20</f>
        <v>111.88490282658604</v>
      </c>
    </row>
    <row r="5" spans="1:33" ht="20.100000000000001" customHeight="1">
      <c r="C5" s="40" t="s">
        <v>13</v>
      </c>
      <c r="D5" s="15">
        <f>P18</f>
        <v>29.599324776759939</v>
      </c>
      <c r="E5" s="22">
        <f>P21</f>
        <v>321.37005750873044</v>
      </c>
    </row>
    <row r="6" spans="1:33" ht="20.100000000000001" customHeight="1">
      <c r="C6" s="40" t="s">
        <v>14</v>
      </c>
      <c r="D6" s="15">
        <f>P19</f>
        <v>29.863166198811307</v>
      </c>
      <c r="E6" s="22">
        <f>P22</f>
        <v>1828.8862116695134</v>
      </c>
    </row>
    <row r="7" spans="1:33" ht="20.100000000000001" customHeight="1" thickBot="1">
      <c r="C7" s="41" t="s">
        <v>15</v>
      </c>
      <c r="D7" s="20">
        <f>P13</f>
        <v>3.0002579124688542</v>
      </c>
      <c r="E7" s="24">
        <f>P23</f>
        <v>2262.14117200483</v>
      </c>
    </row>
    <row r="8" spans="1:33" ht="20.100000000000001" customHeight="1">
      <c r="C8" s="50"/>
      <c r="D8" s="7"/>
      <c r="E8" s="7"/>
    </row>
    <row r="9" spans="1:33" ht="20.100000000000001" customHeight="1" thickBot="1"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ht="42.75" customHeight="1" thickBot="1">
      <c r="A10" s="202" t="s">
        <v>99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4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27"/>
      <c r="AF10" s="27"/>
      <c r="AG10" s="27"/>
    </row>
    <row r="11" spans="1:33" ht="20.100000000000001" customHeight="1" thickBot="1">
      <c r="A11" s="238"/>
      <c r="B11" s="205" t="s">
        <v>0</v>
      </c>
      <c r="C11" s="206"/>
      <c r="D11" s="27"/>
      <c r="E11" s="205" t="s">
        <v>62</v>
      </c>
      <c r="F11" s="239"/>
      <c r="G11" s="206"/>
      <c r="H11" s="28"/>
      <c r="I11" s="205" t="s">
        <v>68</v>
      </c>
      <c r="J11" s="239"/>
      <c r="K11" s="206"/>
      <c r="L11" s="28"/>
      <c r="M11" s="237"/>
      <c r="N11" s="237"/>
      <c r="O11" s="237"/>
      <c r="P11" s="237"/>
      <c r="Q11" s="56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27"/>
      <c r="AF11" s="27"/>
      <c r="AG11" s="27"/>
    </row>
    <row r="12" spans="1:33" ht="20.100000000000001" customHeight="1">
      <c r="A12" s="213"/>
      <c r="B12" s="17" t="s">
        <v>64</v>
      </c>
      <c r="C12" s="22">
        <v>5</v>
      </c>
      <c r="D12" s="27"/>
      <c r="E12" s="12" t="s">
        <v>43</v>
      </c>
      <c r="F12" s="15">
        <v>0.05</v>
      </c>
      <c r="G12" s="14" t="s">
        <v>61</v>
      </c>
      <c r="H12" s="27"/>
      <c r="I12" s="12" t="s">
        <v>49</v>
      </c>
      <c r="J12" s="15">
        <v>4.0000000000000001E-3</v>
      </c>
      <c r="K12" s="14" t="s">
        <v>61</v>
      </c>
      <c r="L12" s="27"/>
      <c r="M12" s="207" t="s">
        <v>88</v>
      </c>
      <c r="N12" s="47"/>
      <c r="O12" s="48" t="s">
        <v>16</v>
      </c>
      <c r="P12" s="51" t="s">
        <v>100</v>
      </c>
      <c r="Q12" s="49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27"/>
    </row>
    <row r="13" spans="1:33" ht="20.100000000000001" customHeight="1">
      <c r="A13" s="213"/>
      <c r="B13" s="17" t="s">
        <v>17</v>
      </c>
      <c r="C13" s="22">
        <f>(C12*(30.48/12)^2/0.4536)</f>
        <v>71.115520282186949</v>
      </c>
      <c r="D13" s="27"/>
      <c r="E13" s="12" t="s">
        <v>44</v>
      </c>
      <c r="F13" s="15">
        <v>0.05</v>
      </c>
      <c r="G13" s="14" t="s">
        <v>61</v>
      </c>
      <c r="H13" s="27"/>
      <c r="I13" s="12" t="s">
        <v>50</v>
      </c>
      <c r="J13" s="15">
        <v>2.8299999999999999E-4</v>
      </c>
      <c r="K13" s="14" t="s">
        <v>61</v>
      </c>
      <c r="L13" s="27"/>
      <c r="M13" s="215"/>
      <c r="N13" s="217" t="s">
        <v>1</v>
      </c>
      <c r="O13" s="9" t="s">
        <v>5</v>
      </c>
      <c r="P13" s="22">
        <f>P17*$G$20+P18*$G$21+P19*$G$22</f>
        <v>3.0002579124688542</v>
      </c>
      <c r="Q13" s="38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7"/>
    </row>
    <row r="14" spans="1:33" ht="20.100000000000001" customHeight="1">
      <c r="A14" s="213"/>
      <c r="B14" s="17" t="s">
        <v>65</v>
      </c>
      <c r="C14" s="22">
        <f>(C12*(30.48/12)^2/0.4536)*6895</f>
        <v>490341.51234567899</v>
      </c>
      <c r="D14" s="27"/>
      <c r="E14" s="12" t="s">
        <v>45</v>
      </c>
      <c r="F14" s="15">
        <v>0.05</v>
      </c>
      <c r="G14" s="14" t="s">
        <v>61</v>
      </c>
      <c r="H14" s="27"/>
      <c r="I14" s="12" t="s">
        <v>51</v>
      </c>
      <c r="J14" s="15">
        <v>4.8000000000000001E-4</v>
      </c>
      <c r="K14" s="14" t="s">
        <v>61</v>
      </c>
      <c r="L14" s="27"/>
      <c r="M14" s="215"/>
      <c r="N14" s="240"/>
      <c r="O14" s="9" t="s">
        <v>6</v>
      </c>
      <c r="P14" s="22">
        <f>P17*G20/G23</f>
        <v>2.3742713789610081</v>
      </c>
      <c r="Q14" s="3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7"/>
    </row>
    <row r="15" spans="1:33" ht="20.100000000000001" customHeight="1">
      <c r="A15" s="213"/>
      <c r="B15" s="17" t="s">
        <v>66</v>
      </c>
      <c r="C15" s="22">
        <f>101325</f>
        <v>101325</v>
      </c>
      <c r="D15" s="27"/>
      <c r="E15" s="12" t="s">
        <v>46</v>
      </c>
      <c r="F15" s="15">
        <v>0.05</v>
      </c>
      <c r="G15" s="14" t="s">
        <v>61</v>
      </c>
      <c r="H15" s="27"/>
      <c r="I15" s="12" t="s">
        <v>52</v>
      </c>
      <c r="J15" s="15">
        <v>1.14E-3</v>
      </c>
      <c r="K15" s="14" t="s">
        <v>61</v>
      </c>
      <c r="L15" s="27"/>
      <c r="M15" s="215"/>
      <c r="N15" s="240"/>
      <c r="O15" s="10" t="s">
        <v>7</v>
      </c>
      <c r="P15" s="22">
        <f>P18*G21/G24</f>
        <v>1.7049211071413723</v>
      </c>
      <c r="Q15" s="38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7"/>
    </row>
    <row r="16" spans="1:33" ht="20.100000000000001" customHeight="1">
      <c r="A16" s="213"/>
      <c r="B16" s="17" t="s">
        <v>67</v>
      </c>
      <c r="C16" s="22">
        <f>C14-C15</f>
        <v>389016.51234567899</v>
      </c>
      <c r="D16" s="27"/>
      <c r="E16" s="12" t="s">
        <v>47</v>
      </c>
      <c r="F16" s="15">
        <v>0.05</v>
      </c>
      <c r="G16" s="14" t="s">
        <v>61</v>
      </c>
      <c r="H16" s="27"/>
      <c r="I16" s="12" t="s">
        <v>53</v>
      </c>
      <c r="J16" s="15">
        <v>1E-3</v>
      </c>
      <c r="K16" s="14" t="s">
        <v>61</v>
      </c>
      <c r="L16" s="27"/>
      <c r="M16" s="215"/>
      <c r="N16" s="240"/>
      <c r="O16" s="10" t="s">
        <v>8</v>
      </c>
      <c r="P16" s="22">
        <f>P19*G22/G25</f>
        <v>4.3122411991083522</v>
      </c>
      <c r="Q16" s="38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7"/>
    </row>
    <row r="17" spans="1:56" ht="20.100000000000001" customHeight="1" thickBot="1">
      <c r="A17" s="213"/>
      <c r="B17" s="18" t="s">
        <v>81</v>
      </c>
      <c r="C17" s="24">
        <f>C16*2/C21</f>
        <v>873.21327125853873</v>
      </c>
      <c r="D17" s="27"/>
      <c r="E17" s="23" t="s">
        <v>48</v>
      </c>
      <c r="F17" s="20">
        <v>0.05</v>
      </c>
      <c r="G17" s="24" t="s">
        <v>61</v>
      </c>
      <c r="H17" s="7"/>
      <c r="I17" s="12" t="s">
        <v>54</v>
      </c>
      <c r="J17" s="15">
        <v>2E-3</v>
      </c>
      <c r="K17" s="14" t="s">
        <v>61</v>
      </c>
      <c r="L17" s="27"/>
      <c r="M17" s="215"/>
      <c r="N17" s="240"/>
      <c r="O17" s="10" t="s">
        <v>9</v>
      </c>
      <c r="P17" s="22">
        <f>($C$17/(1-G20^2/G23^2))^0.5</f>
        <v>29.645411716478016</v>
      </c>
      <c r="Q17" s="38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7"/>
    </row>
    <row r="18" spans="1:56" ht="20.100000000000001" customHeight="1" thickBot="1">
      <c r="A18" s="213"/>
      <c r="B18" s="27"/>
      <c r="C18" s="27"/>
      <c r="D18" s="27"/>
      <c r="E18" s="27"/>
      <c r="F18" s="27"/>
      <c r="G18" s="7"/>
      <c r="H18" s="7"/>
      <c r="I18" s="23" t="s">
        <v>55</v>
      </c>
      <c r="J18" s="20">
        <v>3.0000000000000001E-3</v>
      </c>
      <c r="K18" s="21" t="s">
        <v>61</v>
      </c>
      <c r="L18" s="27"/>
      <c r="M18" s="215"/>
      <c r="N18" s="240"/>
      <c r="O18" s="10" t="s">
        <v>10</v>
      </c>
      <c r="P18" s="22">
        <f>($C$17/(1-G21^2/G24^2))^0.5</f>
        <v>29.599324776759939</v>
      </c>
      <c r="Q18" s="38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7"/>
    </row>
    <row r="19" spans="1:56" ht="20.100000000000001" customHeight="1" thickBot="1">
      <c r="A19" s="213"/>
      <c r="B19" s="228" t="s">
        <v>69</v>
      </c>
      <c r="C19" s="229"/>
      <c r="D19" s="230"/>
      <c r="E19" s="27"/>
      <c r="F19" s="228" t="s">
        <v>63</v>
      </c>
      <c r="G19" s="230"/>
      <c r="H19" s="7"/>
      <c r="I19" s="27"/>
      <c r="J19" s="27"/>
      <c r="K19" s="27"/>
      <c r="L19" s="27"/>
      <c r="M19" s="215"/>
      <c r="N19" s="240"/>
      <c r="O19" s="10" t="s">
        <v>11</v>
      </c>
      <c r="P19" s="22">
        <f>($C$17/(1-G22^2/G25^2))^0.5</f>
        <v>29.863166198811307</v>
      </c>
      <c r="Q19" s="38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7"/>
    </row>
    <row r="20" spans="1:56" ht="20.100000000000001" customHeight="1">
      <c r="A20" s="213"/>
      <c r="B20" s="17" t="s">
        <v>3</v>
      </c>
      <c r="C20" s="15">
        <v>2.9000000000000001E-2</v>
      </c>
      <c r="D20" s="14"/>
      <c r="E20" s="27"/>
      <c r="F20" s="12" t="s">
        <v>75</v>
      </c>
      <c r="G20" s="22">
        <f>J22/J21</f>
        <v>5.0055625000000005E-3</v>
      </c>
      <c r="H20" s="28"/>
      <c r="I20" s="207" t="s">
        <v>18</v>
      </c>
      <c r="J20" s="208"/>
      <c r="K20" s="209"/>
      <c r="L20" s="27"/>
      <c r="M20" s="215"/>
      <c r="N20" s="54" t="s">
        <v>19</v>
      </c>
      <c r="O20" s="39" t="s">
        <v>12</v>
      </c>
      <c r="P20" s="22">
        <f>P17*$J22*1000000*60</f>
        <v>111.88490282658604</v>
      </c>
      <c r="Q20" s="38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7"/>
    </row>
    <row r="21" spans="1:56" ht="20.100000000000001" customHeight="1">
      <c r="A21" s="213"/>
      <c r="B21" s="17" t="s">
        <v>2</v>
      </c>
      <c r="C21" s="15">
        <v>891</v>
      </c>
      <c r="D21" s="14" t="s">
        <v>71</v>
      </c>
      <c r="E21" s="27"/>
      <c r="F21" s="12" t="s">
        <v>76</v>
      </c>
      <c r="G21" s="22">
        <f>J23/J21</f>
        <v>1.44E-2</v>
      </c>
      <c r="H21" s="27"/>
      <c r="I21" s="12" t="s">
        <v>56</v>
      </c>
      <c r="J21" s="69">
        <f t="shared" ref="J21:J27" si="0">J12^2*3.14159265358979/4</f>
        <v>1.256637061435916E-5</v>
      </c>
      <c r="K21" s="14" t="s">
        <v>60</v>
      </c>
      <c r="L21" s="27"/>
      <c r="M21" s="215"/>
      <c r="N21" s="54"/>
      <c r="O21" s="39" t="s">
        <v>13</v>
      </c>
      <c r="P21" s="22">
        <f>P18*$J23*1000000*60</f>
        <v>321.37005750873044</v>
      </c>
      <c r="Q21" s="38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</row>
    <row r="22" spans="1:56" ht="20.100000000000001" customHeight="1" thickBot="1">
      <c r="A22" s="213"/>
      <c r="B22" s="18" t="s">
        <v>29</v>
      </c>
      <c r="C22" s="20">
        <f>2*9.81</f>
        <v>19.62</v>
      </c>
      <c r="D22" s="21" t="s">
        <v>70</v>
      </c>
      <c r="E22" s="27"/>
      <c r="F22" s="12" t="s">
        <v>77</v>
      </c>
      <c r="G22" s="22">
        <f>J24/J21</f>
        <v>8.1224999999999992E-2</v>
      </c>
      <c r="H22" s="27"/>
      <c r="I22" s="12" t="s">
        <v>57</v>
      </c>
      <c r="J22" s="69">
        <f t="shared" si="0"/>
        <v>6.2901753508338175E-8</v>
      </c>
      <c r="K22" s="14" t="s">
        <v>60</v>
      </c>
      <c r="L22" s="27"/>
      <c r="M22" s="215"/>
      <c r="N22" s="54"/>
      <c r="O22" s="39" t="s">
        <v>14</v>
      </c>
      <c r="P22" s="22">
        <f>P19*$J24*1000000*60</f>
        <v>1828.8862116695134</v>
      </c>
      <c r="Q22" s="38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</row>
    <row r="23" spans="1:56" ht="20.100000000000001" customHeight="1" thickBot="1">
      <c r="A23" s="213"/>
      <c r="B23" s="28"/>
      <c r="C23" s="27"/>
      <c r="D23" s="27"/>
      <c r="E23" s="27"/>
      <c r="F23" s="12" t="s">
        <v>78</v>
      </c>
      <c r="G23" s="22">
        <f>J25/J21</f>
        <v>6.25E-2</v>
      </c>
      <c r="H23" s="27"/>
      <c r="I23" s="12" t="s">
        <v>58</v>
      </c>
      <c r="J23" s="69">
        <f t="shared" si="0"/>
        <v>1.8095573684677189E-7</v>
      </c>
      <c r="K23" s="14" t="s">
        <v>60</v>
      </c>
      <c r="L23" s="27"/>
      <c r="M23" s="216"/>
      <c r="N23" s="55"/>
      <c r="O23" s="45" t="s">
        <v>15</v>
      </c>
      <c r="P23" s="24">
        <f>P13*$J21*1000000*60</f>
        <v>2262.14117200483</v>
      </c>
      <c r="Q23" s="38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</row>
    <row r="24" spans="1:56" ht="15.75">
      <c r="A24" s="213"/>
      <c r="B24" s="32"/>
      <c r="C24" s="32"/>
      <c r="D24" s="32"/>
      <c r="E24" s="27"/>
      <c r="F24" s="12" t="s">
        <v>79</v>
      </c>
      <c r="G24" s="22">
        <f>J26/J21</f>
        <v>0.25</v>
      </c>
      <c r="H24" s="27"/>
      <c r="I24" s="12" t="s">
        <v>59</v>
      </c>
      <c r="J24" s="69">
        <f t="shared" si="0"/>
        <v>1.0207034531513226E-6</v>
      </c>
      <c r="K24" s="14" t="s">
        <v>60</v>
      </c>
      <c r="L24" s="27"/>
      <c r="M24" s="29"/>
      <c r="N24" s="27"/>
      <c r="O24" s="27"/>
      <c r="P24" s="27"/>
      <c r="Q24" s="38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7"/>
    </row>
    <row r="25" spans="1:56" ht="16.5" thickBot="1">
      <c r="A25" s="213"/>
      <c r="B25" s="57"/>
      <c r="C25" s="7"/>
      <c r="D25" s="7"/>
      <c r="E25" s="27"/>
      <c r="F25" s="23" t="s">
        <v>80</v>
      </c>
      <c r="G25" s="24">
        <f>J27/J21</f>
        <v>0.5625</v>
      </c>
      <c r="H25" s="27"/>
      <c r="I25" s="12" t="s">
        <v>72</v>
      </c>
      <c r="J25" s="69">
        <f t="shared" si="0"/>
        <v>7.8539816339744748E-7</v>
      </c>
      <c r="K25" s="14" t="s">
        <v>60</v>
      </c>
      <c r="L25" s="27"/>
      <c r="M25" s="29"/>
      <c r="N25" s="27"/>
      <c r="O25" s="27"/>
      <c r="P25" s="27"/>
      <c r="Q25" s="38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</row>
    <row r="26" spans="1:56" ht="15.75">
      <c r="A26" s="213"/>
      <c r="B26" s="57"/>
      <c r="C26" s="7"/>
      <c r="D26" s="7"/>
      <c r="E26" s="27"/>
      <c r="F26" s="27"/>
      <c r="G26" s="27"/>
      <c r="H26" s="27"/>
      <c r="I26" s="12" t="s">
        <v>73</v>
      </c>
      <c r="J26" s="69">
        <f t="shared" si="0"/>
        <v>3.1415926535897899E-6</v>
      </c>
      <c r="K26" s="14" t="s">
        <v>60</v>
      </c>
      <c r="L26" s="27"/>
      <c r="M26" s="29"/>
      <c r="N26" s="27"/>
      <c r="O26" s="27"/>
      <c r="P26" s="27"/>
      <c r="Q26" s="38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213"/>
      <c r="B27" s="57"/>
      <c r="C27" s="7"/>
      <c r="D27" s="7"/>
      <c r="E27" s="27"/>
      <c r="F27" s="29"/>
      <c r="G27" s="29"/>
      <c r="H27" s="27"/>
      <c r="I27" s="23" t="s">
        <v>74</v>
      </c>
      <c r="J27" s="70">
        <f t="shared" si="0"/>
        <v>7.0685834705770276E-6</v>
      </c>
      <c r="K27" s="21" t="s">
        <v>60</v>
      </c>
      <c r="L27" s="27"/>
      <c r="M27" s="27"/>
      <c r="N27" s="27"/>
      <c r="O27" s="27"/>
      <c r="P27" s="27"/>
      <c r="Q27" s="25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7"/>
      <c r="AE27" s="7"/>
      <c r="AF27" s="7"/>
      <c r="AG27" s="7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thickBot="1">
      <c r="A28" s="214"/>
      <c r="B28" s="59"/>
      <c r="C28" s="30"/>
      <c r="D28" s="30"/>
      <c r="E28" s="46"/>
      <c r="F28" s="60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2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spans="1:56" ht="15.75">
      <c r="A29" s="53"/>
      <c r="B29" s="57"/>
      <c r="C29" s="7"/>
      <c r="D29" s="7"/>
      <c r="E29" s="27"/>
      <c r="F29" s="58"/>
      <c r="G29" s="27"/>
      <c r="H29" s="7"/>
      <c r="I29" s="27"/>
      <c r="J29" s="27"/>
      <c r="K29" s="7"/>
      <c r="L29" s="7"/>
      <c r="M29" s="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spans="1:56" ht="15.75">
      <c r="A30" s="53"/>
      <c r="B30" s="57"/>
      <c r="C30" s="7"/>
      <c r="D30" s="7"/>
      <c r="E30" s="27"/>
      <c r="F30" s="58"/>
      <c r="G30" s="27"/>
      <c r="H30" s="7"/>
      <c r="I30" s="27"/>
      <c r="J30" s="27"/>
      <c r="K30" s="7"/>
      <c r="L30" s="7"/>
      <c r="M30" s="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spans="1:56" ht="15.75">
      <c r="A31" s="53"/>
      <c r="B31" s="27"/>
      <c r="C31" s="27"/>
      <c r="D31" s="27"/>
      <c r="E31" s="27"/>
      <c r="F31" s="5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spans="1:56" ht="15.75">
      <c r="A32" s="53"/>
      <c r="B32" s="27"/>
      <c r="C32" s="27"/>
      <c r="D32" s="27"/>
      <c r="E32" s="27"/>
      <c r="F32" s="5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spans="1:38" ht="15.75">
      <c r="A33" s="53"/>
      <c r="B33" s="27"/>
      <c r="C33" s="27"/>
      <c r="D33" s="27"/>
      <c r="E33" s="27"/>
      <c r="F33" s="5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8" ht="15.75">
      <c r="A34" s="53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8" ht="15.7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8" ht="15.75">
      <c r="A36" s="27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8" ht="15.75">
      <c r="A37" s="27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8" ht="20.100000000000001" customHeight="1">
      <c r="A38" s="27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38" ht="20.100000000000001" customHeight="1">
      <c r="A39" s="27"/>
      <c r="B39" s="2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38" ht="20.100000000000001" customHeight="1">
      <c r="A40" s="27"/>
      <c r="B40" s="2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38" ht="20.100000000000001" customHeight="1">
      <c r="A41" s="27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38" ht="15.75">
      <c r="A42" s="27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ht="20.100000000000001" customHeight="1">
      <c r="A43" s="27"/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51" spans="2:4" ht="15.75">
      <c r="D51" s="6"/>
    </row>
    <row r="52" spans="2:4" ht="15.75">
      <c r="D52" s="6"/>
    </row>
    <row r="53" spans="2:4" ht="15.75">
      <c r="D53" s="6"/>
    </row>
    <row r="55" spans="2:4" ht="15.75">
      <c r="B55" s="8"/>
    </row>
    <row r="56" spans="2:4" ht="15.75">
      <c r="B56" s="8"/>
    </row>
  </sheetData>
  <mergeCells count="12">
    <mergeCell ref="C2:E2"/>
    <mergeCell ref="M11:P11"/>
    <mergeCell ref="A10:Q10"/>
    <mergeCell ref="M12:M23"/>
    <mergeCell ref="A11:A28"/>
    <mergeCell ref="F19:G19"/>
    <mergeCell ref="I20:K20"/>
    <mergeCell ref="B11:C11"/>
    <mergeCell ref="E11:G11"/>
    <mergeCell ref="I11:K11"/>
    <mergeCell ref="N13:N19"/>
    <mergeCell ref="B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8"/>
  <sheetViews>
    <sheetView topLeftCell="B1" zoomScale="55" zoomScaleNormal="55" workbookViewId="0">
      <selection activeCell="C2" sqref="C2:E7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3:17" ht="20.100000000000001" customHeight="1" thickBot="1"/>
    <row r="2" spans="3:17" ht="20.100000000000001" customHeight="1">
      <c r="C2" s="199" t="s">
        <v>97</v>
      </c>
      <c r="D2" s="200"/>
      <c r="E2" s="201"/>
    </row>
    <row r="3" spans="3:17" ht="20.100000000000001" customHeight="1">
      <c r="C3" s="34" t="s">
        <v>98</v>
      </c>
      <c r="D3" s="33" t="s">
        <v>1</v>
      </c>
      <c r="E3" s="42" t="s">
        <v>4</v>
      </c>
    </row>
    <row r="4" spans="3:17" ht="20.100000000000001" customHeight="1">
      <c r="C4" s="40" t="s">
        <v>12</v>
      </c>
      <c r="D4" s="15">
        <f>AB29</f>
        <v>23.84302584252513</v>
      </c>
      <c r="E4" s="22">
        <f>AB35</f>
        <v>89.986088066367174</v>
      </c>
    </row>
    <row r="5" spans="3:17" ht="20.100000000000001" customHeight="1">
      <c r="C5" s="40" t="s">
        <v>13</v>
      </c>
      <c r="D5" s="15">
        <f>AB30</f>
        <v>27.849812333309593</v>
      </c>
      <c r="E5" s="22">
        <f>AB36</f>
        <v>302.37499870910125</v>
      </c>
    </row>
    <row r="6" spans="3:17" ht="20.100000000000001" customHeight="1">
      <c r="C6" s="40" t="s">
        <v>14</v>
      </c>
      <c r="D6" s="15">
        <f>AB31</f>
        <v>28.382995419287173</v>
      </c>
      <c r="E6" s="22">
        <f>AB37</f>
        <v>1738.2372861146753</v>
      </c>
    </row>
    <row r="7" spans="3:17" ht="20.100000000000001" customHeight="1" thickBot="1">
      <c r="C7" s="41" t="s">
        <v>15</v>
      </c>
      <c r="D7" s="20">
        <f>AB25</f>
        <v>2.825793856575133</v>
      </c>
      <c r="E7" s="24">
        <f>AB38</f>
        <v>2130.5983728901438</v>
      </c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3:17" ht="20.100000000000001" customHeight="1" thickBot="1"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3:17" ht="20.100000000000001" customHeight="1" thickBot="1">
      <c r="C9" s="245" t="s">
        <v>20</v>
      </c>
      <c r="D9" s="246"/>
      <c r="E9" s="246"/>
      <c r="F9" s="246"/>
      <c r="G9" s="247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3:17" ht="20.100000000000001" customHeight="1">
      <c r="C10" s="242"/>
      <c r="D10" s="243" t="s">
        <v>22</v>
      </c>
      <c r="E10" s="243"/>
      <c r="F10" s="243"/>
      <c r="G10" s="244"/>
      <c r="H10" s="241"/>
      <c r="I10" s="241"/>
      <c r="J10" s="241"/>
      <c r="K10" s="241"/>
      <c r="L10" s="241"/>
      <c r="M10" s="241"/>
      <c r="N10" s="241"/>
      <c r="O10" s="241"/>
      <c r="P10" s="241"/>
      <c r="Q10" s="241"/>
    </row>
    <row r="11" spans="3:17" ht="20.100000000000001" customHeight="1">
      <c r="C11" s="232"/>
      <c r="D11" s="73" t="s">
        <v>36</v>
      </c>
      <c r="E11" s="73" t="s">
        <v>37</v>
      </c>
      <c r="F11" s="10" t="s">
        <v>33</v>
      </c>
      <c r="G11" s="11" t="s">
        <v>34</v>
      </c>
      <c r="H11" s="241"/>
      <c r="I11" s="28"/>
      <c r="J11" s="28"/>
      <c r="K11" s="4"/>
      <c r="L11" s="28"/>
      <c r="M11" s="241"/>
      <c r="N11" s="28"/>
      <c r="O11" s="28"/>
      <c r="P11" s="4"/>
      <c r="Q11" s="28"/>
    </row>
    <row r="12" spans="3:17" ht="20.100000000000001" customHeight="1">
      <c r="C12" s="72" t="s">
        <v>23</v>
      </c>
      <c r="D12" s="13">
        <f t="shared" ref="D12:D17" si="0">F12*891*9.81</f>
        <v>8194.8021840678866</v>
      </c>
      <c r="E12" s="13">
        <f t="shared" ref="E12:E17" si="1">D12/6895</f>
        <v>1.1885137322796064</v>
      </c>
      <c r="F12" s="13">
        <f>C37*AB25/C34</f>
        <v>0.93754422513364311</v>
      </c>
      <c r="G12" s="14">
        <f t="shared" ref="G12:G17" si="2">F12*0.891/13.6*1000</f>
        <v>61.422934161329124</v>
      </c>
      <c r="H12" s="28"/>
      <c r="I12" s="27"/>
      <c r="J12" s="27"/>
      <c r="K12" s="27"/>
      <c r="L12" s="27"/>
      <c r="M12" s="28"/>
      <c r="N12" s="27"/>
      <c r="O12" s="27"/>
      <c r="P12" s="7"/>
      <c r="Q12" s="27"/>
    </row>
    <row r="13" spans="3:17" ht="20.100000000000001" customHeight="1">
      <c r="C13" s="72" t="s">
        <v>24</v>
      </c>
      <c r="D13" s="13">
        <f t="shared" si="0"/>
        <v>7848.6936915406513</v>
      </c>
      <c r="E13" s="13">
        <f t="shared" si="1"/>
        <v>1.1383167065323643</v>
      </c>
      <c r="F13" s="13">
        <f>C38*(AB25-G32*AB29)/C34</f>
        <v>0.89794692782859187</v>
      </c>
      <c r="G13" s="14">
        <f t="shared" si="2"/>
        <v>58.828728874652604</v>
      </c>
      <c r="H13" s="28"/>
      <c r="I13" s="27"/>
      <c r="J13" s="27"/>
      <c r="K13" s="27"/>
      <c r="L13" s="27"/>
      <c r="M13" s="28"/>
      <c r="N13" s="27"/>
      <c r="O13" s="27"/>
      <c r="P13" s="27"/>
      <c r="Q13" s="27"/>
    </row>
    <row r="14" spans="3:17" ht="20.100000000000001" customHeight="1">
      <c r="C14" s="72" t="s">
        <v>25</v>
      </c>
      <c r="D14" s="13">
        <f t="shared" si="0"/>
        <v>6685.6855285016409</v>
      </c>
      <c r="E14" s="13">
        <f t="shared" si="1"/>
        <v>0.96964257121126041</v>
      </c>
      <c r="F14" s="13">
        <f>C39*(AB25-AB29*G32-AB30*G33)/C34</f>
        <v>0.76489044122292593</v>
      </c>
      <c r="G14" s="14">
        <f t="shared" si="2"/>
        <v>50.111572288943165</v>
      </c>
      <c r="H14" s="28"/>
      <c r="I14" s="27"/>
      <c r="J14" s="27"/>
      <c r="K14" s="27"/>
      <c r="L14" s="27"/>
      <c r="M14" s="28"/>
      <c r="N14" s="27"/>
      <c r="O14" s="27"/>
      <c r="P14" s="27"/>
      <c r="Q14" s="27"/>
    </row>
    <row r="15" spans="3:17" ht="20.100000000000001" customHeight="1">
      <c r="C15" s="17" t="s">
        <v>26</v>
      </c>
      <c r="D15" s="13">
        <f t="shared" si="0"/>
        <v>131116.83494508619</v>
      </c>
      <c r="E15" s="13">
        <f t="shared" si="1"/>
        <v>19.016219716473703</v>
      </c>
      <c r="F15" s="15">
        <f>C40*AB26/C34</f>
        <v>15.00070760213829</v>
      </c>
      <c r="G15" s="14">
        <f t="shared" si="2"/>
        <v>982.76694658126598</v>
      </c>
      <c r="H15" s="4"/>
      <c r="I15" s="27"/>
      <c r="J15" s="27"/>
      <c r="K15" s="27"/>
      <c r="L15" s="27"/>
      <c r="M15" s="237"/>
      <c r="N15" s="237"/>
      <c r="O15" s="237"/>
      <c r="P15" s="237"/>
      <c r="Q15" s="237"/>
    </row>
    <row r="16" spans="3:17" ht="20.100000000000001" customHeight="1">
      <c r="C16" s="17" t="s">
        <v>27</v>
      </c>
      <c r="D16" s="13">
        <f t="shared" si="0"/>
        <v>30730.508190254579</v>
      </c>
      <c r="E16" s="13">
        <f t="shared" si="1"/>
        <v>4.4569264960485251</v>
      </c>
      <c r="F16" s="15">
        <f>C41*AB27/C34</f>
        <v>3.5157908442511623</v>
      </c>
      <c r="G16" s="14">
        <f t="shared" si="2"/>
        <v>230.33600310498426</v>
      </c>
      <c r="H16" s="4"/>
      <c r="I16" s="27"/>
      <c r="J16" s="27"/>
      <c r="K16" s="27"/>
      <c r="L16" s="27"/>
      <c r="M16" s="237"/>
      <c r="N16" s="237"/>
      <c r="O16" s="237"/>
      <c r="P16" s="237"/>
      <c r="Q16" s="237"/>
    </row>
    <row r="17" spans="1:32" ht="20.100000000000001" customHeight="1">
      <c r="C17" s="17" t="s">
        <v>28</v>
      </c>
      <c r="D17" s="13">
        <f t="shared" si="0"/>
        <v>10243.502730084858</v>
      </c>
      <c r="E17" s="13">
        <f t="shared" si="1"/>
        <v>1.485642165349508</v>
      </c>
      <c r="F17" s="15">
        <f>C42*AB28/C34</f>
        <v>1.171930281417054</v>
      </c>
      <c r="G17" s="14">
        <f t="shared" si="2"/>
        <v>76.778667701661405</v>
      </c>
      <c r="H17" s="4"/>
      <c r="I17" s="27"/>
      <c r="J17" s="27"/>
      <c r="K17" s="27"/>
      <c r="L17" s="27"/>
      <c r="M17" s="237"/>
      <c r="N17" s="237"/>
      <c r="O17" s="237"/>
      <c r="P17" s="237"/>
      <c r="Q17" s="237"/>
    </row>
    <row r="18" spans="1:32" ht="20.100000000000001" customHeight="1">
      <c r="B18" s="76"/>
      <c r="C18" s="17" t="s">
        <v>12</v>
      </c>
      <c r="D18" s="13">
        <f t="shared" ref="D18:D20" si="3">F18*891*9.81</f>
        <v>139311.63712915406</v>
      </c>
      <c r="E18" s="13">
        <f t="shared" ref="E18:E20" si="4">D18/6895</f>
        <v>20.204733448753309</v>
      </c>
      <c r="F18" s="15">
        <f>F15+F12</f>
        <v>15.938251827271932</v>
      </c>
      <c r="G18" s="14">
        <f t="shared" ref="G18:G20" si="5">F18*0.891/13.6*1000</f>
        <v>1044.1898807425951</v>
      </c>
      <c r="H18" s="75"/>
      <c r="I18" s="27"/>
      <c r="J18" s="27"/>
      <c r="K18" s="27"/>
      <c r="L18" s="27"/>
      <c r="M18" s="74"/>
      <c r="N18" s="74"/>
      <c r="O18" s="74"/>
      <c r="P18" s="74"/>
      <c r="Q18" s="74"/>
    </row>
    <row r="19" spans="1:32" ht="20.100000000000001" customHeight="1">
      <c r="B19" s="76"/>
      <c r="C19" s="17" t="s">
        <v>13</v>
      </c>
      <c r="D19" s="13">
        <f t="shared" si="3"/>
        <v>46774.004065863119</v>
      </c>
      <c r="E19" s="13">
        <f t="shared" si="4"/>
        <v>6.783756934860496</v>
      </c>
      <c r="F19" s="15">
        <f>F16+F13+F12</f>
        <v>5.3512819972133974</v>
      </c>
      <c r="G19" s="14">
        <f t="shared" si="5"/>
        <v>350.58766614096601</v>
      </c>
      <c r="H19" s="75"/>
      <c r="I19" s="27"/>
      <c r="J19" s="27"/>
      <c r="K19" s="27"/>
      <c r="L19" s="27"/>
      <c r="M19" s="74"/>
      <c r="N19" s="74"/>
      <c r="O19" s="74"/>
      <c r="P19" s="74"/>
      <c r="Q19" s="74"/>
    </row>
    <row r="20" spans="1:32" ht="20.100000000000001" customHeight="1" thickBot="1">
      <c r="B20" s="76"/>
      <c r="C20" s="18" t="s">
        <v>14</v>
      </c>
      <c r="D20" s="19">
        <f t="shared" si="3"/>
        <v>32972.684134195035</v>
      </c>
      <c r="E20" s="19">
        <f t="shared" si="4"/>
        <v>4.7821151753727387</v>
      </c>
      <c r="F20" s="20">
        <f>F17+F14+F13+F12</f>
        <v>3.7723118756022149</v>
      </c>
      <c r="G20" s="21">
        <f t="shared" si="5"/>
        <v>247.14190302658628</v>
      </c>
      <c r="H20" s="75"/>
      <c r="I20" s="27"/>
      <c r="J20" s="27"/>
      <c r="K20" s="27"/>
      <c r="L20" s="27"/>
      <c r="M20" s="74"/>
      <c r="N20" s="74"/>
      <c r="O20" s="74"/>
      <c r="P20" s="74"/>
      <c r="Q20" s="74"/>
    </row>
    <row r="21" spans="1:32" ht="20.100000000000001" customHeight="1" thickBot="1"/>
    <row r="22" spans="1:32" ht="42.75" customHeight="1" thickBot="1">
      <c r="A22" s="202" t="s">
        <v>99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4"/>
    </row>
    <row r="23" spans="1:32" ht="20.100000000000001" customHeight="1">
      <c r="A23" s="213"/>
      <c r="B23" s="205" t="s">
        <v>0</v>
      </c>
      <c r="C23" s="206"/>
      <c r="D23" s="27"/>
      <c r="E23" s="205" t="s">
        <v>62</v>
      </c>
      <c r="F23" s="239"/>
      <c r="G23" s="206"/>
      <c r="H23" s="28"/>
      <c r="I23" s="205" t="s">
        <v>68</v>
      </c>
      <c r="J23" s="239"/>
      <c r="K23" s="206"/>
      <c r="L23" s="28"/>
      <c r="M23" s="225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7"/>
      <c r="AD23" s="25"/>
    </row>
    <row r="24" spans="1:32" ht="20.100000000000001" customHeight="1">
      <c r="A24" s="213"/>
      <c r="B24" s="17" t="s">
        <v>64</v>
      </c>
      <c r="C24" s="22">
        <v>5</v>
      </c>
      <c r="D24" s="27"/>
      <c r="E24" s="12" t="s">
        <v>43</v>
      </c>
      <c r="F24" s="15">
        <v>0.05</v>
      </c>
      <c r="G24" s="14" t="s">
        <v>61</v>
      </c>
      <c r="H24" s="27"/>
      <c r="I24" s="12" t="s">
        <v>49</v>
      </c>
      <c r="J24" s="15">
        <v>4.0000000000000001E-3</v>
      </c>
      <c r="K24" s="14" t="s">
        <v>61</v>
      </c>
      <c r="L24" s="27"/>
      <c r="M24" s="215" t="s">
        <v>88</v>
      </c>
      <c r="N24" s="13"/>
      <c r="O24" s="9" t="s">
        <v>16</v>
      </c>
      <c r="P24" s="10" t="s">
        <v>42</v>
      </c>
      <c r="Q24" s="43">
        <v>1</v>
      </c>
      <c r="R24" s="43">
        <v>2</v>
      </c>
      <c r="S24" s="43">
        <v>3</v>
      </c>
      <c r="T24" s="43">
        <v>4</v>
      </c>
      <c r="U24" s="43">
        <v>5</v>
      </c>
      <c r="V24" s="43">
        <v>6</v>
      </c>
      <c r="W24" s="43">
        <v>7</v>
      </c>
      <c r="X24" s="43">
        <v>8</v>
      </c>
      <c r="Y24" s="43">
        <v>9</v>
      </c>
      <c r="Z24" s="43">
        <v>10</v>
      </c>
      <c r="AA24" s="43">
        <v>11</v>
      </c>
      <c r="AB24" s="43">
        <v>12</v>
      </c>
      <c r="AC24" s="44">
        <v>13</v>
      </c>
      <c r="AD24" s="49"/>
      <c r="AE24" s="5"/>
      <c r="AF24" s="5"/>
    </row>
    <row r="25" spans="1:32" ht="20.100000000000001" customHeight="1">
      <c r="A25" s="213"/>
      <c r="B25" s="17" t="s">
        <v>17</v>
      </c>
      <c r="C25" s="22">
        <f>(C24*(30.48/12)^2/0.4536)</f>
        <v>71.115520282186949</v>
      </c>
      <c r="D25" s="27"/>
      <c r="E25" s="12" t="s">
        <v>44</v>
      </c>
      <c r="F25" s="15">
        <v>0.05</v>
      </c>
      <c r="G25" s="14" t="s">
        <v>61</v>
      </c>
      <c r="H25" s="27"/>
      <c r="I25" s="12" t="s">
        <v>50</v>
      </c>
      <c r="J25" s="15">
        <v>2.8299999999999999E-4</v>
      </c>
      <c r="K25" s="14" t="s">
        <v>61</v>
      </c>
      <c r="L25" s="27"/>
      <c r="M25" s="215"/>
      <c r="N25" s="217" t="s">
        <v>1</v>
      </c>
      <c r="O25" s="9" t="s">
        <v>5</v>
      </c>
      <c r="P25" s="15">
        <f t="shared" ref="P25:AB25" si="6">P29*$G$32+P30*$G$33+P31*$G$34</f>
        <v>2.8093638084417676</v>
      </c>
      <c r="Q25" s="15">
        <f t="shared" si="6"/>
        <v>2.8266408992306031</v>
      </c>
      <c r="R25" s="15">
        <f t="shared" si="6"/>
        <v>2.825750190946489</v>
      </c>
      <c r="S25" s="15">
        <f t="shared" si="6"/>
        <v>2.8257961075767124</v>
      </c>
      <c r="T25" s="15">
        <f t="shared" si="6"/>
        <v>2.8257937405340439</v>
      </c>
      <c r="U25" s="15">
        <f t="shared" si="6"/>
        <v>2.8257938625571528</v>
      </c>
      <c r="V25" s="15">
        <f t="shared" si="6"/>
        <v>2.8257938562667548</v>
      </c>
      <c r="W25" s="15">
        <f t="shared" si="6"/>
        <v>2.8257938565910301</v>
      </c>
      <c r="X25" s="15">
        <f t="shared" si="6"/>
        <v>2.8257938565743137</v>
      </c>
      <c r="Y25" s="15">
        <f t="shared" si="6"/>
        <v>2.8257938565751757</v>
      </c>
      <c r="Z25" s="15">
        <f t="shared" si="6"/>
        <v>2.8257938565751308</v>
      </c>
      <c r="AA25" s="15">
        <f t="shared" si="6"/>
        <v>2.8257938565751335</v>
      </c>
      <c r="AB25" s="15">
        <f t="shared" si="6"/>
        <v>2.825793856575133</v>
      </c>
      <c r="AC25" s="22">
        <f>AC29*$G$32+AC30*$G$33+AC31*$G$34</f>
        <v>2.825793856575133</v>
      </c>
      <c r="AD25" s="38"/>
      <c r="AE25" s="7"/>
      <c r="AF25" s="7"/>
    </row>
    <row r="26" spans="1:32" ht="20.100000000000001" customHeight="1">
      <c r="A26" s="213"/>
      <c r="B26" s="17" t="s">
        <v>65</v>
      </c>
      <c r="C26" s="22">
        <f>(C24*(30.48/12)^2/0.4536)*6895</f>
        <v>490341.51234567899</v>
      </c>
      <c r="D26" s="27"/>
      <c r="E26" s="12" t="s">
        <v>45</v>
      </c>
      <c r="F26" s="15">
        <v>0.05</v>
      </c>
      <c r="G26" s="14" t="s">
        <v>61</v>
      </c>
      <c r="H26" s="27"/>
      <c r="I26" s="12" t="s">
        <v>51</v>
      </c>
      <c r="J26" s="15">
        <v>4.8000000000000001E-4</v>
      </c>
      <c r="K26" s="14" t="s">
        <v>61</v>
      </c>
      <c r="L26" s="27"/>
      <c r="M26" s="215"/>
      <c r="N26" s="240"/>
      <c r="O26" s="9" t="s">
        <v>6</v>
      </c>
      <c r="P26" s="15">
        <f t="shared" ref="P26:AB26" si="7">P$25/(1+$G40)^0.5</f>
        <v>2.8093638084417676</v>
      </c>
      <c r="Q26" s="15">
        <f t="shared" si="7"/>
        <v>2.8266408992306031</v>
      </c>
      <c r="R26" s="15">
        <f t="shared" si="7"/>
        <v>2.825750190946489</v>
      </c>
      <c r="S26" s="15">
        <f t="shared" si="7"/>
        <v>2.8257961075767124</v>
      </c>
      <c r="T26" s="15">
        <f t="shared" si="7"/>
        <v>2.8257937405340439</v>
      </c>
      <c r="U26" s="15">
        <f t="shared" si="7"/>
        <v>2.8257938625571528</v>
      </c>
      <c r="V26" s="15">
        <f t="shared" si="7"/>
        <v>2.8257938562667548</v>
      </c>
      <c r="W26" s="15">
        <f t="shared" si="7"/>
        <v>2.8257938565910301</v>
      </c>
      <c r="X26" s="15">
        <f t="shared" si="7"/>
        <v>2.8257938565743137</v>
      </c>
      <c r="Y26" s="15">
        <f t="shared" si="7"/>
        <v>2.8257938565751757</v>
      </c>
      <c r="Z26" s="15">
        <f t="shared" si="7"/>
        <v>2.8257938565751308</v>
      </c>
      <c r="AA26" s="15">
        <f t="shared" si="7"/>
        <v>2.8257938565751335</v>
      </c>
      <c r="AB26" s="15">
        <f t="shared" si="7"/>
        <v>2.825793856575133</v>
      </c>
      <c r="AC26" s="22">
        <f>AC$25/(1+$G40)^0.5</f>
        <v>2.825793856575133</v>
      </c>
      <c r="AD26" s="38"/>
      <c r="AE26" s="7"/>
      <c r="AF26" s="7"/>
    </row>
    <row r="27" spans="1:32" ht="20.100000000000001" customHeight="1">
      <c r="A27" s="213"/>
      <c r="B27" s="17" t="s">
        <v>66</v>
      </c>
      <c r="C27" s="22">
        <f>101325</f>
        <v>101325</v>
      </c>
      <c r="D27" s="27"/>
      <c r="E27" s="12" t="s">
        <v>46</v>
      </c>
      <c r="F27" s="15">
        <v>0.05</v>
      </c>
      <c r="G27" s="14" t="s">
        <v>61</v>
      </c>
      <c r="H27" s="27"/>
      <c r="I27" s="12" t="s">
        <v>52</v>
      </c>
      <c r="J27" s="15">
        <v>1.14E-3</v>
      </c>
      <c r="K27" s="14" t="s">
        <v>61</v>
      </c>
      <c r="L27" s="27"/>
      <c r="M27" s="215"/>
      <c r="N27" s="240"/>
      <c r="O27" s="10" t="s">
        <v>7</v>
      </c>
      <c r="P27" s="15">
        <f t="shared" ref="P27:AB27" si="8">(P$25-P26*$G$35)/(1+$G41)^0.5</f>
        <v>2.6337785704141572</v>
      </c>
      <c r="Q27" s="15">
        <f t="shared" si="8"/>
        <v>2.6499758430286904</v>
      </c>
      <c r="R27" s="15">
        <f t="shared" si="8"/>
        <v>2.6491408040123336</v>
      </c>
      <c r="S27" s="15">
        <f t="shared" si="8"/>
        <v>2.6491838508531678</v>
      </c>
      <c r="T27" s="15">
        <f t="shared" si="8"/>
        <v>2.649181631750666</v>
      </c>
      <c r="U27" s="15">
        <f t="shared" si="8"/>
        <v>2.6491817461473306</v>
      </c>
      <c r="V27" s="15">
        <f t="shared" si="8"/>
        <v>2.6491817402500826</v>
      </c>
      <c r="W27" s="15">
        <f t="shared" si="8"/>
        <v>2.6491817405540905</v>
      </c>
      <c r="X27" s="15">
        <f t="shared" si="8"/>
        <v>2.649181740538419</v>
      </c>
      <c r="Y27" s="15">
        <f t="shared" si="8"/>
        <v>2.6491817405392273</v>
      </c>
      <c r="Z27" s="15">
        <f t="shared" si="8"/>
        <v>2.6491817405391851</v>
      </c>
      <c r="AA27" s="15">
        <f t="shared" si="8"/>
        <v>2.6491817405391878</v>
      </c>
      <c r="AB27" s="15">
        <f t="shared" si="8"/>
        <v>2.6491817405391873</v>
      </c>
      <c r="AC27" s="22">
        <f>(AC$25-AC26*$G$35)/(1+$G41)^0.5</f>
        <v>2.6491817405391873</v>
      </c>
      <c r="AD27" s="38"/>
      <c r="AE27" s="7"/>
      <c r="AF27" s="7"/>
    </row>
    <row r="28" spans="1:32" ht="20.100000000000001" customHeight="1">
      <c r="A28" s="213"/>
      <c r="B28" s="17" t="s">
        <v>67</v>
      </c>
      <c r="C28" s="22">
        <f>C26-C27</f>
        <v>389016.51234567899</v>
      </c>
      <c r="D28" s="27"/>
      <c r="E28" s="12" t="s">
        <v>47</v>
      </c>
      <c r="F28" s="15">
        <v>0.05</v>
      </c>
      <c r="G28" s="14" t="s">
        <v>61</v>
      </c>
      <c r="H28" s="27"/>
      <c r="I28" s="12" t="s">
        <v>53</v>
      </c>
      <c r="J28" s="15">
        <v>1E-3</v>
      </c>
      <c r="K28" s="14" t="s">
        <v>61</v>
      </c>
      <c r="L28" s="27"/>
      <c r="M28" s="215"/>
      <c r="N28" s="240"/>
      <c r="O28" s="10" t="s">
        <v>8</v>
      </c>
      <c r="P28" s="15">
        <f t="shared" ref="P28:AB28" si="9">(P$25-P26*$G$35-P27*$G$36)/(1+$G42)^0.5</f>
        <v>1.9753339278106179</v>
      </c>
      <c r="Q28" s="15">
        <f t="shared" si="9"/>
        <v>1.9874818822715179</v>
      </c>
      <c r="R28" s="15">
        <f t="shared" si="9"/>
        <v>1.9868556030092503</v>
      </c>
      <c r="S28" s="15">
        <f t="shared" si="9"/>
        <v>1.9868878881398757</v>
      </c>
      <c r="T28" s="15">
        <f t="shared" si="9"/>
        <v>1.9868862238129994</v>
      </c>
      <c r="U28" s="15">
        <f t="shared" si="9"/>
        <v>1.9868863096104978</v>
      </c>
      <c r="V28" s="15">
        <f t="shared" si="9"/>
        <v>1.986886305187562</v>
      </c>
      <c r="W28" s="15">
        <f t="shared" si="9"/>
        <v>1.9868863054155679</v>
      </c>
      <c r="X28" s="15">
        <f t="shared" si="9"/>
        <v>1.9868863054038144</v>
      </c>
      <c r="Y28" s="15">
        <f t="shared" si="9"/>
        <v>1.9868863054044206</v>
      </c>
      <c r="Z28" s="15">
        <f t="shared" si="9"/>
        <v>1.9868863054043888</v>
      </c>
      <c r="AA28" s="15">
        <f t="shared" si="9"/>
        <v>1.9868863054043908</v>
      </c>
      <c r="AB28" s="15">
        <f t="shared" si="9"/>
        <v>1.9868863054043904</v>
      </c>
      <c r="AC28" s="22">
        <f>(AC$25-AC26*$G$35-AC27*$G$36)/(1+$G42)^0.5</f>
        <v>1.9868863054043904</v>
      </c>
      <c r="AD28" s="38"/>
      <c r="AE28" s="7"/>
      <c r="AF28" s="7"/>
    </row>
    <row r="29" spans="1:32" ht="20.100000000000001" customHeight="1" thickBot="1">
      <c r="A29" s="213"/>
      <c r="B29" s="18" t="s">
        <v>81</v>
      </c>
      <c r="C29" s="24">
        <f>C28*2/C33</f>
        <v>873.21327125853873</v>
      </c>
      <c r="D29" s="27"/>
      <c r="E29" s="23" t="s">
        <v>48</v>
      </c>
      <c r="F29" s="20">
        <v>0.05</v>
      </c>
      <c r="G29" s="24" t="s">
        <v>61</v>
      </c>
      <c r="H29" s="7"/>
      <c r="I29" s="12" t="s">
        <v>54</v>
      </c>
      <c r="J29" s="15">
        <v>2E-3</v>
      </c>
      <c r="K29" s="14" t="s">
        <v>61</v>
      </c>
      <c r="L29" s="27"/>
      <c r="M29" s="215"/>
      <c r="N29" s="240"/>
      <c r="O29" s="10" t="s">
        <v>9</v>
      </c>
      <c r="P29" s="15">
        <f>(-($C$37*$G$32+$C$40*$G$32/$G$35)+(($C$37*$G$32+$C$40*$G$32/$G$35)^2+4*$C$29*(1+$G$43-$G$32^2/$G$35^2))^0.5)/(2*(1+$G43-$G$32^2/$G$35^2))</f>
        <v>25.729363649800206</v>
      </c>
      <c r="Q29" s="15">
        <f t="shared" ref="Q29:AB29" si="10">(($C$29-$C$40*P$26-$C$37*P$25+P$26^2)/(1+$G$43))^0.5</f>
        <v>23.879185084832809</v>
      </c>
      <c r="R29" s="15">
        <f t="shared" si="10"/>
        <v>23.841160491807479</v>
      </c>
      <c r="S29" s="15">
        <f t="shared" si="10"/>
        <v>23.843121999491547</v>
      </c>
      <c r="T29" s="15">
        <f t="shared" si="10"/>
        <v>23.843020885540554</v>
      </c>
      <c r="U29" s="15">
        <f t="shared" si="10"/>
        <v>23.843026098061973</v>
      </c>
      <c r="V29" s="15">
        <f t="shared" si="10"/>
        <v>23.84302582935198</v>
      </c>
      <c r="W29" s="15">
        <f t="shared" si="10"/>
        <v>23.843025843204217</v>
      </c>
      <c r="X29" s="15">
        <f t="shared" si="10"/>
        <v>23.843025842490121</v>
      </c>
      <c r="Y29" s="15">
        <f t="shared" si="10"/>
        <v>23.843025842526934</v>
      </c>
      <c r="Z29" s="15">
        <f t="shared" si="10"/>
        <v>23.843025842525034</v>
      </c>
      <c r="AA29" s="15">
        <f t="shared" si="10"/>
        <v>23.843025842525137</v>
      </c>
      <c r="AB29" s="15">
        <f t="shared" si="10"/>
        <v>23.84302584252513</v>
      </c>
      <c r="AC29" s="22">
        <f>(($C$29-$C$40*AB$26-$C$37*AB$25+AB$26^2)/(1+$G$43))^0.5</f>
        <v>23.84302584252513</v>
      </c>
      <c r="AD29" s="38"/>
      <c r="AE29" s="7"/>
      <c r="AF29" s="7"/>
    </row>
    <row r="30" spans="1:32" ht="20.100000000000001" customHeight="1" thickBot="1">
      <c r="A30" s="213"/>
      <c r="B30" s="27"/>
      <c r="C30" s="27"/>
      <c r="D30" s="27"/>
      <c r="E30" s="27"/>
      <c r="F30" s="27"/>
      <c r="G30" s="7"/>
      <c r="H30" s="7"/>
      <c r="I30" s="23" t="s">
        <v>55</v>
      </c>
      <c r="J30" s="20">
        <v>3.0000000000000001E-3</v>
      </c>
      <c r="K30" s="21" t="s">
        <v>61</v>
      </c>
      <c r="L30" s="27"/>
      <c r="M30" s="215"/>
      <c r="N30" s="240"/>
      <c r="O30" s="10" t="s">
        <v>10</v>
      </c>
      <c r="P30" s="15">
        <f>(-($C$37*G33+C38*G33+C41*G33/G36)+(($C$37*G33+C38*G33+C41*G33/G36)^2+4*($C$29-C37*G32*P29)*(1+$G$44-$G$33^2/$G$36^2))^0.5)/(2*(1+$G44-$G$33^2/$G$36^2))</f>
        <v>28.750773817425877</v>
      </c>
      <c r="Q30" s="15">
        <f t="shared" ref="Q30:AB30" si="11">(($C$29-$C$37*P$25-$C$38*(P$25-$G$35*P$26)-$C$41*P$27+P$27^2)/(1+$G$44))^0.5</f>
        <v>27.859270673606144</v>
      </c>
      <c r="R30" s="15">
        <f t="shared" si="11"/>
        <v>27.849324857308559</v>
      </c>
      <c r="S30" s="15">
        <f t="shared" si="11"/>
        <v>27.849837463413543</v>
      </c>
      <c r="T30" s="15">
        <f t="shared" si="11"/>
        <v>27.849811037831639</v>
      </c>
      <c r="U30" s="15">
        <f t="shared" si="11"/>
        <v>27.84981240009261</v>
      </c>
      <c r="V30" s="15">
        <f t="shared" si="11"/>
        <v>27.849812329866872</v>
      </c>
      <c r="W30" s="15">
        <f t="shared" si="11"/>
        <v>27.849812333487066</v>
      </c>
      <c r="X30" s="15">
        <f t="shared" si="11"/>
        <v>27.849812333300441</v>
      </c>
      <c r="Y30" s="15">
        <f t="shared" si="11"/>
        <v>27.849812333310066</v>
      </c>
      <c r="Z30" s="15">
        <f t="shared" si="11"/>
        <v>27.849812333309568</v>
      </c>
      <c r="AA30" s="15">
        <f t="shared" si="11"/>
        <v>27.849812333309597</v>
      </c>
      <c r="AB30" s="15">
        <f t="shared" si="11"/>
        <v>27.849812333309593</v>
      </c>
      <c r="AC30" s="22">
        <f>(($C$29-$C$37*AB$25-$C$38*(AB$25-$G$35*AB$26)-$C$41*AB$27+AB$27^2)/(1+$G$44))^0.5</f>
        <v>27.849812333309593</v>
      </c>
      <c r="AD30" s="38"/>
      <c r="AE30" s="7"/>
      <c r="AF30" s="7"/>
    </row>
    <row r="31" spans="1:32" ht="20.100000000000001" customHeight="1" thickBot="1">
      <c r="A31" s="213"/>
      <c r="B31" s="228" t="s">
        <v>69</v>
      </c>
      <c r="C31" s="229"/>
      <c r="D31" s="230"/>
      <c r="E31" s="27"/>
      <c r="F31" s="228" t="s">
        <v>63</v>
      </c>
      <c r="G31" s="230"/>
      <c r="H31" s="7"/>
      <c r="I31" s="27"/>
      <c r="J31" s="27"/>
      <c r="K31" s="27"/>
      <c r="L31" s="27"/>
      <c r="M31" s="215"/>
      <c r="N31" s="240"/>
      <c r="O31" s="10" t="s">
        <v>11</v>
      </c>
      <c r="P31" s="15">
        <f>(-(G34*(C37+C38+C39+C42/G37))+((G34*(C37+C38+C39+C42/G37))^2+4*($C$29-C37*(G32*P29+G33*P30)-C38*G33*P30)*(1+$G$44-$G$33^2/$G$36^2))^0.5)/(2*(1+$G45-$G$33^2/$G$36^2))</f>
        <v>27.904742722518094</v>
      </c>
      <c r="Q31" s="15">
        <f t="shared" ref="Q31:AB31" si="12">(($C$29-$C$37*P$25-$C$38*(P$25-$G$35*P$26)-$C$39*(P25-$G$35*P$26-$G$36*P$27)-$C$42*P$28+P$28^2)/(1+$G$45))^0.5</f>
        <v>28.389518598208387</v>
      </c>
      <c r="R31" s="15">
        <f t="shared" si="12"/>
        <v>28.382659206980279</v>
      </c>
      <c r="S31" s="15">
        <f t="shared" si="12"/>
        <v>28.383012751492497</v>
      </c>
      <c r="T31" s="15">
        <f t="shared" si="12"/>
        <v>28.382994525797351</v>
      </c>
      <c r="U31" s="15">
        <f t="shared" si="12"/>
        <v>28.382995465347353</v>
      </c>
      <c r="V31" s="15">
        <f t="shared" si="12"/>
        <v>28.382995416912731</v>
      </c>
      <c r="W31" s="15">
        <f t="shared" si="12"/>
        <v>28.382995419409575</v>
      </c>
      <c r="X31" s="15">
        <f t="shared" si="12"/>
        <v>28.38299541928086</v>
      </c>
      <c r="Y31" s="15">
        <f t="shared" si="12"/>
        <v>28.3829954192875</v>
      </c>
      <c r="Z31" s="15">
        <f t="shared" si="12"/>
        <v>28.382995419287155</v>
      </c>
      <c r="AA31" s="15">
        <f t="shared" si="12"/>
        <v>28.382995419287177</v>
      </c>
      <c r="AB31" s="15">
        <f t="shared" si="12"/>
        <v>28.382995419287173</v>
      </c>
      <c r="AC31" s="22">
        <f>(($C$29-$C$37*AB$25-$C$38*(AB$25-$G$35*AB$26)-$C$39*(AB25-$G$35*AB$26-$G$36*AB$27)-$C$42*AB$28+AB$28^2)/(1+$G$45))^0.5</f>
        <v>28.382995419287173</v>
      </c>
      <c r="AD31" s="38"/>
      <c r="AE31" s="7"/>
      <c r="AF31" s="7"/>
    </row>
    <row r="32" spans="1:32" ht="20.100000000000001" customHeight="1">
      <c r="A32" s="213"/>
      <c r="B32" s="17" t="s">
        <v>3</v>
      </c>
      <c r="C32" s="15">
        <v>2.9000000000000001E-2</v>
      </c>
      <c r="D32" s="14"/>
      <c r="E32" s="27"/>
      <c r="F32" s="12" t="s">
        <v>75</v>
      </c>
      <c r="G32" s="22">
        <f>J34/J33</f>
        <v>5.0055625000000005E-3</v>
      </c>
      <c r="H32" s="28"/>
      <c r="I32" s="207" t="s">
        <v>18</v>
      </c>
      <c r="J32" s="208"/>
      <c r="K32" s="209"/>
      <c r="L32" s="27"/>
      <c r="M32" s="215"/>
      <c r="N32" s="223"/>
      <c r="O32" s="39" t="s">
        <v>41</v>
      </c>
      <c r="P32" s="15"/>
      <c r="Q32" s="15" t="str">
        <f t="shared" ref="Q32:AB32" si="13">IF(Q29-P29=0,"YES","NO")</f>
        <v>NO</v>
      </c>
      <c r="R32" s="15" t="str">
        <f t="shared" si="13"/>
        <v>NO</v>
      </c>
      <c r="S32" s="15" t="str">
        <f t="shared" si="13"/>
        <v>NO</v>
      </c>
      <c r="T32" s="15" t="str">
        <f t="shared" si="13"/>
        <v>NO</v>
      </c>
      <c r="U32" s="15" t="str">
        <f t="shared" si="13"/>
        <v>NO</v>
      </c>
      <c r="V32" s="15" t="str">
        <f t="shared" si="13"/>
        <v>NO</v>
      </c>
      <c r="W32" s="15" t="str">
        <f t="shared" si="13"/>
        <v>NO</v>
      </c>
      <c r="X32" s="15" t="str">
        <f t="shared" si="13"/>
        <v>NO</v>
      </c>
      <c r="Y32" s="15" t="str">
        <f t="shared" si="13"/>
        <v>NO</v>
      </c>
      <c r="Z32" s="15" t="str">
        <f t="shared" si="13"/>
        <v>NO</v>
      </c>
      <c r="AA32" s="15" t="str">
        <f t="shared" si="13"/>
        <v>NO</v>
      </c>
      <c r="AB32" s="15" t="str">
        <f t="shared" si="13"/>
        <v>NO</v>
      </c>
      <c r="AC32" s="22" t="str">
        <f>IF(AC29-AB29=0,"YES","NO")</f>
        <v>YES</v>
      </c>
      <c r="AD32" s="38"/>
      <c r="AE32" s="7"/>
      <c r="AF32" s="7"/>
    </row>
    <row r="33" spans="1:56" ht="20.100000000000001" customHeight="1">
      <c r="A33" s="213"/>
      <c r="B33" s="17" t="s">
        <v>2</v>
      </c>
      <c r="C33" s="15">
        <v>891</v>
      </c>
      <c r="D33" s="14" t="s">
        <v>71</v>
      </c>
      <c r="E33" s="27"/>
      <c r="F33" s="12" t="s">
        <v>76</v>
      </c>
      <c r="G33" s="22">
        <f>J35/J33</f>
        <v>1.44E-2</v>
      </c>
      <c r="H33" s="27"/>
      <c r="I33" s="12" t="s">
        <v>56</v>
      </c>
      <c r="J33" s="15">
        <f t="shared" ref="J33:J39" si="14">J24^2*3.14159265358979/4</f>
        <v>1.256637061435916E-5</v>
      </c>
      <c r="K33" s="14" t="s">
        <v>60</v>
      </c>
      <c r="L33" s="27"/>
      <c r="M33" s="215"/>
      <c r="N33" s="223"/>
      <c r="O33" s="39" t="s">
        <v>41</v>
      </c>
      <c r="P33" s="15"/>
      <c r="Q33" s="15" t="str">
        <f t="shared" ref="Q33:AB33" si="15">IF(Q30-P30=0,"YES","NO")</f>
        <v>NO</v>
      </c>
      <c r="R33" s="15" t="str">
        <f t="shared" si="15"/>
        <v>NO</v>
      </c>
      <c r="S33" s="15" t="str">
        <f t="shared" si="15"/>
        <v>NO</v>
      </c>
      <c r="T33" s="15" t="str">
        <f t="shared" si="15"/>
        <v>NO</v>
      </c>
      <c r="U33" s="15" t="str">
        <f t="shared" si="15"/>
        <v>NO</v>
      </c>
      <c r="V33" s="15" t="str">
        <f t="shared" si="15"/>
        <v>NO</v>
      </c>
      <c r="W33" s="15" t="str">
        <f t="shared" si="15"/>
        <v>NO</v>
      </c>
      <c r="X33" s="15" t="str">
        <f t="shared" si="15"/>
        <v>NO</v>
      </c>
      <c r="Y33" s="15" t="str">
        <f t="shared" si="15"/>
        <v>NO</v>
      </c>
      <c r="Z33" s="15" t="str">
        <f t="shared" si="15"/>
        <v>NO</v>
      </c>
      <c r="AA33" s="15" t="str">
        <f t="shared" si="15"/>
        <v>NO</v>
      </c>
      <c r="AB33" s="15" t="str">
        <f t="shared" si="15"/>
        <v>NO</v>
      </c>
      <c r="AC33" s="22" t="str">
        <f>IF(AC30-AB30=0,"YES","NO")</f>
        <v>YES</v>
      </c>
      <c r="AD33" s="38"/>
      <c r="AE33" s="7"/>
      <c r="AF33" s="7"/>
    </row>
    <row r="34" spans="1:56" ht="20.100000000000001" customHeight="1" thickBot="1">
      <c r="A34" s="213"/>
      <c r="B34" s="18" t="s">
        <v>29</v>
      </c>
      <c r="C34" s="20">
        <f>2*9.81</f>
        <v>19.62</v>
      </c>
      <c r="D34" s="21" t="s">
        <v>70</v>
      </c>
      <c r="E34" s="27"/>
      <c r="F34" s="12" t="s">
        <v>77</v>
      </c>
      <c r="G34" s="22">
        <f>J36/J33</f>
        <v>8.1224999999999992E-2</v>
      </c>
      <c r="H34" s="27"/>
      <c r="I34" s="12" t="s">
        <v>57</v>
      </c>
      <c r="J34" s="15">
        <f t="shared" si="14"/>
        <v>6.2901753508338175E-8</v>
      </c>
      <c r="K34" s="14" t="s">
        <v>60</v>
      </c>
      <c r="L34" s="27"/>
      <c r="M34" s="215"/>
      <c r="N34" s="223"/>
      <c r="O34" s="39" t="s">
        <v>41</v>
      </c>
      <c r="P34" s="15"/>
      <c r="Q34" s="15" t="str">
        <f t="shared" ref="Q34:AB34" si="16">IF(Q31-P31=0,"YES","NO")</f>
        <v>NO</v>
      </c>
      <c r="R34" s="15" t="str">
        <f t="shared" si="16"/>
        <v>NO</v>
      </c>
      <c r="S34" s="15" t="str">
        <f t="shared" si="16"/>
        <v>NO</v>
      </c>
      <c r="T34" s="15" t="str">
        <f t="shared" si="16"/>
        <v>NO</v>
      </c>
      <c r="U34" s="15" t="str">
        <f t="shared" si="16"/>
        <v>NO</v>
      </c>
      <c r="V34" s="15" t="str">
        <f t="shared" si="16"/>
        <v>NO</v>
      </c>
      <c r="W34" s="15" t="str">
        <f t="shared" si="16"/>
        <v>NO</v>
      </c>
      <c r="X34" s="15" t="str">
        <f t="shared" si="16"/>
        <v>NO</v>
      </c>
      <c r="Y34" s="15" t="str">
        <f t="shared" si="16"/>
        <v>NO</v>
      </c>
      <c r="Z34" s="15" t="str">
        <f t="shared" si="16"/>
        <v>NO</v>
      </c>
      <c r="AA34" s="15" t="str">
        <f t="shared" si="16"/>
        <v>NO</v>
      </c>
      <c r="AB34" s="15" t="str">
        <f t="shared" si="16"/>
        <v>NO</v>
      </c>
      <c r="AC34" s="22" t="str">
        <f>IF(AC31-AB31=0,"YES","NO")</f>
        <v>YES</v>
      </c>
      <c r="AD34" s="38"/>
      <c r="AE34" s="7"/>
      <c r="AF34" s="7"/>
    </row>
    <row r="35" spans="1:56" ht="20.100000000000001" customHeight="1" thickBot="1">
      <c r="A35" s="213"/>
      <c r="B35" s="28"/>
      <c r="C35" s="27"/>
      <c r="D35" s="27"/>
      <c r="E35" s="27"/>
      <c r="F35" s="12" t="s">
        <v>78</v>
      </c>
      <c r="G35" s="22">
        <f>J37/J33</f>
        <v>6.25E-2</v>
      </c>
      <c r="H35" s="27"/>
      <c r="I35" s="12" t="s">
        <v>58</v>
      </c>
      <c r="J35" s="15">
        <f t="shared" si="14"/>
        <v>1.8095573684677189E-7</v>
      </c>
      <c r="K35" s="14" t="s">
        <v>60</v>
      </c>
      <c r="L35" s="27"/>
      <c r="M35" s="215"/>
      <c r="N35" s="218" t="s">
        <v>19</v>
      </c>
      <c r="O35" s="39" t="s">
        <v>12</v>
      </c>
      <c r="P35" s="15">
        <f t="shared" ref="P35:AB37" si="17">P29*$J34*1000000*60</f>
        <v>97.105325413567712</v>
      </c>
      <c r="Q35" s="15">
        <f t="shared" si="17"/>
        <v>90.122556851168341</v>
      </c>
      <c r="R35" s="15">
        <f t="shared" si="17"/>
        <v>89.979048036504281</v>
      </c>
      <c r="S35" s="15">
        <f t="shared" si="17"/>
        <v>89.986450972875147</v>
      </c>
      <c r="T35" s="15">
        <f t="shared" si="17"/>
        <v>89.986069358185844</v>
      </c>
      <c r="U35" s="15">
        <f t="shared" si="17"/>
        <v>89.986089030790097</v>
      </c>
      <c r="V35" s="15">
        <f t="shared" si="17"/>
        <v>89.986088016650314</v>
      </c>
      <c r="W35" s="15">
        <f t="shared" si="17"/>
        <v>89.98608806893013</v>
      </c>
      <c r="X35" s="15">
        <f t="shared" si="17"/>
        <v>89.986088066235041</v>
      </c>
      <c r="Y35" s="15">
        <f t="shared" si="17"/>
        <v>89.986088066373981</v>
      </c>
      <c r="Z35" s="15">
        <f t="shared" si="17"/>
        <v>89.986088066366818</v>
      </c>
      <c r="AA35" s="15">
        <f t="shared" si="17"/>
        <v>89.986088066367202</v>
      </c>
      <c r="AB35" s="15">
        <f t="shared" si="17"/>
        <v>89.986088066367174</v>
      </c>
      <c r="AC35" s="22">
        <f>AC29*$J34*1000000*60</f>
        <v>89.986088066367174</v>
      </c>
      <c r="AD35" s="38"/>
      <c r="AE35" s="7"/>
      <c r="AF35" s="7"/>
    </row>
    <row r="36" spans="1:56" ht="20.100000000000001" customHeight="1">
      <c r="A36" s="213"/>
      <c r="B36" s="220" t="s">
        <v>104</v>
      </c>
      <c r="C36" s="221"/>
      <c r="D36" s="222"/>
      <c r="E36" s="27"/>
      <c r="F36" s="12" t="s">
        <v>79</v>
      </c>
      <c r="G36" s="22">
        <f>J38/J33</f>
        <v>0.25</v>
      </c>
      <c r="H36" s="27"/>
      <c r="I36" s="12" t="s">
        <v>59</v>
      </c>
      <c r="J36" s="15">
        <f t="shared" si="14"/>
        <v>1.0207034531513226E-6</v>
      </c>
      <c r="K36" s="14" t="s">
        <v>60</v>
      </c>
      <c r="L36" s="27"/>
      <c r="M36" s="215"/>
      <c r="N36" s="218"/>
      <c r="O36" s="39" t="s">
        <v>13</v>
      </c>
      <c r="P36" s="15">
        <f t="shared" si="17"/>
        <v>312.15704766283056</v>
      </c>
      <c r="Q36" s="15">
        <f t="shared" si="17"/>
        <v>302.47769116536375</v>
      </c>
      <c r="R36" s="15">
        <f t="shared" si="17"/>
        <v>302.36970601436349</v>
      </c>
      <c r="S36" s="15">
        <f t="shared" si="17"/>
        <v>302.37527155528983</v>
      </c>
      <c r="T36" s="15">
        <f t="shared" si="17"/>
        <v>302.37498464365109</v>
      </c>
      <c r="U36" s="15">
        <f t="shared" si="17"/>
        <v>302.37499943418743</v>
      </c>
      <c r="V36" s="15">
        <f t="shared" si="17"/>
        <v>302.37499867172238</v>
      </c>
      <c r="W36" s="15">
        <f t="shared" si="17"/>
        <v>302.37499871102807</v>
      </c>
      <c r="X36" s="15">
        <f t="shared" si="17"/>
        <v>302.37499870900183</v>
      </c>
      <c r="Y36" s="15">
        <f t="shared" si="17"/>
        <v>302.37499870910636</v>
      </c>
      <c r="Z36" s="15">
        <f t="shared" si="17"/>
        <v>302.37499870910091</v>
      </c>
      <c r="AA36" s="15">
        <f t="shared" si="17"/>
        <v>302.37499870910125</v>
      </c>
      <c r="AB36" s="15">
        <f t="shared" si="17"/>
        <v>302.37499870910125</v>
      </c>
      <c r="AC36" s="22">
        <f>AC30*$J35*1000000*60</f>
        <v>302.37499870910125</v>
      </c>
      <c r="AD36" s="38"/>
      <c r="AE36" s="7"/>
      <c r="AF36" s="7"/>
    </row>
    <row r="37" spans="1:56" ht="20.100000000000001" customHeight="1" thickBot="1">
      <c r="A37" s="213"/>
      <c r="B37" s="34" t="s">
        <v>85</v>
      </c>
      <c r="C37" s="15">
        <f>64*$C$32*(F24)/($C$33*$J$24^2)</f>
        <v>6.5095398428731768</v>
      </c>
      <c r="D37" s="22" t="s">
        <v>91</v>
      </c>
      <c r="E37" s="27"/>
      <c r="F37" s="23" t="s">
        <v>80</v>
      </c>
      <c r="G37" s="24">
        <f>J39/J33</f>
        <v>0.5625</v>
      </c>
      <c r="H37" s="27"/>
      <c r="I37" s="12" t="s">
        <v>72</v>
      </c>
      <c r="J37" s="15">
        <f t="shared" si="14"/>
        <v>7.8539816339744748E-7</v>
      </c>
      <c r="K37" s="14" t="s">
        <v>60</v>
      </c>
      <c r="L37" s="27"/>
      <c r="M37" s="215"/>
      <c r="N37" s="218"/>
      <c r="O37" s="39" t="s">
        <v>14</v>
      </c>
      <c r="P37" s="15">
        <f t="shared" si="17"/>
        <v>1708.9480353704075</v>
      </c>
      <c r="Q37" s="15">
        <f t="shared" si="17"/>
        <v>1738.6367799896998</v>
      </c>
      <c r="R37" s="15">
        <f t="shared" si="17"/>
        <v>1738.2166957309169</v>
      </c>
      <c r="S37" s="15">
        <f t="shared" si="17"/>
        <v>1738.2383475771849</v>
      </c>
      <c r="T37" s="15">
        <f t="shared" si="17"/>
        <v>1738.2372313953863</v>
      </c>
      <c r="U37" s="15">
        <f t="shared" si="17"/>
        <v>1738.2372889355024</v>
      </c>
      <c r="V37" s="15">
        <f t="shared" si="17"/>
        <v>1738.2372859692593</v>
      </c>
      <c r="W37" s="15">
        <f t="shared" si="17"/>
        <v>1738.2372861221716</v>
      </c>
      <c r="X37" s="15">
        <f t="shared" si="17"/>
        <v>1738.2372861142887</v>
      </c>
      <c r="Y37" s="15">
        <f t="shared" si="17"/>
        <v>1738.2372861146953</v>
      </c>
      <c r="Z37" s="15">
        <f t="shared" si="17"/>
        <v>1738.2372861146741</v>
      </c>
      <c r="AA37" s="15">
        <f t="shared" si="17"/>
        <v>1738.2372861146757</v>
      </c>
      <c r="AB37" s="15">
        <f t="shared" si="17"/>
        <v>1738.2372861146753</v>
      </c>
      <c r="AC37" s="22">
        <f>AC31*$J36*1000000*60</f>
        <v>1738.2372861146753</v>
      </c>
      <c r="AD37" s="38"/>
      <c r="AE37" s="7"/>
      <c r="AF37" s="7"/>
    </row>
    <row r="38" spans="1:56" ht="20.100000000000001" customHeight="1" thickBot="1">
      <c r="A38" s="213"/>
      <c r="B38" s="34" t="s">
        <v>86</v>
      </c>
      <c r="C38" s="15">
        <f>64*$C$32*(F25)/($C$33*$J$24^2)</f>
        <v>6.5095398428731768</v>
      </c>
      <c r="D38" s="22" t="s">
        <v>91</v>
      </c>
      <c r="E38" s="27"/>
      <c r="F38" s="27"/>
      <c r="G38" s="27"/>
      <c r="H38" s="27"/>
      <c r="I38" s="12" t="s">
        <v>73</v>
      </c>
      <c r="J38" s="15">
        <f t="shared" si="14"/>
        <v>3.1415926535897899E-6</v>
      </c>
      <c r="K38" s="14" t="s">
        <v>60</v>
      </c>
      <c r="L38" s="27"/>
      <c r="M38" s="216"/>
      <c r="N38" s="219"/>
      <c r="O38" s="45" t="s">
        <v>15</v>
      </c>
      <c r="P38" s="20">
        <f t="shared" ref="P38:AB38" si="18">P25*$J33*1000000*60</f>
        <v>2118.2104084468056</v>
      </c>
      <c r="Q38" s="20">
        <f t="shared" si="18"/>
        <v>2131.2370280062319</v>
      </c>
      <c r="R38" s="20">
        <f t="shared" si="18"/>
        <v>2130.565449781785</v>
      </c>
      <c r="S38" s="20">
        <f t="shared" si="18"/>
        <v>2130.6000701053495</v>
      </c>
      <c r="T38" s="20">
        <f t="shared" si="18"/>
        <v>2130.5982853972237</v>
      </c>
      <c r="U38" s="20">
        <f t="shared" si="18"/>
        <v>2130.5983774004803</v>
      </c>
      <c r="V38" s="20">
        <f t="shared" si="18"/>
        <v>2130.5983726576319</v>
      </c>
      <c r="W38" s="20">
        <f t="shared" si="18"/>
        <v>2130.5983729021295</v>
      </c>
      <c r="X38" s="20">
        <f t="shared" si="18"/>
        <v>2130.5983728895258</v>
      </c>
      <c r="Y38" s="20">
        <f t="shared" si="18"/>
        <v>2130.5983728901756</v>
      </c>
      <c r="Z38" s="20">
        <f t="shared" si="18"/>
        <v>2130.5983728901419</v>
      </c>
      <c r="AA38" s="20">
        <f t="shared" si="18"/>
        <v>2130.5983728901438</v>
      </c>
      <c r="AB38" s="20">
        <f t="shared" si="18"/>
        <v>2130.5983728901438</v>
      </c>
      <c r="AC38" s="24">
        <f>AC25*$J33*1000000*60</f>
        <v>2130.5983728901438</v>
      </c>
      <c r="AD38" s="38"/>
      <c r="AE38" s="7"/>
      <c r="AF38" s="7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ht="20.100000000000001" customHeight="1" thickBot="1">
      <c r="A39" s="213"/>
      <c r="B39" s="34" t="s">
        <v>87</v>
      </c>
      <c r="C39" s="15">
        <f>64*$C$32*(F26)/($C$33*$J$24^2)</f>
        <v>6.5095398428731768</v>
      </c>
      <c r="D39" s="22" t="s">
        <v>91</v>
      </c>
      <c r="E39" s="27"/>
      <c r="F39" s="207" t="s">
        <v>89</v>
      </c>
      <c r="G39" s="209"/>
      <c r="H39" s="27"/>
      <c r="I39" s="23" t="s">
        <v>74</v>
      </c>
      <c r="J39" s="20">
        <f t="shared" si="14"/>
        <v>7.0685834705770276E-6</v>
      </c>
      <c r="K39" s="21" t="s">
        <v>60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38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</row>
    <row r="40" spans="1:56" ht="19.5" customHeight="1">
      <c r="A40" s="213"/>
      <c r="B40" s="34" t="s">
        <v>82</v>
      </c>
      <c r="C40" s="15">
        <f>64*$C$32*F27/($C$33*J28^2)</f>
        <v>104.15263748597083</v>
      </c>
      <c r="D40" s="22" t="s">
        <v>91</v>
      </c>
      <c r="E40" s="27"/>
      <c r="F40" s="36" t="s">
        <v>94</v>
      </c>
      <c r="G40" s="14">
        <v>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5"/>
    </row>
    <row r="41" spans="1:56" ht="20.100000000000001" customHeight="1">
      <c r="A41" s="213"/>
      <c r="B41" s="34" t="s">
        <v>83</v>
      </c>
      <c r="C41" s="15">
        <f>64*$C$32*F28/($C$33*J29^2)</f>
        <v>26.038159371492707</v>
      </c>
      <c r="D41" s="22" t="s">
        <v>91</v>
      </c>
      <c r="E41" s="27"/>
      <c r="F41" s="36" t="s">
        <v>95</v>
      </c>
      <c r="G41" s="14">
        <v>0</v>
      </c>
      <c r="H41" s="7"/>
      <c r="I41" s="27"/>
      <c r="J41" s="27"/>
      <c r="K41" s="7"/>
      <c r="L41" s="7"/>
      <c r="M41" s="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5"/>
    </row>
    <row r="42" spans="1:56" ht="20.100000000000001" customHeight="1" thickBot="1">
      <c r="A42" s="213"/>
      <c r="B42" s="35" t="s">
        <v>84</v>
      </c>
      <c r="C42" s="20">
        <f>64*$C$32*F29/($C$33*J30^2)</f>
        <v>11.572515276218981</v>
      </c>
      <c r="D42" s="24" t="s">
        <v>91</v>
      </c>
      <c r="E42" s="27"/>
      <c r="F42" s="36" t="s">
        <v>96</v>
      </c>
      <c r="G42" s="14">
        <v>0</v>
      </c>
      <c r="H42" s="7"/>
      <c r="I42" s="27"/>
      <c r="J42" s="27"/>
      <c r="K42" s="7"/>
      <c r="L42" s="7"/>
      <c r="M42" s="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5"/>
    </row>
    <row r="43" spans="1:56" ht="20.100000000000001" customHeight="1">
      <c r="A43" s="213"/>
      <c r="B43" s="27"/>
      <c r="C43" s="27"/>
      <c r="D43" s="27"/>
      <c r="E43" s="27"/>
      <c r="F43" s="36" t="s">
        <v>90</v>
      </c>
      <c r="G43" s="14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5"/>
    </row>
    <row r="44" spans="1:56" ht="20.100000000000001" customHeight="1">
      <c r="A44" s="213"/>
      <c r="B44" s="27"/>
      <c r="C44" s="27"/>
      <c r="D44" s="27"/>
      <c r="E44" s="27"/>
      <c r="F44" s="36" t="s">
        <v>92</v>
      </c>
      <c r="G44" s="14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5"/>
    </row>
    <row r="45" spans="1:56" ht="20.100000000000001" customHeight="1" thickBot="1">
      <c r="A45" s="213"/>
      <c r="B45" s="27"/>
      <c r="C45" s="27"/>
      <c r="D45" s="27"/>
      <c r="E45" s="27"/>
      <c r="F45" s="37" t="s">
        <v>93</v>
      </c>
      <c r="G45" s="21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5"/>
    </row>
    <row r="46" spans="1:56" ht="20.100000000000001" customHeight="1" thickBot="1">
      <c r="A46" s="214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26"/>
    </row>
    <row r="47" spans="1:56" ht="20.100000000000001" customHeight="1">
      <c r="B47" s="2"/>
      <c r="AB47" s="27"/>
      <c r="AC47" s="27"/>
    </row>
    <row r="48" spans="1:56" ht="20.100000000000001" customHeight="1">
      <c r="AB48" s="27"/>
      <c r="AC48" s="27"/>
    </row>
    <row r="54" spans="4:38" ht="20.100000000000001" customHeight="1">
      <c r="AD54" s="16"/>
      <c r="AE54" s="16"/>
      <c r="AF54" s="16"/>
      <c r="AG54" s="16"/>
      <c r="AH54" s="16"/>
      <c r="AI54" s="16"/>
      <c r="AJ54" s="16"/>
      <c r="AK54" s="16"/>
      <c r="AL54" s="16"/>
    </row>
    <row r="63" spans="4:38" ht="20.100000000000001" customHeight="1">
      <c r="D63" s="6"/>
    </row>
    <row r="64" spans="4:38" ht="20.100000000000001" customHeight="1">
      <c r="D64" s="6"/>
    </row>
    <row r="65" spans="2:4" ht="20.100000000000001" customHeight="1">
      <c r="D65" s="6"/>
    </row>
    <row r="67" spans="2:4" ht="20.100000000000001" customHeight="1">
      <c r="B67" s="8"/>
    </row>
    <row r="68" spans="2:4" ht="20.100000000000001" customHeight="1">
      <c r="B68" s="8"/>
    </row>
  </sheetData>
  <mergeCells count="24">
    <mergeCell ref="M10:M11"/>
    <mergeCell ref="N10:Q10"/>
    <mergeCell ref="C2:E2"/>
    <mergeCell ref="C10:C11"/>
    <mergeCell ref="D10:G10"/>
    <mergeCell ref="H10:H11"/>
    <mergeCell ref="I10:L10"/>
    <mergeCell ref="C9:G9"/>
    <mergeCell ref="N35:N38"/>
    <mergeCell ref="B36:D36"/>
    <mergeCell ref="F39:G39"/>
    <mergeCell ref="M15:Q17"/>
    <mergeCell ref="N25:N31"/>
    <mergeCell ref="A22:AD22"/>
    <mergeCell ref="A23:A46"/>
    <mergeCell ref="B23:C23"/>
    <mergeCell ref="E23:G23"/>
    <mergeCell ref="I23:K23"/>
    <mergeCell ref="M24:M38"/>
    <mergeCell ref="B31:D31"/>
    <mergeCell ref="M23:AC23"/>
    <mergeCell ref="F31:G31"/>
    <mergeCell ref="I32:K32"/>
    <mergeCell ref="N32:N34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"/>
  <sheetViews>
    <sheetView zoomScale="68" zoomScaleNormal="68" workbookViewId="0">
      <selection activeCell="C2" sqref="C2:E7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16.85546875" style="2" customWidth="1"/>
    <col min="4" max="4" width="17.28515625" style="2" customWidth="1"/>
    <col min="5" max="5" width="18.5703125" style="2" customWidth="1"/>
    <col min="6" max="16384" width="15.7109375" style="2"/>
  </cols>
  <sheetData>
    <row r="1" spans="3:17" ht="20.100000000000001" customHeight="1" thickBot="1"/>
    <row r="2" spans="3:17" ht="20.100000000000001" customHeight="1">
      <c r="C2" s="199" t="s">
        <v>97</v>
      </c>
      <c r="D2" s="200"/>
      <c r="E2" s="201"/>
    </row>
    <row r="3" spans="3:17" ht="20.100000000000001" customHeight="1">
      <c r="C3" s="34" t="s">
        <v>98</v>
      </c>
      <c r="D3" s="33" t="s">
        <v>1</v>
      </c>
      <c r="E3" s="42" t="s">
        <v>4</v>
      </c>
    </row>
    <row r="4" spans="3:17" ht="20.100000000000001" customHeight="1">
      <c r="C4" s="40" t="s">
        <v>12</v>
      </c>
      <c r="D4" s="15">
        <f>AB26</f>
        <v>21.59310939665356</v>
      </c>
      <c r="E4" s="22">
        <f>AB32</f>
        <v>81.494666684812969</v>
      </c>
    </row>
    <row r="5" spans="3:17" ht="20.100000000000001" customHeight="1">
      <c r="C5" s="40" t="s">
        <v>13</v>
      </c>
      <c r="D5" s="15">
        <f>AB27</f>
        <v>23.849014000145836</v>
      </c>
      <c r="E5" s="22">
        <f>AB33</f>
        <v>258.93695408792212</v>
      </c>
    </row>
    <row r="6" spans="3:17" ht="20.100000000000001" customHeight="1">
      <c r="C6" s="40" t="s">
        <v>14</v>
      </c>
      <c r="D6" s="15">
        <f>AB28</f>
        <v>24.471894936187599</v>
      </c>
      <c r="E6" s="22">
        <f>AB34</f>
        <v>1498.7128599913826</v>
      </c>
    </row>
    <row r="7" spans="3:17" ht="20.100000000000001" customHeight="1" thickBot="1">
      <c r="C7" s="41" t="s">
        <v>15</v>
      </c>
      <c r="D7" s="20">
        <f>AB22</f>
        <v>2.4392411264482243</v>
      </c>
      <c r="E7" s="24">
        <f>AB35</f>
        <v>1839.1444807641183</v>
      </c>
    </row>
    <row r="8" spans="3:17" ht="20.100000000000001" customHeight="1" thickBot="1"/>
    <row r="9" spans="3:17" ht="20.100000000000001" customHeight="1" thickBot="1">
      <c r="C9" s="257" t="s">
        <v>20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9"/>
    </row>
    <row r="10" spans="3:17" ht="20.100000000000001" customHeight="1">
      <c r="C10" s="231"/>
      <c r="D10" s="221" t="s">
        <v>22</v>
      </c>
      <c r="E10" s="221"/>
      <c r="F10" s="221"/>
      <c r="G10" s="222"/>
      <c r="H10" s="260"/>
      <c r="I10" s="251" t="s">
        <v>21</v>
      </c>
      <c r="J10" s="251"/>
      <c r="K10" s="251"/>
      <c r="L10" s="252"/>
      <c r="M10" s="260"/>
      <c r="N10" s="251" t="s">
        <v>35</v>
      </c>
      <c r="O10" s="251"/>
      <c r="P10" s="251"/>
      <c r="Q10" s="252"/>
    </row>
    <row r="11" spans="3:17" ht="20.100000000000001" customHeight="1">
      <c r="C11" s="232"/>
      <c r="D11" s="9" t="s">
        <v>36</v>
      </c>
      <c r="E11" s="9" t="s">
        <v>37</v>
      </c>
      <c r="F11" s="10" t="s">
        <v>33</v>
      </c>
      <c r="G11" s="11" t="s">
        <v>34</v>
      </c>
      <c r="H11" s="261"/>
      <c r="I11" s="9" t="s">
        <v>36</v>
      </c>
      <c r="J11" s="9" t="s">
        <v>37</v>
      </c>
      <c r="K11" s="10" t="s">
        <v>33</v>
      </c>
      <c r="L11" s="11" t="s">
        <v>34</v>
      </c>
      <c r="M11" s="261"/>
      <c r="N11" s="9" t="s">
        <v>36</v>
      </c>
      <c r="O11" s="9" t="s">
        <v>37</v>
      </c>
      <c r="P11" s="10" t="s">
        <v>33</v>
      </c>
      <c r="Q11" s="11" t="s">
        <v>34</v>
      </c>
    </row>
    <row r="12" spans="3:17" ht="20.100000000000001" customHeight="1">
      <c r="C12" s="12" t="s">
        <v>23</v>
      </c>
      <c r="D12" s="13">
        <f t="shared" ref="D12:D17" si="0">F12*891*9.81</f>
        <v>7073.7992666998516</v>
      </c>
      <c r="E12" s="13">
        <f t="shared" ref="E12:E17" si="1">D12/6895</f>
        <v>1.0259317283103484</v>
      </c>
      <c r="F12" s="13">
        <f>C34*AB22/C31</f>
        <v>0.80929344031547223</v>
      </c>
      <c r="G12" s="14">
        <f t="shared" ref="G12:G17" si="2">F12*0.891/13.6*1000</f>
        <v>53.020621714785719</v>
      </c>
      <c r="H12" s="12" t="s">
        <v>30</v>
      </c>
      <c r="I12" s="13">
        <f t="shared" ref="I12:I17" si="3">K12*891*9.81</f>
        <v>748.84660005125954</v>
      </c>
      <c r="J12" s="13">
        <f t="shared" ref="J12:J17" si="4">I12/6895</f>
        <v>0.10860719362599848</v>
      </c>
      <c r="K12" s="13">
        <f t="shared" ref="K12:K17" si="5">AB23^2*G37/C$31</f>
        <v>8.5673429281060628E-2</v>
      </c>
      <c r="L12" s="14">
        <f t="shared" ref="L12:L17" si="6">K12*0.891/13.6*1000</f>
        <v>5.6128695212812509</v>
      </c>
      <c r="M12" s="12" t="s">
        <v>38</v>
      </c>
      <c r="N12" s="13">
        <f>P12*891*9.81</f>
        <v>183947.30422402074</v>
      </c>
      <c r="O12" s="13">
        <f>N12/6895</f>
        <v>26.678361743875382</v>
      </c>
      <c r="P12" s="15">
        <f>K15+F15+F12+K12</f>
        <v>21.044892717413202</v>
      </c>
      <c r="Q12" s="14">
        <f>P12*0.891/13.6*1000</f>
        <v>1378.7499567069972</v>
      </c>
    </row>
    <row r="13" spans="3:17" ht="20.100000000000001" customHeight="1">
      <c r="C13" s="12" t="s">
        <v>24</v>
      </c>
      <c r="D13" s="13">
        <f t="shared" si="0"/>
        <v>6760.3508566024193</v>
      </c>
      <c r="E13" s="13">
        <f t="shared" si="1"/>
        <v>0.9804714802904162</v>
      </c>
      <c r="F13" s="13">
        <f>C35*(AB22-G29*AB26)/C31</f>
        <v>0.77343269100592738</v>
      </c>
      <c r="G13" s="14">
        <f t="shared" si="2"/>
        <v>50.671215271050094</v>
      </c>
      <c r="H13" s="12" t="s">
        <v>31</v>
      </c>
      <c r="I13" s="13">
        <f t="shared" si="3"/>
        <v>569.5037107910922</v>
      </c>
      <c r="J13" s="13">
        <f t="shared" si="4"/>
        <v>8.2596622304726933E-2</v>
      </c>
      <c r="K13" s="13">
        <f t="shared" si="5"/>
        <v>6.5155314704536837E-2</v>
      </c>
      <c r="L13" s="14">
        <f t="shared" si="6"/>
        <v>4.2686312795398766</v>
      </c>
      <c r="M13" s="12" t="s">
        <v>39</v>
      </c>
      <c r="N13" s="13">
        <f>P13*891*9.81</f>
        <v>138065.53466556419</v>
      </c>
      <c r="O13" s="13">
        <f>N13/6895</f>
        <v>20.024007928290672</v>
      </c>
      <c r="P13" s="15">
        <f>K16+K13+F16+F13+F12</f>
        <v>15.795688755897883</v>
      </c>
      <c r="Q13" s="14">
        <f>P13*0.891/13.6*1000</f>
        <v>1034.8499030518392</v>
      </c>
    </row>
    <row r="14" spans="3:17" ht="20.100000000000001" customHeight="1">
      <c r="C14" s="12" t="s">
        <v>25</v>
      </c>
      <c r="D14" s="13">
        <f t="shared" si="0"/>
        <v>5764.4160319563298</v>
      </c>
      <c r="E14" s="13">
        <f t="shared" si="1"/>
        <v>0.83602843103064972</v>
      </c>
      <c r="F14" s="13">
        <f>C36*(AB22-AB26*G29-AB27*G30)/C31</f>
        <v>0.6594905942373479</v>
      </c>
      <c r="G14" s="14">
        <f t="shared" si="2"/>
        <v>43.206332313638015</v>
      </c>
      <c r="H14" s="12" t="s">
        <v>32</v>
      </c>
      <c r="I14" s="13">
        <f t="shared" si="3"/>
        <v>225.67378439844768</v>
      </c>
      <c r="J14" s="13">
        <f t="shared" si="4"/>
        <v>3.2730063001950353E-2</v>
      </c>
      <c r="K14" s="13">
        <f t="shared" si="5"/>
        <v>2.5818701730002214E-2</v>
      </c>
      <c r="L14" s="14">
        <f t="shared" si="6"/>
        <v>1.6915046501052922</v>
      </c>
      <c r="M14" s="12" t="s">
        <v>40</v>
      </c>
      <c r="N14" s="13">
        <f>P14*891*9.81</f>
        <v>124258.80268155401</v>
      </c>
      <c r="O14" s="13">
        <f>N14/6895</f>
        <v>18.021581244605368</v>
      </c>
      <c r="P14" s="15">
        <f>K17+K14+F17+F14+F13+F12</f>
        <v>14.216099456629268</v>
      </c>
      <c r="Q14" s="14">
        <f>P14*0.891/13.6*1000</f>
        <v>931.36357469534391</v>
      </c>
    </row>
    <row r="15" spans="3:17" ht="20.100000000000001" customHeight="1">
      <c r="C15" s="17" t="s">
        <v>26</v>
      </c>
      <c r="D15" s="13">
        <f t="shared" si="0"/>
        <v>95869.458452006787</v>
      </c>
      <c r="E15" s="13">
        <f t="shared" si="1"/>
        <v>13.904199920523101</v>
      </c>
      <c r="F15" s="15">
        <f>C37*AB23/C31</f>
        <v>10.968154583781727</v>
      </c>
      <c r="G15" s="14">
        <f t="shared" si="2"/>
        <v>718.57542162864115</v>
      </c>
      <c r="H15" s="17" t="s">
        <v>12</v>
      </c>
      <c r="I15" s="13">
        <f t="shared" si="3"/>
        <v>80255.199905262838</v>
      </c>
      <c r="J15" s="13">
        <f t="shared" si="4"/>
        <v>11.63962290141593</v>
      </c>
      <c r="K15" s="13">
        <f t="shared" si="5"/>
        <v>9.1817712640349392</v>
      </c>
      <c r="L15" s="14">
        <f t="shared" si="6"/>
        <v>601.54104384228913</v>
      </c>
      <c r="M15" s="253"/>
      <c r="N15" s="223"/>
      <c r="O15" s="223"/>
      <c r="P15" s="223"/>
      <c r="Q15" s="254"/>
    </row>
    <row r="16" spans="3:17" ht="20.100000000000001" customHeight="1">
      <c r="C16" s="17" t="s">
        <v>27</v>
      </c>
      <c r="D16" s="13">
        <f t="shared" si="0"/>
        <v>23368.300958887878</v>
      </c>
      <c r="E16" s="13">
        <f t="shared" si="1"/>
        <v>3.3891662014340649</v>
      </c>
      <c r="F16" s="15">
        <f>C38*AB24/C31</f>
        <v>2.6735014614245154</v>
      </c>
      <c r="G16" s="14">
        <f t="shared" si="2"/>
        <v>175.15366192126788</v>
      </c>
      <c r="H16" s="17" t="s">
        <v>13</v>
      </c>
      <c r="I16" s="13">
        <f t="shared" si="3"/>
        <v>100293.57987258295</v>
      </c>
      <c r="J16" s="13">
        <f t="shared" si="4"/>
        <v>14.545841895951117</v>
      </c>
      <c r="K16" s="13">
        <f t="shared" si="5"/>
        <v>11.474305848447433</v>
      </c>
      <c r="L16" s="14">
        <f t="shared" si="6"/>
        <v>751.73577286519583</v>
      </c>
      <c r="M16" s="253"/>
      <c r="N16" s="223"/>
      <c r="O16" s="223"/>
      <c r="P16" s="223"/>
      <c r="Q16" s="254"/>
    </row>
    <row r="17" spans="1:29" ht="20.100000000000001" customHeight="1" thickBot="1">
      <c r="C17" s="18" t="s">
        <v>28</v>
      </c>
      <c r="D17" s="19">
        <f t="shared" si="0"/>
        <v>8560.0933135766154</v>
      </c>
      <c r="E17" s="19">
        <f t="shared" si="1"/>
        <v>1.2414928663635409</v>
      </c>
      <c r="F17" s="20">
        <f>C39*AB25/C31</f>
        <v>0.97933615387956074</v>
      </c>
      <c r="G17" s="21">
        <f t="shared" si="2"/>
        <v>64.160920081374172</v>
      </c>
      <c r="H17" s="18" t="s">
        <v>14</v>
      </c>
      <c r="I17" s="19">
        <f t="shared" si="3"/>
        <v>95874.469428320357</v>
      </c>
      <c r="J17" s="19">
        <f t="shared" si="4"/>
        <v>13.904926675608463</v>
      </c>
      <c r="K17" s="19">
        <f t="shared" si="5"/>
        <v>10.968727875460958</v>
      </c>
      <c r="L17" s="21">
        <f t="shared" si="6"/>
        <v>718.61298066439088</v>
      </c>
      <c r="M17" s="255"/>
      <c r="N17" s="224"/>
      <c r="O17" s="224"/>
      <c r="P17" s="224"/>
      <c r="Q17" s="256"/>
    </row>
    <row r="18" spans="1:29" ht="20.100000000000001" customHeight="1" thickBot="1"/>
    <row r="19" spans="1:29" ht="42.75" customHeight="1" thickBot="1">
      <c r="A19" s="202" t="s">
        <v>99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4"/>
    </row>
    <row r="20" spans="1:29" ht="20.100000000000001" customHeight="1">
      <c r="A20" s="213"/>
      <c r="B20" s="205" t="s">
        <v>0</v>
      </c>
      <c r="C20" s="206"/>
      <c r="D20" s="27"/>
      <c r="E20" s="205" t="s">
        <v>62</v>
      </c>
      <c r="F20" s="239"/>
      <c r="G20" s="206"/>
      <c r="H20" s="28"/>
      <c r="I20" s="205" t="s">
        <v>68</v>
      </c>
      <c r="J20" s="239"/>
      <c r="K20" s="206"/>
      <c r="L20" s="28"/>
      <c r="M20" s="248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50"/>
    </row>
    <row r="21" spans="1:29" ht="20.100000000000001" customHeight="1">
      <c r="A21" s="213"/>
      <c r="B21" s="17" t="s">
        <v>64</v>
      </c>
      <c r="C21" s="22">
        <v>5</v>
      </c>
      <c r="D21" s="27"/>
      <c r="E21" s="12" t="s">
        <v>43</v>
      </c>
      <c r="F21" s="15">
        <v>0.05</v>
      </c>
      <c r="G21" s="14" t="s">
        <v>61</v>
      </c>
      <c r="H21" s="27"/>
      <c r="I21" s="12" t="s">
        <v>49</v>
      </c>
      <c r="J21" s="15">
        <v>4.0000000000000001E-3</v>
      </c>
      <c r="K21" s="14" t="s">
        <v>61</v>
      </c>
      <c r="L21" s="27"/>
      <c r="M21" s="215" t="s">
        <v>88</v>
      </c>
      <c r="N21" s="13"/>
      <c r="O21" s="9" t="s">
        <v>16</v>
      </c>
      <c r="P21" s="10" t="s">
        <v>42</v>
      </c>
      <c r="Q21" s="43">
        <v>1</v>
      </c>
      <c r="R21" s="43">
        <v>2</v>
      </c>
      <c r="S21" s="43">
        <v>3</v>
      </c>
      <c r="T21" s="43">
        <v>4</v>
      </c>
      <c r="U21" s="43">
        <v>5</v>
      </c>
      <c r="V21" s="43">
        <v>6</v>
      </c>
      <c r="W21" s="43">
        <v>7</v>
      </c>
      <c r="X21" s="43">
        <v>8</v>
      </c>
      <c r="Y21" s="43">
        <v>9</v>
      </c>
      <c r="Z21" s="43">
        <v>10</v>
      </c>
      <c r="AA21" s="43">
        <v>11</v>
      </c>
      <c r="AB21" s="44">
        <v>12</v>
      </c>
      <c r="AC21" s="5"/>
    </row>
    <row r="22" spans="1:29" ht="20.100000000000001" customHeight="1">
      <c r="A22" s="213"/>
      <c r="B22" s="17" t="s">
        <v>17</v>
      </c>
      <c r="C22" s="22">
        <f>(C21*(30.48/12)^2/0.4536)</f>
        <v>71.115520282186949</v>
      </c>
      <c r="D22" s="27"/>
      <c r="E22" s="12" t="s">
        <v>44</v>
      </c>
      <c r="F22" s="15">
        <v>0.05</v>
      </c>
      <c r="G22" s="14" t="s">
        <v>61</v>
      </c>
      <c r="H22" s="27"/>
      <c r="I22" s="12" t="s">
        <v>50</v>
      </c>
      <c r="J22" s="15">
        <v>2.8299999999999999E-4</v>
      </c>
      <c r="K22" s="14" t="s">
        <v>61</v>
      </c>
      <c r="L22" s="27"/>
      <c r="M22" s="215"/>
      <c r="N22" s="217" t="s">
        <v>1</v>
      </c>
      <c r="O22" s="9" t="s">
        <v>5</v>
      </c>
      <c r="P22" s="15">
        <f t="shared" ref="P22:AB22" si="7">P26*$G$29+P27*$G$30+P28*$G$31</f>
        <v>2.4505422548420555</v>
      </c>
      <c r="Q22" s="15">
        <f t="shared" si="7"/>
        <v>2.4387606705855158</v>
      </c>
      <c r="R22" s="15">
        <f t="shared" si="7"/>
        <v>2.4392615538876927</v>
      </c>
      <c r="S22" s="15">
        <f t="shared" si="7"/>
        <v>2.4392402579415808</v>
      </c>
      <c r="T22" s="15">
        <f t="shared" si="7"/>
        <v>2.4392411633742364</v>
      </c>
      <c r="U22" s="15">
        <f t="shared" si="7"/>
        <v>2.4392411248782531</v>
      </c>
      <c r="V22" s="15">
        <f t="shared" si="7"/>
        <v>2.439241126514974</v>
      </c>
      <c r="W22" s="15">
        <f t="shared" si="7"/>
        <v>2.4392411264453862</v>
      </c>
      <c r="X22" s="15">
        <f t="shared" si="7"/>
        <v>2.4392411264483447</v>
      </c>
      <c r="Y22" s="15">
        <f t="shared" si="7"/>
        <v>2.439241126448219</v>
      </c>
      <c r="Z22" s="15">
        <f t="shared" si="7"/>
        <v>2.4392411264482243</v>
      </c>
      <c r="AA22" s="15">
        <f t="shared" si="7"/>
        <v>2.4392411264482243</v>
      </c>
      <c r="AB22" s="22">
        <f t="shared" si="7"/>
        <v>2.4392411264482243</v>
      </c>
      <c r="AC22" s="6"/>
    </row>
    <row r="23" spans="1:29" ht="20.100000000000001" customHeight="1">
      <c r="A23" s="213"/>
      <c r="B23" s="17" t="s">
        <v>65</v>
      </c>
      <c r="C23" s="22">
        <f>(C21*(30.48/12)^2/0.4536)*6895</f>
        <v>490341.51234567899</v>
      </c>
      <c r="D23" s="27"/>
      <c r="E23" s="12" t="s">
        <v>45</v>
      </c>
      <c r="F23" s="15">
        <v>0.05</v>
      </c>
      <c r="G23" s="14" t="s">
        <v>61</v>
      </c>
      <c r="H23" s="27"/>
      <c r="I23" s="12" t="s">
        <v>51</v>
      </c>
      <c r="J23" s="15">
        <v>4.8000000000000001E-4</v>
      </c>
      <c r="K23" s="14" t="s">
        <v>61</v>
      </c>
      <c r="L23" s="27"/>
      <c r="M23" s="215"/>
      <c r="N23" s="240"/>
      <c r="O23" s="9" t="s">
        <v>6</v>
      </c>
      <c r="P23" s="15">
        <f t="shared" ref="P23:AB23" si="8">P$22/(1+$G37)^0.5</f>
        <v>2.075724709840673</v>
      </c>
      <c r="Q23" s="15">
        <f t="shared" si="8"/>
        <v>2.0657451530654134</v>
      </c>
      <c r="R23" s="15">
        <f t="shared" si="8"/>
        <v>2.0661694248138485</v>
      </c>
      <c r="S23" s="15">
        <f t="shared" si="8"/>
        <v>2.0661513861444574</v>
      </c>
      <c r="T23" s="15">
        <f t="shared" si="8"/>
        <v>2.066152153088562</v>
      </c>
      <c r="U23" s="15">
        <f t="shared" si="8"/>
        <v>2.066152120480651</v>
      </c>
      <c r="V23" s="15">
        <f t="shared" si="8"/>
        <v>2.0661521218670309</v>
      </c>
      <c r="W23" s="15">
        <f t="shared" si="8"/>
        <v>2.0661521218080865</v>
      </c>
      <c r="X23" s="15">
        <f t="shared" si="8"/>
        <v>2.0661521218105925</v>
      </c>
      <c r="Y23" s="15">
        <f t="shared" si="8"/>
        <v>2.0661521218104864</v>
      </c>
      <c r="Z23" s="15">
        <f t="shared" si="8"/>
        <v>2.0661521218104908</v>
      </c>
      <c r="AA23" s="15">
        <f t="shared" si="8"/>
        <v>2.0661521218104908</v>
      </c>
      <c r="AB23" s="22">
        <f t="shared" si="8"/>
        <v>2.0661521218104908</v>
      </c>
      <c r="AC23" s="6"/>
    </row>
    <row r="24" spans="1:29" ht="20.100000000000001" customHeight="1">
      <c r="A24" s="213"/>
      <c r="B24" s="17" t="s">
        <v>66</v>
      </c>
      <c r="C24" s="22">
        <f>101325</f>
        <v>101325</v>
      </c>
      <c r="D24" s="27"/>
      <c r="E24" s="12" t="s">
        <v>46</v>
      </c>
      <c r="F24" s="15">
        <v>0.05</v>
      </c>
      <c r="G24" s="14" t="s">
        <v>61</v>
      </c>
      <c r="H24" s="27"/>
      <c r="I24" s="12" t="s">
        <v>52</v>
      </c>
      <c r="J24" s="15">
        <v>1.14E-3</v>
      </c>
      <c r="K24" s="14" t="s">
        <v>61</v>
      </c>
      <c r="L24" s="27"/>
      <c r="M24" s="215"/>
      <c r="N24" s="240"/>
      <c r="O24" s="10" t="s">
        <v>7</v>
      </c>
      <c r="P24" s="15">
        <f t="shared" ref="P24:AB24" si="9">(P$22-P23*$G$32)/(1+$G38)^0.5</f>
        <v>2.0238420247941522</v>
      </c>
      <c r="Q24" s="15">
        <f t="shared" si="9"/>
        <v>2.0141119067805069</v>
      </c>
      <c r="R24" s="15">
        <f t="shared" si="9"/>
        <v>2.0145255738676422</v>
      </c>
      <c r="S24" s="15">
        <f t="shared" si="9"/>
        <v>2.0145079860743231</v>
      </c>
      <c r="T24" s="15">
        <f t="shared" si="9"/>
        <v>2.0145087338486798</v>
      </c>
      <c r="U24" s="15">
        <f t="shared" si="9"/>
        <v>2.0145087020558026</v>
      </c>
      <c r="V24" s="15">
        <f t="shared" si="9"/>
        <v>2.0145087034075302</v>
      </c>
      <c r="W24" s="15">
        <f t="shared" si="9"/>
        <v>2.0145087033500588</v>
      </c>
      <c r="X24" s="15">
        <f t="shared" si="9"/>
        <v>2.0145087033525022</v>
      </c>
      <c r="Y24" s="15">
        <f t="shared" si="9"/>
        <v>2.0145087033523983</v>
      </c>
      <c r="Z24" s="15">
        <f t="shared" si="9"/>
        <v>2.0145087033524032</v>
      </c>
      <c r="AA24" s="15">
        <f t="shared" si="9"/>
        <v>2.0145087033524032</v>
      </c>
      <c r="AB24" s="22">
        <f t="shared" si="9"/>
        <v>2.0145087033524032</v>
      </c>
      <c r="AC24" s="6"/>
    </row>
    <row r="25" spans="1:29" ht="20.100000000000001" customHeight="1">
      <c r="A25" s="213"/>
      <c r="B25" s="17" t="s">
        <v>67</v>
      </c>
      <c r="C25" s="22">
        <f>C23-C24</f>
        <v>389016.51234567899</v>
      </c>
      <c r="D25" s="27"/>
      <c r="E25" s="12" t="s">
        <v>47</v>
      </c>
      <c r="F25" s="15">
        <v>0.05</v>
      </c>
      <c r="G25" s="14" t="s">
        <v>61</v>
      </c>
      <c r="H25" s="27"/>
      <c r="I25" s="12" t="s">
        <v>53</v>
      </c>
      <c r="J25" s="15">
        <v>1E-3</v>
      </c>
      <c r="K25" s="14" t="s">
        <v>61</v>
      </c>
      <c r="L25" s="27"/>
      <c r="M25" s="215"/>
      <c r="N25" s="240"/>
      <c r="O25" s="10" t="s">
        <v>8</v>
      </c>
      <c r="P25" s="15">
        <f t="shared" ref="P25:AB25" si="10">(P$22-P23*$G$32-P24*$G$33)/(1+$G39)^0.5</f>
        <v>1.6680554732230131</v>
      </c>
      <c r="Q25" s="15">
        <f t="shared" si="10"/>
        <v>1.6600358865117342</v>
      </c>
      <c r="R25" s="15">
        <f t="shared" si="10"/>
        <v>1.6603768319216698</v>
      </c>
      <c r="S25" s="15">
        <f t="shared" si="10"/>
        <v>1.6603623360200388</v>
      </c>
      <c r="T25" s="15">
        <f t="shared" si="10"/>
        <v>1.6603629523374654</v>
      </c>
      <c r="U25" s="15">
        <f t="shared" si="10"/>
        <v>1.6603629261336994</v>
      </c>
      <c r="V25" s="15">
        <f t="shared" si="10"/>
        <v>1.6603629272477964</v>
      </c>
      <c r="W25" s="15">
        <f t="shared" si="10"/>
        <v>1.6603629272004288</v>
      </c>
      <c r="X25" s="15">
        <f t="shared" si="10"/>
        <v>1.6603629272024423</v>
      </c>
      <c r="Y25" s="15">
        <f t="shared" si="10"/>
        <v>1.660362927202357</v>
      </c>
      <c r="Z25" s="15">
        <f t="shared" si="10"/>
        <v>1.6603629272023606</v>
      </c>
      <c r="AA25" s="15">
        <f t="shared" si="10"/>
        <v>1.6603629272023606</v>
      </c>
      <c r="AB25" s="22">
        <f t="shared" si="10"/>
        <v>1.6603629272023606</v>
      </c>
      <c r="AC25" s="6"/>
    </row>
    <row r="26" spans="1:29" ht="20.100000000000001" customHeight="1" thickBot="1">
      <c r="A26" s="213"/>
      <c r="B26" s="18" t="s">
        <v>81</v>
      </c>
      <c r="C26" s="24">
        <f>C25*2/C30</f>
        <v>873.21327125853873</v>
      </c>
      <c r="D26" s="27"/>
      <c r="E26" s="23" t="s">
        <v>48</v>
      </c>
      <c r="F26" s="20">
        <v>0.05</v>
      </c>
      <c r="G26" s="24" t="s">
        <v>61</v>
      </c>
      <c r="H26" s="7"/>
      <c r="I26" s="12" t="s">
        <v>54</v>
      </c>
      <c r="J26" s="15">
        <v>2E-3</v>
      </c>
      <c r="K26" s="14" t="s">
        <v>61</v>
      </c>
      <c r="L26" s="27"/>
      <c r="M26" s="215"/>
      <c r="N26" s="240"/>
      <c r="O26" s="10" t="s">
        <v>9</v>
      </c>
      <c r="P26" s="15">
        <f>(-($C$34*$G$29+$C$37*$G$29/$G$32)+(($C$34*$G$29+$C$37*$G$29/$G$32)^2+4*$C$26*(1+$G$40-$G$29^2/$G$32^2))^0.5)/(2*(1+$G40-$G$29^2/$G$32^2))</f>
        <v>22.303390904934439</v>
      </c>
      <c r="Q26" s="15">
        <f t="shared" ref="Q26:AB26" si="11">(($C$26-$C$37*P$23-$C$34*P$22+P$23^2)/(1+$G$40))^0.5</f>
        <v>21.575883607099509</v>
      </c>
      <c r="R26" s="15">
        <f t="shared" si="11"/>
        <v>21.593841496713274</v>
      </c>
      <c r="S26" s="15">
        <f t="shared" si="11"/>
        <v>21.593078269683943</v>
      </c>
      <c r="T26" s="15">
        <f t="shared" si="11"/>
        <v>21.593110720067788</v>
      </c>
      <c r="U26" s="15">
        <f t="shared" si="11"/>
        <v>21.593109340386391</v>
      </c>
      <c r="V26" s="15">
        <f t="shared" si="11"/>
        <v>21.593109399045854</v>
      </c>
      <c r="W26" s="15">
        <f t="shared" si="11"/>
        <v>21.593109396551846</v>
      </c>
      <c r="X26" s="15">
        <f t="shared" si="11"/>
        <v>21.593109396657884</v>
      </c>
      <c r="Y26" s="15">
        <f t="shared" si="11"/>
        <v>21.593109396653375</v>
      </c>
      <c r="Z26" s="15">
        <f t="shared" si="11"/>
        <v>21.593109396653567</v>
      </c>
      <c r="AA26" s="15">
        <f t="shared" si="11"/>
        <v>21.59310939665356</v>
      </c>
      <c r="AB26" s="22">
        <f t="shared" si="11"/>
        <v>21.59310939665356</v>
      </c>
      <c r="AC26" s="6"/>
    </row>
    <row r="27" spans="1:29" ht="20.100000000000001" customHeight="1" thickBot="1">
      <c r="A27" s="213"/>
      <c r="B27" s="27"/>
      <c r="C27" s="27"/>
      <c r="D27" s="27"/>
      <c r="E27" s="27"/>
      <c r="F27" s="27"/>
      <c r="G27" s="7"/>
      <c r="H27" s="7"/>
      <c r="I27" s="23" t="s">
        <v>55</v>
      </c>
      <c r="J27" s="20">
        <v>3.0000000000000001E-3</v>
      </c>
      <c r="K27" s="21" t="s">
        <v>61</v>
      </c>
      <c r="L27" s="27"/>
      <c r="M27" s="215"/>
      <c r="N27" s="240"/>
      <c r="O27" s="10" t="s">
        <v>10</v>
      </c>
      <c r="P27" s="15">
        <f>(-($C$34*G30+C35*G30+C38*G30/G33)+(($C$34*G30+C35*G30+C38*G30/G33)^2+4*($C$26-C34*G29*P26)*(1+$G$41-$G$30^2/$G$33^2))^0.5)/(2*(1+$G41-$G$30^2/$G$33^2))</f>
        <v>24.432776761891478</v>
      </c>
      <c r="Q27" s="15">
        <f t="shared" ref="Q27:AB27" si="12">(($C$26-$C$34*P$22-$C$35*(P$22-$G$32*P$23)-$C$38*P$24+P$24^2)/(1+$G$41))^0.5</f>
        <v>23.84377790118846</v>
      </c>
      <c r="R27" s="15">
        <f t="shared" si="12"/>
        <v>23.849236640028106</v>
      </c>
      <c r="S27" s="15">
        <f t="shared" si="12"/>
        <v>23.849004534272197</v>
      </c>
      <c r="T27" s="15">
        <f t="shared" si="12"/>
        <v>23.849014402603341</v>
      </c>
      <c r="U27" s="15">
        <f t="shared" si="12"/>
        <v>23.849013983034684</v>
      </c>
      <c r="V27" s="15">
        <f t="shared" si="12"/>
        <v>23.849014000873346</v>
      </c>
      <c r="W27" s="15">
        <f t="shared" si="12"/>
        <v>23.849014000114909</v>
      </c>
      <c r="X27" s="15">
        <f t="shared" si="12"/>
        <v>23.849014000147154</v>
      </c>
      <c r="Y27" s="15">
        <f t="shared" si="12"/>
        <v>23.849014000145782</v>
      </c>
      <c r="Z27" s="15">
        <f t="shared" si="12"/>
        <v>23.849014000145843</v>
      </c>
      <c r="AA27" s="15">
        <f t="shared" si="12"/>
        <v>23.849014000145836</v>
      </c>
      <c r="AB27" s="22">
        <f t="shared" si="12"/>
        <v>23.849014000145836</v>
      </c>
      <c r="AC27" s="6"/>
    </row>
    <row r="28" spans="1:29" ht="20.100000000000001" customHeight="1" thickBot="1">
      <c r="A28" s="213"/>
      <c r="B28" s="228" t="s">
        <v>69</v>
      </c>
      <c r="C28" s="229"/>
      <c r="D28" s="230"/>
      <c r="E28" s="27"/>
      <c r="F28" s="228" t="s">
        <v>63</v>
      </c>
      <c r="G28" s="230"/>
      <c r="H28" s="7"/>
      <c r="I28" s="27"/>
      <c r="J28" s="27"/>
      <c r="K28" s="27"/>
      <c r="L28" s="27"/>
      <c r="M28" s="215"/>
      <c r="N28" s="240"/>
      <c r="O28" s="10" t="s">
        <v>11</v>
      </c>
      <c r="P28" s="15">
        <f>(-(G31*(C34+C35+C36+C39/G34))+((G31*(C34+C35+C36+C39/G34))^2+4*($C$26-C34*(G29*P26+G30*P27)-C35*G30*P27)*(1+$G$41-$G$30^2/$G$33^2))^0.5)/(2*(1+$G42-$G$30^2/$G$33^2))</f>
        <v>24.463764263887196</v>
      </c>
      <c r="Q28" s="15">
        <f t="shared" ref="Q28:AB28" si="13">(($C$26-$C$34*P$22-$C$35*(P$22-$G$32*P$23)-$C$36*(P22-$G$32*P$23-$G$33*P$24)-$C$39*P$25+P$25^2)/(1+$G$42))^0.5</f>
        <v>24.467969651219946</v>
      </c>
      <c r="R28" s="15">
        <f t="shared" si="13"/>
        <v>24.472061841112914</v>
      </c>
      <c r="S28" s="15">
        <f t="shared" si="13"/>
        <v>24.471887839972506</v>
      </c>
      <c r="T28" s="15">
        <f t="shared" si="13"/>
        <v>24.471895237895097</v>
      </c>
      <c r="U28" s="15">
        <f t="shared" si="13"/>
        <v>24.471894923360001</v>
      </c>
      <c r="V28" s="15">
        <f t="shared" si="13"/>
        <v>24.471894936732987</v>
      </c>
      <c r="W28" s="15">
        <f t="shared" si="13"/>
        <v>24.471894936164411</v>
      </c>
      <c r="X28" s="15">
        <f t="shared" si="13"/>
        <v>24.471894936188583</v>
      </c>
      <c r="Y28" s="15">
        <f t="shared" si="13"/>
        <v>24.471894936187557</v>
      </c>
      <c r="Z28" s="15">
        <f t="shared" si="13"/>
        <v>24.471894936187599</v>
      </c>
      <c r="AA28" s="15">
        <f t="shared" si="13"/>
        <v>24.471894936187599</v>
      </c>
      <c r="AB28" s="22">
        <f t="shared" si="13"/>
        <v>24.471894936187599</v>
      </c>
      <c r="AC28" s="6"/>
    </row>
    <row r="29" spans="1:29" ht="20.100000000000001" customHeight="1">
      <c r="A29" s="213"/>
      <c r="B29" s="17" t="s">
        <v>3</v>
      </c>
      <c r="C29" s="15">
        <v>2.9000000000000001E-2</v>
      </c>
      <c r="D29" s="14"/>
      <c r="E29" s="27"/>
      <c r="F29" s="12" t="s">
        <v>75</v>
      </c>
      <c r="G29" s="22">
        <f>J31/J30</f>
        <v>5.0055625000000005E-3</v>
      </c>
      <c r="H29" s="28"/>
      <c r="I29" s="207" t="s">
        <v>18</v>
      </c>
      <c r="J29" s="208"/>
      <c r="K29" s="209"/>
      <c r="L29" s="27"/>
      <c r="M29" s="215"/>
      <c r="N29" s="223"/>
      <c r="O29" s="39" t="s">
        <v>41</v>
      </c>
      <c r="P29" s="15"/>
      <c r="Q29" s="15" t="str">
        <f t="shared" ref="Q29:AB29" si="14">IF(Q26-P26=0,"YES","NO")</f>
        <v>NO</v>
      </c>
      <c r="R29" s="15" t="str">
        <f t="shared" si="14"/>
        <v>NO</v>
      </c>
      <c r="S29" s="15" t="str">
        <f t="shared" si="14"/>
        <v>NO</v>
      </c>
      <c r="T29" s="15" t="str">
        <f t="shared" si="14"/>
        <v>NO</v>
      </c>
      <c r="U29" s="15" t="str">
        <f t="shared" si="14"/>
        <v>NO</v>
      </c>
      <c r="V29" s="15" t="str">
        <f t="shared" si="14"/>
        <v>NO</v>
      </c>
      <c r="W29" s="15" t="str">
        <f t="shared" si="14"/>
        <v>NO</v>
      </c>
      <c r="X29" s="15" t="str">
        <f t="shared" si="14"/>
        <v>NO</v>
      </c>
      <c r="Y29" s="15" t="str">
        <f t="shared" si="14"/>
        <v>NO</v>
      </c>
      <c r="Z29" s="15" t="str">
        <f t="shared" si="14"/>
        <v>NO</v>
      </c>
      <c r="AA29" s="15" t="str">
        <f t="shared" si="14"/>
        <v>NO</v>
      </c>
      <c r="AB29" s="22" t="str">
        <f t="shared" si="14"/>
        <v>YES</v>
      </c>
      <c r="AC29" s="6"/>
    </row>
    <row r="30" spans="1:29" ht="20.100000000000001" customHeight="1">
      <c r="A30" s="213"/>
      <c r="B30" s="17" t="s">
        <v>2</v>
      </c>
      <c r="C30" s="15">
        <v>891</v>
      </c>
      <c r="D30" s="14" t="s">
        <v>71</v>
      </c>
      <c r="E30" s="27"/>
      <c r="F30" s="12" t="s">
        <v>76</v>
      </c>
      <c r="G30" s="22">
        <f>J32/J30</f>
        <v>1.44E-2</v>
      </c>
      <c r="H30" s="27"/>
      <c r="I30" s="12" t="s">
        <v>56</v>
      </c>
      <c r="J30" s="15">
        <f t="shared" ref="J30:J36" si="15">J21^2*3.14159265358979/4</f>
        <v>1.256637061435916E-5</v>
      </c>
      <c r="K30" s="14" t="s">
        <v>60</v>
      </c>
      <c r="L30" s="27"/>
      <c r="M30" s="215"/>
      <c r="N30" s="223"/>
      <c r="O30" s="39" t="s">
        <v>41</v>
      </c>
      <c r="P30" s="15"/>
      <c r="Q30" s="15" t="str">
        <f t="shared" ref="Q30:AB30" si="16">IF(Q27-P27=0,"YES","NO")</f>
        <v>NO</v>
      </c>
      <c r="R30" s="15" t="str">
        <f t="shared" si="16"/>
        <v>NO</v>
      </c>
      <c r="S30" s="15" t="str">
        <f t="shared" si="16"/>
        <v>NO</v>
      </c>
      <c r="T30" s="15" t="str">
        <f t="shared" si="16"/>
        <v>NO</v>
      </c>
      <c r="U30" s="15" t="str">
        <f t="shared" si="16"/>
        <v>NO</v>
      </c>
      <c r="V30" s="15" t="str">
        <f t="shared" si="16"/>
        <v>NO</v>
      </c>
      <c r="W30" s="15" t="str">
        <f t="shared" si="16"/>
        <v>NO</v>
      </c>
      <c r="X30" s="15" t="str">
        <f t="shared" si="16"/>
        <v>NO</v>
      </c>
      <c r="Y30" s="15" t="str">
        <f t="shared" si="16"/>
        <v>NO</v>
      </c>
      <c r="Z30" s="15" t="str">
        <f t="shared" si="16"/>
        <v>NO</v>
      </c>
      <c r="AA30" s="15" t="str">
        <f t="shared" si="16"/>
        <v>NO</v>
      </c>
      <c r="AB30" s="22" t="str">
        <f t="shared" si="16"/>
        <v>YES</v>
      </c>
      <c r="AC30" s="6"/>
    </row>
    <row r="31" spans="1:29" ht="20.100000000000001" customHeight="1" thickBot="1">
      <c r="A31" s="213"/>
      <c r="B31" s="18" t="s">
        <v>29</v>
      </c>
      <c r="C31" s="20">
        <f>2*9.81</f>
        <v>19.62</v>
      </c>
      <c r="D31" s="21" t="s">
        <v>70</v>
      </c>
      <c r="E31" s="27"/>
      <c r="F31" s="12" t="s">
        <v>77</v>
      </c>
      <c r="G31" s="22">
        <f>J33/J30</f>
        <v>8.1224999999999992E-2</v>
      </c>
      <c r="H31" s="27"/>
      <c r="I31" s="12" t="s">
        <v>57</v>
      </c>
      <c r="J31" s="15">
        <f t="shared" si="15"/>
        <v>6.2901753508338175E-8</v>
      </c>
      <c r="K31" s="14" t="s">
        <v>60</v>
      </c>
      <c r="L31" s="27"/>
      <c r="M31" s="215"/>
      <c r="N31" s="223"/>
      <c r="O31" s="39" t="s">
        <v>41</v>
      </c>
      <c r="P31" s="15"/>
      <c r="Q31" s="15" t="str">
        <f t="shared" ref="Q31:AB31" si="17">IF(Q28-P28=0,"YES","NO")</f>
        <v>NO</v>
      </c>
      <c r="R31" s="15" t="str">
        <f t="shared" si="17"/>
        <v>NO</v>
      </c>
      <c r="S31" s="15" t="str">
        <f t="shared" si="17"/>
        <v>NO</v>
      </c>
      <c r="T31" s="15" t="str">
        <f t="shared" si="17"/>
        <v>NO</v>
      </c>
      <c r="U31" s="15" t="str">
        <f t="shared" si="17"/>
        <v>NO</v>
      </c>
      <c r="V31" s="15" t="str">
        <f t="shared" si="17"/>
        <v>NO</v>
      </c>
      <c r="W31" s="15" t="str">
        <f t="shared" si="17"/>
        <v>NO</v>
      </c>
      <c r="X31" s="15" t="str">
        <f t="shared" si="17"/>
        <v>NO</v>
      </c>
      <c r="Y31" s="15" t="str">
        <f t="shared" si="17"/>
        <v>NO</v>
      </c>
      <c r="Z31" s="15" t="str">
        <f t="shared" si="17"/>
        <v>NO</v>
      </c>
      <c r="AA31" s="15" t="str">
        <f t="shared" si="17"/>
        <v>YES</v>
      </c>
      <c r="AB31" s="22" t="str">
        <f t="shared" si="17"/>
        <v>YES</v>
      </c>
      <c r="AC31" s="6"/>
    </row>
    <row r="32" spans="1:29" ht="20.100000000000001" customHeight="1" thickBot="1">
      <c r="A32" s="213"/>
      <c r="B32" s="28"/>
      <c r="C32" s="27"/>
      <c r="D32" s="27"/>
      <c r="E32" s="27"/>
      <c r="F32" s="12" t="s">
        <v>78</v>
      </c>
      <c r="G32" s="22">
        <f>J34/J30</f>
        <v>6.25E-2</v>
      </c>
      <c r="H32" s="27"/>
      <c r="I32" s="12" t="s">
        <v>58</v>
      </c>
      <c r="J32" s="15">
        <f t="shared" si="15"/>
        <v>1.8095573684677189E-7</v>
      </c>
      <c r="K32" s="14" t="s">
        <v>60</v>
      </c>
      <c r="L32" s="27"/>
      <c r="M32" s="215"/>
      <c r="N32" s="218" t="s">
        <v>19</v>
      </c>
      <c r="O32" s="39" t="s">
        <v>12</v>
      </c>
      <c r="P32" s="15">
        <f t="shared" ref="P32:AB34" si="18">P26*$J31*1000000*60</f>
        <v>84.175343826137862</v>
      </c>
      <c r="Q32" s="15">
        <f t="shared" si="18"/>
        <v>81.429654742702056</v>
      </c>
      <c r="R32" s="15">
        <f t="shared" si="18"/>
        <v>81.497429707462956</v>
      </c>
      <c r="S32" s="15">
        <f t="shared" si="18"/>
        <v>81.494549208354769</v>
      </c>
      <c r="T32" s="15">
        <f t="shared" si="18"/>
        <v>81.494671679517523</v>
      </c>
      <c r="U32" s="15">
        <f t="shared" si="18"/>
        <v>81.494666472454782</v>
      </c>
      <c r="V32" s="15">
        <f t="shared" si="18"/>
        <v>81.494666693841765</v>
      </c>
      <c r="W32" s="15">
        <f t="shared" si="18"/>
        <v>81.494666684429106</v>
      </c>
      <c r="X32" s="15">
        <f t="shared" si="18"/>
        <v>81.494666684829312</v>
      </c>
      <c r="Y32" s="15">
        <f t="shared" si="18"/>
        <v>81.494666684812273</v>
      </c>
      <c r="Z32" s="15">
        <f t="shared" si="18"/>
        <v>81.494666684812998</v>
      </c>
      <c r="AA32" s="15">
        <f t="shared" si="18"/>
        <v>81.494666684812969</v>
      </c>
      <c r="AB32" s="22">
        <f t="shared" si="18"/>
        <v>81.494666684812969</v>
      </c>
      <c r="AC32" s="6"/>
    </row>
    <row r="33" spans="1:56" ht="20.100000000000001" customHeight="1">
      <c r="A33" s="213"/>
      <c r="B33" s="220" t="s">
        <v>104</v>
      </c>
      <c r="C33" s="221"/>
      <c r="D33" s="222"/>
      <c r="E33" s="27"/>
      <c r="F33" s="12" t="s">
        <v>79</v>
      </c>
      <c r="G33" s="22">
        <f>J35/J30</f>
        <v>0.25</v>
      </c>
      <c r="H33" s="27"/>
      <c r="I33" s="12" t="s">
        <v>59</v>
      </c>
      <c r="J33" s="15">
        <f t="shared" si="15"/>
        <v>1.0207034531513226E-6</v>
      </c>
      <c r="K33" s="14" t="s">
        <v>60</v>
      </c>
      <c r="L33" s="27"/>
      <c r="M33" s="215"/>
      <c r="N33" s="218"/>
      <c r="O33" s="39" t="s">
        <v>13</v>
      </c>
      <c r="P33" s="15">
        <f t="shared" si="18"/>
        <v>265.27506732964554</v>
      </c>
      <c r="Q33" s="15">
        <f t="shared" si="18"/>
        <v>258.88010395922004</v>
      </c>
      <c r="R33" s="15">
        <f t="shared" si="18"/>
        <v>258.93937136575897</v>
      </c>
      <c r="S33" s="15">
        <f t="shared" si="18"/>
        <v>258.9368513136738</v>
      </c>
      <c r="T33" s="15">
        <f t="shared" si="18"/>
        <v>258.93695845754178</v>
      </c>
      <c r="U33" s="15">
        <f t="shared" si="18"/>
        <v>258.93695390214049</v>
      </c>
      <c r="V33" s="15">
        <f t="shared" si="18"/>
        <v>258.93695409582097</v>
      </c>
      <c r="W33" s="15">
        <f t="shared" si="18"/>
        <v>258.93695408758634</v>
      </c>
      <c r="X33" s="15">
        <f t="shared" si="18"/>
        <v>258.93695408793644</v>
      </c>
      <c r="Y33" s="15">
        <f t="shared" si="18"/>
        <v>258.93695408792149</v>
      </c>
      <c r="Z33" s="15">
        <f t="shared" si="18"/>
        <v>258.93695408792223</v>
      </c>
      <c r="AA33" s="15">
        <f t="shared" si="18"/>
        <v>258.93695408792212</v>
      </c>
      <c r="AB33" s="22">
        <f t="shared" si="18"/>
        <v>258.93695408792212</v>
      </c>
      <c r="AC33" s="6"/>
    </row>
    <row r="34" spans="1:56" ht="20.100000000000001" customHeight="1" thickBot="1">
      <c r="A34" s="213"/>
      <c r="B34" s="34" t="s">
        <v>85</v>
      </c>
      <c r="C34" s="15">
        <f>64*$C$29*(F21)/($C$30*$J$21^2)</f>
        <v>6.5095398428731768</v>
      </c>
      <c r="D34" s="22" t="s">
        <v>91</v>
      </c>
      <c r="E34" s="27"/>
      <c r="F34" s="23" t="s">
        <v>80</v>
      </c>
      <c r="G34" s="24">
        <f>J36/J30</f>
        <v>0.5625</v>
      </c>
      <c r="H34" s="27"/>
      <c r="I34" s="12" t="s">
        <v>72</v>
      </c>
      <c r="J34" s="15">
        <f t="shared" si="15"/>
        <v>7.8539816339744748E-7</v>
      </c>
      <c r="K34" s="14" t="s">
        <v>60</v>
      </c>
      <c r="L34" s="27"/>
      <c r="M34" s="215"/>
      <c r="N34" s="218"/>
      <c r="O34" s="39" t="s">
        <v>14</v>
      </c>
      <c r="P34" s="15">
        <f t="shared" si="18"/>
        <v>1498.2149196737751</v>
      </c>
      <c r="Q34" s="15">
        <f t="shared" si="18"/>
        <v>1498.4724668761178</v>
      </c>
      <c r="R34" s="15">
        <f t="shared" si="18"/>
        <v>1498.7230816174001</v>
      </c>
      <c r="S34" s="15">
        <f t="shared" si="18"/>
        <v>1498.712425403508</v>
      </c>
      <c r="T34" s="15">
        <f t="shared" si="18"/>
        <v>1498.7128784686158</v>
      </c>
      <c r="U34" s="15">
        <f t="shared" si="18"/>
        <v>1498.7128592057923</v>
      </c>
      <c r="V34" s="15">
        <f t="shared" si="18"/>
        <v>1498.7128600247836</v>
      </c>
      <c r="W34" s="15">
        <f t="shared" si="18"/>
        <v>1498.7128599899629</v>
      </c>
      <c r="X34" s="15">
        <f t="shared" si="18"/>
        <v>1498.7128599914433</v>
      </c>
      <c r="Y34" s="15">
        <f t="shared" si="18"/>
        <v>1498.7128599913804</v>
      </c>
      <c r="Z34" s="15">
        <f t="shared" si="18"/>
        <v>1498.7128599913826</v>
      </c>
      <c r="AA34" s="15">
        <f t="shared" si="18"/>
        <v>1498.7128599913826</v>
      </c>
      <c r="AB34" s="22">
        <f t="shared" si="18"/>
        <v>1498.7128599913826</v>
      </c>
      <c r="AC34" s="6"/>
    </row>
    <row r="35" spans="1:56" ht="20.100000000000001" customHeight="1" thickBot="1">
      <c r="A35" s="213"/>
      <c r="B35" s="34" t="s">
        <v>86</v>
      </c>
      <c r="C35" s="15">
        <f>64*$C$29*(F22)/($C$30*$J$21^2)</f>
        <v>6.5095398428731768</v>
      </c>
      <c r="D35" s="22" t="s">
        <v>91</v>
      </c>
      <c r="E35" s="27"/>
      <c r="F35" s="27"/>
      <c r="G35" s="27"/>
      <c r="H35" s="27"/>
      <c r="I35" s="12" t="s">
        <v>73</v>
      </c>
      <c r="J35" s="15">
        <f t="shared" si="15"/>
        <v>3.1415926535897899E-6</v>
      </c>
      <c r="K35" s="14" t="s">
        <v>60</v>
      </c>
      <c r="L35" s="27"/>
      <c r="M35" s="216"/>
      <c r="N35" s="219"/>
      <c r="O35" s="45" t="s">
        <v>15</v>
      </c>
      <c r="P35" s="20">
        <f t="shared" ref="P35:AB35" si="19">P22*$J30*1000000*60</f>
        <v>1847.6653308295586</v>
      </c>
      <c r="Q35" s="20">
        <f t="shared" si="19"/>
        <v>1838.78222557804</v>
      </c>
      <c r="R35" s="20">
        <f t="shared" si="19"/>
        <v>1839.159882690622</v>
      </c>
      <c r="S35" s="20">
        <f t="shared" si="19"/>
        <v>1839.1438259255362</v>
      </c>
      <c r="T35" s="20">
        <f t="shared" si="19"/>
        <v>1839.1445086056754</v>
      </c>
      <c r="U35" s="20">
        <f t="shared" si="19"/>
        <v>1839.1444795803877</v>
      </c>
      <c r="V35" s="20">
        <f t="shared" si="19"/>
        <v>1839.1444808144461</v>
      </c>
      <c r="W35" s="20">
        <f t="shared" si="19"/>
        <v>1839.1444807619778</v>
      </c>
      <c r="X35" s="20">
        <f t="shared" si="19"/>
        <v>1839.1444807642088</v>
      </c>
      <c r="Y35" s="20">
        <f t="shared" si="19"/>
        <v>1839.1444807641142</v>
      </c>
      <c r="Z35" s="20">
        <f t="shared" si="19"/>
        <v>1839.1444807641183</v>
      </c>
      <c r="AA35" s="20">
        <f t="shared" si="19"/>
        <v>1839.1444807641183</v>
      </c>
      <c r="AB35" s="24">
        <f t="shared" si="19"/>
        <v>1839.1444807641183</v>
      </c>
      <c r="AC35" s="6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ht="20.100000000000001" customHeight="1" thickBot="1">
      <c r="A36" s="213"/>
      <c r="B36" s="34" t="s">
        <v>87</v>
      </c>
      <c r="C36" s="15">
        <f>64*$C$29*(F23)/($C$30*$J$21^2)</f>
        <v>6.5095398428731768</v>
      </c>
      <c r="D36" s="22" t="s">
        <v>91</v>
      </c>
      <c r="E36" s="27"/>
      <c r="F36" s="207" t="s">
        <v>89</v>
      </c>
      <c r="G36" s="209"/>
      <c r="H36" s="27"/>
      <c r="I36" s="23" t="s">
        <v>74</v>
      </c>
      <c r="J36" s="20">
        <f t="shared" si="15"/>
        <v>7.0685834705770276E-6</v>
      </c>
      <c r="K36" s="21" t="s">
        <v>60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5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</row>
    <row r="37" spans="1:56" ht="19.5" customHeight="1">
      <c r="A37" s="213"/>
      <c r="B37" s="34" t="s">
        <v>82</v>
      </c>
      <c r="C37" s="15">
        <f>64*$C$29*F24/($C$30*J25^2)</f>
        <v>104.15263748597083</v>
      </c>
      <c r="D37" s="22" t="s">
        <v>91</v>
      </c>
      <c r="E37" s="27"/>
      <c r="F37" s="36" t="s">
        <v>94</v>
      </c>
      <c r="G37" s="14">
        <f>0.42*(1-J25^2/$J$21^2)</f>
        <v>0.39374999999999999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5"/>
    </row>
    <row r="38" spans="1:56" ht="20.100000000000001" customHeight="1">
      <c r="A38" s="213"/>
      <c r="B38" s="34" t="s">
        <v>83</v>
      </c>
      <c r="C38" s="15">
        <f>64*$C$29*F25/($C$30*J26^2)</f>
        <v>26.038159371492707</v>
      </c>
      <c r="D38" s="22" t="s">
        <v>91</v>
      </c>
      <c r="E38" s="27"/>
      <c r="F38" s="36" t="s">
        <v>95</v>
      </c>
      <c r="G38" s="14">
        <f>0.42*(1-J26^2/$J$21^2)</f>
        <v>0.315</v>
      </c>
      <c r="H38" s="7"/>
      <c r="I38" s="27"/>
      <c r="J38" s="27"/>
      <c r="K38" s="7"/>
      <c r="L38" s="7"/>
      <c r="M38" s="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5"/>
    </row>
    <row r="39" spans="1:56" ht="20.100000000000001" customHeight="1" thickBot="1">
      <c r="A39" s="213"/>
      <c r="B39" s="35" t="s">
        <v>84</v>
      </c>
      <c r="C39" s="20">
        <f>64*$C$29*F26/($C$30*J27^2)</f>
        <v>11.572515276218981</v>
      </c>
      <c r="D39" s="24" t="s">
        <v>91</v>
      </c>
      <c r="E39" s="27"/>
      <c r="F39" s="36" t="s">
        <v>96</v>
      </c>
      <c r="G39" s="14">
        <f>0.42*(1-J27^2/$J$21^2)</f>
        <v>0.18375</v>
      </c>
      <c r="H39" s="7"/>
      <c r="I39" s="27"/>
      <c r="J39" s="27"/>
      <c r="K39" s="7"/>
      <c r="L39" s="7"/>
      <c r="M39" s="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5"/>
    </row>
    <row r="40" spans="1:56" ht="20.100000000000001" customHeight="1">
      <c r="A40" s="213"/>
      <c r="B40" s="27"/>
      <c r="C40" s="27"/>
      <c r="D40" s="27"/>
      <c r="E40" s="27"/>
      <c r="F40" s="36" t="s">
        <v>90</v>
      </c>
      <c r="G40" s="14">
        <f>0.42*(1-J22^2/J25^2)</f>
        <v>0.38636261999999999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5"/>
    </row>
    <row r="41" spans="1:56" ht="20.100000000000001" customHeight="1">
      <c r="A41" s="213"/>
      <c r="B41" s="27"/>
      <c r="C41" s="27"/>
      <c r="D41" s="27"/>
      <c r="E41" s="27"/>
      <c r="F41" s="36" t="s">
        <v>92</v>
      </c>
      <c r="G41" s="14">
        <f>0.42*(1-J23^2/J26^2)</f>
        <v>0.39580799999999999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5"/>
    </row>
    <row r="42" spans="1:56" ht="20.100000000000001" customHeight="1" thickBot="1">
      <c r="A42" s="213"/>
      <c r="B42" s="27"/>
      <c r="C42" s="27"/>
      <c r="D42" s="27"/>
      <c r="E42" s="27"/>
      <c r="F42" s="37" t="s">
        <v>93</v>
      </c>
      <c r="G42" s="21">
        <f>0.42*(1-J24^2/J27^2)</f>
        <v>0.359352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5"/>
    </row>
    <row r="43" spans="1:56" ht="20.100000000000001" customHeight="1" thickBot="1">
      <c r="A43" s="214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6"/>
    </row>
    <row r="44" spans="1:56" ht="20.100000000000001" customHeight="1">
      <c r="B44" s="2"/>
    </row>
    <row r="51" spans="2:38" ht="20.100000000000001" customHeight="1">
      <c r="AD51" s="16"/>
      <c r="AE51" s="16"/>
      <c r="AF51" s="16"/>
      <c r="AG51" s="16"/>
      <c r="AH51" s="16"/>
      <c r="AI51" s="16"/>
      <c r="AJ51" s="16"/>
      <c r="AK51" s="16"/>
      <c r="AL51" s="16"/>
    </row>
    <row r="60" spans="2:38" ht="20.100000000000001" customHeight="1">
      <c r="D60" s="6"/>
    </row>
    <row r="61" spans="2:38" ht="20.100000000000001" customHeight="1">
      <c r="D61" s="6"/>
    </row>
    <row r="62" spans="2:38" ht="20.100000000000001" customHeight="1">
      <c r="D62" s="6"/>
    </row>
    <row r="64" spans="2:38" ht="20.100000000000001" customHeight="1">
      <c r="B64" s="8"/>
    </row>
    <row r="65" spans="2:2" ht="20.100000000000001" customHeight="1">
      <c r="B65" s="8"/>
    </row>
  </sheetData>
  <mergeCells count="24">
    <mergeCell ref="M15:Q17"/>
    <mergeCell ref="B28:D28"/>
    <mergeCell ref="D10:G10"/>
    <mergeCell ref="N10:Q10"/>
    <mergeCell ref="C9:Q9"/>
    <mergeCell ref="H10:H11"/>
    <mergeCell ref="C10:C11"/>
    <mergeCell ref="M10:M11"/>
    <mergeCell ref="C2:E2"/>
    <mergeCell ref="N29:N31"/>
    <mergeCell ref="M20:AB20"/>
    <mergeCell ref="A19:AB19"/>
    <mergeCell ref="A20:A43"/>
    <mergeCell ref="I20:K20"/>
    <mergeCell ref="M21:M35"/>
    <mergeCell ref="I29:K29"/>
    <mergeCell ref="F36:G36"/>
    <mergeCell ref="B33:D33"/>
    <mergeCell ref="F28:G28"/>
    <mergeCell ref="N22:N28"/>
    <mergeCell ref="N32:N35"/>
    <mergeCell ref="B20:C20"/>
    <mergeCell ref="E20:G20"/>
    <mergeCell ref="I10:L10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L65"/>
  <sheetViews>
    <sheetView zoomScale="70" zoomScaleNormal="70" workbookViewId="0">
      <selection activeCell="C2" sqref="C2:E7"/>
    </sheetView>
  </sheetViews>
  <sheetFormatPr defaultColWidth="15.7109375" defaultRowHeight="20.100000000000001" customHeight="1"/>
  <cols>
    <col min="1" max="1" width="15.7109375" style="2"/>
    <col min="2" max="2" width="25.42578125" style="3" customWidth="1"/>
    <col min="3" max="3" width="21.28515625" style="2" customWidth="1"/>
    <col min="4" max="4" width="17.28515625" style="2" customWidth="1"/>
    <col min="5" max="5" width="18.5703125" style="2" customWidth="1"/>
    <col min="6" max="7" width="15.7109375" style="2"/>
    <col min="8" max="8" width="18.85546875" style="2" customWidth="1"/>
    <col min="9" max="16" width="15.7109375" style="2"/>
    <col min="17" max="17" width="16.42578125" style="2" customWidth="1"/>
    <col min="18" max="19" width="15.7109375" style="2"/>
    <col min="20" max="20" width="17.5703125" style="2" customWidth="1"/>
    <col min="21" max="21" width="16.85546875" style="2" customWidth="1"/>
    <col min="22" max="22" width="18.28515625" style="2" customWidth="1"/>
    <col min="23" max="26" width="15.7109375" style="2"/>
    <col min="27" max="27" width="16.140625" style="2" bestFit="1" customWidth="1"/>
    <col min="28" max="16384" width="15.7109375" style="2"/>
  </cols>
  <sheetData>
    <row r="1" spans="1:66" ht="16.5" thickBot="1">
      <c r="A1" s="277">
        <v>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6"/>
    </row>
    <row r="2" spans="1:66" ht="21">
      <c r="A2" s="278"/>
      <c r="B2" s="28"/>
      <c r="C2" s="199" t="s">
        <v>97</v>
      </c>
      <c r="D2" s="200"/>
      <c r="E2" s="20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3"/>
      <c r="U2" s="314"/>
      <c r="V2" s="314"/>
      <c r="W2" s="314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5"/>
    </row>
    <row r="3" spans="1:66" ht="15.75">
      <c r="A3" s="278"/>
      <c r="B3" s="28"/>
      <c r="C3" s="34" t="s">
        <v>98</v>
      </c>
      <c r="D3" s="33" t="s">
        <v>1</v>
      </c>
      <c r="E3" s="42" t="s">
        <v>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T3" s="112"/>
      <c r="U3" s="112"/>
      <c r="V3" s="130"/>
      <c r="W3" s="130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5"/>
    </row>
    <row r="4" spans="1:66" ht="15.75">
      <c r="A4" s="278"/>
      <c r="B4" s="28"/>
      <c r="C4" s="40" t="s">
        <v>12</v>
      </c>
      <c r="D4" s="15">
        <f>BJ28</f>
        <v>1.3340560057497715</v>
      </c>
      <c r="E4" s="22">
        <f>BJ43</f>
        <v>5.0348677223994178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T4" s="91"/>
      <c r="U4" s="139"/>
      <c r="V4" s="131"/>
      <c r="W4" s="140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5"/>
    </row>
    <row r="5" spans="1:66" ht="15.75">
      <c r="A5" s="278"/>
      <c r="B5" s="28"/>
      <c r="C5" s="40" t="s">
        <v>13</v>
      </c>
      <c r="D5" s="15">
        <f>BJ29</f>
        <v>2.0001297869634889</v>
      </c>
      <c r="E5" s="22">
        <f>BJ44</f>
        <v>21.716097563349301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T5" s="312"/>
      <c r="U5" s="139"/>
      <c r="V5" s="122"/>
      <c r="W5" s="6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5"/>
    </row>
    <row r="6" spans="1:66" ht="15.75">
      <c r="A6" s="278"/>
      <c r="B6" s="28"/>
      <c r="C6" s="40" t="s">
        <v>14</v>
      </c>
      <c r="D6" s="15">
        <f>BJ30</f>
        <v>3.210953107388423</v>
      </c>
      <c r="E6" s="22">
        <f>BJ45</f>
        <v>196.64585547709999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T6" s="312"/>
      <c r="U6" s="139"/>
      <c r="V6" s="122"/>
      <c r="W6" s="6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5"/>
    </row>
    <row r="7" spans="1:66" ht="16.5" thickBot="1">
      <c r="A7" s="278"/>
      <c r="B7" s="28"/>
      <c r="C7" s="41" t="s">
        <v>15</v>
      </c>
      <c r="D7" s="20">
        <f>BJ24</f>
        <v>0.29628923579517974</v>
      </c>
      <c r="E7" s="24">
        <f>BJ46</f>
        <v>223.39682076284871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T7" s="312"/>
      <c r="U7" s="139"/>
      <c r="V7" s="122"/>
      <c r="W7" s="6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5"/>
    </row>
    <row r="8" spans="1:66" ht="16.5" thickBot="1">
      <c r="A8" s="278"/>
      <c r="B8" s="2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T8" s="312"/>
      <c r="U8" s="141"/>
      <c r="V8" s="122"/>
      <c r="W8" s="6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5"/>
    </row>
    <row r="9" spans="1:66" ht="21">
      <c r="A9" s="278"/>
      <c r="B9" s="28"/>
      <c r="C9" s="264" t="s">
        <v>20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6"/>
      <c r="R9" s="27"/>
      <c r="T9" s="312"/>
      <c r="U9" s="141"/>
      <c r="V9" s="122"/>
      <c r="W9" s="6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5"/>
    </row>
    <row r="10" spans="1:66" ht="15.75">
      <c r="A10" s="278"/>
      <c r="B10" s="28"/>
      <c r="C10" s="267"/>
      <c r="D10" s="268" t="s">
        <v>22</v>
      </c>
      <c r="E10" s="269"/>
      <c r="F10" s="269"/>
      <c r="G10" s="270"/>
      <c r="H10" s="271"/>
      <c r="I10" s="273" t="s">
        <v>21</v>
      </c>
      <c r="J10" s="274"/>
      <c r="K10" s="274"/>
      <c r="L10" s="275"/>
      <c r="M10" s="271"/>
      <c r="N10" s="273" t="s">
        <v>35</v>
      </c>
      <c r="O10" s="274"/>
      <c r="P10" s="274"/>
      <c r="Q10" s="276"/>
      <c r="R10" s="27"/>
      <c r="T10" s="312"/>
      <c r="U10" s="141"/>
      <c r="V10" s="122"/>
      <c r="W10" s="6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5"/>
    </row>
    <row r="11" spans="1:66" ht="15.75">
      <c r="A11" s="278"/>
      <c r="B11" s="28"/>
      <c r="C11" s="242"/>
      <c r="D11" s="79" t="s">
        <v>36</v>
      </c>
      <c r="E11" s="79" t="s">
        <v>37</v>
      </c>
      <c r="F11" s="80" t="s">
        <v>33</v>
      </c>
      <c r="G11" s="79" t="s">
        <v>34</v>
      </c>
      <c r="H11" s="272"/>
      <c r="I11" s="79" t="s">
        <v>36</v>
      </c>
      <c r="J11" s="79" t="s">
        <v>37</v>
      </c>
      <c r="K11" s="80" t="s">
        <v>33</v>
      </c>
      <c r="L11" s="79" t="s">
        <v>34</v>
      </c>
      <c r="M11" s="272"/>
      <c r="N11" s="79" t="s">
        <v>36</v>
      </c>
      <c r="O11" s="79" t="s">
        <v>37</v>
      </c>
      <c r="P11" s="80" t="s">
        <v>33</v>
      </c>
      <c r="Q11" s="11" t="s">
        <v>34</v>
      </c>
      <c r="R11" s="27"/>
      <c r="T11" s="312"/>
      <c r="U11" s="139"/>
      <c r="V11" s="122"/>
      <c r="W11" s="6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5"/>
    </row>
    <row r="12" spans="1:66" ht="15.75">
      <c r="A12" s="278"/>
      <c r="B12" s="28"/>
      <c r="C12" s="94" t="s">
        <v>129</v>
      </c>
      <c r="D12" s="13">
        <f>F12*891*9.81</f>
        <v>859.23878380602127</v>
      </c>
      <c r="E12" s="13">
        <f t="shared" ref="E12:E17" si="0">D12/6895</f>
        <v>0.12461766262596392</v>
      </c>
      <c r="F12" s="13">
        <f>C36*D7/C33</f>
        <v>9.8303087942057485E-2</v>
      </c>
      <c r="G12" s="13">
        <f t="shared" ref="G12:G17" si="1">F12*0.891/13.6*1000</f>
        <v>6.440297893850973</v>
      </c>
      <c r="H12" s="79" t="s">
        <v>30</v>
      </c>
      <c r="I12" s="13">
        <f t="shared" ref="I12:I19" si="2">K12*891*9.81</f>
        <v>2349.3140361585251</v>
      </c>
      <c r="J12" s="13">
        <f t="shared" ref="J12:J19" si="3">I12/6895</f>
        <v>0.34072719886273029</v>
      </c>
      <c r="K12" s="13">
        <f>D7^2*BJ34/C$33</f>
        <v>0.26877839856928387</v>
      </c>
      <c r="L12" s="13">
        <f t="shared" ref="L12:L19" si="4">K12*0.891/13.6*1000</f>
        <v>17.608937729796466</v>
      </c>
      <c r="M12" s="79" t="s">
        <v>38</v>
      </c>
      <c r="N12" s="13">
        <f>P12*891*9.81</f>
        <v>390573.60935374966</v>
      </c>
      <c r="O12" s="13">
        <f>N12/6895</f>
        <v>56.645918687998503</v>
      </c>
      <c r="P12" s="15">
        <f>K17+F15+F12+K12</f>
        <v>44.684426019596764</v>
      </c>
      <c r="Q12" s="14">
        <f>P12*0.891/13.6*1000</f>
        <v>2927.487028195641</v>
      </c>
      <c r="R12" s="27"/>
      <c r="T12" s="312"/>
      <c r="U12" s="139"/>
      <c r="V12" s="122"/>
      <c r="W12" s="67"/>
      <c r="X12" s="27"/>
      <c r="Y12" s="27"/>
      <c r="Z12" s="27"/>
      <c r="AA12" s="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5"/>
    </row>
    <row r="13" spans="1:66" ht="15.75">
      <c r="A13" s="278"/>
      <c r="B13" s="28"/>
      <c r="C13" s="94" t="s">
        <v>130</v>
      </c>
      <c r="D13" s="13">
        <f t="shared" ref="D13:D17" si="5">F13*891*9.81</f>
        <v>839.87345173170695</v>
      </c>
      <c r="E13" s="13">
        <f t="shared" si="0"/>
        <v>0.12180905753904379</v>
      </c>
      <c r="F13" s="13">
        <f>C37*(D7-F31*D4)/C33</f>
        <v>9.6087554870451813E-2</v>
      </c>
      <c r="G13" s="13">
        <f t="shared" si="1"/>
        <v>6.295147896292101</v>
      </c>
      <c r="H13" s="79" t="s">
        <v>31</v>
      </c>
      <c r="I13" s="13">
        <f t="shared" si="2"/>
        <v>1226.7032609872952</v>
      </c>
      <c r="J13" s="13">
        <f t="shared" si="3"/>
        <v>0.17791200304384266</v>
      </c>
      <c r="K13" s="15">
        <f>BJ35*(D7-F31*D4)^2/C33</f>
        <v>0.14034366327075204</v>
      </c>
      <c r="L13" s="13">
        <f t="shared" si="4"/>
        <v>9.1945738216352986</v>
      </c>
      <c r="M13" s="79" t="s">
        <v>39</v>
      </c>
      <c r="N13" s="13">
        <f>P13*891*9.81</f>
        <v>388434.37421720114</v>
      </c>
      <c r="O13" s="13">
        <f>N13/6895</f>
        <v>56.335659784945776</v>
      </c>
      <c r="P13" s="15">
        <f>K18+K15+K13+F16+F13+F12</f>
        <v>44.439682155934825</v>
      </c>
      <c r="Q13" s="14">
        <f>P13*0.891/13.6*1000</f>
        <v>2911.4527059513184</v>
      </c>
      <c r="R13" s="27"/>
      <c r="T13" s="312"/>
      <c r="U13" s="141"/>
      <c r="V13" s="122"/>
      <c r="W13" s="67"/>
      <c r="X13" s="27"/>
      <c r="Y13" s="27"/>
      <c r="Z13" s="27"/>
      <c r="AA13" s="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5"/>
    </row>
    <row r="14" spans="1:66" ht="15.75">
      <c r="A14" s="278"/>
      <c r="B14" s="28"/>
      <c r="C14" s="94" t="s">
        <v>131</v>
      </c>
      <c r="D14" s="13">
        <f t="shared" si="5"/>
        <v>756.34803182811163</v>
      </c>
      <c r="E14" s="13">
        <f t="shared" si="0"/>
        <v>0.10969514602293134</v>
      </c>
      <c r="F14" s="13">
        <f>C38*(D7-D4*F31-D5*F32)/C33</f>
        <v>8.6531646951805014E-2</v>
      </c>
      <c r="G14" s="13">
        <f t="shared" si="1"/>
        <v>5.6690953995631084</v>
      </c>
      <c r="H14" s="79" t="s">
        <v>32</v>
      </c>
      <c r="I14" s="13">
        <f t="shared" si="2"/>
        <v>740.31984392140009</v>
      </c>
      <c r="J14" s="13">
        <f t="shared" si="3"/>
        <v>0.10737053573914432</v>
      </c>
      <c r="K14" s="15">
        <f>BJ36*(D7-D4*F31-D5*F32)^2/C$33</f>
        <v>8.4697907140426812E-2</v>
      </c>
      <c r="L14" s="13">
        <f t="shared" si="4"/>
        <v>5.5489584751559038</v>
      </c>
      <c r="M14" s="79" t="s">
        <v>40</v>
      </c>
      <c r="N14" s="13">
        <f>P14*891*9.81</f>
        <v>385169.09588428121</v>
      </c>
      <c r="O14" s="13">
        <f>N14/6895</f>
        <v>55.862087872992198</v>
      </c>
      <c r="P14" s="15">
        <f>K19+K16+K14+F17+F14+F13+F12+K15</f>
        <v>44.066110863337322</v>
      </c>
      <c r="Q14" s="14">
        <f>P14*0.891/13.6*1000</f>
        <v>2886.9782925907025</v>
      </c>
      <c r="R14" s="27"/>
      <c r="T14" s="312"/>
      <c r="U14" s="141"/>
      <c r="V14" s="122"/>
      <c r="W14" s="67"/>
      <c r="X14" s="27"/>
      <c r="Y14" s="27"/>
      <c r="Z14" s="27"/>
      <c r="AA14" s="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5"/>
    </row>
    <row r="15" spans="1:66" ht="15.75">
      <c r="A15" s="278"/>
      <c r="B15" s="28"/>
      <c r="C15" s="17" t="s">
        <v>26</v>
      </c>
      <c r="D15" s="13">
        <f t="shared" si="5"/>
        <v>1759.2110095773244</v>
      </c>
      <c r="E15" s="13">
        <f t="shared" si="0"/>
        <v>0.25514300356451403</v>
      </c>
      <c r="F15" s="15">
        <f>C39*BJ25/C$33</f>
        <v>0.20126637419355228</v>
      </c>
      <c r="G15" s="13">
        <f t="shared" si="1"/>
        <v>13.18590730929817</v>
      </c>
      <c r="H15" s="95" t="s">
        <v>132</v>
      </c>
      <c r="I15" s="13">
        <f t="shared" si="2"/>
        <v>508.99685417928731</v>
      </c>
      <c r="J15" s="13">
        <f t="shared" si="3"/>
        <v>7.3821153615560159E-2</v>
      </c>
      <c r="K15" s="13">
        <f>BJ37*(D7-F31*D4)^2/C$33</f>
        <v>5.8232895746373838E-2</v>
      </c>
      <c r="L15" s="13">
        <f t="shared" si="4"/>
        <v>3.8151110375014032</v>
      </c>
      <c r="M15" s="297"/>
      <c r="N15" s="298"/>
      <c r="O15" s="298"/>
      <c r="P15" s="298"/>
      <c r="Q15" s="299"/>
      <c r="R15" s="27"/>
      <c r="T15" s="312"/>
      <c r="U15" s="141"/>
      <c r="V15" s="122"/>
      <c r="W15" s="6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5"/>
    </row>
    <row r="16" spans="1:66" ht="15.75">
      <c r="A16" s="278"/>
      <c r="B16" s="28"/>
      <c r="C16" s="17" t="s">
        <v>27</v>
      </c>
      <c r="D16" s="13">
        <f t="shared" si="5"/>
        <v>586.1932095830449</v>
      </c>
      <c r="E16" s="13">
        <f t="shared" si="0"/>
        <v>8.5017144246997092E-2</v>
      </c>
      <c r="F16" s="15">
        <f>C40*BJ26/C$33</f>
        <v>6.7064713230738107E-2</v>
      </c>
      <c r="G16" s="13">
        <f t="shared" si="1"/>
        <v>4.393724962396151</v>
      </c>
      <c r="H16" s="95" t="s">
        <v>133</v>
      </c>
      <c r="I16" s="13">
        <f t="shared" si="2"/>
        <v>420.32734056203338</v>
      </c>
      <c r="J16" s="13">
        <f t="shared" si="3"/>
        <v>6.0961180647140449E-2</v>
      </c>
      <c r="K16" s="13">
        <f>BJ38*(D7-D4*F31-D5*F32)^2/C$33</f>
        <v>4.8088466561873509E-2</v>
      </c>
      <c r="L16" s="13">
        <f t="shared" si="4"/>
        <v>3.150501743134507</v>
      </c>
      <c r="M16" s="300"/>
      <c r="N16" s="237"/>
      <c r="O16" s="237"/>
      <c r="P16" s="237"/>
      <c r="Q16" s="301"/>
      <c r="R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5"/>
    </row>
    <row r="17" spans="1:116" ht="15.75">
      <c r="A17" s="278"/>
      <c r="B17" s="28"/>
      <c r="C17" s="17" t="s">
        <v>28</v>
      </c>
      <c r="D17" s="13">
        <f t="shared" si="5"/>
        <v>287.5743907027599</v>
      </c>
      <c r="E17" s="13">
        <f t="shared" si="0"/>
        <v>4.17076708778477E-2</v>
      </c>
      <c r="F17" s="15">
        <f>C41*BJ27/C$33</f>
        <v>3.2900575662933543E-2</v>
      </c>
      <c r="G17" s="13">
        <f t="shared" si="1"/>
        <v>2.1554715379171903</v>
      </c>
      <c r="H17" s="80" t="s">
        <v>12</v>
      </c>
      <c r="I17" s="13">
        <f>K17*891*9.81</f>
        <v>385605.84552420786</v>
      </c>
      <c r="J17" s="13">
        <f t="shared" si="3"/>
        <v>55.925430822945302</v>
      </c>
      <c r="K17" s="13">
        <f>BJ31*BJ28^2/C$33</f>
        <v>44.116078158891874</v>
      </c>
      <c r="L17" s="13">
        <f t="shared" si="4"/>
        <v>2890.2518852626959</v>
      </c>
      <c r="M17" s="300"/>
      <c r="N17" s="237"/>
      <c r="O17" s="237"/>
      <c r="P17" s="237"/>
      <c r="Q17" s="301"/>
      <c r="R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5"/>
    </row>
    <row r="18" spans="1:116" ht="15.75">
      <c r="A18" s="278"/>
      <c r="B18" s="28"/>
      <c r="C18" s="305"/>
      <c r="D18" s="306"/>
      <c r="E18" s="306"/>
      <c r="F18" s="306"/>
      <c r="G18" s="286"/>
      <c r="H18" s="80" t="s">
        <v>13</v>
      </c>
      <c r="I18" s="13">
        <f t="shared" si="2"/>
        <v>384413.36865691381</v>
      </c>
      <c r="J18" s="13">
        <f t="shared" si="3"/>
        <v>55.752482763874376</v>
      </c>
      <c r="K18" s="13">
        <f>BJ32*BJ29^2/C$33</f>
        <v>43.979650240874456</v>
      </c>
      <c r="L18" s="13">
        <f t="shared" si="4"/>
        <v>2881.3138503396426</v>
      </c>
      <c r="M18" s="300"/>
      <c r="N18" s="237"/>
      <c r="O18" s="237"/>
      <c r="P18" s="237"/>
      <c r="Q18" s="301"/>
      <c r="R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5"/>
    </row>
    <row r="19" spans="1:116" ht="16.5" thickBot="1">
      <c r="A19" s="278"/>
      <c r="B19" s="28"/>
      <c r="C19" s="307"/>
      <c r="D19" s="308"/>
      <c r="E19" s="308"/>
      <c r="F19" s="308"/>
      <c r="G19" s="309"/>
      <c r="H19" s="81" t="s">
        <v>14</v>
      </c>
      <c r="I19" s="19">
        <f t="shared" si="2"/>
        <v>380756.41718754993</v>
      </c>
      <c r="J19" s="19">
        <f t="shared" si="3"/>
        <v>55.222105465924571</v>
      </c>
      <c r="K19" s="19">
        <f>BJ33*BJ30^2/C$33</f>
        <v>43.561268728461407</v>
      </c>
      <c r="L19" s="19">
        <f t="shared" si="4"/>
        <v>2853.9037086072881</v>
      </c>
      <c r="M19" s="302"/>
      <c r="N19" s="303"/>
      <c r="O19" s="303"/>
      <c r="P19" s="303"/>
      <c r="Q19" s="30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5"/>
    </row>
    <row r="20" spans="1:116" ht="15.75">
      <c r="A20" s="278"/>
      <c r="B20" s="2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5"/>
    </row>
    <row r="21" spans="1:116" ht="34.5" thickBot="1">
      <c r="A21" s="278"/>
      <c r="B21" s="310" t="s">
        <v>99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1"/>
    </row>
    <row r="22" spans="1:116" ht="15.75">
      <c r="A22" s="278"/>
      <c r="B22" s="207" t="s">
        <v>0</v>
      </c>
      <c r="C22" s="230"/>
      <c r="D22" s="27"/>
      <c r="E22" s="228" t="s">
        <v>62</v>
      </c>
      <c r="F22" s="229"/>
      <c r="G22" s="230"/>
      <c r="H22" s="28"/>
      <c r="I22" s="207" t="s">
        <v>68</v>
      </c>
      <c r="J22" s="208"/>
      <c r="K22" s="209"/>
      <c r="L22" s="28"/>
      <c r="M22" s="27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27"/>
      <c r="BM22" s="27"/>
      <c r="BN22" s="25"/>
    </row>
    <row r="23" spans="1:116" ht="15.75">
      <c r="A23" s="278"/>
      <c r="B23" s="17" t="s">
        <v>64</v>
      </c>
      <c r="C23" s="22">
        <v>5</v>
      </c>
      <c r="D23" s="27"/>
      <c r="E23" s="77" t="s">
        <v>43</v>
      </c>
      <c r="F23" s="15">
        <v>0.05</v>
      </c>
      <c r="G23" s="14" t="s">
        <v>61</v>
      </c>
      <c r="H23" s="27"/>
      <c r="I23" s="77" t="s">
        <v>49</v>
      </c>
      <c r="J23" s="15">
        <v>4.0000000000000001E-3</v>
      </c>
      <c r="K23" s="14" t="s">
        <v>61</v>
      </c>
      <c r="L23" s="27"/>
      <c r="M23" s="280" t="s">
        <v>88</v>
      </c>
      <c r="N23" s="13"/>
      <c r="O23" s="79" t="s">
        <v>16</v>
      </c>
      <c r="P23" s="80" t="s">
        <v>42</v>
      </c>
      <c r="Q23" s="43">
        <v>1</v>
      </c>
      <c r="R23" s="43">
        <v>2</v>
      </c>
      <c r="S23" s="43">
        <v>3</v>
      </c>
      <c r="T23" s="43">
        <v>4</v>
      </c>
      <c r="U23" s="43">
        <v>5</v>
      </c>
      <c r="V23" s="43">
        <v>6</v>
      </c>
      <c r="W23" s="43">
        <v>7</v>
      </c>
      <c r="X23" s="43">
        <v>8</v>
      </c>
      <c r="Y23" s="43">
        <v>9</v>
      </c>
      <c r="Z23" s="43">
        <v>10</v>
      </c>
      <c r="AA23" s="43">
        <v>11</v>
      </c>
      <c r="AB23" s="43">
        <v>12</v>
      </c>
      <c r="AC23" s="43">
        <v>13</v>
      </c>
      <c r="AD23" s="43">
        <v>14</v>
      </c>
      <c r="AE23" s="43">
        <v>15</v>
      </c>
      <c r="AF23" s="43">
        <v>16</v>
      </c>
      <c r="AG23" s="43">
        <v>17</v>
      </c>
      <c r="AH23" s="43">
        <v>18</v>
      </c>
      <c r="AI23" s="43">
        <v>19</v>
      </c>
      <c r="AJ23" s="43">
        <v>20</v>
      </c>
      <c r="AK23" s="43">
        <v>21</v>
      </c>
      <c r="AL23" s="43">
        <v>22</v>
      </c>
      <c r="AM23" s="43">
        <v>23</v>
      </c>
      <c r="AN23" s="43">
        <v>24</v>
      </c>
      <c r="AO23" s="43">
        <v>25</v>
      </c>
      <c r="AP23" s="43">
        <v>26</v>
      </c>
      <c r="AQ23" s="43">
        <v>27</v>
      </c>
      <c r="AR23" s="43">
        <v>28</v>
      </c>
      <c r="AS23" s="43">
        <v>29</v>
      </c>
      <c r="AT23" s="43">
        <v>30</v>
      </c>
      <c r="AU23" s="43">
        <v>31</v>
      </c>
      <c r="AV23" s="43">
        <v>32</v>
      </c>
      <c r="AW23" s="43">
        <v>33</v>
      </c>
      <c r="AX23" s="43">
        <v>34</v>
      </c>
      <c r="AY23" s="43">
        <v>35</v>
      </c>
      <c r="AZ23" s="43">
        <v>36</v>
      </c>
      <c r="BA23" s="43">
        <v>37</v>
      </c>
      <c r="BB23" s="43">
        <v>38</v>
      </c>
      <c r="BC23" s="43">
        <v>39</v>
      </c>
      <c r="BD23" s="43">
        <v>40</v>
      </c>
      <c r="BE23" s="43">
        <v>41</v>
      </c>
      <c r="BF23" s="43">
        <v>42</v>
      </c>
      <c r="BG23" s="43">
        <v>43</v>
      </c>
      <c r="BH23" s="43">
        <v>44</v>
      </c>
      <c r="BI23" s="43">
        <v>45</v>
      </c>
      <c r="BJ23" s="43">
        <v>46</v>
      </c>
      <c r="BK23" s="43">
        <v>47</v>
      </c>
      <c r="BL23" s="43">
        <v>48</v>
      </c>
      <c r="BM23" s="43">
        <v>49</v>
      </c>
      <c r="BN23" s="44">
        <v>50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spans="1:116" ht="15.75">
      <c r="A24" s="278"/>
      <c r="B24" s="17" t="s">
        <v>17</v>
      </c>
      <c r="C24" s="22">
        <f>(C23*(30.48/12)^2/0.4536)</f>
        <v>71.115520282186949</v>
      </c>
      <c r="D24" s="27"/>
      <c r="E24" s="77" t="s">
        <v>44</v>
      </c>
      <c r="F24" s="15">
        <v>0.05</v>
      </c>
      <c r="G24" s="14" t="s">
        <v>61</v>
      </c>
      <c r="H24" s="27"/>
      <c r="I24" s="77" t="s">
        <v>50</v>
      </c>
      <c r="J24" s="15">
        <v>2.8299999999999999E-4</v>
      </c>
      <c r="K24" s="14" t="s">
        <v>61</v>
      </c>
      <c r="L24" s="27"/>
      <c r="M24" s="281"/>
      <c r="N24" s="282" t="s">
        <v>1</v>
      </c>
      <c r="O24" s="79" t="s">
        <v>5</v>
      </c>
      <c r="P24" s="15">
        <f t="shared" ref="P24:BJ24" si="6">P28*$F$31+P29*$F$32+P30*$F$33</f>
        <v>1.192048216654563</v>
      </c>
      <c r="Q24" s="15">
        <f t="shared" si="6"/>
        <v>0.67118577937490043</v>
      </c>
      <c r="R24" s="15">
        <f t="shared" si="6"/>
        <v>0.49280065758373715</v>
      </c>
      <c r="S24" s="15">
        <f t="shared" si="6"/>
        <v>0.40975947281942915</v>
      </c>
      <c r="T24" s="15">
        <f t="shared" si="6"/>
        <v>0.365248008537012</v>
      </c>
      <c r="U24" s="15">
        <f t="shared" si="6"/>
        <v>0.33945640430923135</v>
      </c>
      <c r="V24" s="15">
        <f t="shared" si="6"/>
        <v>0.32380194147701452</v>
      </c>
      <c r="W24" s="15">
        <f t="shared" si="6"/>
        <v>0.31402313581856828</v>
      </c>
      <c r="X24" s="15">
        <f t="shared" si="6"/>
        <v>0.30780231494516536</v>
      </c>
      <c r="Y24" s="15">
        <f t="shared" si="6"/>
        <v>0.30379831594899104</v>
      </c>
      <c r="Z24" s="15">
        <f t="shared" si="6"/>
        <v>0.30120154043695219</v>
      </c>
      <c r="AA24" s="15">
        <f t="shared" si="6"/>
        <v>0.29950907159524343</v>
      </c>
      <c r="AB24" s="15">
        <f t="shared" si="6"/>
        <v>0.29840242336510892</v>
      </c>
      <c r="AC24" s="15">
        <f t="shared" si="6"/>
        <v>0.29767729080111116</v>
      </c>
      <c r="AD24" s="15">
        <f t="shared" si="6"/>
        <v>0.29720148678748315</v>
      </c>
      <c r="AE24" s="15">
        <f t="shared" si="6"/>
        <v>0.29688899780492284</v>
      </c>
      <c r="AF24" s="15">
        <f t="shared" si="6"/>
        <v>0.29668364460046603</v>
      </c>
      <c r="AG24" s="15">
        <f t="shared" si="6"/>
        <v>0.29654864288435928</v>
      </c>
      <c r="AH24" s="15">
        <f t="shared" si="6"/>
        <v>0.29645986811377251</v>
      </c>
      <c r="AI24" s="15">
        <f t="shared" si="6"/>
        <v>0.29640148143195016</v>
      </c>
      <c r="AJ24" s="15">
        <f t="shared" si="6"/>
        <v>0.2963630765280505</v>
      </c>
      <c r="AK24" s="15">
        <f t="shared" si="6"/>
        <v>0.29633781314104363</v>
      </c>
      <c r="AL24" s="15">
        <f t="shared" si="6"/>
        <v>0.29632119365760196</v>
      </c>
      <c r="AM24" s="15">
        <f t="shared" si="6"/>
        <v>0.29631026020521911</v>
      </c>
      <c r="AN24" s="15">
        <f t="shared" si="6"/>
        <v>0.29630306726871347</v>
      </c>
      <c r="AO24" s="15">
        <f t="shared" si="6"/>
        <v>0.29629833509008097</v>
      </c>
      <c r="AP24" s="15">
        <f t="shared" si="6"/>
        <v>0.29629522179720602</v>
      </c>
      <c r="AQ24" s="15">
        <f t="shared" si="6"/>
        <v>0.29629317355448592</v>
      </c>
      <c r="AR24" s="15">
        <f t="shared" si="6"/>
        <v>0.2962918260054761</v>
      </c>
      <c r="AS24" s="15">
        <f t="shared" si="6"/>
        <v>0.29629093944402901</v>
      </c>
      <c r="AT24" s="15">
        <f t="shared" si="6"/>
        <v>0.29629035616837002</v>
      </c>
      <c r="AU24" s="15">
        <f t="shared" si="6"/>
        <v>0.29628997242635619</v>
      </c>
      <c r="AV24" s="15">
        <f t="shared" si="6"/>
        <v>0.29628971995903752</v>
      </c>
      <c r="AW24" s="15">
        <f t="shared" si="6"/>
        <v>0.29628955385843975</v>
      </c>
      <c r="AX24" s="15">
        <f t="shared" si="6"/>
        <v>0.29628944457927636</v>
      </c>
      <c r="AY24" s="15">
        <f t="shared" si="6"/>
        <v>0.29628937268346006</v>
      </c>
      <c r="AZ24" s="15">
        <f t="shared" si="6"/>
        <v>0.29628932538250224</v>
      </c>
      <c r="BA24" s="15">
        <f t="shared" si="6"/>
        <v>0.29628929426273842</v>
      </c>
      <c r="BB24" s="15">
        <f t="shared" si="6"/>
        <v>0.29628927378873954</v>
      </c>
      <c r="BC24" s="15">
        <f t="shared" si="6"/>
        <v>0.29628926031869363</v>
      </c>
      <c r="BD24" s="15">
        <f t="shared" si="6"/>
        <v>0.29628925145661733</v>
      </c>
      <c r="BE24" s="15">
        <f t="shared" si="6"/>
        <v>0.29628924562616965</v>
      </c>
      <c r="BF24" s="15">
        <f t="shared" si="6"/>
        <v>0.29628924179026039</v>
      </c>
      <c r="BG24" s="15">
        <f t="shared" si="6"/>
        <v>0.29628923926657769</v>
      </c>
      <c r="BH24" s="15">
        <f t="shared" si="6"/>
        <v>0.29628923760622183</v>
      </c>
      <c r="BI24" s="15">
        <f t="shared" si="6"/>
        <v>0.29628923651385719</v>
      </c>
      <c r="BJ24" s="15">
        <f t="shared" si="6"/>
        <v>0.29628923579517974</v>
      </c>
      <c r="BK24" s="15">
        <f t="shared" ref="BK24:BN24" si="7">BK28*$F$31+BK29*$F$32+BK30*$F$33</f>
        <v>0.29628923532235468</v>
      </c>
      <c r="BL24" s="15">
        <f t="shared" si="7"/>
        <v>0.29628923501127835</v>
      </c>
      <c r="BM24" s="15">
        <f t="shared" si="7"/>
        <v>0.29628923480661817</v>
      </c>
      <c r="BN24" s="22">
        <f t="shared" si="7"/>
        <v>0.29628923467197021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ht="15.75">
      <c r="A25" s="278"/>
      <c r="B25" s="17" t="s">
        <v>65</v>
      </c>
      <c r="C25" s="22">
        <f>(C23*(30.48/12)^2/0.4536)*6895</f>
        <v>490341.51234567899</v>
      </c>
      <c r="D25" s="27"/>
      <c r="E25" s="77" t="s">
        <v>45</v>
      </c>
      <c r="F25" s="15">
        <v>0.05</v>
      </c>
      <c r="G25" s="14" t="s">
        <v>61</v>
      </c>
      <c r="H25" s="27"/>
      <c r="I25" s="77" t="s">
        <v>51</v>
      </c>
      <c r="J25" s="15">
        <v>4.8000000000000001E-4</v>
      </c>
      <c r="K25" s="14" t="s">
        <v>61</v>
      </c>
      <c r="L25" s="27"/>
      <c r="M25" s="281"/>
      <c r="N25" s="283"/>
      <c r="O25" s="79" t="s">
        <v>6</v>
      </c>
      <c r="P25" s="15">
        <f t="shared" ref="P25:BJ25" si="8">P$24/(1+P34)^0.5</f>
        <v>0.26791317005627285</v>
      </c>
      <c r="Q25" s="15">
        <f t="shared" si="8"/>
        <v>0.12174952594957579</v>
      </c>
      <c r="R25" s="15">
        <f t="shared" si="8"/>
        <v>7.8741653229175437E-2</v>
      </c>
      <c r="S25" s="15">
        <f t="shared" si="8"/>
        <v>6.0507479666775194E-2</v>
      </c>
      <c r="T25" s="15">
        <f t="shared" si="8"/>
        <v>5.1295733395319211E-2</v>
      </c>
      <c r="U25" s="15">
        <f t="shared" si="8"/>
        <v>4.6157462767174057E-2</v>
      </c>
      <c r="V25" s="15">
        <f t="shared" si="8"/>
        <v>4.3114745819943893E-2</v>
      </c>
      <c r="W25" s="15">
        <f t="shared" si="8"/>
        <v>4.1244378179487652E-2</v>
      </c>
      <c r="X25" s="15">
        <f t="shared" si="8"/>
        <v>4.00669788824978E-2</v>
      </c>
      <c r="Y25" s="15">
        <f t="shared" si="8"/>
        <v>3.9314353568323142E-2</v>
      </c>
      <c r="Z25" s="15">
        <f t="shared" si="8"/>
        <v>3.8828442766338046E-2</v>
      </c>
      <c r="AA25" s="15">
        <f t="shared" si="8"/>
        <v>3.8512685181429848E-2</v>
      </c>
      <c r="AB25" s="15">
        <f t="shared" si="8"/>
        <v>3.8306624275734037E-2</v>
      </c>
      <c r="AC25" s="15">
        <f t="shared" si="8"/>
        <v>3.817177565034182E-2</v>
      </c>
      <c r="AD25" s="15">
        <f t="shared" si="8"/>
        <v>3.8083367763435919E-2</v>
      </c>
      <c r="AE25" s="15">
        <f t="shared" si="8"/>
        <v>3.802533720270683E-2</v>
      </c>
      <c r="AF25" s="15">
        <f t="shared" si="8"/>
        <v>3.7987216129721127E-2</v>
      </c>
      <c r="AG25" s="15">
        <f t="shared" si="8"/>
        <v>3.7962160881694303E-2</v>
      </c>
      <c r="AH25" s="15">
        <f t="shared" si="8"/>
        <v>3.7945687588878646E-2</v>
      </c>
      <c r="AI25" s="15">
        <f t="shared" si="8"/>
        <v>3.7934854319259186E-2</v>
      </c>
      <c r="AJ25" s="15">
        <f t="shared" si="8"/>
        <v>3.7927729025592202E-2</v>
      </c>
      <c r="AK25" s="15">
        <f t="shared" si="8"/>
        <v>3.7923042099126787E-2</v>
      </c>
      <c r="AL25" s="15">
        <f t="shared" si="8"/>
        <v>3.7919958902351107E-2</v>
      </c>
      <c r="AM25" s="15">
        <f t="shared" si="8"/>
        <v>3.7917930600483367E-2</v>
      </c>
      <c r="AN25" s="15">
        <f t="shared" si="8"/>
        <v>3.7916596231493668E-2</v>
      </c>
      <c r="AO25" s="15">
        <f t="shared" si="8"/>
        <v>3.7915718367600104E-2</v>
      </c>
      <c r="AP25" s="15">
        <f t="shared" si="8"/>
        <v>3.7915140825525814E-2</v>
      </c>
      <c r="AQ25" s="15">
        <f t="shared" si="8"/>
        <v>3.7914760860618901E-2</v>
      </c>
      <c r="AR25" s="15">
        <f t="shared" si="8"/>
        <v>3.7914510880427979E-2</v>
      </c>
      <c r="AS25" s="15">
        <f t="shared" si="8"/>
        <v>3.7914346417058903E-2</v>
      </c>
      <c r="AT25" s="15">
        <f t="shared" si="8"/>
        <v>3.7914238215443867E-2</v>
      </c>
      <c r="AU25" s="15">
        <f t="shared" si="8"/>
        <v>3.7914167028730239E-2</v>
      </c>
      <c r="AV25" s="15">
        <f t="shared" si="8"/>
        <v>3.7914120194372805E-2</v>
      </c>
      <c r="AW25" s="15">
        <f t="shared" si="8"/>
        <v>3.7914089381622433E-2</v>
      </c>
      <c r="AX25" s="15">
        <f t="shared" si="8"/>
        <v>3.7914069109624783E-2</v>
      </c>
      <c r="AY25" s="15">
        <f t="shared" si="8"/>
        <v>3.7914055772483586E-2</v>
      </c>
      <c r="AZ25" s="15">
        <f t="shared" si="8"/>
        <v>3.791404699784922E-2</v>
      </c>
      <c r="BA25" s="15">
        <f t="shared" si="8"/>
        <v>3.7914041224931583E-2</v>
      </c>
      <c r="BB25" s="15">
        <f t="shared" si="8"/>
        <v>3.7914037426872389E-2</v>
      </c>
      <c r="BC25" s="15">
        <f t="shared" si="8"/>
        <v>3.7914034928091818E-2</v>
      </c>
      <c r="BD25" s="15">
        <f t="shared" si="8"/>
        <v>3.7914033284119429E-2</v>
      </c>
      <c r="BE25" s="15">
        <f t="shared" si="8"/>
        <v>3.7914032202533733E-2</v>
      </c>
      <c r="BF25" s="15">
        <f t="shared" si="8"/>
        <v>3.7914031490947804E-2</v>
      </c>
      <c r="BG25" s="15">
        <f t="shared" si="8"/>
        <v>3.7914031022788369E-2</v>
      </c>
      <c r="BH25" s="15">
        <f t="shared" si="8"/>
        <v>3.7914030714781645E-2</v>
      </c>
      <c r="BI25" s="15">
        <f t="shared" si="8"/>
        <v>3.7914030512140949E-2</v>
      </c>
      <c r="BJ25" s="15">
        <f t="shared" si="8"/>
        <v>3.7914030378821642E-2</v>
      </c>
      <c r="BK25" s="15">
        <f t="shared" ref="BK25:BN25" si="9">BK$24/(1+BK34)^0.5</f>
        <v>3.7914030291109541E-2</v>
      </c>
      <c r="BL25" s="15">
        <f t="shared" si="9"/>
        <v>3.7914030233402875E-2</v>
      </c>
      <c r="BM25" s="15">
        <f t="shared" si="9"/>
        <v>3.7914030195437091E-2</v>
      </c>
      <c r="BN25" s="22">
        <f t="shared" si="9"/>
        <v>3.7914030170459023E-2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</row>
    <row r="26" spans="1:116" ht="15.75">
      <c r="A26" s="278"/>
      <c r="B26" s="17" t="s">
        <v>66</v>
      </c>
      <c r="C26" s="22">
        <f>101325</f>
        <v>101325</v>
      </c>
      <c r="D26" s="27"/>
      <c r="E26" s="77" t="s">
        <v>46</v>
      </c>
      <c r="F26" s="15">
        <v>0.05</v>
      </c>
      <c r="G26" s="14" t="s">
        <v>61</v>
      </c>
      <c r="H26" s="27"/>
      <c r="I26" s="77" t="s">
        <v>52</v>
      </c>
      <c r="J26" s="15">
        <v>1.14E-3</v>
      </c>
      <c r="K26" s="14" t="s">
        <v>61</v>
      </c>
      <c r="L26" s="27"/>
      <c r="M26" s="281"/>
      <c r="N26" s="283"/>
      <c r="O26" s="80" t="s">
        <v>7</v>
      </c>
      <c r="P26" s="15">
        <f t="shared" ref="P26:BJ26" si="10">(P$24-P$25*$F$34)/(1+P35)^0.5</f>
        <v>0.32511822182258959</v>
      </c>
      <c r="Q26" s="15">
        <f t="shared" si="10"/>
        <v>0.15466668285929785</v>
      </c>
      <c r="R26" s="15">
        <f t="shared" si="10"/>
        <v>0.10212324168808865</v>
      </c>
      <c r="S26" s="15">
        <f t="shared" si="10"/>
        <v>7.9332813372247055E-2</v>
      </c>
      <c r="T26" s="15">
        <f t="shared" si="10"/>
        <v>6.7674263208046315E-2</v>
      </c>
      <c r="U26" s="15">
        <f t="shared" si="10"/>
        <v>6.1123228115349044E-2</v>
      </c>
      <c r="V26" s="15">
        <f t="shared" si="10"/>
        <v>5.7226457053916116E-2</v>
      </c>
      <c r="W26" s="15">
        <f t="shared" si="10"/>
        <v>5.4824341646979427E-2</v>
      </c>
      <c r="X26" s="15">
        <f t="shared" si="10"/>
        <v>5.3309486612221464E-2</v>
      </c>
      <c r="Y26" s="15">
        <f t="shared" si="10"/>
        <v>5.2340028017160499E-2</v>
      </c>
      <c r="Z26" s="15">
        <f t="shared" si="10"/>
        <v>5.1713654117024915E-2</v>
      </c>
      <c r="AA26" s="15">
        <f t="shared" si="10"/>
        <v>5.1306420204330599E-2</v>
      </c>
      <c r="AB26" s="15">
        <f t="shared" si="10"/>
        <v>5.1040577274216625E-2</v>
      </c>
      <c r="AC26" s="15">
        <f t="shared" si="10"/>
        <v>5.0866570009479861E-2</v>
      </c>
      <c r="AD26" s="15">
        <f t="shared" si="10"/>
        <v>5.0752473642529924E-2</v>
      </c>
      <c r="AE26" s="15">
        <f t="shared" si="10"/>
        <v>5.0677574482110563E-2</v>
      </c>
      <c r="AF26" s="15">
        <f t="shared" si="10"/>
        <v>5.0628369262162777E-2</v>
      </c>
      <c r="AG26" s="15">
        <f t="shared" si="10"/>
        <v>5.0596027641305344E-2</v>
      </c>
      <c r="AH26" s="15">
        <f t="shared" si="10"/>
        <v>5.0574763165469633E-2</v>
      </c>
      <c r="AI26" s="15">
        <f t="shared" si="10"/>
        <v>5.0560778851223107E-2</v>
      </c>
      <c r="AJ26" s="15">
        <f t="shared" si="10"/>
        <v>5.0551580939621983E-2</v>
      </c>
      <c r="AK26" s="15">
        <f t="shared" si="10"/>
        <v>5.0545530627396432E-2</v>
      </c>
      <c r="AL26" s="15">
        <f t="shared" si="10"/>
        <v>5.0541550536550628E-2</v>
      </c>
      <c r="AM26" s="15">
        <f t="shared" si="10"/>
        <v>5.0538932198539971E-2</v>
      </c>
      <c r="AN26" s="15">
        <f t="shared" si="10"/>
        <v>5.0537209655956462E-2</v>
      </c>
      <c r="AO26" s="15">
        <f t="shared" si="10"/>
        <v>5.0536076416179736E-2</v>
      </c>
      <c r="AP26" s="15">
        <f t="shared" si="10"/>
        <v>5.0535330862971017E-2</v>
      </c>
      <c r="AQ26" s="15">
        <f t="shared" si="10"/>
        <v>5.0534840363254091E-2</v>
      </c>
      <c r="AR26" s="15">
        <f t="shared" si="10"/>
        <v>5.0534517661713484E-2</v>
      </c>
      <c r="AS26" s="15">
        <f t="shared" si="10"/>
        <v>5.053430535450612E-2</v>
      </c>
      <c r="AT26" s="15">
        <f t="shared" si="10"/>
        <v>5.0534165676067479E-2</v>
      </c>
      <c r="AU26" s="15">
        <f t="shared" si="10"/>
        <v>5.0534073780487944E-2</v>
      </c>
      <c r="AV26" s="15">
        <f t="shared" si="10"/>
        <v>5.0534013321583277E-2</v>
      </c>
      <c r="AW26" s="15">
        <f t="shared" si="10"/>
        <v>5.0533973545117232E-2</v>
      </c>
      <c r="AX26" s="15">
        <f t="shared" si="10"/>
        <v>5.0533947375806111E-2</v>
      </c>
      <c r="AY26" s="15">
        <f t="shared" si="10"/>
        <v>5.0533930158765589E-2</v>
      </c>
      <c r="AZ26" s="15">
        <f t="shared" si="10"/>
        <v>5.0533918831507735E-2</v>
      </c>
      <c r="BA26" s="15">
        <f t="shared" si="10"/>
        <v>5.0533911379194087E-2</v>
      </c>
      <c r="BB26" s="15">
        <f t="shared" si="10"/>
        <v>5.0533906476243763E-2</v>
      </c>
      <c r="BC26" s="15">
        <f t="shared" si="10"/>
        <v>5.0533903250544403E-2</v>
      </c>
      <c r="BD26" s="15">
        <f t="shared" si="10"/>
        <v>5.0533901128324982E-2</v>
      </c>
      <c r="BE26" s="15">
        <f t="shared" si="10"/>
        <v>5.0533899732095815E-2</v>
      </c>
      <c r="BF26" s="15">
        <f t="shared" si="10"/>
        <v>5.0533898813502842E-2</v>
      </c>
      <c r="BG26" s="15">
        <f t="shared" si="10"/>
        <v>5.0533898209151405E-2</v>
      </c>
      <c r="BH26" s="15">
        <f t="shared" si="10"/>
        <v>5.0533897811542619E-2</v>
      </c>
      <c r="BI26" s="15">
        <f t="shared" si="10"/>
        <v>5.0533897549951849E-2</v>
      </c>
      <c r="BJ26" s="15">
        <f t="shared" si="10"/>
        <v>5.0533897377848691E-2</v>
      </c>
      <c r="BK26" s="15">
        <f t="shared" ref="BK26:BN26" si="11">(BK$24-BK$25*$F$34)/(1+BK35)^0.5</f>
        <v>5.0533897264620313E-2</v>
      </c>
      <c r="BL26" s="15">
        <f t="shared" si="11"/>
        <v>5.0533897190126235E-2</v>
      </c>
      <c r="BM26" s="15">
        <f t="shared" si="11"/>
        <v>5.0533897141115856E-2</v>
      </c>
      <c r="BN26" s="22">
        <f t="shared" si="11"/>
        <v>5.0533897108871441E-2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</row>
    <row r="27" spans="1:116" ht="15.75">
      <c r="A27" s="278"/>
      <c r="B27" s="17" t="s">
        <v>67</v>
      </c>
      <c r="C27" s="22">
        <f>C25-C26</f>
        <v>389016.51234567899</v>
      </c>
      <c r="D27" s="27"/>
      <c r="E27" s="77" t="s">
        <v>47</v>
      </c>
      <c r="F27" s="15">
        <v>0.05</v>
      </c>
      <c r="G27" s="14" t="s">
        <v>61</v>
      </c>
      <c r="H27" s="27"/>
      <c r="I27" s="77" t="s">
        <v>53</v>
      </c>
      <c r="J27" s="15">
        <v>1E-3</v>
      </c>
      <c r="K27" s="14" t="s">
        <v>61</v>
      </c>
      <c r="L27" s="27"/>
      <c r="M27" s="281"/>
      <c r="N27" s="283"/>
      <c r="O27" s="80" t="s">
        <v>8</v>
      </c>
      <c r="P27" s="15">
        <f t="shared" ref="P27:BJ27" si="12">(P$24-P25*$F$34-P26*$F$35)/(1+P36)^0.5</f>
        <v>0.32832107232080582</v>
      </c>
      <c r="Q27" s="15">
        <f t="shared" si="12"/>
        <v>0.16229703596050515</v>
      </c>
      <c r="R27" s="15">
        <f t="shared" si="12"/>
        <v>0.1093485653905497</v>
      </c>
      <c r="S27" s="15">
        <f t="shared" si="12"/>
        <v>8.5930606620180136E-2</v>
      </c>
      <c r="T27" s="15">
        <f t="shared" si="12"/>
        <v>7.3810913801314049E-2</v>
      </c>
      <c r="U27" s="15">
        <f t="shared" si="12"/>
        <v>6.6951814422708464E-2</v>
      </c>
      <c r="V27" s="15">
        <f t="shared" si="12"/>
        <v>6.2853361883496855E-2</v>
      </c>
      <c r="W27" s="15">
        <f t="shared" si="12"/>
        <v>6.0319634458911184E-2</v>
      </c>
      <c r="X27" s="15">
        <f t="shared" si="12"/>
        <v>5.871880734949092E-2</v>
      </c>
      <c r="Y27" s="15">
        <f t="shared" si="12"/>
        <v>5.7693091498118763E-2</v>
      </c>
      <c r="Z27" s="15">
        <f t="shared" si="12"/>
        <v>5.7029847057374176E-2</v>
      </c>
      <c r="AA27" s="15">
        <f t="shared" si="12"/>
        <v>5.6598419602779018E-2</v>
      </c>
      <c r="AB27" s="15">
        <f t="shared" si="12"/>
        <v>5.6316687903761625E-2</v>
      </c>
      <c r="AC27" s="15">
        <f t="shared" si="12"/>
        <v>5.6132239754119198E-2</v>
      </c>
      <c r="AD27" s="15">
        <f t="shared" si="12"/>
        <v>5.6011279689262693E-2</v>
      </c>
      <c r="AE27" s="15">
        <f t="shared" si="12"/>
        <v>5.5931867214667461E-2</v>
      </c>
      <c r="AF27" s="15">
        <f t="shared" si="12"/>
        <v>5.5879693675513084E-2</v>
      </c>
      <c r="AG27" s="15">
        <f t="shared" si="12"/>
        <v>5.5845399617247923E-2</v>
      </c>
      <c r="AH27" s="15">
        <f t="shared" si="12"/>
        <v>5.5822850808287326E-2</v>
      </c>
      <c r="AI27" s="15">
        <f t="shared" si="12"/>
        <v>5.5808021602965004E-2</v>
      </c>
      <c r="AJ27" s="15">
        <f t="shared" si="12"/>
        <v>5.5798267865717892E-2</v>
      </c>
      <c r="AK27" s="15">
        <f t="shared" si="12"/>
        <v>5.5791851886125947E-2</v>
      </c>
      <c r="AL27" s="15">
        <f t="shared" si="12"/>
        <v>5.5787631225951387E-2</v>
      </c>
      <c r="AM27" s="15">
        <f t="shared" si="12"/>
        <v>5.5784854617962759E-2</v>
      </c>
      <c r="AN27" s="15">
        <f t="shared" si="12"/>
        <v>5.5783027949276566E-2</v>
      </c>
      <c r="AO27" s="15">
        <f t="shared" si="12"/>
        <v>5.5781826204460733E-2</v>
      </c>
      <c r="AP27" s="15">
        <f t="shared" si="12"/>
        <v>5.5781035581348302E-2</v>
      </c>
      <c r="AQ27" s="15">
        <f t="shared" si="12"/>
        <v>5.578051542979906E-2</v>
      </c>
      <c r="AR27" s="15">
        <f t="shared" si="12"/>
        <v>5.5780173220069049E-2</v>
      </c>
      <c r="AS27" s="15">
        <f t="shared" si="12"/>
        <v>5.5779948078249972E-2</v>
      </c>
      <c r="AT27" s="15">
        <f t="shared" si="12"/>
        <v>5.5779799955801471E-2</v>
      </c>
      <c r="AU27" s="15">
        <f t="shared" si="12"/>
        <v>5.577970250482777E-2</v>
      </c>
      <c r="AV27" s="15">
        <f t="shared" si="12"/>
        <v>5.5779638390975772E-2</v>
      </c>
      <c r="AW27" s="15">
        <f t="shared" si="12"/>
        <v>5.5779596209884333E-2</v>
      </c>
      <c r="AX27" s="15">
        <f t="shared" si="12"/>
        <v>5.5779568458546598E-2</v>
      </c>
      <c r="AY27" s="15">
        <f t="shared" si="12"/>
        <v>5.5779550200675224E-2</v>
      </c>
      <c r="AZ27" s="15">
        <f t="shared" si="12"/>
        <v>5.5779538188644472E-2</v>
      </c>
      <c r="BA27" s="15">
        <f t="shared" si="12"/>
        <v>5.5779530285811986E-2</v>
      </c>
      <c r="BB27" s="15">
        <f t="shared" si="12"/>
        <v>5.5779525086460835E-2</v>
      </c>
      <c r="BC27" s="15">
        <f t="shared" si="12"/>
        <v>5.5779521665756462E-2</v>
      </c>
      <c r="BD27" s="15">
        <f t="shared" si="12"/>
        <v>5.5779519415241285E-2</v>
      </c>
      <c r="BE27" s="15">
        <f t="shared" si="12"/>
        <v>5.5779517934605082E-2</v>
      </c>
      <c r="BF27" s="15">
        <f t="shared" si="12"/>
        <v>5.5779516960479884E-2</v>
      </c>
      <c r="BG27" s="15">
        <f t="shared" si="12"/>
        <v>5.5779516319593249E-2</v>
      </c>
      <c r="BH27" s="15">
        <f t="shared" si="12"/>
        <v>5.57795158979476E-2</v>
      </c>
      <c r="BI27" s="15">
        <f t="shared" si="12"/>
        <v>5.5779515620542723E-2</v>
      </c>
      <c r="BJ27" s="15">
        <f t="shared" si="12"/>
        <v>5.5779515438035318E-2</v>
      </c>
      <c r="BK27" s="15">
        <f t="shared" ref="BK27:BN27" si="13">(BK$24-BK25*$F$34-BK26*$F$35)/(1+BK36)^0.5</f>
        <v>5.5779515317961888E-2</v>
      </c>
      <c r="BL27" s="15">
        <f t="shared" si="13"/>
        <v>5.5779515238964378E-2</v>
      </c>
      <c r="BM27" s="15">
        <f t="shared" si="13"/>
        <v>5.5779515186991147E-2</v>
      </c>
      <c r="BN27" s="22">
        <f t="shared" si="13"/>
        <v>5.5779515152797436E-2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16.5" thickBot="1">
      <c r="A28" s="278"/>
      <c r="B28" s="18" t="s">
        <v>81</v>
      </c>
      <c r="C28" s="24">
        <f>C27*2/C32</f>
        <v>873.21327125853873</v>
      </c>
      <c r="D28" s="27"/>
      <c r="E28" s="78" t="s">
        <v>48</v>
      </c>
      <c r="F28" s="20">
        <v>0.05</v>
      </c>
      <c r="G28" s="24" t="s">
        <v>61</v>
      </c>
      <c r="H28" s="7"/>
      <c r="I28" s="77" t="s">
        <v>54</v>
      </c>
      <c r="J28" s="15">
        <v>2E-3</v>
      </c>
      <c r="K28" s="14" t="s">
        <v>61</v>
      </c>
      <c r="L28" s="27"/>
      <c r="M28" s="281"/>
      <c r="N28" s="283"/>
      <c r="O28" s="80" t="s">
        <v>9</v>
      </c>
      <c r="P28" s="15">
        <f>(-(C36*F31+C39*F31/F34+G49*F34/F31)+( (C36*F31+C39*F31/F34+G49*F34/F31)^2 + 4*C28*(1+I49-(F31/F34)^2))^0.5)/(2*(1+I49-(F31/F34)^2))</f>
        <v>3.5607044727770041</v>
      </c>
      <c r="Q28" s="15">
        <f t="shared" ref="Q28:BJ28" si="14">(($C$28-$C$39*P$25-$C$36*P$24+P$25^2)/(1+P$31))^0.5</f>
        <v>3.4423998114727015</v>
      </c>
      <c r="R28" s="15">
        <f t="shared" si="14"/>
        <v>2.3644726737716675</v>
      </c>
      <c r="S28" s="15">
        <f t="shared" si="14"/>
        <v>1.9121886590647557</v>
      </c>
      <c r="T28" s="15">
        <f t="shared" si="14"/>
        <v>1.6802477926636503</v>
      </c>
      <c r="U28" s="15">
        <f t="shared" si="14"/>
        <v>1.5489553356980879</v>
      </c>
      <c r="V28" s="15">
        <f t="shared" si="14"/>
        <v>1.4703342093484313</v>
      </c>
      <c r="W28" s="15">
        <f t="shared" si="14"/>
        <v>1.421622784824917</v>
      </c>
      <c r="X28" s="15">
        <f t="shared" si="14"/>
        <v>1.3907929941903694</v>
      </c>
      <c r="Y28" s="15">
        <f t="shared" si="14"/>
        <v>1.3710140710753771</v>
      </c>
      <c r="Z28" s="15">
        <f t="shared" si="14"/>
        <v>1.3582134057347746</v>
      </c>
      <c r="AA28" s="15">
        <f t="shared" si="14"/>
        <v>1.3498818108922335</v>
      </c>
      <c r="AB28" s="15">
        <f t="shared" si="14"/>
        <v>1.3444388901574451</v>
      </c>
      <c r="AC28" s="15">
        <f t="shared" si="14"/>
        <v>1.3408744770885843</v>
      </c>
      <c r="AD28" s="15">
        <f t="shared" si="14"/>
        <v>1.3385365351787102</v>
      </c>
      <c r="AE28" s="15">
        <f t="shared" si="14"/>
        <v>1.3370014515141588</v>
      </c>
      <c r="AF28" s="15">
        <f t="shared" si="14"/>
        <v>1.3359928311986942</v>
      </c>
      <c r="AG28" s="15">
        <f t="shared" si="14"/>
        <v>1.3353298231768216</v>
      </c>
      <c r="AH28" s="15">
        <f t="shared" si="14"/>
        <v>1.3348938715234901</v>
      </c>
      <c r="AI28" s="15">
        <f t="shared" si="14"/>
        <v>1.334607161839882</v>
      </c>
      <c r="AJ28" s="15">
        <f t="shared" si="14"/>
        <v>1.334418579091035</v>
      </c>
      <c r="AK28" s="15">
        <f t="shared" si="14"/>
        <v>1.3342945287067813</v>
      </c>
      <c r="AL28" s="15">
        <f t="shared" si="14"/>
        <v>1.3342129234171651</v>
      </c>
      <c r="AM28" s="15">
        <f t="shared" si="14"/>
        <v>1.3341592382481384</v>
      </c>
      <c r="AN28" s="15">
        <f t="shared" si="14"/>
        <v>1.3341239198705472</v>
      </c>
      <c r="AO28" s="15">
        <f t="shared" si="14"/>
        <v>1.3341006842641066</v>
      </c>
      <c r="AP28" s="15">
        <f t="shared" si="14"/>
        <v>1.334085397633106</v>
      </c>
      <c r="AQ28" s="15">
        <f t="shared" si="14"/>
        <v>1.3340753405389494</v>
      </c>
      <c r="AR28" s="15">
        <f t="shared" si="14"/>
        <v>1.3340687239340945</v>
      </c>
      <c r="AS28" s="15">
        <f t="shared" si="14"/>
        <v>1.3340643708288717</v>
      </c>
      <c r="AT28" s="15">
        <f t="shared" si="14"/>
        <v>1.3340615068884802</v>
      </c>
      <c r="AU28" s="15">
        <f t="shared" si="14"/>
        <v>1.334059622678329</v>
      </c>
      <c r="AV28" s="15">
        <f t="shared" si="14"/>
        <v>1.3340583830397912</v>
      </c>
      <c r="AW28" s="15">
        <f t="shared" si="14"/>
        <v>1.3340575674701725</v>
      </c>
      <c r="AX28" s="15">
        <f t="shared" si="14"/>
        <v>1.3340570308992081</v>
      </c>
      <c r="AY28" s="15">
        <f t="shared" si="14"/>
        <v>1.3340566778840126</v>
      </c>
      <c r="AZ28" s="15">
        <f t="shared" si="14"/>
        <v>1.3340564456318851</v>
      </c>
      <c r="BA28" s="15">
        <f t="shared" si="14"/>
        <v>1.3340562928309379</v>
      </c>
      <c r="BB28" s="15">
        <f t="shared" si="14"/>
        <v>1.3340561923016929</v>
      </c>
      <c r="BC28" s="15">
        <f t="shared" si="14"/>
        <v>1.334056126162511</v>
      </c>
      <c r="BD28" s="15">
        <f t="shared" si="14"/>
        <v>1.3340560826488899</v>
      </c>
      <c r="BE28" s="15">
        <f t="shared" si="14"/>
        <v>1.3340560540208484</v>
      </c>
      <c r="BF28" s="15">
        <f t="shared" si="14"/>
        <v>1.3340560351861763</v>
      </c>
      <c r="BG28" s="15">
        <f t="shared" si="14"/>
        <v>1.334056022794659</v>
      </c>
      <c r="BH28" s="15">
        <f t="shared" si="14"/>
        <v>1.3340560146421572</v>
      </c>
      <c r="BI28" s="15">
        <f t="shared" si="14"/>
        <v>1.3340560092785452</v>
      </c>
      <c r="BJ28" s="15">
        <f t="shared" si="14"/>
        <v>1.3340560057497715</v>
      </c>
      <c r="BK28" s="15">
        <f t="shared" ref="BK28:BN28" si="15">(($C$28-$C$39*BJ$25-$C$36*BJ$24+BJ$25^2)/(1+BJ$31))^0.5</f>
        <v>1.3340560034281566</v>
      </c>
      <c r="BL28" s="15">
        <f t="shared" si="15"/>
        <v>1.334056001900743</v>
      </c>
      <c r="BM28" s="15">
        <f t="shared" si="15"/>
        <v>1.3340560008958422</v>
      </c>
      <c r="BN28" s="22">
        <f t="shared" si="15"/>
        <v>1.3340560002347084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</row>
    <row r="29" spans="1:116" ht="16.5" thickBot="1">
      <c r="A29" s="278"/>
      <c r="B29" s="27"/>
      <c r="C29" s="27"/>
      <c r="D29" s="27"/>
      <c r="E29" s="27"/>
      <c r="F29" s="27"/>
      <c r="G29" s="7"/>
      <c r="H29" s="7"/>
      <c r="I29" s="78" t="s">
        <v>55</v>
      </c>
      <c r="J29" s="20">
        <v>3.0000000000000001E-3</v>
      </c>
      <c r="K29" s="21" t="s">
        <v>61</v>
      </c>
      <c r="L29" s="27"/>
      <c r="M29" s="281"/>
      <c r="N29" s="283"/>
      <c r="O29" s="80" t="s">
        <v>10</v>
      </c>
      <c r="P29" s="15">
        <f>(-(C36*F32+C37*F32+C40*F32/F35+G50*F35/F32+G52*F32)+((C36*F32+C37*F32+C40*F32/F35+G50*F35/F32+G52*F32)^2+4*(C28-C36*F31*P28)*(1+I50+I52*F32^2-(F32/F35)^2))^0.5)/(2*(1+I52*F32^2+I50-(F32/F35)^2))</f>
        <v>4.3909506332017596</v>
      </c>
      <c r="Q29" s="15">
        <f t="shared" ref="Q29:BJ29" si="16">(($C$28-$C$36*P$24-$C$37*(P$24-$F$34*P$25)-$C$40*P$26-P$37*(P24-P25*$F34)^2+P$26^2)/(1+P$32))^0.5</f>
        <v>4.8627168689973335</v>
      </c>
      <c r="R29" s="15">
        <f t="shared" si="16"/>
        <v>3.4442998041705239</v>
      </c>
      <c r="S29" s="15">
        <f t="shared" si="16"/>
        <v>2.8211810428569861</v>
      </c>
      <c r="T29" s="15">
        <f t="shared" si="16"/>
        <v>2.4951320184226109</v>
      </c>
      <c r="U29" s="15">
        <f t="shared" si="16"/>
        <v>2.3085870786910836</v>
      </c>
      <c r="V29" s="15">
        <f t="shared" si="16"/>
        <v>2.1961884902783506</v>
      </c>
      <c r="W29" s="15">
        <f t="shared" si="16"/>
        <v>2.1262888255038161</v>
      </c>
      <c r="X29" s="15">
        <f t="shared" si="16"/>
        <v>2.0819455753251583</v>
      </c>
      <c r="Y29" s="15">
        <f t="shared" si="16"/>
        <v>2.0534548536763721</v>
      </c>
      <c r="Z29" s="15">
        <f t="shared" si="16"/>
        <v>2.0349984269619421</v>
      </c>
      <c r="AA29" s="15">
        <f t="shared" si="16"/>
        <v>2.022978223066207</v>
      </c>
      <c r="AB29" s="15">
        <f t="shared" si="16"/>
        <v>2.0151224171227211</v>
      </c>
      <c r="AC29" s="15">
        <f t="shared" si="16"/>
        <v>2.0099765186966709</v>
      </c>
      <c r="AD29" s="15">
        <f t="shared" si="16"/>
        <v>2.0066006784702681</v>
      </c>
      <c r="AE29" s="15">
        <f t="shared" si="16"/>
        <v>2.0043838636379698</v>
      </c>
      <c r="AF29" s="15">
        <f t="shared" si="16"/>
        <v>2.0029272063304666</v>
      </c>
      <c r="AG29" s="15">
        <f t="shared" si="16"/>
        <v>2.0019696381699812</v>
      </c>
      <c r="AH29" s="15">
        <f t="shared" si="16"/>
        <v>2.0013399823785338</v>
      </c>
      <c r="AI29" s="15">
        <f t="shared" si="16"/>
        <v>2.000925871715042</v>
      </c>
      <c r="AJ29" s="15">
        <f t="shared" si="16"/>
        <v>2.0006534874277406</v>
      </c>
      <c r="AK29" s="15">
        <f t="shared" si="16"/>
        <v>2.0004743104634297</v>
      </c>
      <c r="AL29" s="15">
        <f t="shared" si="16"/>
        <v>2.0003564400021681</v>
      </c>
      <c r="AM29" s="15">
        <f t="shared" si="16"/>
        <v>2.000278896981317</v>
      </c>
      <c r="AN29" s="15">
        <f t="shared" si="16"/>
        <v>2.0002278828768887</v>
      </c>
      <c r="AO29" s="15">
        <f t="shared" si="16"/>
        <v>2.000194321151687</v>
      </c>
      <c r="AP29" s="15">
        <f t="shared" si="16"/>
        <v>2.0001722409753744</v>
      </c>
      <c r="AQ29" s="15">
        <f t="shared" si="16"/>
        <v>2.0001577143882701</v>
      </c>
      <c r="AR29" s="15">
        <f t="shared" si="16"/>
        <v>2.0001481572804081</v>
      </c>
      <c r="AS29" s="15">
        <f t="shared" si="16"/>
        <v>2.0001418695980684</v>
      </c>
      <c r="AT29" s="15">
        <f t="shared" si="16"/>
        <v>2.0001377328840904</v>
      </c>
      <c r="AU29" s="15">
        <f t="shared" si="16"/>
        <v>2.0001350113052561</v>
      </c>
      <c r="AV29" s="15">
        <f t="shared" si="16"/>
        <v>2.0001332207542855</v>
      </c>
      <c r="AW29" s="15">
        <f t="shared" si="16"/>
        <v>2.0001320427342288</v>
      </c>
      <c r="AX29" s="15">
        <f t="shared" si="16"/>
        <v>2.0001312677036638</v>
      </c>
      <c r="AY29" s="15">
        <f t="shared" si="16"/>
        <v>2.0001307578035914</v>
      </c>
      <c r="AZ29" s="15">
        <f t="shared" si="16"/>
        <v>2.0001304223353729</v>
      </c>
      <c r="BA29" s="15">
        <f t="shared" si="16"/>
        <v>2.0001302016275475</v>
      </c>
      <c r="BB29" s="15">
        <f t="shared" si="16"/>
        <v>2.0001300564216979</v>
      </c>
      <c r="BC29" s="15">
        <f t="shared" si="16"/>
        <v>2.0001299608893377</v>
      </c>
      <c r="BD29" s="15">
        <f t="shared" si="16"/>
        <v>2.0001298980376534</v>
      </c>
      <c r="BE29" s="15">
        <f t="shared" si="16"/>
        <v>2.0001298566869092</v>
      </c>
      <c r="BF29" s="15">
        <f t="shared" si="16"/>
        <v>2.0001298294818448</v>
      </c>
      <c r="BG29" s="15">
        <f t="shared" si="16"/>
        <v>2.0001298115833634</v>
      </c>
      <c r="BH29" s="15">
        <f t="shared" si="16"/>
        <v>2.0001297998077749</v>
      </c>
      <c r="BI29" s="15">
        <f t="shared" si="16"/>
        <v>2.0001297920604988</v>
      </c>
      <c r="BJ29" s="15">
        <f t="shared" si="16"/>
        <v>2.0001297869634889</v>
      </c>
      <c r="BK29" s="15">
        <f t="shared" ref="BK29:BN29" si="17">(($C$28-$C$36*BJ$24-$C$37*(BJ$24-$F$34*BJ$25)-$C$40*BJ$26-BJ$37*(BJ24-BJ25*$F34)^2+BJ$26^2)/(1+BJ$32))^0.5</f>
        <v>2.0001297836101157</v>
      </c>
      <c r="BL29" s="15">
        <f t="shared" si="17"/>
        <v>2.0001297814038983</v>
      </c>
      <c r="BM29" s="15">
        <f t="shared" si="17"/>
        <v>2.0001297799524056</v>
      </c>
      <c r="BN29" s="22">
        <f t="shared" si="17"/>
        <v>2.0001297789974544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</row>
    <row r="30" spans="1:116" ht="16.5" thickBot="1">
      <c r="A30" s="278"/>
      <c r="B30" s="207" t="s">
        <v>69</v>
      </c>
      <c r="C30" s="208"/>
      <c r="D30" s="293"/>
      <c r="E30" s="207" t="s">
        <v>63</v>
      </c>
      <c r="F30" s="208"/>
      <c r="G30" s="209"/>
      <c r="H30" s="7"/>
      <c r="I30" s="27"/>
      <c r="J30" s="27"/>
      <c r="K30" s="27"/>
      <c r="L30" s="27"/>
      <c r="M30" s="281"/>
      <c r="N30" s="284"/>
      <c r="O30" s="80" t="s">
        <v>11</v>
      </c>
      <c r="P30" s="15">
        <f>(-(F33*(C36+C37+C38)+C41*F33/F36+G51*F36/F33+G52*F33+I52*2*F32*P29*F33+G53*F33)+((F33*(C36+C37+C38)+C41*F33/F36+G51*F36/F33+G52*F33+I52*2*F32*P29*F33+G53*F33)^2+4*(C28-C36*(F31*P28+F32*P29)-C37*F32*P29-I52*(F32*P29)^2)*(1+I51+I52*F33^2+I53*F33^2-(F33/F36)^2))^0.5)/(2*(1+I51+I52*F33^2+I53*F33^2-(F33/F36)^2))</f>
        <v>13.677995675641032</v>
      </c>
      <c r="Q30" s="15">
        <f t="shared" ref="Q30:BJ30" si="18">(($C$28-$C$36*P$24-$C$37*(P$24-$F$34*P$25)-$C$38*(P24-$F$34*P$25-$F$35*P$26)-$C$41*P$27-$P$37*(P24-P25*$F$34)^2-P$38*(P24-$F$34*P$25-$F$35*P$26)^2+P$27^2)/(1+P$33))^0.5</f>
        <v>7.1890613610960177</v>
      </c>
      <c r="R30" s="15">
        <f t="shared" si="18"/>
        <v>5.3107691555010827</v>
      </c>
      <c r="S30" s="15">
        <f t="shared" si="18"/>
        <v>4.4267514429984454</v>
      </c>
      <c r="T30" s="15">
        <f t="shared" si="18"/>
        <v>3.9508466867351366</v>
      </c>
      <c r="U30" s="15">
        <f t="shared" si="18"/>
        <v>3.6744765482737396</v>
      </c>
      <c r="V30" s="15">
        <f t="shared" si="18"/>
        <v>3.5065186511077213</v>
      </c>
      <c r="W30" s="15">
        <f t="shared" si="18"/>
        <v>3.401521145342544</v>
      </c>
      <c r="X30" s="15">
        <f t="shared" si="18"/>
        <v>3.3346949511049684</v>
      </c>
      <c r="Y30" s="15">
        <f t="shared" si="18"/>
        <v>3.2916696760222104</v>
      </c>
      <c r="Z30" s="15">
        <f t="shared" si="18"/>
        <v>3.2637604308766632</v>
      </c>
      <c r="AA30" s="15">
        <f t="shared" si="18"/>
        <v>3.2455680813918844</v>
      </c>
      <c r="AB30" s="15">
        <f t="shared" si="18"/>
        <v>3.2336717472013299</v>
      </c>
      <c r="AC30" s="15">
        <f t="shared" si="18"/>
        <v>3.2258762441632181</v>
      </c>
      <c r="AD30" s="15">
        <f t="shared" si="18"/>
        <v>3.2207609569977329</v>
      </c>
      <c r="AE30" s="15">
        <f t="shared" si="18"/>
        <v>3.2174013646093105</v>
      </c>
      <c r="AF30" s="15">
        <f t="shared" si="18"/>
        <v>3.215193563720411</v>
      </c>
      <c r="AG30" s="15">
        <f t="shared" si="18"/>
        <v>3.2137421139635096</v>
      </c>
      <c r="AH30" s="15">
        <f t="shared" si="18"/>
        <v>3.2127876597444609</v>
      </c>
      <c r="AI30" s="15">
        <f t="shared" si="18"/>
        <v>3.2121599177311966</v>
      </c>
      <c r="AJ30" s="15">
        <f t="shared" si="18"/>
        <v>3.2117470078213564</v>
      </c>
      <c r="AK30" s="15">
        <f t="shared" si="18"/>
        <v>3.2114753882858782</v>
      </c>
      <c r="AL30" s="15">
        <f t="shared" si="18"/>
        <v>3.2112967035407625</v>
      </c>
      <c r="AM30" s="15">
        <f t="shared" si="18"/>
        <v>3.2111791521906397</v>
      </c>
      <c r="AN30" s="15">
        <f t="shared" si="18"/>
        <v>3.2111018170714591</v>
      </c>
      <c r="AO30" s="15">
        <f t="shared" si="18"/>
        <v>3.2110509388626642</v>
      </c>
      <c r="AP30" s="15">
        <f t="shared" si="18"/>
        <v>3.2110174661615365</v>
      </c>
      <c r="AQ30" s="15">
        <f t="shared" si="18"/>
        <v>3.210995444389269</v>
      </c>
      <c r="AR30" s="15">
        <f t="shared" si="18"/>
        <v>3.2109809561550122</v>
      </c>
      <c r="AS30" s="15">
        <f t="shared" si="18"/>
        <v>3.2109714242488119</v>
      </c>
      <c r="AT30" s="15">
        <f t="shared" si="18"/>
        <v>3.2109651531334524</v>
      </c>
      <c r="AU30" s="15">
        <f t="shared" si="18"/>
        <v>3.2109610273132372</v>
      </c>
      <c r="AV30" s="15">
        <f t="shared" si="18"/>
        <v>3.2109583128989989</v>
      </c>
      <c r="AW30" s="15">
        <f t="shared" si="18"/>
        <v>3.2109565270605969</v>
      </c>
      <c r="AX30" s="15">
        <f t="shared" si="18"/>
        <v>3.2109553521405134</v>
      </c>
      <c r="AY30" s="15">
        <f t="shared" si="18"/>
        <v>3.2109545791492473</v>
      </c>
      <c r="AZ30" s="15">
        <f t="shared" si="18"/>
        <v>3.2109540705907618</v>
      </c>
      <c r="BA30" s="15">
        <f t="shared" si="18"/>
        <v>3.2109537360051488</v>
      </c>
      <c r="BB30" s="15">
        <f t="shared" si="18"/>
        <v>3.2109535158779807</v>
      </c>
      <c r="BC30" s="15">
        <f t="shared" si="18"/>
        <v>3.2109533710541447</v>
      </c>
      <c r="BD30" s="15">
        <f t="shared" si="18"/>
        <v>3.2109532757731114</v>
      </c>
      <c r="BE30" s="15">
        <f t="shared" si="18"/>
        <v>3.2109532130867771</v>
      </c>
      <c r="BF30" s="15">
        <f t="shared" si="18"/>
        <v>3.210953171844817</v>
      </c>
      <c r="BG30" s="15">
        <f t="shared" si="18"/>
        <v>3.2109531447113229</v>
      </c>
      <c r="BH30" s="15">
        <f t="shared" si="18"/>
        <v>3.2109531268599283</v>
      </c>
      <c r="BI30" s="15">
        <f t="shared" si="18"/>
        <v>3.2109531151153186</v>
      </c>
      <c r="BJ30" s="15">
        <f t="shared" si="18"/>
        <v>3.210953107388423</v>
      </c>
      <c r="BK30" s="15">
        <f t="shared" ref="BK30:BN30" si="19">(($C$28-$C$36*BJ$24-$C$37*(BJ$24-$F$34*BJ$25)-$C$38*(BJ24-$F$34*BJ$25-$F$35*BJ$26)-$C$41*BJ$27-$P$37*(BJ24-BJ25*$F$34)^2-BJ$38*(BJ24-$F$34*BJ$25-$F$35*BJ$26)^2+BJ$27^2)/(1+BJ$33))^0.5</f>
        <v>3.2109531023048223</v>
      </c>
      <c r="BL30" s="15">
        <f t="shared" si="19"/>
        <v>3.2109530989602706</v>
      </c>
      <c r="BM30" s="15">
        <f t="shared" si="19"/>
        <v>3.210953096759857</v>
      </c>
      <c r="BN30" s="22">
        <f t="shared" si="19"/>
        <v>3.210953095312183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</row>
    <row r="31" spans="1:116" ht="15.75">
      <c r="A31" s="278"/>
      <c r="B31" s="17" t="s">
        <v>3</v>
      </c>
      <c r="C31" s="15">
        <v>2.9000000000000001E-2</v>
      </c>
      <c r="D31" s="82"/>
      <c r="E31" s="77" t="s">
        <v>75</v>
      </c>
      <c r="F31" s="15">
        <f>J33/J32</f>
        <v>5.0055625000000005E-3</v>
      </c>
      <c r="G31" s="14"/>
      <c r="H31" s="28"/>
      <c r="I31" s="207" t="s">
        <v>18</v>
      </c>
      <c r="J31" s="208"/>
      <c r="K31" s="209"/>
      <c r="L31" s="27"/>
      <c r="M31" s="281"/>
      <c r="N31" s="280" t="s">
        <v>114</v>
      </c>
      <c r="O31" s="92" t="s">
        <v>115</v>
      </c>
      <c r="P31" s="13">
        <f t="shared" ref="P31:BJ31" si="20">$G49/P25+$I49</f>
        <v>69.684663966787966</v>
      </c>
      <c r="Q31" s="13">
        <f t="shared" si="20"/>
        <v>152.14248629775577</v>
      </c>
      <c r="R31" s="13">
        <f t="shared" si="20"/>
        <v>234.69494165984651</v>
      </c>
      <c r="S31" s="13">
        <f t="shared" si="20"/>
        <v>305.11985689921806</v>
      </c>
      <c r="T31" s="13">
        <f t="shared" si="20"/>
        <v>359.73404744557519</v>
      </c>
      <c r="U31" s="13">
        <f t="shared" si="20"/>
        <v>399.66849160259062</v>
      </c>
      <c r="V31" s="13">
        <f t="shared" si="20"/>
        <v>427.80353803871657</v>
      </c>
      <c r="W31" s="13">
        <f t="shared" si="20"/>
        <v>447.15840678969857</v>
      </c>
      <c r="X31" s="13">
        <f t="shared" si="20"/>
        <v>460.26911813234409</v>
      </c>
      <c r="Y31" s="13">
        <f t="shared" si="20"/>
        <v>469.06126484090862</v>
      </c>
      <c r="Z31" s="13">
        <f t="shared" si="20"/>
        <v>474.91872417672772</v>
      </c>
      <c r="AA31" s="13">
        <f t="shared" si="20"/>
        <v>478.80428632550701</v>
      </c>
      <c r="AB31" s="13">
        <f t="shared" si="20"/>
        <v>481.37451499605953</v>
      </c>
      <c r="AC31" s="13">
        <f t="shared" si="20"/>
        <v>483.07152389640635</v>
      </c>
      <c r="AD31" s="13">
        <f t="shared" si="20"/>
        <v>484.19061937740287</v>
      </c>
      <c r="AE31" s="13">
        <f t="shared" si="20"/>
        <v>484.92801777132189</v>
      </c>
      <c r="AF31" s="13">
        <f t="shared" si="20"/>
        <v>485.41365102284237</v>
      </c>
      <c r="AG31" s="13">
        <f t="shared" si="20"/>
        <v>485.73336686335472</v>
      </c>
      <c r="AH31" s="13">
        <f t="shared" si="20"/>
        <v>485.94380328438825</v>
      </c>
      <c r="AI31" s="13">
        <f t="shared" si="20"/>
        <v>486.08229141266872</v>
      </c>
      <c r="AJ31" s="13">
        <f t="shared" si="20"/>
        <v>486.17342140826207</v>
      </c>
      <c r="AK31" s="13">
        <f t="shared" si="20"/>
        <v>486.23338421776378</v>
      </c>
      <c r="AL31" s="13">
        <f t="shared" si="20"/>
        <v>486.27283758345766</v>
      </c>
      <c r="AM31" s="13">
        <f t="shared" si="20"/>
        <v>486.29879574592189</v>
      </c>
      <c r="AN31" s="13">
        <f t="shared" si="20"/>
        <v>486.31587448526409</v>
      </c>
      <c r="AO31" s="13">
        <f t="shared" si="20"/>
        <v>486.32711101991322</v>
      </c>
      <c r="AP31" s="13">
        <f t="shared" si="20"/>
        <v>486.33450376118503</v>
      </c>
      <c r="AQ31" s="13">
        <f t="shared" si="20"/>
        <v>486.33936756819207</v>
      </c>
      <c r="AR31" s="13">
        <f t="shared" si="20"/>
        <v>486.34256753635594</v>
      </c>
      <c r="AS31" s="13">
        <f t="shared" si="20"/>
        <v>486.34467283636388</v>
      </c>
      <c r="AT31" s="13">
        <f t="shared" si="20"/>
        <v>486.34605793810726</v>
      </c>
      <c r="AU31" s="13">
        <f t="shared" si="20"/>
        <v>486.3469692120068</v>
      </c>
      <c r="AV31" s="13">
        <f t="shared" si="20"/>
        <v>486.34756874888961</v>
      </c>
      <c r="AW31" s="13">
        <f t="shared" si="20"/>
        <v>486.34796319047382</v>
      </c>
      <c r="AX31" s="13">
        <f t="shared" si="20"/>
        <v>486.34822269764356</v>
      </c>
      <c r="AY31" s="13">
        <f t="shared" si="20"/>
        <v>486.34839343004467</v>
      </c>
      <c r="AZ31" s="13">
        <f t="shared" si="20"/>
        <v>486.34850575661039</v>
      </c>
      <c r="BA31" s="13">
        <f t="shared" si="20"/>
        <v>486.34857965738325</v>
      </c>
      <c r="BB31" s="13">
        <f t="shared" si="20"/>
        <v>486.34862827743956</v>
      </c>
      <c r="BC31" s="13">
        <f t="shared" si="20"/>
        <v>486.34866026505904</v>
      </c>
      <c r="BD31" s="13">
        <f t="shared" si="20"/>
        <v>486.34868131003179</v>
      </c>
      <c r="BE31" s="13">
        <f t="shared" si="20"/>
        <v>486.34869515572854</v>
      </c>
      <c r="BF31" s="13">
        <f t="shared" si="20"/>
        <v>486.34870426494979</v>
      </c>
      <c r="BG31" s="13">
        <f t="shared" si="20"/>
        <v>486.34871025799691</v>
      </c>
      <c r="BH31" s="13">
        <f t="shared" si="20"/>
        <v>486.348714200882</v>
      </c>
      <c r="BI31" s="13">
        <f t="shared" si="20"/>
        <v>486.34871679494546</v>
      </c>
      <c r="BJ31" s="13">
        <f t="shared" si="20"/>
        <v>486.34871850160533</v>
      </c>
      <c r="BK31" s="13">
        <f t="shared" ref="BK31:BN31" si="21">$G49/BK25+$I49</f>
        <v>486.3487196244339</v>
      </c>
      <c r="BL31" s="13">
        <f t="shared" si="21"/>
        <v>486.34872036315403</v>
      </c>
      <c r="BM31" s="13">
        <f t="shared" si="21"/>
        <v>486.34872084916526</v>
      </c>
      <c r="BN31" s="14">
        <f t="shared" si="21"/>
        <v>486.34872116891688</v>
      </c>
    </row>
    <row r="32" spans="1:116" ht="15.75">
      <c r="A32" s="278"/>
      <c r="B32" s="17" t="s">
        <v>2</v>
      </c>
      <c r="C32" s="15">
        <v>891</v>
      </c>
      <c r="D32" s="82" t="s">
        <v>71</v>
      </c>
      <c r="E32" s="77" t="s">
        <v>76</v>
      </c>
      <c r="F32" s="15">
        <f>J34/J32</f>
        <v>1.44E-2</v>
      </c>
      <c r="G32" s="14"/>
      <c r="H32" s="27"/>
      <c r="I32" s="77" t="s">
        <v>56</v>
      </c>
      <c r="J32" s="15">
        <f t="shared" ref="J32:J38" si="22">J23^2*3.14159265358979/4</f>
        <v>1.256637061435916E-5</v>
      </c>
      <c r="K32" s="14" t="s">
        <v>60</v>
      </c>
      <c r="L32" s="27"/>
      <c r="M32" s="281"/>
      <c r="N32" s="281"/>
      <c r="O32" s="92" t="s">
        <v>116</v>
      </c>
      <c r="P32" s="13">
        <f t="shared" ref="P32:BJ32" si="23">$G50/P26+$I50</f>
        <v>34.370116908967042</v>
      </c>
      <c r="Q32" s="13">
        <f t="shared" si="23"/>
        <v>71.145896135400875</v>
      </c>
      <c r="R32" s="13">
        <f t="shared" si="23"/>
        <v>107.23666946053004</v>
      </c>
      <c r="S32" s="13">
        <f t="shared" si="23"/>
        <v>137.75593503218272</v>
      </c>
      <c r="T32" s="13">
        <f t="shared" si="23"/>
        <v>161.31549598260489</v>
      </c>
      <c r="U32" s="13">
        <f t="shared" si="23"/>
        <v>178.49771086993482</v>
      </c>
      <c r="V32" s="13">
        <f t="shared" si="23"/>
        <v>190.58421733558745</v>
      </c>
      <c r="W32" s="13">
        <f t="shared" si="23"/>
        <v>198.89080444075043</v>
      </c>
      <c r="X32" s="13">
        <f t="shared" si="23"/>
        <v>204.51411654690469</v>
      </c>
      <c r="Y32" s="13">
        <f t="shared" si="23"/>
        <v>208.28366954442981</v>
      </c>
      <c r="Z32" s="13">
        <f t="shared" si="23"/>
        <v>210.7943619861812</v>
      </c>
      <c r="AA32" s="13">
        <f t="shared" si="23"/>
        <v>212.45956058223584</v>
      </c>
      <c r="AB32" s="13">
        <f t="shared" si="23"/>
        <v>213.56093976303504</v>
      </c>
      <c r="AC32" s="13">
        <f t="shared" si="23"/>
        <v>214.28808035283987</v>
      </c>
      <c r="AD32" s="13">
        <f t="shared" si="23"/>
        <v>214.76757215561167</v>
      </c>
      <c r="AE32" s="13">
        <f t="shared" si="23"/>
        <v>215.08351094792684</v>
      </c>
      <c r="AF32" s="13">
        <f t="shared" si="23"/>
        <v>215.29157663119702</v>
      </c>
      <c r="AG32" s="13">
        <f t="shared" si="23"/>
        <v>215.42855451755366</v>
      </c>
      <c r="AH32" s="13">
        <f t="shared" si="23"/>
        <v>215.51871234589794</v>
      </c>
      <c r="AI32" s="13">
        <f t="shared" si="23"/>
        <v>215.57804483945054</v>
      </c>
      <c r="AJ32" s="13">
        <f t="shared" si="23"/>
        <v>215.61708753309711</v>
      </c>
      <c r="AK32" s="13">
        <f t="shared" si="23"/>
        <v>215.64277725031636</v>
      </c>
      <c r="AL32" s="13">
        <f t="shared" si="23"/>
        <v>215.65968013010104</v>
      </c>
      <c r="AM32" s="13">
        <f t="shared" si="23"/>
        <v>215.6708012910633</v>
      </c>
      <c r="AN32" s="13">
        <f t="shared" si="23"/>
        <v>215.67811826798342</v>
      </c>
      <c r="AO32" s="13">
        <f t="shared" si="23"/>
        <v>215.68293228996666</v>
      </c>
      <c r="AP32" s="13">
        <f t="shared" si="23"/>
        <v>215.68609953051487</v>
      </c>
      <c r="AQ32" s="13">
        <f t="shared" si="23"/>
        <v>215.68818331014671</v>
      </c>
      <c r="AR32" s="13">
        <f t="shared" si="23"/>
        <v>215.68955425837595</v>
      </c>
      <c r="AS32" s="13">
        <f t="shared" si="23"/>
        <v>215.69045622268308</v>
      </c>
      <c r="AT32" s="13">
        <f t="shared" si="23"/>
        <v>215.69104963562094</v>
      </c>
      <c r="AU32" s="13">
        <f t="shared" si="23"/>
        <v>215.69144004860274</v>
      </c>
      <c r="AV32" s="13">
        <f t="shared" si="23"/>
        <v>215.6916969054889</v>
      </c>
      <c r="AW32" s="13">
        <f t="shared" si="23"/>
        <v>215.69186589431746</v>
      </c>
      <c r="AX32" s="13">
        <f t="shared" si="23"/>
        <v>215.69197707380224</v>
      </c>
      <c r="AY32" s="13">
        <f t="shared" si="23"/>
        <v>215.69205021991334</v>
      </c>
      <c r="AZ32" s="13">
        <f t="shared" si="23"/>
        <v>215.69209834347606</v>
      </c>
      <c r="BA32" s="13">
        <f t="shared" si="23"/>
        <v>215.69213000445006</v>
      </c>
      <c r="BB32" s="13">
        <f t="shared" si="23"/>
        <v>215.69215083452082</v>
      </c>
      <c r="BC32" s="13">
        <f t="shared" si="23"/>
        <v>215.69216453883197</v>
      </c>
      <c r="BD32" s="13">
        <f t="shared" si="23"/>
        <v>215.69217355503437</v>
      </c>
      <c r="BE32" s="13">
        <f t="shared" si="23"/>
        <v>215.69217948688362</v>
      </c>
      <c r="BF32" s="13">
        <f t="shared" si="23"/>
        <v>215.69218338950606</v>
      </c>
      <c r="BG32" s="13">
        <f t="shared" si="23"/>
        <v>215.6921859570802</v>
      </c>
      <c r="BH32" s="13">
        <f t="shared" si="23"/>
        <v>215.69218764631262</v>
      </c>
      <c r="BI32" s="13">
        <f t="shared" si="23"/>
        <v>215.69218875767544</v>
      </c>
      <c r="BJ32" s="13">
        <f t="shared" si="23"/>
        <v>215.69218948885205</v>
      </c>
      <c r="BK32" s="13">
        <f t="shared" ref="BK32:BN32" si="24">$G50/BK26+$I50</f>
        <v>215.6921899699004</v>
      </c>
      <c r="BL32" s="13">
        <f t="shared" si="24"/>
        <v>215.6921902863869</v>
      </c>
      <c r="BM32" s="13">
        <f t="shared" si="24"/>
        <v>215.69219049460648</v>
      </c>
      <c r="BN32" s="14">
        <f t="shared" si="24"/>
        <v>215.69219063159619</v>
      </c>
    </row>
    <row r="33" spans="1:116" ht="16.5" thickBot="1">
      <c r="A33" s="278"/>
      <c r="B33" s="18" t="s">
        <v>29</v>
      </c>
      <c r="C33" s="20">
        <f>2*9.81</f>
        <v>19.62</v>
      </c>
      <c r="D33" s="83" t="s">
        <v>70</v>
      </c>
      <c r="E33" s="77" t="s">
        <v>77</v>
      </c>
      <c r="F33" s="15">
        <f>J35/J32</f>
        <v>8.1224999999999992E-2</v>
      </c>
      <c r="G33" s="14"/>
      <c r="H33" s="27"/>
      <c r="I33" s="77" t="s">
        <v>57</v>
      </c>
      <c r="J33" s="15">
        <f t="shared" si="22"/>
        <v>6.2901753508338175E-8</v>
      </c>
      <c r="K33" s="14" t="s">
        <v>60</v>
      </c>
      <c r="L33" s="27"/>
      <c r="M33" s="281"/>
      <c r="N33" s="239"/>
      <c r="O33" s="92" t="s">
        <v>117</v>
      </c>
      <c r="P33" s="13">
        <f t="shared" ref="P33:BJ33" si="25">$G51/P27+$I51</f>
        <v>14.913508819458484</v>
      </c>
      <c r="Q33" s="13">
        <f t="shared" si="25"/>
        <v>29.146528421266062</v>
      </c>
      <c r="R33" s="13">
        <f t="shared" si="25"/>
        <v>42.775565312943648</v>
      </c>
      <c r="S33" s="13">
        <f t="shared" si="25"/>
        <v>54.160315224364027</v>
      </c>
      <c r="T33" s="13">
        <f t="shared" si="25"/>
        <v>62.889196327335981</v>
      </c>
      <c r="U33" s="13">
        <f t="shared" si="25"/>
        <v>69.229639102957719</v>
      </c>
      <c r="V33" s="13">
        <f t="shared" si="25"/>
        <v>73.678660273047768</v>
      </c>
      <c r="W33" s="13">
        <f t="shared" si="25"/>
        <v>76.731528818552718</v>
      </c>
      <c r="X33" s="13">
        <f t="shared" si="25"/>
        <v>78.796166876492308</v>
      </c>
      <c r="Y33" s="13">
        <f t="shared" si="25"/>
        <v>80.179291952114454</v>
      </c>
      <c r="Z33" s="13">
        <f t="shared" si="25"/>
        <v>81.100129512076705</v>
      </c>
      <c r="AA33" s="13">
        <f t="shared" si="25"/>
        <v>81.710701242359448</v>
      </c>
      <c r="AB33" s="13">
        <f t="shared" si="25"/>
        <v>82.11446722782992</v>
      </c>
      <c r="AC33" s="13">
        <f t="shared" si="25"/>
        <v>82.381005913172629</v>
      </c>
      <c r="AD33" s="13">
        <f t="shared" si="25"/>
        <v>82.556753580570273</v>
      </c>
      <c r="AE33" s="13">
        <f t="shared" si="25"/>
        <v>82.672548456448979</v>
      </c>
      <c r="AF33" s="13">
        <f t="shared" si="25"/>
        <v>82.748804169829839</v>
      </c>
      <c r="AG33" s="13">
        <f t="shared" si="25"/>
        <v>82.799005229765342</v>
      </c>
      <c r="AH33" s="13">
        <f t="shared" si="25"/>
        <v>82.832046719323571</v>
      </c>
      <c r="AI33" s="13">
        <f t="shared" si="25"/>
        <v>82.853790980952837</v>
      </c>
      <c r="AJ33" s="13">
        <f t="shared" si="25"/>
        <v>82.868099317043658</v>
      </c>
      <c r="AK33" s="13">
        <f t="shared" si="25"/>
        <v>82.877514026122</v>
      </c>
      <c r="AL33" s="13">
        <f t="shared" si="25"/>
        <v>82.88370853832923</v>
      </c>
      <c r="AM33" s="13">
        <f t="shared" si="25"/>
        <v>82.887784177870159</v>
      </c>
      <c r="AN33" s="13">
        <f t="shared" si="25"/>
        <v>82.890465671805472</v>
      </c>
      <c r="AO33" s="13">
        <f t="shared" si="25"/>
        <v>82.892229892328245</v>
      </c>
      <c r="AP33" s="13">
        <f t="shared" si="25"/>
        <v>82.893390607417274</v>
      </c>
      <c r="AQ33" s="13">
        <f t="shared" si="25"/>
        <v>82.89415426070498</v>
      </c>
      <c r="AR33" s="13">
        <f t="shared" si="25"/>
        <v>82.894656678944315</v>
      </c>
      <c r="AS33" s="13">
        <f t="shared" si="25"/>
        <v>82.894987226257683</v>
      </c>
      <c r="AT33" s="13">
        <f t="shared" si="25"/>
        <v>82.895204697206623</v>
      </c>
      <c r="AU33" s="13">
        <f t="shared" si="25"/>
        <v>82.895347773757422</v>
      </c>
      <c r="AV33" s="13">
        <f t="shared" si="25"/>
        <v>82.895441905350197</v>
      </c>
      <c r="AW33" s="13">
        <f t="shared" si="25"/>
        <v>82.895503835506716</v>
      </c>
      <c r="AX33" s="13">
        <f t="shared" si="25"/>
        <v>82.895544579991636</v>
      </c>
      <c r="AY33" s="13">
        <f t="shared" si="25"/>
        <v>82.895571386201325</v>
      </c>
      <c r="AZ33" s="13">
        <f t="shared" si="25"/>
        <v>82.895589022276383</v>
      </c>
      <c r="BA33" s="13">
        <f t="shared" si="25"/>
        <v>82.895600625226749</v>
      </c>
      <c r="BB33" s="13">
        <f t="shared" si="25"/>
        <v>82.895608258923602</v>
      </c>
      <c r="BC33" s="13">
        <f t="shared" si="25"/>
        <v>82.895613281208782</v>
      </c>
      <c r="BD33" s="13">
        <f t="shared" si="25"/>
        <v>82.895616585420129</v>
      </c>
      <c r="BE33" s="13">
        <f t="shared" si="25"/>
        <v>82.895618759293612</v>
      </c>
      <c r="BF33" s="13">
        <f t="shared" si="25"/>
        <v>82.895620189506531</v>
      </c>
      <c r="BG33" s="13">
        <f t="shared" si="25"/>
        <v>82.895621130457826</v>
      </c>
      <c r="BH33" s="13">
        <f t="shared" si="25"/>
        <v>82.895621749518995</v>
      </c>
      <c r="BI33" s="13">
        <f t="shared" si="25"/>
        <v>82.895622156805516</v>
      </c>
      <c r="BJ33" s="13">
        <f t="shared" si="25"/>
        <v>82.895622424763346</v>
      </c>
      <c r="BK33" s="13">
        <f t="shared" ref="BK33:BN33" si="26">$G51/BK27+$I51</f>
        <v>82.89562260105545</v>
      </c>
      <c r="BL33" s="13">
        <f t="shared" si="26"/>
        <v>82.895622717039785</v>
      </c>
      <c r="BM33" s="13">
        <f t="shared" si="26"/>
        <v>82.895622793347016</v>
      </c>
      <c r="BN33" s="14">
        <f t="shared" si="26"/>
        <v>82.895622843550314</v>
      </c>
    </row>
    <row r="34" spans="1:116" ht="16.5" thickBot="1">
      <c r="A34" s="278"/>
      <c r="B34" s="28"/>
      <c r="C34" s="27"/>
      <c r="D34" s="27"/>
      <c r="E34" s="77" t="s">
        <v>78</v>
      </c>
      <c r="F34" s="15">
        <f>J36/J32</f>
        <v>6.25E-2</v>
      </c>
      <c r="G34" s="14"/>
      <c r="H34" s="27"/>
      <c r="I34" s="77" t="s">
        <v>58</v>
      </c>
      <c r="J34" s="15">
        <f t="shared" si="22"/>
        <v>1.8095573684677189E-7</v>
      </c>
      <c r="K34" s="14" t="s">
        <v>60</v>
      </c>
      <c r="L34" s="27"/>
      <c r="M34" s="281"/>
      <c r="N34" s="280" t="s">
        <v>112</v>
      </c>
      <c r="O34" s="92" t="s">
        <v>118</v>
      </c>
      <c r="P34" s="13">
        <f t="shared" ref="P34:BJ34" si="27">$G46/P$24+$I46</f>
        <v>18.79700616872266</v>
      </c>
      <c r="Q34" s="13">
        <f t="shared" si="27"/>
        <v>29.391415980891853</v>
      </c>
      <c r="R34" s="13">
        <f t="shared" si="27"/>
        <v>38.168189715240331</v>
      </c>
      <c r="S34" s="13">
        <f t="shared" si="27"/>
        <v>44.860615346748602</v>
      </c>
      <c r="T34" s="13">
        <f t="shared" si="27"/>
        <v>49.70061488854455</v>
      </c>
      <c r="U34" s="13">
        <f t="shared" si="27"/>
        <v>53.085912001053615</v>
      </c>
      <c r="V34" s="13">
        <f t="shared" si="27"/>
        <v>55.403653586047625</v>
      </c>
      <c r="W34" s="13">
        <f t="shared" si="27"/>
        <v>56.968728098127798</v>
      </c>
      <c r="X34" s="13">
        <f t="shared" si="27"/>
        <v>58.016108555769335</v>
      </c>
      <c r="Y34" s="13">
        <f t="shared" si="27"/>
        <v>58.712938835827458</v>
      </c>
      <c r="Z34" s="13">
        <f t="shared" si="27"/>
        <v>59.174768850366817</v>
      </c>
      <c r="AA34" s="13">
        <f t="shared" si="27"/>
        <v>59.480080805750745</v>
      </c>
      <c r="AB34" s="13">
        <f t="shared" si="27"/>
        <v>59.681586612338421</v>
      </c>
      <c r="AC34" s="13">
        <f t="shared" si="27"/>
        <v>59.814436030496793</v>
      </c>
      <c r="AD34" s="13">
        <f t="shared" si="27"/>
        <v>59.901958934124423</v>
      </c>
      <c r="AE34" s="13">
        <f t="shared" si="27"/>
        <v>59.959593088680279</v>
      </c>
      <c r="AF34" s="13">
        <f t="shared" si="27"/>
        <v>59.997533678081211</v>
      </c>
      <c r="AG34" s="13">
        <f t="shared" si="27"/>
        <v>60.022504914190463</v>
      </c>
      <c r="AH34" s="13">
        <f t="shared" si="27"/>
        <v>60.038937957691857</v>
      </c>
      <c r="AI34" s="13">
        <f t="shared" si="27"/>
        <v>60.049751246728164</v>
      </c>
      <c r="AJ34" s="13">
        <f t="shared" si="27"/>
        <v>60.056866207606447</v>
      </c>
      <c r="AK34" s="13">
        <f t="shared" si="27"/>
        <v>60.061547553238881</v>
      </c>
      <c r="AL34" s="13">
        <f t="shared" si="27"/>
        <v>60.064627605129431</v>
      </c>
      <c r="AM34" s="13">
        <f t="shared" si="27"/>
        <v>60.066654065950885</v>
      </c>
      <c r="AN34" s="13">
        <f t="shared" si="27"/>
        <v>60.067987322383644</v>
      </c>
      <c r="AO34" s="13">
        <f t="shared" si="27"/>
        <v>60.068864497029125</v>
      </c>
      <c r="AP34" s="13">
        <f t="shared" si="27"/>
        <v>60.069441604128485</v>
      </c>
      <c r="AQ34" s="13">
        <f t="shared" si="27"/>
        <v>60.069821290863487</v>
      </c>
      <c r="AR34" s="13">
        <f t="shared" si="27"/>
        <v>60.070071091506122</v>
      </c>
      <c r="AS34" s="13">
        <f t="shared" si="27"/>
        <v>60.070235438247877</v>
      </c>
      <c r="AT34" s="13">
        <f t="shared" si="27"/>
        <v>60.070343563781591</v>
      </c>
      <c r="AU34" s="13">
        <f t="shared" si="27"/>
        <v>60.070414700721457</v>
      </c>
      <c r="AV34" s="13">
        <f t="shared" si="27"/>
        <v>60.070461502453824</v>
      </c>
      <c r="AW34" s="13">
        <f t="shared" si="27"/>
        <v>60.070492293792455</v>
      </c>
      <c r="AX34" s="13">
        <f t="shared" si="27"/>
        <v>60.070512551725898</v>
      </c>
      <c r="AY34" s="13">
        <f t="shared" si="27"/>
        <v>60.070525879623972</v>
      </c>
      <c r="AZ34" s="13">
        <f t="shared" si="27"/>
        <v>60.070534648181464</v>
      </c>
      <c r="BA34" s="13">
        <f t="shared" si="27"/>
        <v>60.070540417102919</v>
      </c>
      <c r="BB34" s="13">
        <f t="shared" si="27"/>
        <v>60.070544212533775</v>
      </c>
      <c r="BC34" s="13">
        <f t="shared" si="27"/>
        <v>60.070546709585486</v>
      </c>
      <c r="BD34" s="13">
        <f t="shared" si="27"/>
        <v>60.070548352420587</v>
      </c>
      <c r="BE34" s="13">
        <f t="shared" si="27"/>
        <v>60.070549433258122</v>
      </c>
      <c r="BF34" s="13">
        <f t="shared" si="27"/>
        <v>60.070550144351856</v>
      </c>
      <c r="BG34" s="13">
        <f t="shared" si="27"/>
        <v>60.070550612187475</v>
      </c>
      <c r="BH34" s="13">
        <f t="shared" si="27"/>
        <v>60.070550919981173</v>
      </c>
      <c r="BI34" s="13">
        <f t="shared" si="27"/>
        <v>60.070551122481717</v>
      </c>
      <c r="BJ34" s="13">
        <f t="shared" si="27"/>
        <v>60.070551255708807</v>
      </c>
      <c r="BK34" s="13">
        <f t="shared" ref="BK34:BN34" si="28">$G46/BK$24+$I46</f>
        <v>60.07055134336025</v>
      </c>
      <c r="BL34" s="13">
        <f t="shared" si="28"/>
        <v>60.070551401027004</v>
      </c>
      <c r="BM34" s="13">
        <f t="shared" si="28"/>
        <v>60.070551438966532</v>
      </c>
      <c r="BN34" s="14">
        <f t="shared" si="28"/>
        <v>60.070551463927316</v>
      </c>
    </row>
    <row r="35" spans="1:116" ht="20.100000000000001" customHeight="1">
      <c r="A35" s="278"/>
      <c r="B35" s="220" t="s">
        <v>104</v>
      </c>
      <c r="C35" s="221"/>
      <c r="D35" s="222"/>
      <c r="E35" s="88" t="s">
        <v>79</v>
      </c>
      <c r="F35" s="15">
        <f>J37/J32</f>
        <v>0.25</v>
      </c>
      <c r="G35" s="14"/>
      <c r="H35" s="27"/>
      <c r="I35" s="77" t="s">
        <v>59</v>
      </c>
      <c r="J35" s="15">
        <f t="shared" si="22"/>
        <v>1.0207034531513226E-6</v>
      </c>
      <c r="K35" s="14" t="s">
        <v>60</v>
      </c>
      <c r="L35" s="27"/>
      <c r="M35" s="281"/>
      <c r="N35" s="281"/>
      <c r="O35" s="92" t="s">
        <v>119</v>
      </c>
      <c r="P35" s="13">
        <f t="shared" ref="P35:BJ35" si="29">$G47/(P$24-P$25*$F$34)+$I47</f>
        <v>12.068253278769527</v>
      </c>
      <c r="Q35" s="13">
        <f t="shared" si="29"/>
        <v>17.407226906560165</v>
      </c>
      <c r="R35" s="13">
        <f t="shared" si="29"/>
        <v>21.823151199679959</v>
      </c>
      <c r="S35" s="13">
        <f t="shared" si="29"/>
        <v>25.187784848573287</v>
      </c>
      <c r="T35" s="13">
        <f t="shared" si="29"/>
        <v>27.62008365665794</v>
      </c>
      <c r="U35" s="13">
        <f t="shared" si="29"/>
        <v>29.320912943485016</v>
      </c>
      <c r="V35" s="13">
        <f t="shared" si="29"/>
        <v>30.485207361410055</v>
      </c>
      <c r="W35" s="13">
        <f t="shared" si="29"/>
        <v>31.271331586942445</v>
      </c>
      <c r="X35" s="13">
        <f t="shared" si="29"/>
        <v>31.797390031039249</v>
      </c>
      <c r="Y35" s="13">
        <f t="shared" si="29"/>
        <v>32.147366900672665</v>
      </c>
      <c r="Z35" s="13">
        <f t="shared" si="29"/>
        <v>32.379310985018634</v>
      </c>
      <c r="AA35" s="13">
        <f t="shared" si="29"/>
        <v>32.53264469983533</v>
      </c>
      <c r="AB35" s="13">
        <f t="shared" si="29"/>
        <v>32.633843796175199</v>
      </c>
      <c r="AC35" s="13">
        <f t="shared" si="29"/>
        <v>32.700562191644025</v>
      </c>
      <c r="AD35" s="13">
        <f t="shared" si="29"/>
        <v>32.744516919698185</v>
      </c>
      <c r="AE35" s="13">
        <f t="shared" si="29"/>
        <v>32.773461180056501</v>
      </c>
      <c r="AF35" s="13">
        <f t="shared" si="29"/>
        <v>32.792515160477642</v>
      </c>
      <c r="AG35" s="13">
        <f t="shared" si="29"/>
        <v>32.805055840836381</v>
      </c>
      <c r="AH35" s="13">
        <f t="shared" si="29"/>
        <v>32.813308590631486</v>
      </c>
      <c r="AI35" s="13">
        <f t="shared" si="29"/>
        <v>32.818739070808874</v>
      </c>
      <c r="AJ35" s="13">
        <f t="shared" si="29"/>
        <v>32.822312233341037</v>
      </c>
      <c r="AK35" s="13">
        <f t="shared" si="29"/>
        <v>32.824663223724727</v>
      </c>
      <c r="AL35" s="13">
        <f t="shared" si="29"/>
        <v>32.826210037770494</v>
      </c>
      <c r="AM35" s="13">
        <f t="shared" si="29"/>
        <v>32.827227734170378</v>
      </c>
      <c r="AN35" s="13">
        <f t="shared" si="29"/>
        <v>32.827897300618531</v>
      </c>
      <c r="AO35" s="13">
        <f t="shared" si="29"/>
        <v>32.828337821038815</v>
      </c>
      <c r="AP35" s="13">
        <f t="shared" si="29"/>
        <v>32.828627646395006</v>
      </c>
      <c r="AQ35" s="13">
        <f t="shared" si="29"/>
        <v>32.828818326497711</v>
      </c>
      <c r="AR35" s="13">
        <f t="shared" si="29"/>
        <v>32.828943777315871</v>
      </c>
      <c r="AS35" s="13">
        <f t="shared" si="29"/>
        <v>32.829026312864286</v>
      </c>
      <c r="AT35" s="13">
        <f t="shared" si="29"/>
        <v>32.829080613911415</v>
      </c>
      <c r="AU35" s="13">
        <f t="shared" si="29"/>
        <v>32.829116339148342</v>
      </c>
      <c r="AV35" s="13">
        <f t="shared" si="29"/>
        <v>32.829139843153101</v>
      </c>
      <c r="AW35" s="13">
        <f t="shared" si="29"/>
        <v>32.829155306678324</v>
      </c>
      <c r="AX35" s="13">
        <f t="shared" si="29"/>
        <v>32.829165480288111</v>
      </c>
      <c r="AY35" s="13">
        <f t="shared" si="29"/>
        <v>32.829172173608271</v>
      </c>
      <c r="AZ35" s="13">
        <f t="shared" si="29"/>
        <v>32.829176577210568</v>
      </c>
      <c r="BA35" s="13">
        <f t="shared" si="29"/>
        <v>32.829179474384453</v>
      </c>
      <c r="BB35" s="13">
        <f t="shared" si="29"/>
        <v>32.829181380463993</v>
      </c>
      <c r="BC35" s="13">
        <f t="shared" si="29"/>
        <v>32.829182634492682</v>
      </c>
      <c r="BD35" s="13">
        <f t="shared" si="29"/>
        <v>32.829183459530597</v>
      </c>
      <c r="BE35" s="13">
        <f t="shared" si="29"/>
        <v>32.829184002331246</v>
      </c>
      <c r="BF35" s="13">
        <f t="shared" si="29"/>
        <v>32.829184359445165</v>
      </c>
      <c r="BG35" s="13">
        <f t="shared" si="29"/>
        <v>32.829184594393965</v>
      </c>
      <c r="BH35" s="13">
        <f t="shared" si="29"/>
        <v>32.829184748969112</v>
      </c>
      <c r="BI35" s="13">
        <f t="shared" si="29"/>
        <v>32.829184850665634</v>
      </c>
      <c r="BJ35" s="13">
        <f t="shared" si="29"/>
        <v>32.829184917572782</v>
      </c>
      <c r="BK35" s="13">
        <f t="shared" ref="BK35:BN35" si="30">$G47/(BK$24-BK$25*$F$34)+$I47</f>
        <v>32.829184961591665</v>
      </c>
      <c r="BL35" s="13">
        <f t="shared" si="30"/>
        <v>32.829184990552122</v>
      </c>
      <c r="BM35" s="13">
        <f t="shared" si="30"/>
        <v>32.829185009605489</v>
      </c>
      <c r="BN35" s="14">
        <f t="shared" si="30"/>
        <v>32.829185022140891</v>
      </c>
    </row>
    <row r="36" spans="1:116" ht="20.100000000000001" customHeight="1" thickBot="1">
      <c r="A36" s="278"/>
      <c r="B36" s="34" t="s">
        <v>85</v>
      </c>
      <c r="C36" s="15">
        <f>64*$C$31*(F23)/($C$32*$J$23^2)</f>
        <v>6.5095398428731768</v>
      </c>
      <c r="D36" s="22" t="s">
        <v>91</v>
      </c>
      <c r="E36" s="89" t="s">
        <v>80</v>
      </c>
      <c r="F36" s="20">
        <f>J38/J32</f>
        <v>0.5625</v>
      </c>
      <c r="G36" s="21"/>
      <c r="H36" s="27"/>
      <c r="I36" s="77" t="s">
        <v>72</v>
      </c>
      <c r="J36" s="15">
        <f t="shared" si="22"/>
        <v>7.8539816339744748E-7</v>
      </c>
      <c r="K36" s="14" t="s">
        <v>60</v>
      </c>
      <c r="L36" s="27"/>
      <c r="M36" s="281"/>
      <c r="N36" s="239"/>
      <c r="O36" s="92" t="s">
        <v>120</v>
      </c>
      <c r="P36" s="13">
        <f t="shared" ref="P36:BJ36" si="31">$G48/(P$24-P$25*$F$34-P$26*$F$35)+$I48</f>
        <v>10.103406853084373</v>
      </c>
      <c r="Q36" s="13">
        <f t="shared" si="31"/>
        <v>13.825639756984637</v>
      </c>
      <c r="R36" s="13">
        <f t="shared" si="31"/>
        <v>16.877744040612839</v>
      </c>
      <c r="S36" s="13">
        <f t="shared" si="31"/>
        <v>19.193149864269138</v>
      </c>
      <c r="T36" s="13">
        <f t="shared" si="31"/>
        <v>20.862901487175279</v>
      </c>
      <c r="U36" s="13">
        <f t="shared" si="31"/>
        <v>22.028823878625715</v>
      </c>
      <c r="V36" s="13">
        <f t="shared" si="31"/>
        <v>22.826241668544128</v>
      </c>
      <c r="W36" s="13">
        <f t="shared" si="31"/>
        <v>23.364351489548575</v>
      </c>
      <c r="X36" s="13">
        <f t="shared" si="31"/>
        <v>23.724314549804795</v>
      </c>
      <c r="Y36" s="13">
        <f t="shared" si="31"/>
        <v>23.963735741763333</v>
      </c>
      <c r="Z36" s="13">
        <f t="shared" si="31"/>
        <v>24.122386103580279</v>
      </c>
      <c r="AA36" s="13">
        <f t="shared" si="31"/>
        <v>24.227256442486372</v>
      </c>
      <c r="AB36" s="13">
        <f t="shared" si="31"/>
        <v>24.296465615812124</v>
      </c>
      <c r="AC36" s="13">
        <f t="shared" si="31"/>
        <v>24.342091812500176</v>
      </c>
      <c r="AD36" s="13">
        <f t="shared" si="31"/>
        <v>24.372149960910228</v>
      </c>
      <c r="AE36" s="13">
        <f t="shared" si="31"/>
        <v>24.391942940087386</v>
      </c>
      <c r="AF36" s="13">
        <f t="shared" si="31"/>
        <v>24.404972484291971</v>
      </c>
      <c r="AG36" s="13">
        <f t="shared" si="31"/>
        <v>24.413548018560409</v>
      </c>
      <c r="AH36" s="13">
        <f t="shared" si="31"/>
        <v>24.419191362466186</v>
      </c>
      <c r="AI36" s="13">
        <f t="shared" si="31"/>
        <v>24.422904786907903</v>
      </c>
      <c r="AJ36" s="13">
        <f t="shared" si="31"/>
        <v>24.425348150829777</v>
      </c>
      <c r="AK36" s="13">
        <f t="shared" si="31"/>
        <v>24.426955778964093</v>
      </c>
      <c r="AL36" s="13">
        <f t="shared" si="31"/>
        <v>24.428013503140225</v>
      </c>
      <c r="AM36" s="13">
        <f t="shared" si="31"/>
        <v>24.428709411870969</v>
      </c>
      <c r="AN36" s="13">
        <f t="shared" si="31"/>
        <v>24.429167266434995</v>
      </c>
      <c r="AO36" s="13">
        <f t="shared" si="31"/>
        <v>24.429468497522407</v>
      </c>
      <c r="AP36" s="13">
        <f t="shared" si="31"/>
        <v>24.429666682186095</v>
      </c>
      <c r="AQ36" s="13">
        <f t="shared" si="31"/>
        <v>24.429797070596567</v>
      </c>
      <c r="AR36" s="13">
        <f t="shared" si="31"/>
        <v>24.429882854751575</v>
      </c>
      <c r="AS36" s="13">
        <f t="shared" si="31"/>
        <v>24.42993929313927</v>
      </c>
      <c r="AT36" s="13">
        <f t="shared" si="31"/>
        <v>24.429976424575415</v>
      </c>
      <c r="AU36" s="13">
        <f t="shared" si="31"/>
        <v>24.430000853741966</v>
      </c>
      <c r="AV36" s="13">
        <f t="shared" si="31"/>
        <v>24.430016925944354</v>
      </c>
      <c r="AW36" s="13">
        <f t="shared" si="31"/>
        <v>24.430027500010656</v>
      </c>
      <c r="AX36" s="13">
        <f t="shared" si="31"/>
        <v>24.430034456795877</v>
      </c>
      <c r="AY36" s="13">
        <f t="shared" si="31"/>
        <v>24.430039033734793</v>
      </c>
      <c r="AZ36" s="13">
        <f t="shared" si="31"/>
        <v>24.430042044948689</v>
      </c>
      <c r="BA36" s="13">
        <f t="shared" si="31"/>
        <v>24.430044026056351</v>
      </c>
      <c r="BB36" s="13">
        <f t="shared" si="31"/>
        <v>24.430045329446802</v>
      </c>
      <c r="BC36" s="13">
        <f t="shared" si="31"/>
        <v>24.43004618696034</v>
      </c>
      <c r="BD36" s="13">
        <f t="shared" si="31"/>
        <v>24.430046751127012</v>
      </c>
      <c r="BE36" s="13">
        <f t="shared" si="31"/>
        <v>24.430047122297868</v>
      </c>
      <c r="BF36" s="13">
        <f t="shared" si="31"/>
        <v>24.430047366494854</v>
      </c>
      <c r="BG36" s="13">
        <f t="shared" si="31"/>
        <v>24.430047527154475</v>
      </c>
      <c r="BH36" s="13">
        <f t="shared" si="31"/>
        <v>24.430047632854031</v>
      </c>
      <c r="BI36" s="13">
        <f t="shared" si="31"/>
        <v>24.430047702394823</v>
      </c>
      <c r="BJ36" s="13">
        <f t="shared" si="31"/>
        <v>24.430047748146396</v>
      </c>
      <c r="BK36" s="13">
        <f t="shared" ref="BK36:BN36" si="32">$G48/(BK$24-BK$25*$F$34-BK$26*$F$35)+$I48</f>
        <v>24.430047778246813</v>
      </c>
      <c r="BL36" s="13">
        <f t="shared" si="32"/>
        <v>24.430047798050175</v>
      </c>
      <c r="BM36" s="13">
        <f t="shared" si="32"/>
        <v>24.430047811079</v>
      </c>
      <c r="BN36" s="14">
        <f t="shared" si="32"/>
        <v>24.430047819650795</v>
      </c>
    </row>
    <row r="37" spans="1:116" ht="20.100000000000001" customHeight="1">
      <c r="A37" s="278"/>
      <c r="B37" s="34" t="s">
        <v>86</v>
      </c>
      <c r="C37" s="15">
        <f>64*$C$31*(F24)/($C$32*$J$23^2)</f>
        <v>6.5095398428731768</v>
      </c>
      <c r="D37" s="22" t="s">
        <v>91</v>
      </c>
      <c r="E37" s="27"/>
      <c r="F37" s="27"/>
      <c r="G37" s="27"/>
      <c r="H37" s="27"/>
      <c r="I37" s="77" t="s">
        <v>73</v>
      </c>
      <c r="J37" s="15">
        <f t="shared" si="22"/>
        <v>3.1415926535897899E-6</v>
      </c>
      <c r="K37" s="14" t="s">
        <v>60</v>
      </c>
      <c r="L37" s="27"/>
      <c r="M37" s="281"/>
      <c r="N37" s="218" t="s">
        <v>123</v>
      </c>
      <c r="O37" s="92" t="s">
        <v>121</v>
      </c>
      <c r="P37" s="13">
        <f>$G52/(P$24-P$25*$F$34)+$I52</f>
        <v>9.469650655753906</v>
      </c>
      <c r="Q37" s="13">
        <f t="shared" ref="Q37:BJ37" si="33">$G52/(Q$24-Q$25*$F$34)+$I52</f>
        <v>10.537445381312034</v>
      </c>
      <c r="R37" s="13">
        <f t="shared" si="33"/>
        <v>11.420630239935994</v>
      </c>
      <c r="S37" s="13">
        <f t="shared" si="33"/>
        <v>12.093556969714658</v>
      </c>
      <c r="T37" s="13">
        <f t="shared" si="33"/>
        <v>12.58001673133159</v>
      </c>
      <c r="U37" s="13">
        <f t="shared" si="33"/>
        <v>12.920182588697005</v>
      </c>
      <c r="V37" s="13">
        <f t="shared" si="33"/>
        <v>13.153041472282013</v>
      </c>
      <c r="W37" s="13">
        <f t="shared" si="33"/>
        <v>13.310266317388491</v>
      </c>
      <c r="X37" s="13">
        <f t="shared" si="33"/>
        <v>13.415478006207852</v>
      </c>
      <c r="Y37" s="13">
        <f t="shared" si="33"/>
        <v>13.485473380134536</v>
      </c>
      <c r="Z37" s="13">
        <f t="shared" si="33"/>
        <v>13.531862197003729</v>
      </c>
      <c r="AA37" s="13">
        <f t="shared" si="33"/>
        <v>13.56252893996707</v>
      </c>
      <c r="AB37" s="13">
        <f t="shared" si="33"/>
        <v>13.582768759235043</v>
      </c>
      <c r="AC37" s="13">
        <f t="shared" si="33"/>
        <v>13.596112438328808</v>
      </c>
      <c r="AD37" s="13">
        <f t="shared" si="33"/>
        <v>13.604903383939639</v>
      </c>
      <c r="AE37" s="13">
        <f t="shared" si="33"/>
        <v>13.610692236011303</v>
      </c>
      <c r="AF37" s="13">
        <f t="shared" si="33"/>
        <v>13.614503032095531</v>
      </c>
      <c r="AG37" s="13">
        <f t="shared" si="33"/>
        <v>13.617011168167277</v>
      </c>
      <c r="AH37" s="13">
        <f t="shared" si="33"/>
        <v>13.618661718126299</v>
      </c>
      <c r="AI37" s="13">
        <f t="shared" si="33"/>
        <v>13.619747814161776</v>
      </c>
      <c r="AJ37" s="13">
        <f t="shared" si="33"/>
        <v>13.62046244666821</v>
      </c>
      <c r="AK37" s="13">
        <f t="shared" si="33"/>
        <v>13.620932644744947</v>
      </c>
      <c r="AL37" s="13">
        <f t="shared" si="33"/>
        <v>13.6212420075541</v>
      </c>
      <c r="AM37" s="13">
        <f t="shared" si="33"/>
        <v>13.621445546834078</v>
      </c>
      <c r="AN37" s="13">
        <f t="shared" si="33"/>
        <v>13.621579460123709</v>
      </c>
      <c r="AO37" s="13">
        <f t="shared" si="33"/>
        <v>13.621667564207765</v>
      </c>
      <c r="AP37" s="13">
        <f t="shared" si="33"/>
        <v>13.621725529279004</v>
      </c>
      <c r="AQ37" s="13">
        <f t="shared" si="33"/>
        <v>13.621763665299543</v>
      </c>
      <c r="AR37" s="13">
        <f t="shared" si="33"/>
        <v>13.621788755463177</v>
      </c>
      <c r="AS37" s="13">
        <f t="shared" si="33"/>
        <v>13.62180526257286</v>
      </c>
      <c r="AT37" s="13">
        <f t="shared" si="33"/>
        <v>13.621816122782285</v>
      </c>
      <c r="AU37" s="13">
        <f t="shared" si="33"/>
        <v>13.62182326782967</v>
      </c>
      <c r="AV37" s="13">
        <f t="shared" si="33"/>
        <v>13.621827968630623</v>
      </c>
      <c r="AW37" s="13">
        <f t="shared" si="33"/>
        <v>13.621831061335666</v>
      </c>
      <c r="AX37" s="13">
        <f t="shared" si="33"/>
        <v>13.621833096057625</v>
      </c>
      <c r="AY37" s="13">
        <f t="shared" si="33"/>
        <v>13.621834434721656</v>
      </c>
      <c r="AZ37" s="13">
        <f t="shared" si="33"/>
        <v>13.621835315442116</v>
      </c>
      <c r="BA37" s="13">
        <f t="shared" si="33"/>
        <v>13.621835894876892</v>
      </c>
      <c r="BB37" s="13">
        <f t="shared" si="33"/>
        <v>13.6218362760928</v>
      </c>
      <c r="BC37" s="13">
        <f t="shared" si="33"/>
        <v>13.621836526898537</v>
      </c>
      <c r="BD37" s="13">
        <f t="shared" si="33"/>
        <v>13.621836691906122</v>
      </c>
      <c r="BE37" s="13">
        <f t="shared" si="33"/>
        <v>13.621836800466252</v>
      </c>
      <c r="BF37" s="13">
        <f t="shared" si="33"/>
        <v>13.621836871889036</v>
      </c>
      <c r="BG37" s="13">
        <f t="shared" si="33"/>
        <v>13.621836918878795</v>
      </c>
      <c r="BH37" s="13">
        <f t="shared" si="33"/>
        <v>13.621836949793824</v>
      </c>
      <c r="BI37" s="13">
        <f t="shared" si="33"/>
        <v>13.621836970133128</v>
      </c>
      <c r="BJ37" s="13">
        <f t="shared" si="33"/>
        <v>13.621836983514559</v>
      </c>
      <c r="BK37" s="13">
        <f t="shared" ref="BK37:BN37" si="34">$G52/(BK$24-BK$25*$F$34)+$I52</f>
        <v>13.621836992318334</v>
      </c>
      <c r="BL37" s="13">
        <f t="shared" si="34"/>
        <v>13.621836998110425</v>
      </c>
      <c r="BM37" s="13">
        <f t="shared" si="34"/>
        <v>13.621837001921101</v>
      </c>
      <c r="BN37" s="14">
        <f t="shared" si="34"/>
        <v>13.62183700442818</v>
      </c>
    </row>
    <row r="38" spans="1:116" ht="20.100000000000001" customHeight="1" thickBot="1">
      <c r="A38" s="278"/>
      <c r="B38" s="34" t="s">
        <v>87</v>
      </c>
      <c r="C38" s="15">
        <f>64*$C$31*(F25)/($C$32*$J$23^2)</f>
        <v>6.5095398428731768</v>
      </c>
      <c r="D38" s="22" t="s">
        <v>91</v>
      </c>
      <c r="E38" s="27"/>
      <c r="F38" s="27"/>
      <c r="G38" s="27"/>
      <c r="H38" s="27"/>
      <c r="I38" s="78" t="s">
        <v>74</v>
      </c>
      <c r="J38" s="20">
        <f t="shared" si="22"/>
        <v>7.0685834705770276E-6</v>
      </c>
      <c r="K38" s="21" t="s">
        <v>60</v>
      </c>
      <c r="L38" s="27"/>
      <c r="M38" s="281"/>
      <c r="N38" s="218"/>
      <c r="O38" s="92" t="s">
        <v>122</v>
      </c>
      <c r="P38" s="13">
        <f t="shared" ref="P38:BJ38" si="35">$G53/(P$24-P$25*$F$34-P$26*$F$35)+$I53</f>
        <v>9.5725220559253135</v>
      </c>
      <c r="Q38" s="13">
        <f t="shared" si="35"/>
        <v>10.689191927095393</v>
      </c>
      <c r="R38" s="13">
        <f t="shared" si="35"/>
        <v>11.604823212183854</v>
      </c>
      <c r="S38" s="13">
        <f t="shared" si="35"/>
        <v>12.299444959280741</v>
      </c>
      <c r="T38" s="13">
        <f t="shared" si="35"/>
        <v>12.800370446152584</v>
      </c>
      <c r="U38" s="13">
        <f t="shared" si="35"/>
        <v>13.150147163587716</v>
      </c>
      <c r="V38" s="13">
        <f t="shared" si="35"/>
        <v>13.38937250056324</v>
      </c>
      <c r="W38" s="13">
        <f t="shared" si="35"/>
        <v>13.550805446864574</v>
      </c>
      <c r="X38" s="13">
        <f t="shared" si="35"/>
        <v>13.658794364941441</v>
      </c>
      <c r="Y38" s="13">
        <f t="shared" si="35"/>
        <v>13.730620722529</v>
      </c>
      <c r="Z38" s="13">
        <f t="shared" si="35"/>
        <v>13.778215831074085</v>
      </c>
      <c r="AA38" s="13">
        <f t="shared" si="35"/>
        <v>13.809676932745912</v>
      </c>
      <c r="AB38" s="13">
        <f t="shared" si="35"/>
        <v>13.83043968474364</v>
      </c>
      <c r="AC38" s="13">
        <f t="shared" si="35"/>
        <v>13.844127543750055</v>
      </c>
      <c r="AD38" s="13">
        <f t="shared" si="35"/>
        <v>13.853144988273069</v>
      </c>
      <c r="AE38" s="13">
        <f t="shared" si="35"/>
        <v>13.859082882026218</v>
      </c>
      <c r="AF38" s="13">
        <f t="shared" si="35"/>
        <v>13.862991745287593</v>
      </c>
      <c r="AG38" s="13">
        <f t="shared" si="35"/>
        <v>13.865564405568124</v>
      </c>
      <c r="AH38" s="13">
        <f t="shared" si="35"/>
        <v>13.867257408739857</v>
      </c>
      <c r="AI38" s="13">
        <f t="shared" si="35"/>
        <v>13.868371436072373</v>
      </c>
      <c r="AJ38" s="13">
        <f t="shared" si="35"/>
        <v>13.869104445248935</v>
      </c>
      <c r="AK38" s="13">
        <f t="shared" si="35"/>
        <v>13.869586733689228</v>
      </c>
      <c r="AL38" s="13">
        <f t="shared" si="35"/>
        <v>13.869904050942068</v>
      </c>
      <c r="AM38" s="13">
        <f t="shared" si="35"/>
        <v>13.870112823561293</v>
      </c>
      <c r="AN38" s="13">
        <f t="shared" si="35"/>
        <v>13.870250179930501</v>
      </c>
      <c r="AO38" s="13">
        <f t="shared" si="35"/>
        <v>13.870340549256724</v>
      </c>
      <c r="AP38" s="13">
        <f t="shared" si="35"/>
        <v>13.870400004655831</v>
      </c>
      <c r="AQ38" s="13">
        <f t="shared" si="35"/>
        <v>13.870439121178972</v>
      </c>
      <c r="AR38" s="13">
        <f t="shared" si="35"/>
        <v>13.870464856425475</v>
      </c>
      <c r="AS38" s="13">
        <f t="shared" si="35"/>
        <v>13.870481787941783</v>
      </c>
      <c r="AT38" s="13">
        <f t="shared" si="35"/>
        <v>13.870492927372627</v>
      </c>
      <c r="AU38" s="13">
        <f t="shared" si="35"/>
        <v>13.870500256122591</v>
      </c>
      <c r="AV38" s="13">
        <f t="shared" si="35"/>
        <v>13.870505077783308</v>
      </c>
      <c r="AW38" s="13">
        <f t="shared" si="35"/>
        <v>13.870508250003198</v>
      </c>
      <c r="AX38" s="13">
        <f t="shared" si="35"/>
        <v>13.870510337038766</v>
      </c>
      <c r="AY38" s="13">
        <f t="shared" si="35"/>
        <v>13.870511710120439</v>
      </c>
      <c r="AZ38" s="13">
        <f t="shared" si="35"/>
        <v>13.870512613484609</v>
      </c>
      <c r="BA38" s="13">
        <f t="shared" si="35"/>
        <v>13.870513207816908</v>
      </c>
      <c r="BB38" s="13">
        <f t="shared" si="35"/>
        <v>13.870513598834043</v>
      </c>
      <c r="BC38" s="13">
        <f t="shared" si="35"/>
        <v>13.870513856088104</v>
      </c>
      <c r="BD38" s="13">
        <f t="shared" si="35"/>
        <v>13.870514025338107</v>
      </c>
      <c r="BE38" s="13">
        <f t="shared" si="35"/>
        <v>13.870514136689362</v>
      </c>
      <c r="BF38" s="13">
        <f t="shared" si="35"/>
        <v>13.870514209948457</v>
      </c>
      <c r="BG38" s="13">
        <f t="shared" si="35"/>
        <v>13.870514258146343</v>
      </c>
      <c r="BH38" s="13">
        <f t="shared" si="35"/>
        <v>13.87051428985621</v>
      </c>
      <c r="BI38" s="13">
        <f t="shared" si="35"/>
        <v>13.870514310718448</v>
      </c>
      <c r="BJ38" s="13">
        <f t="shared" si="35"/>
        <v>13.870514324443921</v>
      </c>
      <c r="BK38" s="13">
        <f t="shared" ref="BK38:BN38" si="36">$G53/(BK$24-BK$25*$F$34-BK$26*$F$35)+$I53</f>
        <v>13.870514333474045</v>
      </c>
      <c r="BL38" s="13">
        <f t="shared" si="36"/>
        <v>13.870514339415054</v>
      </c>
      <c r="BM38" s="13">
        <f t="shared" si="36"/>
        <v>13.870514343323702</v>
      </c>
      <c r="BN38" s="14">
        <f t="shared" si="36"/>
        <v>13.870514345895241</v>
      </c>
    </row>
    <row r="39" spans="1:116" ht="19.5" customHeight="1" thickBot="1">
      <c r="A39" s="278"/>
      <c r="B39" s="34" t="s">
        <v>82</v>
      </c>
      <c r="C39" s="15">
        <f>64*$C$31*F26/($C$32*J27^2)</f>
        <v>104.15263748597083</v>
      </c>
      <c r="D39" s="22" t="s">
        <v>91</v>
      </c>
      <c r="E39" s="27"/>
      <c r="F39" s="27"/>
      <c r="G39" s="27"/>
      <c r="H39" s="27"/>
      <c r="I39" s="27"/>
      <c r="J39" s="27"/>
      <c r="K39" s="27"/>
      <c r="L39" s="27"/>
      <c r="M39" s="281"/>
      <c r="N39" s="291"/>
      <c r="O39" s="292"/>
      <c r="P39" s="1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6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</row>
    <row r="40" spans="1:116" ht="20.100000000000001" customHeight="1">
      <c r="A40" s="278"/>
      <c r="B40" s="34" t="s">
        <v>83</v>
      </c>
      <c r="C40" s="15">
        <f>64*$C$31*F27/($C$32*J28^2)</f>
        <v>26.038159371492707</v>
      </c>
      <c r="D40" s="22" t="s">
        <v>91</v>
      </c>
      <c r="E40" s="294" t="s">
        <v>89</v>
      </c>
      <c r="F40" s="208"/>
      <c r="G40" s="208"/>
      <c r="H40" s="208"/>
      <c r="I40" s="209"/>
      <c r="J40" s="27"/>
      <c r="K40" s="7"/>
      <c r="L40" s="7"/>
      <c r="M40" s="281"/>
      <c r="N40" s="285" t="s">
        <v>41</v>
      </c>
      <c r="O40" s="286"/>
      <c r="P40" s="15"/>
      <c r="Q40" s="15" t="str">
        <f t="shared" ref="Q40:AB40" si="37">IF((Q28-P28)=0,"Yes","No")</f>
        <v>No</v>
      </c>
      <c r="R40" s="15" t="str">
        <f t="shared" si="37"/>
        <v>No</v>
      </c>
      <c r="S40" s="15" t="str">
        <f t="shared" si="37"/>
        <v>No</v>
      </c>
      <c r="T40" s="15" t="str">
        <f t="shared" si="37"/>
        <v>No</v>
      </c>
      <c r="U40" s="15" t="str">
        <f t="shared" si="37"/>
        <v>No</v>
      </c>
      <c r="V40" s="15" t="str">
        <f t="shared" si="37"/>
        <v>No</v>
      </c>
      <c r="W40" s="15" t="str">
        <f t="shared" si="37"/>
        <v>No</v>
      </c>
      <c r="X40" s="15" t="str">
        <f t="shared" si="37"/>
        <v>No</v>
      </c>
      <c r="Y40" s="15" t="str">
        <f t="shared" si="37"/>
        <v>No</v>
      </c>
      <c r="Z40" s="15" t="str">
        <f t="shared" si="37"/>
        <v>No</v>
      </c>
      <c r="AA40" s="15" t="str">
        <f t="shared" si="37"/>
        <v>No</v>
      </c>
      <c r="AB40" s="15" t="str">
        <f t="shared" si="37"/>
        <v>No</v>
      </c>
      <c r="AC40" s="15" t="str">
        <f t="shared" ref="AC40:BJ42" si="38">IF((AC28-AB28)=0,"Yes","No")</f>
        <v>No</v>
      </c>
      <c r="AD40" s="15" t="str">
        <f>IF((AD28-AC28)=0,"Yes","No")</f>
        <v>No</v>
      </c>
      <c r="AE40" s="15" t="str">
        <f t="shared" si="38"/>
        <v>No</v>
      </c>
      <c r="AF40" s="15" t="str">
        <f t="shared" si="38"/>
        <v>No</v>
      </c>
      <c r="AG40" s="15" t="str">
        <f t="shared" si="38"/>
        <v>No</v>
      </c>
      <c r="AH40" s="15" t="str">
        <f t="shared" si="38"/>
        <v>No</v>
      </c>
      <c r="AI40" s="15" t="str">
        <f t="shared" si="38"/>
        <v>No</v>
      </c>
      <c r="AJ40" s="15" t="str">
        <f t="shared" si="38"/>
        <v>No</v>
      </c>
      <c r="AK40" s="15" t="str">
        <f t="shared" si="38"/>
        <v>No</v>
      </c>
      <c r="AL40" s="15" t="str">
        <f t="shared" si="38"/>
        <v>No</v>
      </c>
      <c r="AM40" s="15" t="str">
        <f t="shared" si="38"/>
        <v>No</v>
      </c>
      <c r="AN40" s="15" t="str">
        <f t="shared" si="38"/>
        <v>No</v>
      </c>
      <c r="AO40" s="15" t="str">
        <f t="shared" si="38"/>
        <v>No</v>
      </c>
      <c r="AP40" s="15" t="str">
        <f t="shared" si="38"/>
        <v>No</v>
      </c>
      <c r="AQ40" s="15" t="str">
        <f t="shared" si="38"/>
        <v>No</v>
      </c>
      <c r="AR40" s="15" t="str">
        <f t="shared" si="38"/>
        <v>No</v>
      </c>
      <c r="AS40" s="15" t="str">
        <f t="shared" si="38"/>
        <v>No</v>
      </c>
      <c r="AT40" s="15" t="str">
        <f t="shared" si="38"/>
        <v>No</v>
      </c>
      <c r="AU40" s="15" t="str">
        <f t="shared" si="38"/>
        <v>No</v>
      </c>
      <c r="AV40" s="15" t="str">
        <f t="shared" si="38"/>
        <v>No</v>
      </c>
      <c r="AW40" s="15" t="str">
        <f t="shared" si="38"/>
        <v>No</v>
      </c>
      <c r="AX40" s="15" t="str">
        <f t="shared" si="38"/>
        <v>No</v>
      </c>
      <c r="AY40" s="15" t="str">
        <f t="shared" si="38"/>
        <v>No</v>
      </c>
      <c r="AZ40" s="15" t="str">
        <f t="shared" si="38"/>
        <v>No</v>
      </c>
      <c r="BA40" s="15" t="str">
        <f t="shared" si="38"/>
        <v>No</v>
      </c>
      <c r="BB40" s="15" t="str">
        <f t="shared" si="38"/>
        <v>No</v>
      </c>
      <c r="BC40" s="15" t="str">
        <f t="shared" si="38"/>
        <v>No</v>
      </c>
      <c r="BD40" s="15" t="str">
        <f t="shared" si="38"/>
        <v>No</v>
      </c>
      <c r="BE40" s="15" t="str">
        <f t="shared" si="38"/>
        <v>No</v>
      </c>
      <c r="BF40" s="15" t="str">
        <f t="shared" si="38"/>
        <v>No</v>
      </c>
      <c r="BG40" s="15" t="str">
        <f t="shared" si="38"/>
        <v>No</v>
      </c>
      <c r="BH40" s="15" t="str">
        <f t="shared" si="38"/>
        <v>No</v>
      </c>
      <c r="BI40" s="15" t="str">
        <f t="shared" si="38"/>
        <v>No</v>
      </c>
      <c r="BJ40" s="15" t="str">
        <f t="shared" si="38"/>
        <v>No</v>
      </c>
      <c r="BK40" s="15" t="str">
        <f t="shared" ref="BK40:BK42" si="39">IF((BK28-BJ28)=0,"Yes","No")</f>
        <v>No</v>
      </c>
      <c r="BL40" s="15" t="str">
        <f t="shared" ref="BL40:BL42" si="40">IF((BL28-BK28)=0,"Yes","No")</f>
        <v>No</v>
      </c>
      <c r="BM40" s="15" t="str">
        <f t="shared" ref="BM40:BM42" si="41">IF((BM28-BL28)=0,"Yes","No")</f>
        <v>No</v>
      </c>
      <c r="BN40" s="22" t="str">
        <f t="shared" ref="BN40:BN42" si="42">IF((BN28-BM28)=0,"Yes","No")</f>
        <v>No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116" ht="20.100000000000001" customHeight="1" thickBot="1">
      <c r="A41" s="278"/>
      <c r="B41" s="35" t="s">
        <v>84</v>
      </c>
      <c r="C41" s="20">
        <f>64*$C$31*F28/($C$32*J29^2)</f>
        <v>11.572515276218981</v>
      </c>
      <c r="D41" s="24" t="s">
        <v>91</v>
      </c>
      <c r="E41" s="90"/>
      <c r="F41" s="262" t="s">
        <v>90</v>
      </c>
      <c r="G41" s="262"/>
      <c r="H41" s="262" t="s">
        <v>111</v>
      </c>
      <c r="I41" s="263"/>
      <c r="J41" s="27"/>
      <c r="K41" s="7"/>
      <c r="L41" s="7"/>
      <c r="M41" s="281"/>
      <c r="N41" s="287"/>
      <c r="O41" s="288"/>
      <c r="P41" s="15"/>
      <c r="Q41" s="15" t="str">
        <f t="shared" ref="Q41:Q42" si="43">IF((Q29-P29)=0,"Yes","No")</f>
        <v>No</v>
      </c>
      <c r="R41" s="15" t="str">
        <f t="shared" ref="R41:AB41" si="44">IF((R29-Q29)=0,"Yes","No")</f>
        <v>No</v>
      </c>
      <c r="S41" s="15" t="str">
        <f t="shared" si="44"/>
        <v>No</v>
      </c>
      <c r="T41" s="15" t="str">
        <f t="shared" si="44"/>
        <v>No</v>
      </c>
      <c r="U41" s="15" t="str">
        <f t="shared" si="44"/>
        <v>No</v>
      </c>
      <c r="V41" s="15" t="str">
        <f t="shared" si="44"/>
        <v>No</v>
      </c>
      <c r="W41" s="15" t="str">
        <f t="shared" si="44"/>
        <v>No</v>
      </c>
      <c r="X41" s="15" t="str">
        <f t="shared" si="44"/>
        <v>No</v>
      </c>
      <c r="Y41" s="15" t="str">
        <f t="shared" si="44"/>
        <v>No</v>
      </c>
      <c r="Z41" s="15" t="str">
        <f t="shared" si="44"/>
        <v>No</v>
      </c>
      <c r="AA41" s="15" t="str">
        <f t="shared" si="44"/>
        <v>No</v>
      </c>
      <c r="AB41" s="15" t="str">
        <f t="shared" si="44"/>
        <v>No</v>
      </c>
      <c r="AC41" s="15" t="str">
        <f t="shared" si="38"/>
        <v>No</v>
      </c>
      <c r="AD41" s="15" t="str">
        <f>IF((AD29-AC29)=0,"Yes","No")</f>
        <v>No</v>
      </c>
      <c r="AE41" s="15" t="str">
        <f t="shared" si="38"/>
        <v>No</v>
      </c>
      <c r="AF41" s="15" t="str">
        <f t="shared" si="38"/>
        <v>No</v>
      </c>
      <c r="AG41" s="15" t="str">
        <f t="shared" si="38"/>
        <v>No</v>
      </c>
      <c r="AH41" s="15" t="str">
        <f t="shared" si="38"/>
        <v>No</v>
      </c>
      <c r="AI41" s="15" t="str">
        <f t="shared" si="38"/>
        <v>No</v>
      </c>
      <c r="AJ41" s="15" t="str">
        <f t="shared" si="38"/>
        <v>No</v>
      </c>
      <c r="AK41" s="15" t="str">
        <f t="shared" si="38"/>
        <v>No</v>
      </c>
      <c r="AL41" s="15" t="str">
        <f t="shared" si="38"/>
        <v>No</v>
      </c>
      <c r="AM41" s="15" t="str">
        <f t="shared" si="38"/>
        <v>No</v>
      </c>
      <c r="AN41" s="15" t="str">
        <f t="shared" si="38"/>
        <v>No</v>
      </c>
      <c r="AO41" s="15" t="str">
        <f t="shared" si="38"/>
        <v>No</v>
      </c>
      <c r="AP41" s="15" t="str">
        <f t="shared" si="38"/>
        <v>No</v>
      </c>
      <c r="AQ41" s="15" t="str">
        <f t="shared" si="38"/>
        <v>No</v>
      </c>
      <c r="AR41" s="15" t="str">
        <f t="shared" si="38"/>
        <v>No</v>
      </c>
      <c r="AS41" s="15" t="str">
        <f t="shared" si="38"/>
        <v>No</v>
      </c>
      <c r="AT41" s="15" t="str">
        <f t="shared" si="38"/>
        <v>No</v>
      </c>
      <c r="AU41" s="15" t="str">
        <f t="shared" si="38"/>
        <v>No</v>
      </c>
      <c r="AV41" s="15" t="str">
        <f t="shared" si="38"/>
        <v>No</v>
      </c>
      <c r="AW41" s="15" t="str">
        <f t="shared" si="38"/>
        <v>No</v>
      </c>
      <c r="AX41" s="15" t="str">
        <f t="shared" si="38"/>
        <v>No</v>
      </c>
      <c r="AY41" s="15" t="str">
        <f t="shared" si="38"/>
        <v>No</v>
      </c>
      <c r="AZ41" s="15" t="str">
        <f t="shared" si="38"/>
        <v>No</v>
      </c>
      <c r="BA41" s="15" t="str">
        <f t="shared" si="38"/>
        <v>No</v>
      </c>
      <c r="BB41" s="15" t="str">
        <f t="shared" si="38"/>
        <v>No</v>
      </c>
      <c r="BC41" s="15" t="str">
        <f t="shared" si="38"/>
        <v>No</v>
      </c>
      <c r="BD41" s="15" t="str">
        <f t="shared" si="38"/>
        <v>No</v>
      </c>
      <c r="BE41" s="15" t="str">
        <f t="shared" si="38"/>
        <v>No</v>
      </c>
      <c r="BF41" s="15" t="str">
        <f t="shared" si="38"/>
        <v>No</v>
      </c>
      <c r="BG41" s="15" t="str">
        <f t="shared" si="38"/>
        <v>No</v>
      </c>
      <c r="BH41" s="15" t="str">
        <f t="shared" si="38"/>
        <v>No</v>
      </c>
      <c r="BI41" s="15" t="str">
        <f t="shared" si="38"/>
        <v>No</v>
      </c>
      <c r="BJ41" s="15" t="str">
        <f t="shared" si="38"/>
        <v>No</v>
      </c>
      <c r="BK41" s="15" t="str">
        <f t="shared" si="39"/>
        <v>No</v>
      </c>
      <c r="BL41" s="15" t="str">
        <f t="shared" si="40"/>
        <v>No</v>
      </c>
      <c r="BM41" s="15" t="str">
        <f t="shared" si="41"/>
        <v>No</v>
      </c>
      <c r="BN41" s="22" t="str">
        <f t="shared" si="42"/>
        <v>No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116" ht="20.100000000000001" customHeight="1">
      <c r="A42" s="278"/>
      <c r="B42" s="27"/>
      <c r="C42" s="27"/>
      <c r="D42" s="27"/>
      <c r="E42" s="86" t="s">
        <v>112</v>
      </c>
      <c r="F42" s="84" t="s">
        <v>105</v>
      </c>
      <c r="G42" s="13">
        <v>500</v>
      </c>
      <c r="H42" s="84" t="s">
        <v>106</v>
      </c>
      <c r="I42" s="14">
        <v>0.7</v>
      </c>
      <c r="J42" s="27"/>
      <c r="K42" s="27"/>
      <c r="L42" s="27"/>
      <c r="M42" s="281"/>
      <c r="N42" s="289"/>
      <c r="O42" s="290"/>
      <c r="P42" s="15"/>
      <c r="Q42" s="15" t="str">
        <f t="shared" si="43"/>
        <v>No</v>
      </c>
      <c r="R42" s="15" t="str">
        <f t="shared" ref="R42:AB42" si="45">IF((R30-Q30)=0,"Yes","No")</f>
        <v>No</v>
      </c>
      <c r="S42" s="15" t="str">
        <f t="shared" si="45"/>
        <v>No</v>
      </c>
      <c r="T42" s="15" t="str">
        <f t="shared" si="45"/>
        <v>No</v>
      </c>
      <c r="U42" s="15" t="str">
        <f t="shared" si="45"/>
        <v>No</v>
      </c>
      <c r="V42" s="15" t="str">
        <f t="shared" si="45"/>
        <v>No</v>
      </c>
      <c r="W42" s="15" t="str">
        <f t="shared" si="45"/>
        <v>No</v>
      </c>
      <c r="X42" s="15" t="str">
        <f t="shared" si="45"/>
        <v>No</v>
      </c>
      <c r="Y42" s="15" t="str">
        <f t="shared" si="45"/>
        <v>No</v>
      </c>
      <c r="Z42" s="15" t="str">
        <f t="shared" si="45"/>
        <v>No</v>
      </c>
      <c r="AA42" s="15" t="str">
        <f t="shared" si="45"/>
        <v>No</v>
      </c>
      <c r="AB42" s="15" t="str">
        <f t="shared" si="45"/>
        <v>No</v>
      </c>
      <c r="AC42" s="15" t="str">
        <f t="shared" si="38"/>
        <v>No</v>
      </c>
      <c r="AD42" s="15" t="str">
        <f>IF((AD30-AC30)=0,"Yes","No")</f>
        <v>No</v>
      </c>
      <c r="AE42" s="15" t="str">
        <f t="shared" si="38"/>
        <v>No</v>
      </c>
      <c r="AF42" s="15" t="str">
        <f t="shared" si="38"/>
        <v>No</v>
      </c>
      <c r="AG42" s="15" t="str">
        <f t="shared" si="38"/>
        <v>No</v>
      </c>
      <c r="AH42" s="15" t="str">
        <f t="shared" si="38"/>
        <v>No</v>
      </c>
      <c r="AI42" s="15" t="str">
        <f t="shared" si="38"/>
        <v>No</v>
      </c>
      <c r="AJ42" s="15" t="str">
        <f t="shared" si="38"/>
        <v>No</v>
      </c>
      <c r="AK42" s="15" t="str">
        <f t="shared" si="38"/>
        <v>No</v>
      </c>
      <c r="AL42" s="15" t="str">
        <f t="shared" si="38"/>
        <v>No</v>
      </c>
      <c r="AM42" s="15" t="str">
        <f t="shared" si="38"/>
        <v>No</v>
      </c>
      <c r="AN42" s="15" t="str">
        <f t="shared" si="38"/>
        <v>No</v>
      </c>
      <c r="AO42" s="15" t="str">
        <f t="shared" si="38"/>
        <v>No</v>
      </c>
      <c r="AP42" s="15" t="str">
        <f t="shared" si="38"/>
        <v>No</v>
      </c>
      <c r="AQ42" s="15" t="str">
        <f t="shared" si="38"/>
        <v>No</v>
      </c>
      <c r="AR42" s="15" t="str">
        <f t="shared" si="38"/>
        <v>No</v>
      </c>
      <c r="AS42" s="15" t="str">
        <f t="shared" si="38"/>
        <v>No</v>
      </c>
      <c r="AT42" s="15" t="str">
        <f t="shared" si="38"/>
        <v>No</v>
      </c>
      <c r="AU42" s="15" t="str">
        <f t="shared" si="38"/>
        <v>No</v>
      </c>
      <c r="AV42" s="15" t="str">
        <f t="shared" si="38"/>
        <v>No</v>
      </c>
      <c r="AW42" s="15" t="str">
        <f t="shared" si="38"/>
        <v>No</v>
      </c>
      <c r="AX42" s="15" t="str">
        <f t="shared" si="38"/>
        <v>No</v>
      </c>
      <c r="AY42" s="15" t="str">
        <f t="shared" si="38"/>
        <v>No</v>
      </c>
      <c r="AZ42" s="15" t="str">
        <f t="shared" si="38"/>
        <v>No</v>
      </c>
      <c r="BA42" s="15" t="str">
        <f t="shared" si="38"/>
        <v>No</v>
      </c>
      <c r="BB42" s="15" t="str">
        <f t="shared" si="38"/>
        <v>No</v>
      </c>
      <c r="BC42" s="15" t="str">
        <f t="shared" si="38"/>
        <v>No</v>
      </c>
      <c r="BD42" s="15" t="str">
        <f t="shared" si="38"/>
        <v>No</v>
      </c>
      <c r="BE42" s="15" t="str">
        <f t="shared" si="38"/>
        <v>No</v>
      </c>
      <c r="BF42" s="15" t="str">
        <f t="shared" si="38"/>
        <v>No</v>
      </c>
      <c r="BG42" s="15" t="str">
        <f t="shared" si="38"/>
        <v>No</v>
      </c>
      <c r="BH42" s="15" t="str">
        <f t="shared" si="38"/>
        <v>No</v>
      </c>
      <c r="BI42" s="15" t="str">
        <f t="shared" si="38"/>
        <v>No</v>
      </c>
      <c r="BJ42" s="15" t="str">
        <f t="shared" si="38"/>
        <v>No</v>
      </c>
      <c r="BK42" s="15" t="str">
        <f t="shared" si="39"/>
        <v>No</v>
      </c>
      <c r="BL42" s="15" t="str">
        <f t="shared" si="40"/>
        <v>No</v>
      </c>
      <c r="BM42" s="15" t="str">
        <f t="shared" si="41"/>
        <v>No</v>
      </c>
      <c r="BN42" s="22" t="str">
        <f t="shared" si="42"/>
        <v>No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116" ht="20.100000000000001" customHeight="1">
      <c r="A43" s="278"/>
      <c r="B43" s="27"/>
      <c r="C43" s="27"/>
      <c r="D43" s="27"/>
      <c r="E43" s="86" t="s">
        <v>113</v>
      </c>
      <c r="F43" s="84" t="s">
        <v>107</v>
      </c>
      <c r="G43" s="13">
        <v>200</v>
      </c>
      <c r="H43" s="84" t="s">
        <v>108</v>
      </c>
      <c r="I43" s="14">
        <v>1.1000000000000001</v>
      </c>
      <c r="J43" s="27"/>
      <c r="K43" s="27"/>
      <c r="L43" s="27"/>
      <c r="M43" s="281"/>
      <c r="N43" s="280" t="s">
        <v>19</v>
      </c>
      <c r="O43" s="39" t="s">
        <v>12</v>
      </c>
      <c r="P43" s="15">
        <f t="shared" ref="P43:BJ43" si="46">P28*$J33*1000000*60</f>
        <v>13.43847330375938</v>
      </c>
      <c r="Q43" s="15">
        <f t="shared" si="46"/>
        <v>12.99197906510434</v>
      </c>
      <c r="R43" s="15">
        <f t="shared" si="46"/>
        <v>8.9237686381672034</v>
      </c>
      <c r="S43" s="15">
        <f t="shared" si="46"/>
        <v>7.2168011816358577</v>
      </c>
      <c r="T43" s="15">
        <f t="shared" si="46"/>
        <v>6.3414319492234945</v>
      </c>
      <c r="U43" s="15">
        <f t="shared" si="46"/>
        <v>5.8459204032903793</v>
      </c>
      <c r="V43" s="15">
        <f t="shared" si="46"/>
        <v>5.54919600067874</v>
      </c>
      <c r="W43" s="15">
        <f t="shared" si="46"/>
        <v>5.3653539595736524</v>
      </c>
      <c r="X43" s="15">
        <f t="shared" si="46"/>
        <v>5.2489990861011728</v>
      </c>
      <c r="Y43" s="15">
        <f t="shared" si="46"/>
        <v>5.1743513493147963</v>
      </c>
      <c r="Z43" s="15">
        <f t="shared" si="46"/>
        <v>5.1260402915549577</v>
      </c>
      <c r="AA43" s="15">
        <f t="shared" si="46"/>
        <v>5.0945959760479456</v>
      </c>
      <c r="AB43" s="15">
        <f t="shared" si="46"/>
        <v>5.0740538205424421</v>
      </c>
      <c r="AC43" s="15">
        <f t="shared" si="46"/>
        <v>5.0606013506068788</v>
      </c>
      <c r="AD43" s="15">
        <f t="shared" si="46"/>
        <v>5.0517777118629761</v>
      </c>
      <c r="AE43" s="15">
        <f t="shared" si="46"/>
        <v>5.0459841446060389</v>
      </c>
      <c r="AF43" s="15">
        <f t="shared" si="46"/>
        <v>5.0421775054180271</v>
      </c>
      <c r="AG43" s="15">
        <f t="shared" si="46"/>
        <v>5.039675243388074</v>
      </c>
      <c r="AH43" s="15">
        <f t="shared" si="46"/>
        <v>5.038029915981709</v>
      </c>
      <c r="AI43" s="15">
        <f t="shared" si="46"/>
        <v>5.0369478434709034</v>
      </c>
      <c r="AJ43" s="15">
        <f t="shared" si="46"/>
        <v>5.0362361123358692</v>
      </c>
      <c r="AK43" s="15">
        <f t="shared" si="46"/>
        <v>5.0357679331342933</v>
      </c>
      <c r="AL43" s="15">
        <f t="shared" si="46"/>
        <v>5.035459946185548</v>
      </c>
      <c r="AM43" s="15">
        <f t="shared" si="46"/>
        <v>5.0352573327093975</v>
      </c>
      <c r="AN43" s="15">
        <f t="shared" si="46"/>
        <v>5.0351240374365043</v>
      </c>
      <c r="AO43" s="15">
        <f t="shared" si="46"/>
        <v>5.0350363438131671</v>
      </c>
      <c r="AP43" s="15">
        <f t="shared" si="46"/>
        <v>5.0349786504594567</v>
      </c>
      <c r="AQ43" s="15">
        <f t="shared" si="46"/>
        <v>5.0349406939279984</v>
      </c>
      <c r="AR43" s="15">
        <f t="shared" si="46"/>
        <v>5.0349157221651399</v>
      </c>
      <c r="AS43" s="15">
        <f t="shared" si="46"/>
        <v>5.0348992930880359</v>
      </c>
      <c r="AT43" s="15">
        <f t="shared" si="46"/>
        <v>5.0348884842756823</v>
      </c>
      <c r="AU43" s="15">
        <f t="shared" si="46"/>
        <v>5.0348813730683331</v>
      </c>
      <c r="AV43" s="15">
        <f t="shared" si="46"/>
        <v>5.034876694542068</v>
      </c>
      <c r="AW43" s="15">
        <f t="shared" si="46"/>
        <v>5.0348736164965207</v>
      </c>
      <c r="AX43" s="15">
        <f t="shared" si="46"/>
        <v>5.0348715914212487</v>
      </c>
      <c r="AY43" s="15">
        <f t="shared" si="46"/>
        <v>5.0348702591047596</v>
      </c>
      <c r="AZ43" s="15">
        <f t="shared" si="46"/>
        <v>5.0348693825607951</v>
      </c>
      <c r="BA43" s="15">
        <f t="shared" si="46"/>
        <v>5.0348688058739439</v>
      </c>
      <c r="BB43" s="15">
        <f t="shared" si="46"/>
        <v>5.0348684264659971</v>
      </c>
      <c r="BC43" s="15">
        <f t="shared" si="46"/>
        <v>5.0348681768497654</v>
      </c>
      <c r="BD43" s="15">
        <f t="shared" si="46"/>
        <v>5.0348680126247807</v>
      </c>
      <c r="BE43" s="15">
        <f t="shared" si="46"/>
        <v>5.0348679045795404</v>
      </c>
      <c r="BF43" s="15">
        <f t="shared" si="46"/>
        <v>5.0348678334955066</v>
      </c>
      <c r="BG43" s="15">
        <f t="shared" si="46"/>
        <v>5.0348677867286167</v>
      </c>
      <c r="BH43" s="15">
        <f t="shared" si="46"/>
        <v>5.0348677559602173</v>
      </c>
      <c r="BI43" s="15">
        <f t="shared" si="46"/>
        <v>5.0348677357173814</v>
      </c>
      <c r="BJ43" s="15">
        <f t="shared" si="46"/>
        <v>5.0348677223994178</v>
      </c>
      <c r="BK43" s="15">
        <f t="shared" ref="BK43:BN43" si="47">BK28*$J33*1000000*60</f>
        <v>5.0348677136373992</v>
      </c>
      <c r="BL43" s="15">
        <f t="shared" si="47"/>
        <v>5.0348677078727793</v>
      </c>
      <c r="BM43" s="15">
        <f t="shared" si="47"/>
        <v>5.0348677040801784</v>
      </c>
      <c r="BN43" s="22">
        <f t="shared" si="47"/>
        <v>5.0348677015849894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116" ht="20.100000000000001" customHeight="1">
      <c r="A44" s="278"/>
      <c r="B44" s="27"/>
      <c r="C44" s="27"/>
      <c r="D44" s="27"/>
      <c r="E44" s="86" t="s">
        <v>114</v>
      </c>
      <c r="F44" s="84" t="s">
        <v>109</v>
      </c>
      <c r="G44" s="13">
        <v>160</v>
      </c>
      <c r="H44" s="84" t="s">
        <v>110</v>
      </c>
      <c r="I44" s="14">
        <v>1</v>
      </c>
      <c r="J44" s="27"/>
      <c r="K44" s="27"/>
      <c r="L44" s="27"/>
      <c r="M44" s="281"/>
      <c r="N44" s="281"/>
      <c r="O44" s="39" t="s">
        <v>13</v>
      </c>
      <c r="P44" s="15">
        <f t="shared" ref="P44:BJ44" si="48">P29*$J34*1000000*60</f>
        <v>47.674062437329439</v>
      </c>
      <c r="Q44" s="15">
        <f t="shared" si="48"/>
        <v>52.796190846398396</v>
      </c>
      <c r="R44" s="15">
        <f t="shared" si="48"/>
        <v>37.39594853909216</v>
      </c>
      <c r="S44" s="15">
        <f t="shared" si="48"/>
        <v>30.630533663299815</v>
      </c>
      <c r="T44" s="15">
        <f t="shared" si="48"/>
        <v>27.090507175418207</v>
      </c>
      <c r="U44" s="15">
        <f t="shared" si="48"/>
        <v>25.065124553968896</v>
      </c>
      <c r="V44" s="15">
        <f t="shared" si="48"/>
        <v>23.84477439076311</v>
      </c>
      <c r="W44" s="15">
        <f t="shared" si="48"/>
        <v>23.085849670086013</v>
      </c>
      <c r="X44" s="15">
        <f t="shared" si="48"/>
        <v>22.604399739470427</v>
      </c>
      <c r="Y44" s="15">
        <f t="shared" si="48"/>
        <v>22.295066167715284</v>
      </c>
      <c r="Z44" s="15">
        <f t="shared" si="48"/>
        <v>22.094678389975197</v>
      </c>
      <c r="AA44" s="15">
        <f t="shared" si="48"/>
        <v>21.964170898795128</v>
      </c>
      <c r="AB44" s="15">
        <f t="shared" si="48"/>
        <v>21.878877709613402</v>
      </c>
      <c r="AC44" s="15">
        <f t="shared" si="48"/>
        <v>21.823006919127927</v>
      </c>
      <c r="AD44" s="15">
        <f t="shared" si="48"/>
        <v>21.786354259789189</v>
      </c>
      <c r="AE44" s="15">
        <f t="shared" si="48"/>
        <v>21.762285538103303</v>
      </c>
      <c r="AF44" s="15">
        <f t="shared" si="48"/>
        <v>21.746470108318555</v>
      </c>
      <c r="AG44" s="15">
        <f t="shared" si="48"/>
        <v>21.736073461194859</v>
      </c>
      <c r="AH44" s="15">
        <f t="shared" si="48"/>
        <v>21.729237071532786</v>
      </c>
      <c r="AI44" s="15">
        <f t="shared" si="48"/>
        <v>21.724740929517889</v>
      </c>
      <c r="AJ44" s="15">
        <f t="shared" si="48"/>
        <v>21.721783559553039</v>
      </c>
      <c r="AK44" s="15">
        <f t="shared" si="48"/>
        <v>21.719838173576871</v>
      </c>
      <c r="AL44" s="15">
        <f t="shared" si="48"/>
        <v>21.718558413406665</v>
      </c>
      <c r="AM44" s="15">
        <f t="shared" si="48"/>
        <v>21.717716502138138</v>
      </c>
      <c r="AN44" s="15">
        <f t="shared" si="48"/>
        <v>21.717162624446754</v>
      </c>
      <c r="AO44" s="15">
        <f t="shared" si="48"/>
        <v>21.716798233243935</v>
      </c>
      <c r="AP44" s="15">
        <f t="shared" si="48"/>
        <v>21.716558501169473</v>
      </c>
      <c r="AQ44" s="15">
        <f t="shared" si="48"/>
        <v>21.716400781013071</v>
      </c>
      <c r="AR44" s="15">
        <f t="shared" si="48"/>
        <v>21.716297016203356</v>
      </c>
      <c r="AS44" s="15">
        <f t="shared" si="48"/>
        <v>21.716228748671902</v>
      </c>
      <c r="AT44" s="15">
        <f t="shared" si="48"/>
        <v>21.716183834944342</v>
      </c>
      <c r="AU44" s="15">
        <f t="shared" si="48"/>
        <v>21.716154285826146</v>
      </c>
      <c r="AV44" s="15">
        <f t="shared" si="48"/>
        <v>21.716134845197928</v>
      </c>
      <c r="AW44" s="15">
        <f t="shared" si="48"/>
        <v>21.716122055028684</v>
      </c>
      <c r="AX44" s="15">
        <f t="shared" si="48"/>
        <v>21.71611364025507</v>
      </c>
      <c r="AY44" s="15">
        <f t="shared" si="48"/>
        <v>21.716108104094467</v>
      </c>
      <c r="AZ44" s="15">
        <f t="shared" si="48"/>
        <v>21.716104461800548</v>
      </c>
      <c r="BA44" s="15">
        <f t="shared" si="48"/>
        <v>21.716102065499719</v>
      </c>
      <c r="BB44" s="15">
        <f t="shared" si="48"/>
        <v>21.716100488949827</v>
      </c>
      <c r="BC44" s="15">
        <f t="shared" si="48"/>
        <v>21.716099451722108</v>
      </c>
      <c r="BD44" s="15">
        <f t="shared" si="48"/>
        <v>21.716098769319739</v>
      </c>
      <c r="BE44" s="15">
        <f t="shared" si="48"/>
        <v>21.716098320360476</v>
      </c>
      <c r="BF44" s="15">
        <f t="shared" si="48"/>
        <v>21.71609802498573</v>
      </c>
      <c r="BG44" s="15">
        <f t="shared" si="48"/>
        <v>21.716097830655755</v>
      </c>
      <c r="BH44" s="15">
        <f t="shared" si="48"/>
        <v>21.716097702804138</v>
      </c>
      <c r="BI44" s="15">
        <f t="shared" si="48"/>
        <v>21.716097618689293</v>
      </c>
      <c r="BJ44" s="15">
        <f t="shared" si="48"/>
        <v>21.716097563349301</v>
      </c>
      <c r="BK44" s="15">
        <f t="shared" ref="BK44:BN44" si="49">BK29*$J34*1000000*60</f>
        <v>21.716097526940576</v>
      </c>
      <c r="BL44" s="15">
        <f t="shared" si="49"/>
        <v>21.716097502986916</v>
      </c>
      <c r="BM44" s="15">
        <f t="shared" si="49"/>
        <v>21.716097487227557</v>
      </c>
      <c r="BN44" s="22">
        <f t="shared" si="49"/>
        <v>21.716097476859325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116" ht="20.100000000000001" customHeight="1">
      <c r="A45" s="278"/>
      <c r="B45" s="27"/>
      <c r="C45" s="27"/>
      <c r="D45" s="27"/>
      <c r="E45" s="86"/>
      <c r="F45" s="13"/>
      <c r="G45" s="13"/>
      <c r="H45" s="13"/>
      <c r="I45" s="14"/>
      <c r="J45" s="27"/>
      <c r="K45" s="27"/>
      <c r="L45" s="27"/>
      <c r="M45" s="281"/>
      <c r="N45" s="281"/>
      <c r="O45" s="39" t="s">
        <v>14</v>
      </c>
      <c r="P45" s="15">
        <f t="shared" ref="P45:BJ45" si="50">P30*$J35*1000000*60</f>
        <v>837.67064509893953</v>
      </c>
      <c r="Q45" s="15">
        <f t="shared" si="50"/>
        <v>440.27398537124714</v>
      </c>
      <c r="R45" s="15">
        <f t="shared" si="50"/>
        <v>325.24322495456931</v>
      </c>
      <c r="S45" s="15">
        <f t="shared" si="50"/>
        <v>271.10402904666682</v>
      </c>
      <c r="T45" s="15">
        <f t="shared" si="50"/>
        <v>241.95857136132096</v>
      </c>
      <c r="U45" s="15">
        <f t="shared" si="50"/>
        <v>225.03305408079353</v>
      </c>
      <c r="V45" s="15">
        <f t="shared" si="50"/>
        <v>214.74694174351015</v>
      </c>
      <c r="W45" s="15">
        <f t="shared" si="50"/>
        <v>208.31666274110262</v>
      </c>
      <c r="X45" s="15">
        <f t="shared" si="50"/>
        <v>204.22407910794732</v>
      </c>
      <c r="Y45" s="15">
        <f t="shared" si="50"/>
        <v>201.58911629696192</v>
      </c>
      <c r="Z45" s="15">
        <f t="shared" si="50"/>
        <v>199.87989252326753</v>
      </c>
      <c r="AA45" s="15">
        <f t="shared" si="50"/>
        <v>198.76575288686456</v>
      </c>
      <c r="AB45" s="15">
        <f t="shared" si="50"/>
        <v>198.03719512357608</v>
      </c>
      <c r="AC45" s="15">
        <f t="shared" si="50"/>
        <v>197.55978131137297</v>
      </c>
      <c r="AD45" s="15">
        <f t="shared" si="50"/>
        <v>197.24650983495266</v>
      </c>
      <c r="AE45" s="15">
        <f t="shared" si="50"/>
        <v>197.04076098183003</v>
      </c>
      <c r="AF45" s="15">
        <f t="shared" si="50"/>
        <v>196.90555038235982</v>
      </c>
      <c r="AG45" s="15">
        <f t="shared" si="50"/>
        <v>196.81666039562313</v>
      </c>
      <c r="AH45" s="15">
        <f t="shared" si="50"/>
        <v>196.75820751258769</v>
      </c>
      <c r="AI45" s="15">
        <f t="shared" si="50"/>
        <v>196.71976320615002</v>
      </c>
      <c r="AJ45" s="15">
        <f t="shared" si="50"/>
        <v>196.69447569190118</v>
      </c>
      <c r="AK45" s="15">
        <f t="shared" si="50"/>
        <v>196.67784111203284</v>
      </c>
      <c r="AL45" s="15">
        <f t="shared" si="50"/>
        <v>196.66689806385094</v>
      </c>
      <c r="AM45" s="15">
        <f t="shared" si="50"/>
        <v>196.65969895971133</v>
      </c>
      <c r="AN45" s="15">
        <f t="shared" si="50"/>
        <v>196.65496278631949</v>
      </c>
      <c r="AO45" s="15">
        <f t="shared" si="50"/>
        <v>196.65184689251507</v>
      </c>
      <c r="AP45" s="15">
        <f t="shared" si="50"/>
        <v>196.64979695041743</v>
      </c>
      <c r="AQ45" s="15">
        <f t="shared" si="50"/>
        <v>196.64844828847757</v>
      </c>
      <c r="AR45" s="15">
        <f t="shared" si="50"/>
        <v>196.64756099703342</v>
      </c>
      <c r="AS45" s="15">
        <f t="shared" si="50"/>
        <v>196.64697724205894</v>
      </c>
      <c r="AT45" s="15">
        <f t="shared" si="50"/>
        <v>196.64659318511281</v>
      </c>
      <c r="AU45" s="15">
        <f t="shared" si="50"/>
        <v>196.64634051077635</v>
      </c>
      <c r="AV45" s="15">
        <f t="shared" si="50"/>
        <v>196.64617427405719</v>
      </c>
      <c r="AW45" s="15">
        <f t="shared" si="50"/>
        <v>196.64606490537176</v>
      </c>
      <c r="AX45" s="15">
        <f t="shared" si="50"/>
        <v>196.64599295067256</v>
      </c>
      <c r="AY45" s="15">
        <f t="shared" si="50"/>
        <v>196.64594561098133</v>
      </c>
      <c r="AZ45" s="15">
        <f t="shared" si="50"/>
        <v>196.64591446573718</v>
      </c>
      <c r="BA45" s="15">
        <f t="shared" si="50"/>
        <v>196.64589397497573</v>
      </c>
      <c r="BB45" s="15">
        <f t="shared" si="50"/>
        <v>196.64588049390213</v>
      </c>
      <c r="BC45" s="15">
        <f t="shared" si="50"/>
        <v>196.64587162457073</v>
      </c>
      <c r="BD45" s="15">
        <f t="shared" si="50"/>
        <v>196.64586578934993</v>
      </c>
      <c r="BE45" s="15">
        <f t="shared" si="50"/>
        <v>196.64586195030049</v>
      </c>
      <c r="BF45" s="15">
        <f t="shared" si="50"/>
        <v>196.64585942455182</v>
      </c>
      <c r="BG45" s="15">
        <f t="shared" si="50"/>
        <v>196.64585776283676</v>
      </c>
      <c r="BH45" s="15">
        <f t="shared" si="50"/>
        <v>196.64585666957797</v>
      </c>
      <c r="BI45" s="15">
        <f t="shared" si="50"/>
        <v>196.6458559503121</v>
      </c>
      <c r="BJ45" s="15">
        <f t="shared" si="50"/>
        <v>196.64585547709999</v>
      </c>
      <c r="BK45" s="15">
        <f t="shared" ref="BK45:BN45" si="51">BK30*$J35*1000000*60</f>
        <v>196.64585516576904</v>
      </c>
      <c r="BL45" s="15">
        <f t="shared" si="51"/>
        <v>196.64585496094134</v>
      </c>
      <c r="BM45" s="15">
        <f t="shared" si="51"/>
        <v>196.64585482618313</v>
      </c>
      <c r="BN45" s="22">
        <f t="shared" si="51"/>
        <v>196.64585473752439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</row>
    <row r="46" spans="1:116" ht="20.100000000000001" customHeight="1">
      <c r="A46" s="278"/>
      <c r="B46" s="27"/>
      <c r="C46" s="27"/>
      <c r="D46" s="27"/>
      <c r="E46" s="86" t="s">
        <v>26</v>
      </c>
      <c r="F46" s="13"/>
      <c r="G46" s="13">
        <f>$G$42*$C$31/($C$32*J27)</f>
        <v>16.273849607182939</v>
      </c>
      <c r="H46" s="13"/>
      <c r="I46" s="14">
        <f>$I$42*(0.0254/$J$23+1)</f>
        <v>5.1449999999999996</v>
      </c>
      <c r="J46" s="27"/>
      <c r="K46" s="27"/>
      <c r="L46" s="27"/>
      <c r="M46" s="239"/>
      <c r="N46" s="239"/>
      <c r="O46" s="39" t="s">
        <v>15</v>
      </c>
      <c r="P46" s="15">
        <f t="shared" ref="P46:BJ46" si="52">P24*$J32*1000000*60</f>
        <v>898.78318084002842</v>
      </c>
      <c r="Q46" s="15">
        <f t="shared" si="52"/>
        <v>506.06215528274993</v>
      </c>
      <c r="R46" s="15">
        <f t="shared" si="52"/>
        <v>371.56294213182866</v>
      </c>
      <c r="S46" s="15">
        <f t="shared" si="52"/>
        <v>308.95136389160257</v>
      </c>
      <c r="T46" s="15">
        <f t="shared" si="52"/>
        <v>275.39051048596264</v>
      </c>
      <c r="U46" s="15">
        <f t="shared" si="52"/>
        <v>255.94409903805285</v>
      </c>
      <c r="V46" s="15">
        <f t="shared" si="52"/>
        <v>244.140912134952</v>
      </c>
      <c r="W46" s="15">
        <f t="shared" si="52"/>
        <v>236.76786637076233</v>
      </c>
      <c r="X46" s="15">
        <f t="shared" si="52"/>
        <v>232.07747793351896</v>
      </c>
      <c r="Y46" s="15">
        <f t="shared" si="52"/>
        <v>229.05853381399203</v>
      </c>
      <c r="Z46" s="15">
        <f t="shared" si="52"/>
        <v>227.1006112047977</v>
      </c>
      <c r="AA46" s="15">
        <f t="shared" si="52"/>
        <v>225.82451976170765</v>
      </c>
      <c r="AB46" s="15">
        <f t="shared" si="52"/>
        <v>224.99012665373195</v>
      </c>
      <c r="AC46" s="15">
        <f t="shared" si="52"/>
        <v>224.44338958110777</v>
      </c>
      <c r="AD46" s="15">
        <f t="shared" si="52"/>
        <v>224.08464180660482</v>
      </c>
      <c r="AE46" s="15">
        <f t="shared" si="52"/>
        <v>223.84903066453941</v>
      </c>
      <c r="AF46" s="15">
        <f t="shared" si="52"/>
        <v>223.69419799609639</v>
      </c>
      <c r="AG46" s="15">
        <f t="shared" si="52"/>
        <v>223.59240910020608</v>
      </c>
      <c r="AH46" s="15">
        <f t="shared" si="52"/>
        <v>223.52547450010218</v>
      </c>
      <c r="AI46" s="15">
        <f t="shared" si="52"/>
        <v>223.48145197913882</v>
      </c>
      <c r="AJ46" s="15">
        <f t="shared" si="52"/>
        <v>223.45249536379009</v>
      </c>
      <c r="AK46" s="15">
        <f t="shared" si="52"/>
        <v>223.43344721874396</v>
      </c>
      <c r="AL46" s="15">
        <f t="shared" si="52"/>
        <v>223.42091642344315</v>
      </c>
      <c r="AM46" s="15">
        <f t="shared" si="52"/>
        <v>223.41267279455892</v>
      </c>
      <c r="AN46" s="15">
        <f t="shared" si="52"/>
        <v>223.40724944820278</v>
      </c>
      <c r="AO46" s="15">
        <f t="shared" si="52"/>
        <v>223.40368146957223</v>
      </c>
      <c r="AP46" s="15">
        <f t="shared" si="52"/>
        <v>223.40133410204638</v>
      </c>
      <c r="AQ46" s="15">
        <f t="shared" si="52"/>
        <v>223.39978976341862</v>
      </c>
      <c r="AR46" s="15">
        <f t="shared" si="52"/>
        <v>223.3987737354019</v>
      </c>
      <c r="AS46" s="15">
        <f t="shared" si="52"/>
        <v>223.39810528381892</v>
      </c>
      <c r="AT46" s="15">
        <f t="shared" si="52"/>
        <v>223.39766550433288</v>
      </c>
      <c r="AU46" s="15">
        <f t="shared" si="52"/>
        <v>223.39737616967091</v>
      </c>
      <c r="AV46" s="15">
        <f t="shared" si="52"/>
        <v>223.39718581379722</v>
      </c>
      <c r="AW46" s="15">
        <f t="shared" si="52"/>
        <v>223.39706057689696</v>
      </c>
      <c r="AX46" s="15">
        <f t="shared" si="52"/>
        <v>223.3969781823489</v>
      </c>
      <c r="AY46" s="15">
        <f t="shared" si="52"/>
        <v>223.39692397418051</v>
      </c>
      <c r="AZ46" s="15">
        <f t="shared" si="52"/>
        <v>223.39688831009855</v>
      </c>
      <c r="BA46" s="15">
        <f t="shared" si="52"/>
        <v>223.39686484634942</v>
      </c>
      <c r="BB46" s="15">
        <f t="shared" si="52"/>
        <v>223.39684940931795</v>
      </c>
      <c r="BC46" s="15">
        <f t="shared" si="52"/>
        <v>223.39683925314256</v>
      </c>
      <c r="BD46" s="15">
        <f t="shared" si="52"/>
        <v>223.39683257129445</v>
      </c>
      <c r="BE46" s="15">
        <f t="shared" si="52"/>
        <v>223.39682817524047</v>
      </c>
      <c r="BF46" s="15">
        <f t="shared" si="52"/>
        <v>223.39682528303305</v>
      </c>
      <c r="BG46" s="15">
        <f t="shared" si="52"/>
        <v>223.39682338022112</v>
      </c>
      <c r="BH46" s="15">
        <f t="shared" si="52"/>
        <v>223.39682212834231</v>
      </c>
      <c r="BI46" s="15">
        <f t="shared" si="52"/>
        <v>223.39682130471877</v>
      </c>
      <c r="BJ46" s="15">
        <f t="shared" si="52"/>
        <v>223.39682076284871</v>
      </c>
      <c r="BK46" s="15">
        <f t="shared" ref="BK46:BN46" si="53">BK24*$J32*1000000*60</f>
        <v>223.39682040634705</v>
      </c>
      <c r="BL46" s="15">
        <f t="shared" si="53"/>
        <v>223.39682017180101</v>
      </c>
      <c r="BM46" s="15">
        <f t="shared" si="53"/>
        <v>223.39682001749085</v>
      </c>
      <c r="BN46" s="22">
        <f t="shared" si="53"/>
        <v>223.39681991596868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</row>
    <row r="47" spans="1:116" ht="20.100000000000001" customHeight="1">
      <c r="A47" s="278"/>
      <c r="B47" s="28"/>
      <c r="C47" s="27"/>
      <c r="D47" s="27"/>
      <c r="E47" s="86" t="s">
        <v>27</v>
      </c>
      <c r="F47" s="85"/>
      <c r="G47" s="13">
        <f t="shared" ref="G47:G48" si="54">$G$42*$C$31/($C$32*J28)</f>
        <v>8.1369248035914694</v>
      </c>
      <c r="H47" s="13"/>
      <c r="I47" s="14">
        <f>$I$42*(0.0254/$J$23+1)</f>
        <v>5.1449999999999996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5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</row>
    <row r="48" spans="1:116" ht="20.100000000000001" customHeight="1">
      <c r="A48" s="278"/>
      <c r="B48" s="28"/>
      <c r="C48" s="27"/>
      <c r="D48" s="27"/>
      <c r="E48" s="86" t="s">
        <v>28</v>
      </c>
      <c r="F48" s="85"/>
      <c r="G48" s="13">
        <f t="shared" si="54"/>
        <v>5.4246165357276466</v>
      </c>
      <c r="H48" s="13"/>
      <c r="I48" s="14">
        <f>$I$42*(0.0254/$J$23+1)</f>
        <v>5.1449999999999996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5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</row>
    <row r="49" spans="1:116" ht="20.100000000000001" customHeight="1">
      <c r="A49" s="278"/>
      <c r="B49" s="28"/>
      <c r="C49" s="27"/>
      <c r="D49" s="27"/>
      <c r="E49" s="86" t="s">
        <v>124</v>
      </c>
      <c r="F49" s="13"/>
      <c r="G49" s="13">
        <f>$G$44*$C$31/($C$32*J24)</f>
        <v>18.401526057592019</v>
      </c>
      <c r="H49" s="13"/>
      <c r="I49" s="14">
        <f>$I$44</f>
        <v>1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5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</row>
    <row r="50" spans="1:116" ht="20.100000000000001" customHeight="1">
      <c r="A50" s="278"/>
      <c r="B50" s="28"/>
      <c r="C50" s="27"/>
      <c r="D50" s="27"/>
      <c r="E50" s="86" t="s">
        <v>125</v>
      </c>
      <c r="F50" s="13"/>
      <c r="G50" s="13">
        <f t="shared" ref="G50:G51" si="55">$G$44*$C$31/($C$32*J25)</f>
        <v>10.849233071455295</v>
      </c>
      <c r="H50" s="13"/>
      <c r="I50" s="14">
        <f>$I$44</f>
        <v>1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5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1:116" ht="20.100000000000001" customHeight="1">
      <c r="A51" s="278"/>
      <c r="B51" s="28"/>
      <c r="C51" s="27"/>
      <c r="D51" s="27"/>
      <c r="E51" s="86" t="s">
        <v>126</v>
      </c>
      <c r="F51" s="13"/>
      <c r="G51" s="13">
        <f t="shared" si="55"/>
        <v>4.5680981353495982</v>
      </c>
      <c r="H51" s="13"/>
      <c r="I51" s="14">
        <f>$I$44</f>
        <v>1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5"/>
    </row>
    <row r="52" spans="1:116" ht="20.100000000000001" customHeight="1">
      <c r="A52" s="278"/>
      <c r="B52" s="28"/>
      <c r="C52" s="27"/>
      <c r="D52" s="27"/>
      <c r="E52" s="86" t="s">
        <v>127</v>
      </c>
      <c r="F52" s="13"/>
      <c r="G52" s="13">
        <f>$G$43*$C$31/$C$32/$J$23</f>
        <v>1.6273849607182942</v>
      </c>
      <c r="H52" s="13"/>
      <c r="I52" s="14">
        <f>$I$43*(0.0254/$J$23+1)</f>
        <v>8.0850000000000009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5"/>
    </row>
    <row r="53" spans="1:116" ht="20.100000000000001" customHeight="1" thickBot="1">
      <c r="A53" s="278"/>
      <c r="B53" s="28"/>
      <c r="C53" s="27"/>
      <c r="D53" s="27"/>
      <c r="E53" s="87" t="s">
        <v>128</v>
      </c>
      <c r="F53" s="19"/>
      <c r="G53" s="19">
        <f>$G$43*$C$31/$C$32/$J$23</f>
        <v>1.6273849607182942</v>
      </c>
      <c r="H53" s="19"/>
      <c r="I53" s="21">
        <f>$I$43*(0.0254/$J$23+1)</f>
        <v>8.0850000000000009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5"/>
    </row>
    <row r="54" spans="1:116" ht="20.100000000000001" customHeight="1" thickBot="1">
      <c r="A54" s="279"/>
      <c r="B54" s="6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26"/>
    </row>
    <row r="60" spans="1:116" ht="15.75" customHeight="1">
      <c r="D60" s="6"/>
    </row>
    <row r="61" spans="1:116" ht="16.5" customHeight="1">
      <c r="D61" s="6"/>
    </row>
    <row r="62" spans="1:116" ht="16.5" customHeight="1">
      <c r="D62" s="6"/>
    </row>
    <row r="64" spans="1:116" ht="15.75" customHeight="1">
      <c r="B64" s="8"/>
    </row>
    <row r="65" spans="2:2" ht="15.75" customHeight="1">
      <c r="B65" s="8"/>
    </row>
  </sheetData>
  <mergeCells count="36">
    <mergeCell ref="B1:BN1"/>
    <mergeCell ref="B22:C22"/>
    <mergeCell ref="M15:Q19"/>
    <mergeCell ref="C18:G19"/>
    <mergeCell ref="B21:BN21"/>
    <mergeCell ref="T5:T7"/>
    <mergeCell ref="T8:T10"/>
    <mergeCell ref="T11:T12"/>
    <mergeCell ref="T13:T15"/>
    <mergeCell ref="T2:W2"/>
    <mergeCell ref="A1:A54"/>
    <mergeCell ref="M23:M46"/>
    <mergeCell ref="N24:N30"/>
    <mergeCell ref="N31:N33"/>
    <mergeCell ref="N34:N36"/>
    <mergeCell ref="N43:N46"/>
    <mergeCell ref="N40:O42"/>
    <mergeCell ref="N37:N38"/>
    <mergeCell ref="N39:O39"/>
    <mergeCell ref="E22:G22"/>
    <mergeCell ref="I22:K22"/>
    <mergeCell ref="B30:D30"/>
    <mergeCell ref="I31:K31"/>
    <mergeCell ref="B35:D35"/>
    <mergeCell ref="E40:I40"/>
    <mergeCell ref="F41:G41"/>
    <mergeCell ref="H41:I41"/>
    <mergeCell ref="E30:G30"/>
    <mergeCell ref="C2:E2"/>
    <mergeCell ref="C9:Q9"/>
    <mergeCell ref="C10:C11"/>
    <mergeCell ref="D10:G10"/>
    <mergeCell ref="H10:H11"/>
    <mergeCell ref="I10:L10"/>
    <mergeCell ref="M10:M11"/>
    <mergeCell ref="N10:Q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L65"/>
  <sheetViews>
    <sheetView topLeftCell="B1" zoomScale="70" zoomScaleNormal="70" workbookViewId="0">
      <selection activeCell="D23" sqref="D23"/>
    </sheetView>
  </sheetViews>
  <sheetFormatPr defaultColWidth="15.7109375" defaultRowHeight="20.100000000000001" customHeight="1"/>
  <cols>
    <col min="1" max="1" width="15.7109375" style="2"/>
    <col min="2" max="2" width="48.85546875" style="76" customWidth="1"/>
    <col min="3" max="3" width="21.28515625" style="2" customWidth="1"/>
    <col min="4" max="4" width="17.28515625" style="2" customWidth="1"/>
    <col min="5" max="5" width="18.5703125" style="2" customWidth="1"/>
    <col min="6" max="7" width="15.7109375" style="2"/>
    <col min="8" max="8" width="18.85546875" style="2" customWidth="1"/>
    <col min="9" max="15" width="15.7109375" style="2"/>
    <col min="16" max="16" width="17.85546875" style="2" bestFit="1" customWidth="1"/>
    <col min="17" max="17" width="35" style="2" customWidth="1"/>
    <col min="18" max="18" width="34.7109375" style="2" customWidth="1"/>
    <col min="19" max="19" width="35" style="2" customWidth="1"/>
    <col min="20" max="20" width="34.42578125" style="2" customWidth="1"/>
    <col min="21" max="21" width="34.7109375" style="2" customWidth="1"/>
    <col min="22" max="22" width="34.85546875" style="2" customWidth="1"/>
    <col min="23" max="23" width="35.28515625" style="2" customWidth="1"/>
    <col min="24" max="24" width="34.28515625" style="2" customWidth="1"/>
    <col min="25" max="25" width="34.5703125" style="2" customWidth="1"/>
    <col min="26" max="26" width="15.7109375" style="2"/>
    <col min="27" max="27" width="16.140625" style="2" bestFit="1" customWidth="1"/>
    <col min="28" max="16384" width="15.7109375" style="2"/>
  </cols>
  <sheetData>
    <row r="1" spans="1:66" ht="93" thickBot="1">
      <c r="A1" s="277">
        <v>1</v>
      </c>
      <c r="B1" s="316" t="s">
        <v>161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7"/>
    </row>
    <row r="2" spans="1:66" ht="21">
      <c r="A2" s="278"/>
      <c r="B2" s="180"/>
      <c r="C2" s="199" t="s">
        <v>97</v>
      </c>
      <c r="D2" s="200"/>
      <c r="E2" s="20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8" t="s">
        <v>146</v>
      </c>
      <c r="U2" s="319"/>
      <c r="V2" s="319"/>
      <c r="W2" s="320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5"/>
    </row>
    <row r="3" spans="1:66" ht="15.75">
      <c r="A3" s="278"/>
      <c r="B3" s="180"/>
      <c r="C3" s="34" t="s">
        <v>98</v>
      </c>
      <c r="D3" s="33" t="s">
        <v>1</v>
      </c>
      <c r="E3" s="42" t="s">
        <v>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T3" s="176" t="s">
        <v>145</v>
      </c>
      <c r="U3" s="178" t="s">
        <v>154</v>
      </c>
      <c r="V3" s="129" t="s">
        <v>143</v>
      </c>
      <c r="W3" s="133" t="s">
        <v>144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5"/>
    </row>
    <row r="4" spans="1:66" ht="15.75">
      <c r="A4" s="278"/>
      <c r="B4" s="180"/>
      <c r="C4" s="40" t="s">
        <v>12</v>
      </c>
      <c r="D4" s="15">
        <f>BJ28</f>
        <v>16.396137913501175</v>
      </c>
      <c r="E4" s="22">
        <f>BJ34</f>
        <v>61.880749531426197</v>
      </c>
      <c r="F4" s="7"/>
      <c r="G4" s="27"/>
      <c r="H4" s="27"/>
      <c r="I4" s="7"/>
      <c r="J4" s="27"/>
      <c r="K4" s="27"/>
      <c r="L4" s="27"/>
      <c r="M4" s="27"/>
      <c r="N4" s="27"/>
      <c r="O4" s="27"/>
      <c r="P4" s="27"/>
      <c r="Q4" s="27"/>
      <c r="R4" s="27"/>
      <c r="T4" s="100"/>
      <c r="U4" s="119" t="s">
        <v>15</v>
      </c>
      <c r="V4" s="101">
        <f>C25</f>
        <v>490341.51234567899</v>
      </c>
      <c r="W4" s="134">
        <f>D7</f>
        <v>1.902512585622693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5"/>
    </row>
    <row r="5" spans="1:66" ht="15.75">
      <c r="A5" s="278"/>
      <c r="B5" s="180"/>
      <c r="C5" s="40" t="s">
        <v>13</v>
      </c>
      <c r="D5" s="15">
        <f>BJ29</f>
        <v>17.931452563639603</v>
      </c>
      <c r="E5" s="22">
        <f>BJ35</f>
        <v>194.68795268318067</v>
      </c>
      <c r="F5" s="27"/>
      <c r="G5" s="27"/>
      <c r="H5" s="27"/>
      <c r="I5" s="7"/>
      <c r="J5" s="27"/>
      <c r="K5" s="27"/>
      <c r="L5" s="27"/>
      <c r="M5" s="27"/>
      <c r="N5" s="27"/>
      <c r="O5" s="27"/>
      <c r="P5" s="27"/>
      <c r="Q5" s="27"/>
      <c r="R5" s="27"/>
      <c r="T5" s="110" t="s">
        <v>22</v>
      </c>
      <c r="U5" s="119" t="s">
        <v>137</v>
      </c>
      <c r="V5" s="102">
        <f>V4-D12</f>
        <v>484824.22584737319</v>
      </c>
      <c r="W5" s="134">
        <f>D7</f>
        <v>1.902512585622693</v>
      </c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5"/>
    </row>
    <row r="6" spans="1:66" ht="15.75">
      <c r="A6" s="278"/>
      <c r="B6" s="180"/>
      <c r="C6" s="40" t="s">
        <v>14</v>
      </c>
      <c r="D6" s="15">
        <f>BJ30</f>
        <v>19.233336726643682</v>
      </c>
      <c r="E6" s="22">
        <f>BJ36</f>
        <v>1177.891992750443</v>
      </c>
      <c r="F6" s="27"/>
      <c r="G6" s="27"/>
      <c r="H6" s="27"/>
      <c r="I6" s="7"/>
      <c r="J6" s="27"/>
      <c r="K6" s="27"/>
      <c r="L6" s="27"/>
      <c r="M6" s="27"/>
      <c r="N6" s="27"/>
      <c r="O6" s="27"/>
      <c r="P6" s="27"/>
      <c r="Q6" s="27"/>
      <c r="R6" s="27"/>
      <c r="T6" s="110" t="s">
        <v>21</v>
      </c>
      <c r="U6" s="119" t="s">
        <v>147</v>
      </c>
      <c r="V6" s="102">
        <f>V4-D12-I15-D13</f>
        <v>466288.52389969025</v>
      </c>
      <c r="W6" s="135">
        <f>D7-D4*G31</f>
        <v>1.8204406925380432</v>
      </c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5"/>
    </row>
    <row r="7" spans="1:66" ht="16.5" thickBot="1">
      <c r="A7" s="278"/>
      <c r="B7" s="180"/>
      <c r="C7" s="41" t="s">
        <v>15</v>
      </c>
      <c r="D7" s="20">
        <f>BJ24</f>
        <v>1.902512585622693</v>
      </c>
      <c r="E7" s="24">
        <f>BJ37</f>
        <v>1434.4606949650499</v>
      </c>
      <c r="F7" s="27"/>
      <c r="G7" s="27"/>
      <c r="H7" s="27"/>
      <c r="I7" s="7"/>
      <c r="J7" s="27"/>
      <c r="K7" s="27"/>
      <c r="L7" s="27"/>
      <c r="M7" s="27"/>
      <c r="N7" s="27"/>
      <c r="O7" s="27"/>
      <c r="P7" s="27"/>
      <c r="Q7" s="27"/>
      <c r="R7" s="27"/>
      <c r="T7" s="110" t="s">
        <v>22</v>
      </c>
      <c r="U7" s="119" t="s">
        <v>138</v>
      </c>
      <c r="V7" s="102">
        <f>V4-D12-D13-D14-I15-I16</f>
        <v>451834.89023291063</v>
      </c>
      <c r="W7" s="135">
        <f>D7-D4*G31</f>
        <v>1.8204406925380432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5"/>
    </row>
    <row r="8" spans="1:66" ht="16.5" thickBot="1">
      <c r="A8" s="278"/>
      <c r="B8" s="180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T8" s="110" t="s">
        <v>21</v>
      </c>
      <c r="U8" s="119" t="s">
        <v>148</v>
      </c>
      <c r="V8" s="102">
        <f>V5-I12</f>
        <v>462734.63860974647</v>
      </c>
      <c r="W8" s="135">
        <f>D7-D4*G31-D5*G32</f>
        <v>1.562227775621633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5"/>
    </row>
    <row r="9" spans="1:66" ht="21">
      <c r="A9" s="278"/>
      <c r="B9" s="180"/>
      <c r="C9" s="264" t="s">
        <v>20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6"/>
      <c r="R9" s="27"/>
      <c r="T9" s="110" t="s">
        <v>22</v>
      </c>
      <c r="U9" s="119" t="s">
        <v>149</v>
      </c>
      <c r="V9" s="102">
        <f>V6-I13</f>
        <v>452093.40538372821</v>
      </c>
      <c r="W9" s="135">
        <f>D7-D4*G31-D5*G32</f>
        <v>1.562227775621633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5"/>
    </row>
    <row r="10" spans="1:66" ht="15.75">
      <c r="A10" s="278"/>
      <c r="B10" s="180"/>
      <c r="C10" s="267"/>
      <c r="D10" s="268" t="s">
        <v>22</v>
      </c>
      <c r="E10" s="269"/>
      <c r="F10" s="269"/>
      <c r="G10" s="270"/>
      <c r="H10" s="271"/>
      <c r="I10" s="273" t="s">
        <v>21</v>
      </c>
      <c r="J10" s="274"/>
      <c r="K10" s="274"/>
      <c r="L10" s="275"/>
      <c r="M10" s="271"/>
      <c r="N10" s="273" t="s">
        <v>35</v>
      </c>
      <c r="O10" s="274"/>
      <c r="P10" s="274"/>
      <c r="Q10" s="276"/>
      <c r="R10" s="27"/>
      <c r="T10" s="110" t="s">
        <v>21</v>
      </c>
      <c r="U10" s="125" t="s">
        <v>140</v>
      </c>
      <c r="V10" s="102">
        <f>V7-I14</f>
        <v>442465.51499991061</v>
      </c>
      <c r="W10" s="135">
        <f>D4*G31/G34</f>
        <v>1.3131502893543954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5"/>
    </row>
    <row r="11" spans="1:66" ht="15.75">
      <c r="A11" s="278"/>
      <c r="B11" s="180"/>
      <c r="C11" s="242"/>
      <c r="D11" s="178" t="s">
        <v>36</v>
      </c>
      <c r="E11" s="178" t="s">
        <v>37</v>
      </c>
      <c r="F11" s="179" t="s">
        <v>33</v>
      </c>
      <c r="G11" s="178" t="s">
        <v>34</v>
      </c>
      <c r="H11" s="272"/>
      <c r="I11" s="178" t="s">
        <v>36</v>
      </c>
      <c r="J11" s="178" t="s">
        <v>37</v>
      </c>
      <c r="K11" s="179" t="s">
        <v>33</v>
      </c>
      <c r="L11" s="178" t="s">
        <v>34</v>
      </c>
      <c r="M11" s="272"/>
      <c r="N11" s="178" t="s">
        <v>36</v>
      </c>
      <c r="O11" s="178" t="s">
        <v>37</v>
      </c>
      <c r="P11" s="179" t="s">
        <v>33</v>
      </c>
      <c r="Q11" s="11" t="s">
        <v>34</v>
      </c>
      <c r="R11" s="27"/>
      <c r="T11" s="110"/>
      <c r="U11" s="125" t="s">
        <v>141</v>
      </c>
      <c r="V11" s="102">
        <f>-I17 +V8-D15</f>
        <v>198981.69758141175</v>
      </c>
      <c r="W11" s="135">
        <f t="shared" ref="W11:W12" si="0">D5*G32/G35</f>
        <v>1.0328516676656412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5"/>
    </row>
    <row r="12" spans="1:66" ht="15.75">
      <c r="A12" s="278"/>
      <c r="B12" s="180"/>
      <c r="C12" s="176" t="s">
        <v>129</v>
      </c>
      <c r="D12" s="13">
        <f>F12*891*9.81</f>
        <v>5517.2864983058098</v>
      </c>
      <c r="E12" s="13">
        <f t="shared" ref="E12:E17" si="1">D12/6895</f>
        <v>0.80018658423579547</v>
      </c>
      <c r="F12" s="13">
        <f>C36*D7/C33</f>
        <v>0.63121720069717557</v>
      </c>
      <c r="G12" s="13">
        <f t="shared" ref="G12:G17" si="2">F12*0.891/13.6*1000</f>
        <v>41.354009251557606</v>
      </c>
      <c r="H12" s="178" t="s">
        <v>30</v>
      </c>
      <c r="I12" s="13">
        <f t="shared" ref="I12:I19" si="3">K12*891*9.81</f>
        <v>22089.587237626711</v>
      </c>
      <c r="J12" s="13">
        <f t="shared" ref="J12:J19" si="4">I12/6895</f>
        <v>3.203710984427369</v>
      </c>
      <c r="K12" s="13">
        <f>D7^2*(G46/D7+I46)/C$33</f>
        <v>2.5272074279579932</v>
      </c>
      <c r="L12" s="13">
        <f t="shared" ref="L12:L19" si="5">K12*0.891/13.6*1000</f>
        <v>165.5692513463656</v>
      </c>
      <c r="M12" s="178" t="s">
        <v>38</v>
      </c>
      <c r="N12" s="13">
        <f>P12*891*9.81</f>
        <v>291359.81476426724</v>
      </c>
      <c r="O12" s="13">
        <f>N12/6895</f>
        <v>42.256680894019901</v>
      </c>
      <c r="P12" s="15">
        <f>K17+F15+F12+K12</f>
        <v>33.333655362581212</v>
      </c>
      <c r="Q12" s="14">
        <f>P12*0.891/13.6*1000</f>
        <v>2183.8446270632248</v>
      </c>
      <c r="R12" s="27"/>
      <c r="T12" s="110"/>
      <c r="U12" s="125" t="s">
        <v>139</v>
      </c>
      <c r="V12" s="102">
        <f>-I18 +V9-D16</f>
        <v>218390.46190718358</v>
      </c>
      <c r="W12" s="135">
        <f t="shared" si="0"/>
        <v>2.7772938233273474</v>
      </c>
      <c r="X12" s="27"/>
      <c r="Y12" s="27"/>
      <c r="Z12" s="27"/>
      <c r="AA12" s="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5"/>
    </row>
    <row r="13" spans="1:66" ht="15.75">
      <c r="A13" s="278"/>
      <c r="B13" s="180"/>
      <c r="C13" s="176" t="s">
        <v>130</v>
      </c>
      <c r="D13" s="13">
        <f t="shared" ref="D13:D17" si="6">F13*891*9.81</f>
        <v>5279.2780083603257</v>
      </c>
      <c r="E13" s="13">
        <f t="shared" si="1"/>
        <v>0.76566758641919153</v>
      </c>
      <c r="F13" s="13">
        <f>C37*(D7-G31*D4)/C33</f>
        <v>0.60398732006442557</v>
      </c>
      <c r="G13" s="13">
        <f t="shared" si="2"/>
        <v>39.57005163069141</v>
      </c>
      <c r="H13" s="178" t="s">
        <v>31</v>
      </c>
      <c r="I13" s="13">
        <f t="shared" si="3"/>
        <v>14195.118515962031</v>
      </c>
      <c r="J13" s="13">
        <f t="shared" si="4"/>
        <v>2.0587554047805701</v>
      </c>
      <c r="K13" s="15">
        <f>(G47/(D7-G31*D4)+I47)*(D7-G31*D4)^2/C33</f>
        <v>1.6240235079257899</v>
      </c>
      <c r="L13" s="13">
        <f t="shared" si="5"/>
        <v>106.3974224677852</v>
      </c>
      <c r="M13" s="178" t="s">
        <v>39</v>
      </c>
      <c r="N13" s="13">
        <f>P13*891*9.81</f>
        <v>271951.05043849547</v>
      </c>
      <c r="O13" s="13">
        <f>N13/6895</f>
        <v>39.441776713342342</v>
      </c>
      <c r="P13" s="15">
        <f>K18+K15+K13+F16+F13+F12</f>
        <v>31.113153329477292</v>
      </c>
      <c r="Q13" s="14">
        <f>P13*0.891/13.6*1000</f>
        <v>2038.3690894532549</v>
      </c>
      <c r="R13" s="27"/>
      <c r="T13" s="110" t="s">
        <v>22</v>
      </c>
      <c r="U13" s="125" t="s">
        <v>134</v>
      </c>
      <c r="V13" s="102">
        <f>-I19 +V10-D17</f>
        <v>235914.21063567817</v>
      </c>
      <c r="W13" s="135">
        <f>D4*G31/G34</f>
        <v>1.3131502893543954</v>
      </c>
      <c r="X13" s="27"/>
      <c r="Y13" s="27"/>
      <c r="Z13" s="27"/>
      <c r="AA13" s="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5"/>
    </row>
    <row r="14" spans="1:66" ht="15.75">
      <c r="A14" s="278"/>
      <c r="B14" s="180"/>
      <c r="C14" s="176" t="s">
        <v>131</v>
      </c>
      <c r="D14" s="13">
        <f t="shared" si="6"/>
        <v>4530.4605493027366</v>
      </c>
      <c r="E14" s="13">
        <f t="shared" si="1"/>
        <v>0.65706461918821413</v>
      </c>
      <c r="F14" s="13">
        <f>C38*(D7-D4*G31-D5*G32)/C33</f>
        <v>0.51831722472233221</v>
      </c>
      <c r="G14" s="13">
        <f t="shared" si="2"/>
        <v>33.957400531441031</v>
      </c>
      <c r="H14" s="178" t="s">
        <v>32</v>
      </c>
      <c r="I14" s="13">
        <f t="shared" si="3"/>
        <v>9369.3752330000025</v>
      </c>
      <c r="J14" s="13">
        <f t="shared" si="4"/>
        <v>1.3588651534445253</v>
      </c>
      <c r="K14" s="15">
        <f>(G48/(D7-D4*G31-D5*G32)+I48)*(D7-D4*G31-D5*G32)^2/C$33</f>
        <v>1.071923817744783</v>
      </c>
      <c r="L14" s="13">
        <f t="shared" si="5"/>
        <v>70.226773647838357</v>
      </c>
      <c r="M14" s="178" t="s">
        <v>40</v>
      </c>
      <c r="N14" s="13">
        <f>P14*891*9.81</f>
        <v>254427.30171000081</v>
      </c>
      <c r="O14" s="13">
        <f>N14/6895</f>
        <v>36.900261306744135</v>
      </c>
      <c r="P14" s="15">
        <f>K19+K16+K14+F17+F14+F13+F12+K15</f>
        <v>29.108310618931505</v>
      </c>
      <c r="Q14" s="14">
        <f>P14*0.891/13.6*1000</f>
        <v>1907.0224089314684</v>
      </c>
      <c r="R14" s="27"/>
      <c r="T14" s="110"/>
      <c r="U14" s="125" t="s">
        <v>135</v>
      </c>
      <c r="V14" s="102">
        <f>V5-I15</f>
        <v>471567.80190805055</v>
      </c>
      <c r="W14" s="135">
        <f t="shared" ref="W14:W15" si="7">D5*G32/G35</f>
        <v>1.0328516676656412</v>
      </c>
      <c r="X14" s="27"/>
      <c r="Y14" s="27"/>
      <c r="Z14" s="27"/>
      <c r="AA14" s="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5"/>
    </row>
    <row r="15" spans="1:66" ht="15.75">
      <c r="A15" s="278"/>
      <c r="B15" s="180"/>
      <c r="C15" s="17" t="s">
        <v>26</v>
      </c>
      <c r="D15" s="13">
        <f t="shared" si="6"/>
        <v>9574.1199752827433</v>
      </c>
      <c r="E15" s="13">
        <f t="shared" si="1"/>
        <v>1.3885598223760325</v>
      </c>
      <c r="F15" s="15">
        <f>C39*BJ25/C$33</f>
        <v>1.0953480867438392</v>
      </c>
      <c r="G15" s="13">
        <f t="shared" si="2"/>
        <v>71.761407741820648</v>
      </c>
      <c r="H15" s="178" t="s">
        <v>132</v>
      </c>
      <c r="I15" s="13">
        <f t="shared" si="3"/>
        <v>13256.42393932264</v>
      </c>
      <c r="J15" s="13">
        <f t="shared" si="4"/>
        <v>1.92261405936514</v>
      </c>
      <c r="K15" s="13">
        <f>(G52/(D7-G31*D4)+I52)*(D7-G31*D4)^2/C$33</f>
        <v>1.5166301066300838</v>
      </c>
      <c r="L15" s="13">
        <f t="shared" si="5"/>
        <v>99.361575368191524</v>
      </c>
      <c r="M15" s="297"/>
      <c r="N15" s="298"/>
      <c r="O15" s="298"/>
      <c r="P15" s="298"/>
      <c r="Q15" s="299"/>
      <c r="R15" s="27"/>
      <c r="T15" s="110"/>
      <c r="U15" s="125" t="s">
        <v>136</v>
      </c>
      <c r="V15" s="102">
        <f>V6-I16</f>
        <v>456365.35078221338</v>
      </c>
      <c r="W15" s="135">
        <f t="shared" si="7"/>
        <v>2.7772938233273474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5"/>
    </row>
    <row r="16" spans="1:66" ht="15.75">
      <c r="A16" s="278"/>
      <c r="B16" s="180"/>
      <c r="C16" s="17" t="s">
        <v>27</v>
      </c>
      <c r="D16" s="13">
        <f t="shared" si="6"/>
        <v>3789.5265763833472</v>
      </c>
      <c r="E16" s="13">
        <f t="shared" si="1"/>
        <v>0.54960501470389367</v>
      </c>
      <c r="F16" s="15">
        <f>C40*BJ26/C$33</f>
        <v>0.43354905681384542</v>
      </c>
      <c r="G16" s="13">
        <f t="shared" si="2"/>
        <v>28.403838942730605</v>
      </c>
      <c r="H16" s="178" t="s">
        <v>133</v>
      </c>
      <c r="I16" s="13">
        <f t="shared" si="3"/>
        <v>9923.1731174768684</v>
      </c>
      <c r="J16" s="13">
        <f t="shared" si="4"/>
        <v>1.4391839184157895</v>
      </c>
      <c r="K16" s="13">
        <f>(G53/(D7-D4*G31-D5*G32)+I53)*(D7-D4*G31-D5*G32)^2/C$33</f>
        <v>1.1352822731193311</v>
      </c>
      <c r="L16" s="13">
        <f t="shared" si="5"/>
        <v>74.37768421686205</v>
      </c>
      <c r="M16" s="300"/>
      <c r="N16" s="237"/>
      <c r="O16" s="237"/>
      <c r="P16" s="237"/>
      <c r="Q16" s="301"/>
      <c r="R16" s="27"/>
      <c r="T16" s="110" t="s">
        <v>21</v>
      </c>
      <c r="U16" s="125" t="s">
        <v>150</v>
      </c>
      <c r="V16" s="15">
        <v>101325</v>
      </c>
      <c r="W16" s="136">
        <f>D4</f>
        <v>16.396137913501175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5"/>
    </row>
    <row r="17" spans="1:116" ht="15.75" customHeight="1">
      <c r="A17" s="278"/>
      <c r="B17" s="180"/>
      <c r="C17" s="17" t="s">
        <v>28</v>
      </c>
      <c r="D17" s="13">
        <f t="shared" si="6"/>
        <v>2609.8638398867065</v>
      </c>
      <c r="E17" s="13">
        <f t="shared" si="1"/>
        <v>0.37851542275369204</v>
      </c>
      <c r="F17" s="15">
        <f>C41*BJ27/C$33</f>
        <v>0.29858716739105934</v>
      </c>
      <c r="G17" s="13">
        <f t="shared" si="2"/>
        <v>19.561850451870136</v>
      </c>
      <c r="H17" s="179" t="s">
        <v>12</v>
      </c>
      <c r="I17" s="13">
        <f>K17*891*9.81</f>
        <v>254178.82105305197</v>
      </c>
      <c r="J17" s="13">
        <f t="shared" si="4"/>
        <v>36.864223502980707</v>
      </c>
      <c r="K17" s="13">
        <f>(G49/D4+I49)*D4^2/C$33</f>
        <v>29.079882647182206</v>
      </c>
      <c r="L17" s="13">
        <f t="shared" si="5"/>
        <v>1905.1599587234814</v>
      </c>
      <c r="M17" s="300"/>
      <c r="N17" s="237"/>
      <c r="O17" s="237"/>
      <c r="P17" s="237"/>
      <c r="Q17" s="301"/>
      <c r="R17" s="27"/>
      <c r="T17" s="110"/>
      <c r="U17" s="125" t="s">
        <v>151</v>
      </c>
      <c r="V17" s="15">
        <v>101325</v>
      </c>
      <c r="W17" s="136">
        <f>D5</f>
        <v>17.931452563639603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5"/>
    </row>
    <row r="18" spans="1:116" ht="15.75" customHeight="1" thickBot="1">
      <c r="A18" s="278"/>
      <c r="B18" s="180"/>
      <c r="C18" s="305"/>
      <c r="D18" s="306"/>
      <c r="E18" s="306"/>
      <c r="F18" s="306"/>
      <c r="G18" s="286"/>
      <c r="H18" s="179" t="s">
        <v>13</v>
      </c>
      <c r="I18" s="13">
        <f t="shared" si="3"/>
        <v>229913.41690016128</v>
      </c>
      <c r="J18" s="13">
        <f t="shared" si="4"/>
        <v>33.344948063837748</v>
      </c>
      <c r="K18" s="13">
        <f t="shared" ref="K18:K19" si="8">(G50/D5+I50)*D5^2/C$33</f>
        <v>26.303746137345968</v>
      </c>
      <c r="L18" s="13">
        <f t="shared" si="5"/>
        <v>1723.2821917922984</v>
      </c>
      <c r="M18" s="300"/>
      <c r="N18" s="237"/>
      <c r="O18" s="237"/>
      <c r="P18" s="237"/>
      <c r="Q18" s="301"/>
      <c r="R18" s="27"/>
      <c r="T18" s="111"/>
      <c r="U18" s="137" t="s">
        <v>152</v>
      </c>
      <c r="V18" s="20">
        <v>101325</v>
      </c>
      <c r="W18" s="138">
        <f>D6</f>
        <v>19.233336726643682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5"/>
    </row>
    <row r="19" spans="1:116" ht="16.5" customHeight="1" thickBot="1">
      <c r="A19" s="278"/>
      <c r="B19" s="180"/>
      <c r="C19" s="307"/>
      <c r="D19" s="308"/>
      <c r="E19" s="308"/>
      <c r="F19" s="308"/>
      <c r="G19" s="309"/>
      <c r="H19" s="81" t="s">
        <v>14</v>
      </c>
      <c r="I19" s="19">
        <f t="shared" si="3"/>
        <v>203941.44052434573</v>
      </c>
      <c r="J19" s="19">
        <f t="shared" si="4"/>
        <v>29.578163962921789</v>
      </c>
      <c r="K19" s="13">
        <f t="shared" si="8"/>
        <v>23.332365508562315</v>
      </c>
      <c r="L19" s="19">
        <f t="shared" si="5"/>
        <v>1528.6130638330164</v>
      </c>
      <c r="M19" s="302"/>
      <c r="N19" s="303"/>
      <c r="O19" s="303"/>
      <c r="P19" s="303"/>
      <c r="Q19" s="30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5"/>
    </row>
    <row r="20" spans="1:116" ht="15.75" customHeight="1">
      <c r="A20" s="278"/>
      <c r="B20" s="18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5"/>
    </row>
    <row r="21" spans="1:116" ht="34.5" customHeight="1" thickBot="1">
      <c r="A21" s="278"/>
      <c r="B21" s="310" t="s">
        <v>99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1"/>
    </row>
    <row r="22" spans="1:116" ht="16.5" customHeight="1">
      <c r="A22" s="278"/>
      <c r="B22" s="207" t="s">
        <v>0</v>
      </c>
      <c r="C22" s="230"/>
      <c r="D22" s="27"/>
      <c r="E22" s="228" t="s">
        <v>62</v>
      </c>
      <c r="F22" s="229"/>
      <c r="G22" s="230"/>
      <c r="H22" s="180"/>
      <c r="I22" s="207" t="s">
        <v>68</v>
      </c>
      <c r="J22" s="208"/>
      <c r="K22" s="209"/>
      <c r="L22" s="180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</row>
    <row r="23" spans="1:116" ht="15.75" customHeight="1">
      <c r="A23" s="278"/>
      <c r="B23" s="17" t="s">
        <v>64</v>
      </c>
      <c r="C23" s="22">
        <v>5</v>
      </c>
      <c r="D23" s="27"/>
      <c r="E23" s="176" t="s">
        <v>43</v>
      </c>
      <c r="F23" s="15">
        <v>0.05</v>
      </c>
      <c r="G23" s="14" t="s">
        <v>61</v>
      </c>
      <c r="H23" s="27"/>
      <c r="I23" s="176" t="s">
        <v>49</v>
      </c>
      <c r="J23" s="15">
        <v>4.0000000000000001E-3</v>
      </c>
      <c r="K23" s="14" t="s">
        <v>61</v>
      </c>
      <c r="L23" s="27"/>
      <c r="M23" s="218" t="s">
        <v>88</v>
      </c>
      <c r="N23" s="13"/>
      <c r="O23" s="178" t="s">
        <v>16</v>
      </c>
      <c r="P23" s="179" t="s">
        <v>42</v>
      </c>
      <c r="Q23" s="43">
        <v>1</v>
      </c>
      <c r="R23" s="43">
        <v>2</v>
      </c>
      <c r="S23" s="43">
        <v>3</v>
      </c>
      <c r="T23" s="43">
        <v>4</v>
      </c>
      <c r="U23" s="43">
        <v>5</v>
      </c>
      <c r="V23" s="43">
        <v>6</v>
      </c>
      <c r="W23" s="43">
        <v>7</v>
      </c>
      <c r="X23" s="43">
        <v>8</v>
      </c>
      <c r="Y23" s="43">
        <v>9</v>
      </c>
      <c r="Z23" s="43">
        <v>10</v>
      </c>
      <c r="AA23" s="43">
        <v>11</v>
      </c>
      <c r="AB23" s="43">
        <v>12</v>
      </c>
      <c r="AC23" s="43">
        <v>13</v>
      </c>
      <c r="AD23" s="43">
        <v>14</v>
      </c>
      <c r="AE23" s="43">
        <v>15</v>
      </c>
      <c r="AF23" s="43">
        <v>16</v>
      </c>
      <c r="AG23" s="43">
        <v>17</v>
      </c>
      <c r="AH23" s="43">
        <v>18</v>
      </c>
      <c r="AI23" s="43">
        <v>19</v>
      </c>
      <c r="AJ23" s="43">
        <v>20</v>
      </c>
      <c r="AK23" s="43">
        <v>21</v>
      </c>
      <c r="AL23" s="43">
        <v>22</v>
      </c>
      <c r="AM23" s="43">
        <v>23</v>
      </c>
      <c r="AN23" s="43">
        <v>24</v>
      </c>
      <c r="AO23" s="43">
        <v>25</v>
      </c>
      <c r="AP23" s="43">
        <v>26</v>
      </c>
      <c r="AQ23" s="43">
        <v>27</v>
      </c>
      <c r="AR23" s="43">
        <v>28</v>
      </c>
      <c r="AS23" s="43">
        <v>29</v>
      </c>
      <c r="AT23" s="43">
        <v>30</v>
      </c>
      <c r="AU23" s="43">
        <v>31</v>
      </c>
      <c r="AV23" s="43">
        <v>32</v>
      </c>
      <c r="AW23" s="43">
        <v>33</v>
      </c>
      <c r="AX23" s="43">
        <v>34</v>
      </c>
      <c r="AY23" s="43">
        <v>35</v>
      </c>
      <c r="AZ23" s="43">
        <v>36</v>
      </c>
      <c r="BA23" s="43">
        <v>37</v>
      </c>
      <c r="BB23" s="43">
        <v>38</v>
      </c>
      <c r="BC23" s="43">
        <v>39</v>
      </c>
      <c r="BD23" s="43">
        <v>40</v>
      </c>
      <c r="BE23" s="43">
        <v>41</v>
      </c>
      <c r="BF23" s="43">
        <v>42</v>
      </c>
      <c r="BG23" s="43">
        <v>43</v>
      </c>
      <c r="BH23" s="43">
        <v>44</v>
      </c>
      <c r="BI23" s="43">
        <v>45</v>
      </c>
      <c r="BJ23" s="43">
        <v>46</v>
      </c>
      <c r="BK23" s="43">
        <v>47</v>
      </c>
      <c r="BL23" s="43">
        <v>48</v>
      </c>
      <c r="BM23" s="43">
        <v>49</v>
      </c>
      <c r="BN23" s="43">
        <v>50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spans="1:116" ht="15.75" customHeight="1">
      <c r="A24" s="278"/>
      <c r="B24" s="17" t="s">
        <v>17</v>
      </c>
      <c r="C24" s="22">
        <f>(C23*(30.48/12)^2/0.4536)</f>
        <v>71.115520282186949</v>
      </c>
      <c r="D24" s="27"/>
      <c r="E24" s="176" t="s">
        <v>44</v>
      </c>
      <c r="F24" s="15">
        <v>0.05</v>
      </c>
      <c r="G24" s="14" t="s">
        <v>61</v>
      </c>
      <c r="H24" s="27"/>
      <c r="I24" s="176" t="s">
        <v>50</v>
      </c>
      <c r="J24" s="15">
        <v>2.8299999999999999E-4</v>
      </c>
      <c r="K24" s="14" t="s">
        <v>61</v>
      </c>
      <c r="L24" s="27"/>
      <c r="M24" s="218"/>
      <c r="N24" s="217" t="s">
        <v>1</v>
      </c>
      <c r="O24" s="178" t="s">
        <v>5</v>
      </c>
      <c r="P24" s="15">
        <v>1</v>
      </c>
      <c r="Q24" s="15">
        <f>Q28*$G$31+Q29*$G$32+Q30*$G$33</f>
        <v>1.9010915252108136</v>
      </c>
      <c r="R24" s="15">
        <f t="shared" ref="R24:BN24" si="9">R28*$G$31+R29*$G$32+R30*$G$33</f>
        <v>1.9025413724744009</v>
      </c>
      <c r="S24" s="15">
        <f t="shared" si="9"/>
        <v>1.9025116773805641</v>
      </c>
      <c r="T24" s="15">
        <f t="shared" si="9"/>
        <v>1.9025126148930798</v>
      </c>
      <c r="U24" s="15">
        <f t="shared" si="9"/>
        <v>1.9025125846793638</v>
      </c>
      <c r="V24" s="15">
        <f t="shared" si="9"/>
        <v>1.9025125856530949</v>
      </c>
      <c r="W24" s="15">
        <f t="shared" si="9"/>
        <v>1.9025125856217131</v>
      </c>
      <c r="X24" s="15">
        <f t="shared" si="9"/>
        <v>1.9025125856227243</v>
      </c>
      <c r="Y24" s="15">
        <f t="shared" si="9"/>
        <v>1.9025125856226919</v>
      </c>
      <c r="Z24" s="15">
        <f t="shared" si="9"/>
        <v>1.8998890693456092</v>
      </c>
      <c r="AA24" s="15">
        <f t="shared" si="9"/>
        <v>1.9002228013971967</v>
      </c>
      <c r="AB24" s="15">
        <f t="shared" si="9"/>
        <v>1.9001890149312954</v>
      </c>
      <c r="AC24" s="15">
        <f t="shared" si="9"/>
        <v>1.9001922296414877</v>
      </c>
      <c r="AD24" s="15">
        <f t="shared" si="9"/>
        <v>1.9001919302185295</v>
      </c>
      <c r="AE24" s="15">
        <f t="shared" si="9"/>
        <v>1.9001919578950517</v>
      </c>
      <c r="AF24" s="15">
        <f t="shared" si="9"/>
        <v>1.9001919553440056</v>
      </c>
      <c r="AG24" s="15">
        <f t="shared" si="9"/>
        <v>1.9001919555789002</v>
      </c>
      <c r="AH24" s="15">
        <f t="shared" si="9"/>
        <v>1.9025875720034144</v>
      </c>
      <c r="AI24" s="15">
        <f t="shared" si="9"/>
        <v>1.9025101683635142</v>
      </c>
      <c r="AJ24" s="15">
        <f t="shared" si="9"/>
        <v>1.9025126635267129</v>
      </c>
      <c r="AK24" s="15">
        <f t="shared" si="9"/>
        <v>1.9025125831119813</v>
      </c>
      <c r="AL24" s="15">
        <f t="shared" si="9"/>
        <v>1.9025125857036087</v>
      </c>
      <c r="AM24" s="15">
        <f t="shared" si="9"/>
        <v>1.9025125856200853</v>
      </c>
      <c r="AN24" s="15">
        <f t="shared" si="9"/>
        <v>1.9025125856227769</v>
      </c>
      <c r="AO24" s="15">
        <f t="shared" si="9"/>
        <v>1.9025125856226905</v>
      </c>
      <c r="AP24" s="15">
        <f t="shared" si="9"/>
        <v>1.902512585622693</v>
      </c>
      <c r="AQ24" s="15">
        <f t="shared" si="9"/>
        <v>1.902512585622693</v>
      </c>
      <c r="AR24" s="15">
        <f t="shared" si="9"/>
        <v>1.902512585622693</v>
      </c>
      <c r="AS24" s="15">
        <f t="shared" si="9"/>
        <v>1.902512585622693</v>
      </c>
      <c r="AT24" s="15">
        <f t="shared" si="9"/>
        <v>1.902512585622693</v>
      </c>
      <c r="AU24" s="15">
        <f t="shared" si="9"/>
        <v>1.902512585622693</v>
      </c>
      <c r="AV24" s="15">
        <f t="shared" si="9"/>
        <v>1.902512585622693</v>
      </c>
      <c r="AW24" s="15">
        <f t="shared" si="9"/>
        <v>1.902512585622693</v>
      </c>
      <c r="AX24" s="15">
        <f t="shared" si="9"/>
        <v>1.902512585622693</v>
      </c>
      <c r="AY24" s="15">
        <f t="shared" si="9"/>
        <v>1.902512585622693</v>
      </c>
      <c r="AZ24" s="15">
        <f t="shared" si="9"/>
        <v>1.902512585622693</v>
      </c>
      <c r="BA24" s="15">
        <f t="shared" si="9"/>
        <v>1.902512585622693</v>
      </c>
      <c r="BB24" s="15">
        <f t="shared" si="9"/>
        <v>1.902512585622693</v>
      </c>
      <c r="BC24" s="15">
        <f t="shared" si="9"/>
        <v>1.902512585622693</v>
      </c>
      <c r="BD24" s="15">
        <f t="shared" si="9"/>
        <v>1.902512585622693</v>
      </c>
      <c r="BE24" s="15">
        <f t="shared" si="9"/>
        <v>1.902512585622693</v>
      </c>
      <c r="BF24" s="15">
        <f t="shared" si="9"/>
        <v>1.902512585622693</v>
      </c>
      <c r="BG24" s="15">
        <f t="shared" si="9"/>
        <v>1.902512585622693</v>
      </c>
      <c r="BH24" s="15">
        <f t="shared" si="9"/>
        <v>1.902512585622693</v>
      </c>
      <c r="BI24" s="15">
        <f t="shared" si="9"/>
        <v>1.902512585622693</v>
      </c>
      <c r="BJ24" s="15">
        <f t="shared" si="9"/>
        <v>1.902512585622693</v>
      </c>
      <c r="BK24" s="15">
        <f t="shared" si="9"/>
        <v>1.902512585622693</v>
      </c>
      <c r="BL24" s="15">
        <f t="shared" si="9"/>
        <v>1.902512585622693</v>
      </c>
      <c r="BM24" s="15">
        <f t="shared" si="9"/>
        <v>1.902512585622693</v>
      </c>
      <c r="BN24" s="15">
        <f t="shared" si="9"/>
        <v>1.902512585622693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ht="15.75" customHeight="1">
      <c r="A25" s="278"/>
      <c r="B25" s="17" t="s">
        <v>65</v>
      </c>
      <c r="C25" s="22">
        <f>(C23*(30.48/12)^2/0.4536)*6895</f>
        <v>490341.51234567899</v>
      </c>
      <c r="D25" s="27"/>
      <c r="E25" s="176" t="s">
        <v>45</v>
      </c>
      <c r="F25" s="15">
        <v>0.05</v>
      </c>
      <c r="G25" s="14" t="s">
        <v>61</v>
      </c>
      <c r="H25" s="27"/>
      <c r="I25" s="176" t="s">
        <v>51</v>
      </c>
      <c r="J25" s="15">
        <v>4.8000000000000001E-4</v>
      </c>
      <c r="K25" s="14" t="s">
        <v>61</v>
      </c>
      <c r="L25" s="27"/>
      <c r="M25" s="218"/>
      <c r="N25" s="217"/>
      <c r="O25" s="178" t="s">
        <v>6</v>
      </c>
      <c r="P25" s="15">
        <v>1</v>
      </c>
      <c r="Q25" s="15">
        <f>((-$G46)+($G46^2+4*Q$24^2*(1+$I46))^0.5)/(2*(1+$I46))</f>
        <v>0.2060514066258945</v>
      </c>
      <c r="R25" s="15">
        <f t="shared" ref="R25:BN25" si="10">((-$G46)+($G46^2+4*R$24^2*(1+$I46))^0.5)/(2*(1+$I46))</f>
        <v>0.20634461589620695</v>
      </c>
      <c r="S25" s="15">
        <f t="shared" si="10"/>
        <v>0.20633860884247365</v>
      </c>
      <c r="T25" s="15">
        <f t="shared" si="10"/>
        <v>0.20633879849185577</v>
      </c>
      <c r="U25" s="15">
        <f t="shared" si="10"/>
        <v>0.20633879237992267</v>
      </c>
      <c r="V25" s="15">
        <f t="shared" si="10"/>
        <v>0.20633879257689883</v>
      </c>
      <c r="W25" s="15">
        <f t="shared" si="10"/>
        <v>0.20633879257055046</v>
      </c>
      <c r="X25" s="15">
        <f t="shared" si="10"/>
        <v>0.20633879257075513</v>
      </c>
      <c r="Y25" s="15">
        <f t="shared" si="10"/>
        <v>0.2063387925707485</v>
      </c>
      <c r="Z25" s="15">
        <f t="shared" si="10"/>
        <v>0.20580835543966602</v>
      </c>
      <c r="AA25" s="15">
        <f t="shared" si="10"/>
        <v>0.20587580081412082</v>
      </c>
      <c r="AB25" s="15">
        <f t="shared" si="10"/>
        <v>0.20586897235532375</v>
      </c>
      <c r="AC25" s="15">
        <f t="shared" si="10"/>
        <v>0.20586962206470441</v>
      </c>
      <c r="AD25" s="15">
        <f t="shared" si="10"/>
        <v>0.20586956154975744</v>
      </c>
      <c r="AE25" s="15">
        <f t="shared" si="10"/>
        <v>0.20586956714332708</v>
      </c>
      <c r="AF25" s="15">
        <f t="shared" si="10"/>
        <v>0.20586956662774736</v>
      </c>
      <c r="AG25" s="15">
        <f t="shared" si="10"/>
        <v>0.20586956667522077</v>
      </c>
      <c r="AH25" s="15">
        <f t="shared" si="10"/>
        <v>0.20635396179011742</v>
      </c>
      <c r="AI25" s="15">
        <f t="shared" si="10"/>
        <v>0.20633830358360122</v>
      </c>
      <c r="AJ25" s="15">
        <f t="shared" si="10"/>
        <v>0.20633880832995388</v>
      </c>
      <c r="AK25" s="15">
        <f t="shared" si="10"/>
        <v>0.20633879206285699</v>
      </c>
      <c r="AL25" s="15">
        <f t="shared" si="10"/>
        <v>0.20633879258711726</v>
      </c>
      <c r="AM25" s="15">
        <f t="shared" si="10"/>
        <v>0.20633879257022122</v>
      </c>
      <c r="AN25" s="15">
        <f t="shared" si="10"/>
        <v>0.20633879257076584</v>
      </c>
      <c r="AO25" s="15">
        <f t="shared" si="10"/>
        <v>0.20633879257074819</v>
      </c>
      <c r="AP25" s="15">
        <f t="shared" si="10"/>
        <v>0.20633879257074877</v>
      </c>
      <c r="AQ25" s="15">
        <f t="shared" si="10"/>
        <v>0.20633879257074877</v>
      </c>
      <c r="AR25" s="15">
        <f t="shared" si="10"/>
        <v>0.20633879257074877</v>
      </c>
      <c r="AS25" s="15">
        <f t="shared" si="10"/>
        <v>0.20633879257074877</v>
      </c>
      <c r="AT25" s="15">
        <f t="shared" si="10"/>
        <v>0.20633879257074877</v>
      </c>
      <c r="AU25" s="15">
        <f t="shared" si="10"/>
        <v>0.20633879257074877</v>
      </c>
      <c r="AV25" s="15">
        <f t="shared" si="10"/>
        <v>0.20633879257074877</v>
      </c>
      <c r="AW25" s="15">
        <f t="shared" si="10"/>
        <v>0.20633879257074877</v>
      </c>
      <c r="AX25" s="15">
        <f t="shared" si="10"/>
        <v>0.20633879257074877</v>
      </c>
      <c r="AY25" s="15">
        <f t="shared" si="10"/>
        <v>0.20633879257074877</v>
      </c>
      <c r="AZ25" s="15">
        <f t="shared" si="10"/>
        <v>0.20633879257074877</v>
      </c>
      <c r="BA25" s="15">
        <f t="shared" si="10"/>
        <v>0.20633879257074877</v>
      </c>
      <c r="BB25" s="15">
        <f t="shared" si="10"/>
        <v>0.20633879257074877</v>
      </c>
      <c r="BC25" s="15">
        <f t="shared" si="10"/>
        <v>0.20633879257074877</v>
      </c>
      <c r="BD25" s="15">
        <f t="shared" si="10"/>
        <v>0.20633879257074877</v>
      </c>
      <c r="BE25" s="15">
        <f t="shared" si="10"/>
        <v>0.20633879257074877</v>
      </c>
      <c r="BF25" s="15">
        <f t="shared" si="10"/>
        <v>0.20633879257074877</v>
      </c>
      <c r="BG25" s="15">
        <f t="shared" si="10"/>
        <v>0.20633879257074877</v>
      </c>
      <c r="BH25" s="15">
        <f t="shared" si="10"/>
        <v>0.20633879257074877</v>
      </c>
      <c r="BI25" s="15">
        <f t="shared" si="10"/>
        <v>0.20633879257074877</v>
      </c>
      <c r="BJ25" s="15">
        <f t="shared" si="10"/>
        <v>0.20633879257074877</v>
      </c>
      <c r="BK25" s="15">
        <f t="shared" si="10"/>
        <v>0.20633879257074877</v>
      </c>
      <c r="BL25" s="15">
        <f t="shared" si="10"/>
        <v>0.20633879257074877</v>
      </c>
      <c r="BM25" s="15">
        <f t="shared" si="10"/>
        <v>0.20633879257074877</v>
      </c>
      <c r="BN25" s="15">
        <f t="shared" si="10"/>
        <v>0.20633879257074877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</row>
    <row r="26" spans="1:116" ht="15.75" customHeight="1">
      <c r="A26" s="278"/>
      <c r="B26" s="17" t="s">
        <v>66</v>
      </c>
      <c r="C26" s="22">
        <f>101325</f>
        <v>101325</v>
      </c>
      <c r="D26" s="27"/>
      <c r="E26" s="176" t="s">
        <v>46</v>
      </c>
      <c r="F26" s="15">
        <v>0.05</v>
      </c>
      <c r="G26" s="14" t="s">
        <v>61</v>
      </c>
      <c r="H26" s="27"/>
      <c r="I26" s="176" t="s">
        <v>52</v>
      </c>
      <c r="J26" s="15">
        <v>1.14E-3</v>
      </c>
      <c r="K26" s="14" t="s">
        <v>61</v>
      </c>
      <c r="L26" s="27"/>
      <c r="M26" s="218"/>
      <c r="N26" s="217"/>
      <c r="O26" s="179" t="s">
        <v>7</v>
      </c>
      <c r="P26" s="15">
        <v>1</v>
      </c>
      <c r="Q26" s="15">
        <f>((-$G47)+($G47^2+4*(Q$24-Q28*$G31)^2*(1+$I47))^0.5)/(2*(1+$I47))</f>
        <v>0.32764245992230218</v>
      </c>
      <c r="R26" s="15">
        <f t="shared" ref="R26:BN26" si="11">((-$G47)+($G47^2+4*(R$24-R28*$G31)^2*(1+$I47))^0.5)/(2*(1+$I47))</f>
        <v>0.32669125299279533</v>
      </c>
      <c r="S26" s="15">
        <f t="shared" si="11"/>
        <v>0.3266830675611318</v>
      </c>
      <c r="T26" s="15">
        <f t="shared" si="11"/>
        <v>0.32668333387420845</v>
      </c>
      <c r="U26" s="15">
        <f t="shared" si="11"/>
        <v>0.32668332528202421</v>
      </c>
      <c r="V26" s="15">
        <f t="shared" si="11"/>
        <v>0.32668332555893426</v>
      </c>
      <c r="W26" s="15">
        <f t="shared" si="11"/>
        <v>0.32668332555000995</v>
      </c>
      <c r="X26" s="15">
        <f t="shared" si="11"/>
        <v>0.32668332555029744</v>
      </c>
      <c r="Y26" s="15">
        <f t="shared" si="11"/>
        <v>0.32668332555028834</v>
      </c>
      <c r="Z26" s="15">
        <f t="shared" si="11"/>
        <v>0.3258975346658618</v>
      </c>
      <c r="AA26" s="15">
        <f t="shared" si="11"/>
        <v>0.32599617841318335</v>
      </c>
      <c r="AB26" s="15">
        <f t="shared" si="11"/>
        <v>0.32598622488238965</v>
      </c>
      <c r="AC26" s="15">
        <f t="shared" si="11"/>
        <v>0.32598717093871082</v>
      </c>
      <c r="AD26" s="15">
        <f t="shared" si="11"/>
        <v>0.32598708285479822</v>
      </c>
      <c r="AE26" s="15">
        <f t="shared" si="11"/>
        <v>0.32598709099552925</v>
      </c>
      <c r="AF26" s="15">
        <f t="shared" si="11"/>
        <v>0.32598709024520656</v>
      </c>
      <c r="AG26" s="15">
        <f t="shared" si="11"/>
        <v>0.32598709031429324</v>
      </c>
      <c r="AH26" s="15">
        <f t="shared" si="11"/>
        <v>0.32670465381679598</v>
      </c>
      <c r="AI26" s="15">
        <f t="shared" si="11"/>
        <v>0.32668263812048298</v>
      </c>
      <c r="AJ26" s="15">
        <f t="shared" si="11"/>
        <v>0.32668334770468055</v>
      </c>
      <c r="AK26" s="15">
        <f t="shared" si="11"/>
        <v>0.32668332483629087</v>
      </c>
      <c r="AL26" s="15">
        <f t="shared" si="11"/>
        <v>0.32668332557329932</v>
      </c>
      <c r="AM26" s="15">
        <f t="shared" si="11"/>
        <v>0.32668332554954699</v>
      </c>
      <c r="AN26" s="15">
        <f t="shared" si="11"/>
        <v>0.32668332555031232</v>
      </c>
      <c r="AO26" s="15">
        <f t="shared" si="11"/>
        <v>0.32668332555028773</v>
      </c>
      <c r="AP26" s="15">
        <f t="shared" si="11"/>
        <v>0.32668332555028851</v>
      </c>
      <c r="AQ26" s="15">
        <f t="shared" si="11"/>
        <v>0.32668332555028851</v>
      </c>
      <c r="AR26" s="15">
        <f t="shared" si="11"/>
        <v>0.32668332555028851</v>
      </c>
      <c r="AS26" s="15">
        <f t="shared" si="11"/>
        <v>0.32668332555028851</v>
      </c>
      <c r="AT26" s="15">
        <f t="shared" si="11"/>
        <v>0.32668332555028851</v>
      </c>
      <c r="AU26" s="15">
        <f t="shared" si="11"/>
        <v>0.32668332555028851</v>
      </c>
      <c r="AV26" s="15">
        <f t="shared" si="11"/>
        <v>0.32668332555028851</v>
      </c>
      <c r="AW26" s="15">
        <f t="shared" si="11"/>
        <v>0.32668332555028851</v>
      </c>
      <c r="AX26" s="15">
        <f t="shared" si="11"/>
        <v>0.32668332555028851</v>
      </c>
      <c r="AY26" s="15">
        <f t="shared" si="11"/>
        <v>0.32668332555028851</v>
      </c>
      <c r="AZ26" s="15">
        <f t="shared" si="11"/>
        <v>0.32668332555028851</v>
      </c>
      <c r="BA26" s="15">
        <f t="shared" si="11"/>
        <v>0.32668332555028851</v>
      </c>
      <c r="BB26" s="15">
        <f t="shared" si="11"/>
        <v>0.32668332555028851</v>
      </c>
      <c r="BC26" s="15">
        <f t="shared" si="11"/>
        <v>0.32668332555028851</v>
      </c>
      <c r="BD26" s="15">
        <f t="shared" si="11"/>
        <v>0.32668332555028851</v>
      </c>
      <c r="BE26" s="15">
        <f t="shared" si="11"/>
        <v>0.32668332555028851</v>
      </c>
      <c r="BF26" s="15">
        <f t="shared" si="11"/>
        <v>0.32668332555028851</v>
      </c>
      <c r="BG26" s="15">
        <f t="shared" si="11"/>
        <v>0.32668332555028851</v>
      </c>
      <c r="BH26" s="15">
        <f t="shared" si="11"/>
        <v>0.32668332555028851</v>
      </c>
      <c r="BI26" s="15">
        <f t="shared" si="11"/>
        <v>0.32668332555028851</v>
      </c>
      <c r="BJ26" s="15">
        <f t="shared" si="11"/>
        <v>0.32668332555028851</v>
      </c>
      <c r="BK26" s="15">
        <f t="shared" si="11"/>
        <v>0.32668332555028851</v>
      </c>
      <c r="BL26" s="15">
        <f t="shared" si="11"/>
        <v>0.32668332555028851</v>
      </c>
      <c r="BM26" s="15">
        <f t="shared" si="11"/>
        <v>0.32668332555028851</v>
      </c>
      <c r="BN26" s="15">
        <f t="shared" si="11"/>
        <v>0.32668332555028851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</row>
    <row r="27" spans="1:116" ht="15.75" customHeight="1">
      <c r="A27" s="278"/>
      <c r="B27" s="17" t="s">
        <v>67</v>
      </c>
      <c r="C27" s="22">
        <f>C25-C26</f>
        <v>389016.51234567899</v>
      </c>
      <c r="D27" s="27"/>
      <c r="E27" s="176" t="s">
        <v>47</v>
      </c>
      <c r="F27" s="15">
        <v>0.05</v>
      </c>
      <c r="G27" s="14" t="s">
        <v>61</v>
      </c>
      <c r="H27" s="27"/>
      <c r="I27" s="176" t="s">
        <v>53</v>
      </c>
      <c r="J27" s="15">
        <v>1E-3</v>
      </c>
      <c r="K27" s="14" t="s">
        <v>61</v>
      </c>
      <c r="L27" s="27"/>
      <c r="M27" s="218"/>
      <c r="N27" s="217"/>
      <c r="O27" s="179" t="s">
        <v>8</v>
      </c>
      <c r="P27" s="15">
        <v>1</v>
      </c>
      <c r="Q27" s="15">
        <f>((-$G48)+($G48^2+4*(Q$24-$G31*Q28+$G32*Q29)^2*(1+$I48))^0.5)/(2*(1+$I48))</f>
        <v>0.50672035610817356</v>
      </c>
      <c r="R27" s="15">
        <f t="shared" ref="R27:BN27" si="12">((-$G48)+($G48^2+4*(R$24-$G31*R28+$G32*R29)^2*(1+$I48))^0.5)/(2*(1+$I48))</f>
        <v>0.50623281583823232</v>
      </c>
      <c r="S27" s="15">
        <f t="shared" si="12"/>
        <v>0.50622324346012371</v>
      </c>
      <c r="T27" s="15">
        <f t="shared" si="12"/>
        <v>0.50622360078707629</v>
      </c>
      <c r="U27" s="15">
        <f t="shared" si="12"/>
        <v>0.50622358927371391</v>
      </c>
      <c r="V27" s="15">
        <f t="shared" si="12"/>
        <v>0.50622358964478276</v>
      </c>
      <c r="W27" s="15">
        <f t="shared" si="12"/>
        <v>0.50622358963282366</v>
      </c>
      <c r="X27" s="15">
        <f t="shared" si="12"/>
        <v>0.50622358963320913</v>
      </c>
      <c r="Y27" s="15">
        <f t="shared" si="12"/>
        <v>0.5062235896331968</v>
      </c>
      <c r="Z27" s="15">
        <f t="shared" si="12"/>
        <v>0.5052198318993284</v>
      </c>
      <c r="AA27" s="15">
        <f t="shared" si="12"/>
        <v>0.50534759428206255</v>
      </c>
      <c r="AB27" s="15">
        <f t="shared" si="12"/>
        <v>0.50533466533612503</v>
      </c>
      <c r="AC27" s="15">
        <f t="shared" si="12"/>
        <v>0.50533589528946232</v>
      </c>
      <c r="AD27" s="15">
        <f t="shared" si="12"/>
        <v>0.50533578073612606</v>
      </c>
      <c r="AE27" s="15">
        <f t="shared" si="12"/>
        <v>0.50533579132440132</v>
      </c>
      <c r="AF27" s="15">
        <f t="shared" si="12"/>
        <v>0.50533579034844889</v>
      </c>
      <c r="AG27" s="15">
        <f t="shared" si="12"/>
        <v>0.50533579043831212</v>
      </c>
      <c r="AH27" s="15">
        <f t="shared" si="12"/>
        <v>0.50625221858190672</v>
      </c>
      <c r="AI27" s="15">
        <f t="shared" si="12"/>
        <v>0.50622266847515385</v>
      </c>
      <c r="AJ27" s="15">
        <f t="shared" si="12"/>
        <v>0.50622361932080462</v>
      </c>
      <c r="AK27" s="15">
        <f t="shared" si="12"/>
        <v>0.50622358867641748</v>
      </c>
      <c r="AL27" s="15">
        <f t="shared" si="12"/>
        <v>0.50622358966403258</v>
      </c>
      <c r="AM27" s="15">
        <f t="shared" si="12"/>
        <v>0.50622358963220349</v>
      </c>
      <c r="AN27" s="15">
        <f t="shared" si="12"/>
        <v>0.50622358963322911</v>
      </c>
      <c r="AO27" s="15">
        <f t="shared" si="12"/>
        <v>0.50622358963319625</v>
      </c>
      <c r="AP27" s="15">
        <f t="shared" si="12"/>
        <v>0.50622358963319725</v>
      </c>
      <c r="AQ27" s="15">
        <f t="shared" si="12"/>
        <v>0.50622358963319725</v>
      </c>
      <c r="AR27" s="15">
        <f t="shared" si="12"/>
        <v>0.50622358963319725</v>
      </c>
      <c r="AS27" s="15">
        <f t="shared" si="12"/>
        <v>0.50622358963319725</v>
      </c>
      <c r="AT27" s="15">
        <f t="shared" si="12"/>
        <v>0.50622358963319725</v>
      </c>
      <c r="AU27" s="15">
        <f t="shared" si="12"/>
        <v>0.50622358963319725</v>
      </c>
      <c r="AV27" s="15">
        <f t="shared" si="12"/>
        <v>0.50622358963319725</v>
      </c>
      <c r="AW27" s="15">
        <f t="shared" si="12"/>
        <v>0.50622358963319725</v>
      </c>
      <c r="AX27" s="15">
        <f t="shared" si="12"/>
        <v>0.50622358963319725</v>
      </c>
      <c r="AY27" s="15">
        <f t="shared" si="12"/>
        <v>0.50622358963319725</v>
      </c>
      <c r="AZ27" s="15">
        <f t="shared" si="12"/>
        <v>0.50622358963319725</v>
      </c>
      <c r="BA27" s="15">
        <f t="shared" si="12"/>
        <v>0.50622358963319725</v>
      </c>
      <c r="BB27" s="15">
        <f t="shared" si="12"/>
        <v>0.50622358963319725</v>
      </c>
      <c r="BC27" s="15">
        <f t="shared" si="12"/>
        <v>0.50622358963319725</v>
      </c>
      <c r="BD27" s="15">
        <f t="shared" si="12"/>
        <v>0.50622358963319725</v>
      </c>
      <c r="BE27" s="15">
        <f t="shared" si="12"/>
        <v>0.50622358963319725</v>
      </c>
      <c r="BF27" s="15">
        <f t="shared" si="12"/>
        <v>0.50622358963319725</v>
      </c>
      <c r="BG27" s="15">
        <f t="shared" si="12"/>
        <v>0.50622358963319725</v>
      </c>
      <c r="BH27" s="15">
        <f t="shared" si="12"/>
        <v>0.50622358963319725</v>
      </c>
      <c r="BI27" s="15">
        <f t="shared" si="12"/>
        <v>0.50622358963319725</v>
      </c>
      <c r="BJ27" s="15">
        <f t="shared" si="12"/>
        <v>0.50622358963319725</v>
      </c>
      <c r="BK27" s="15">
        <f t="shared" si="12"/>
        <v>0.50622358963319725</v>
      </c>
      <c r="BL27" s="15">
        <f t="shared" si="12"/>
        <v>0.50622358963319725</v>
      </c>
      <c r="BM27" s="15">
        <f t="shared" si="12"/>
        <v>0.50622358963319725</v>
      </c>
      <c r="BN27" s="15">
        <f t="shared" si="12"/>
        <v>0.50622358963319725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</row>
    <row r="28" spans="1:116" ht="16.5" customHeight="1" thickBot="1">
      <c r="A28" s="278"/>
      <c r="B28" s="18" t="s">
        <v>81</v>
      </c>
      <c r="C28" s="24">
        <f>C27*2/C32</f>
        <v>873.21327125853873</v>
      </c>
      <c r="D28" s="27"/>
      <c r="E28" s="177" t="s">
        <v>48</v>
      </c>
      <c r="F28" s="20">
        <v>0.05</v>
      </c>
      <c r="G28" s="24" t="s">
        <v>61</v>
      </c>
      <c r="H28" s="7"/>
      <c r="I28" s="176" t="s">
        <v>54</v>
      </c>
      <c r="J28" s="15">
        <v>2E-3</v>
      </c>
      <c r="K28" s="14" t="s">
        <v>61</v>
      </c>
      <c r="L28" s="27"/>
      <c r="M28" s="218"/>
      <c r="N28" s="217"/>
      <c r="O28" s="179" t="s">
        <v>9</v>
      </c>
      <c r="P28" s="15">
        <v>1</v>
      </c>
      <c r="Q28" s="15">
        <f>(-$G49+($G49^2-4*($C36*P24+P25*$C39-P25^2-$C28)*(1+$I49))^0.5)/(2*(1+$I49))</f>
        <v>15.472960435632693</v>
      </c>
      <c r="R28" s="15">
        <f t="shared" ref="R28:BN28" si="13">(-$G49+($G49^2-4*($C36*Q24+Q25*$C39-Q25^2-$C28)*(1+$I49))^0.5)/(2*(1+$I49))</f>
        <v>16.396603032325025</v>
      </c>
      <c r="S28" s="15">
        <f t="shared" si="13"/>
        <v>16.396128489310012</v>
      </c>
      <c r="T28" s="15">
        <f t="shared" si="13"/>
        <v>16.396138210838576</v>
      </c>
      <c r="U28" s="15">
        <f t="shared" si="13"/>
        <v>16.396137903918728</v>
      </c>
      <c r="V28" s="15">
        <f t="shared" si="13"/>
        <v>16.396137913809998</v>
      </c>
      <c r="W28" s="15">
        <f t="shared" si="13"/>
        <v>16.39613791349122</v>
      </c>
      <c r="X28" s="15">
        <f t="shared" si="13"/>
        <v>16.396137913501494</v>
      </c>
      <c r="Y28" s="15">
        <f t="shared" si="13"/>
        <v>16.396137913501164</v>
      </c>
      <c r="Z28" s="15">
        <f t="shared" si="13"/>
        <v>16.396137913501175</v>
      </c>
      <c r="AA28" s="15">
        <f t="shared" si="13"/>
        <v>16.396996439338285</v>
      </c>
      <c r="AB28" s="15">
        <f t="shared" si="13"/>
        <v>16.396887267214655</v>
      </c>
      <c r="AC28" s="15">
        <f t="shared" si="13"/>
        <v>16.396898320134472</v>
      </c>
      <c r="AD28" s="15">
        <f t="shared" si="13"/>
        <v>16.396897268477758</v>
      </c>
      <c r="AE28" s="15">
        <f t="shared" si="13"/>
        <v>16.396897366430697</v>
      </c>
      <c r="AF28" s="15">
        <f t="shared" si="13"/>
        <v>16.396897357376623</v>
      </c>
      <c r="AG28" s="15">
        <f t="shared" si="13"/>
        <v>16.39689735821117</v>
      </c>
      <c r="AH28" s="15">
        <f t="shared" si="13"/>
        <v>16.396897358134328</v>
      </c>
      <c r="AI28" s="15">
        <f t="shared" si="13"/>
        <v>16.396113364408354</v>
      </c>
      <c r="AJ28" s="15">
        <f t="shared" si="13"/>
        <v>16.396138704855559</v>
      </c>
      <c r="AK28" s="15">
        <f t="shared" si="13"/>
        <v>16.396137887997199</v>
      </c>
      <c r="AL28" s="15">
        <f t="shared" si="13"/>
        <v>16.396137914323123</v>
      </c>
      <c r="AM28" s="15">
        <f t="shared" si="13"/>
        <v>16.396137913474682</v>
      </c>
      <c r="AN28" s="15">
        <f t="shared" si="13"/>
        <v>16.396137913502027</v>
      </c>
      <c r="AO28" s="15">
        <f t="shared" si="13"/>
        <v>16.396137913501146</v>
      </c>
      <c r="AP28" s="15">
        <f t="shared" si="13"/>
        <v>16.396137913501175</v>
      </c>
      <c r="AQ28" s="15">
        <f t="shared" si="13"/>
        <v>16.396137913501175</v>
      </c>
      <c r="AR28" s="15">
        <f t="shared" si="13"/>
        <v>16.396137913501175</v>
      </c>
      <c r="AS28" s="15">
        <f t="shared" si="13"/>
        <v>16.396137913501175</v>
      </c>
      <c r="AT28" s="15">
        <f t="shared" si="13"/>
        <v>16.396137913501175</v>
      </c>
      <c r="AU28" s="15">
        <f t="shared" si="13"/>
        <v>16.396137913501175</v>
      </c>
      <c r="AV28" s="15">
        <f t="shared" si="13"/>
        <v>16.396137913501175</v>
      </c>
      <c r="AW28" s="15">
        <f t="shared" si="13"/>
        <v>16.396137913501175</v>
      </c>
      <c r="AX28" s="15">
        <f t="shared" si="13"/>
        <v>16.396137913501175</v>
      </c>
      <c r="AY28" s="15">
        <f t="shared" si="13"/>
        <v>16.396137913501175</v>
      </c>
      <c r="AZ28" s="15">
        <f t="shared" si="13"/>
        <v>16.396137913501175</v>
      </c>
      <c r="BA28" s="15">
        <f t="shared" si="13"/>
        <v>16.396137913501175</v>
      </c>
      <c r="BB28" s="15">
        <f t="shared" si="13"/>
        <v>16.396137913501175</v>
      </c>
      <c r="BC28" s="15">
        <f t="shared" si="13"/>
        <v>16.396137913501175</v>
      </c>
      <c r="BD28" s="15">
        <f t="shared" si="13"/>
        <v>16.396137913501175</v>
      </c>
      <c r="BE28" s="15">
        <f t="shared" si="13"/>
        <v>16.396137913501175</v>
      </c>
      <c r="BF28" s="15">
        <f t="shared" si="13"/>
        <v>16.396137913501175</v>
      </c>
      <c r="BG28" s="15">
        <f t="shared" si="13"/>
        <v>16.396137913501175</v>
      </c>
      <c r="BH28" s="15">
        <f t="shared" si="13"/>
        <v>16.396137913501175</v>
      </c>
      <c r="BI28" s="15">
        <f t="shared" si="13"/>
        <v>16.396137913501175</v>
      </c>
      <c r="BJ28" s="15">
        <f t="shared" si="13"/>
        <v>16.396137913501175</v>
      </c>
      <c r="BK28" s="15">
        <f t="shared" si="13"/>
        <v>16.396137913501175</v>
      </c>
      <c r="BL28" s="15">
        <f t="shared" si="13"/>
        <v>16.396137913501175</v>
      </c>
      <c r="BM28" s="15">
        <f t="shared" si="13"/>
        <v>16.396137913501175</v>
      </c>
      <c r="BN28" s="15">
        <f t="shared" si="13"/>
        <v>16.396137913501175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</row>
    <row r="29" spans="1:116" ht="16.5" customHeight="1" thickBot="1">
      <c r="A29" s="278"/>
      <c r="B29" s="27"/>
      <c r="C29" s="27"/>
      <c r="D29" s="27"/>
      <c r="E29" s="27"/>
      <c r="F29" s="27"/>
      <c r="G29" s="7"/>
      <c r="H29" s="7"/>
      <c r="I29" s="177" t="s">
        <v>55</v>
      </c>
      <c r="J29" s="20">
        <v>3.0000000000000001E-3</v>
      </c>
      <c r="K29" s="21" t="s">
        <v>61</v>
      </c>
      <c r="L29" s="27"/>
      <c r="M29" s="218"/>
      <c r="N29" s="217"/>
      <c r="O29" s="179" t="s">
        <v>10</v>
      </c>
      <c r="P29" s="15">
        <v>1</v>
      </c>
      <c r="Q29" s="183">
        <f>(-$G50+($G50^2-4*($C36*P24+$C40*P26+(P24-Q28*$G31)*($C37+$G52+I52*(P24-Q28*$G31))-P26^2-$C28)*(1+$I50))^0.5)/(2*(1+$I50))</f>
        <v>17.805866273542307</v>
      </c>
      <c r="R29" s="15">
        <f t="shared" ref="R29:BN29" si="14">(-$G50+($G50^2-4*($C36*Q24+$C40*Q26+(Q24-R28*$G31)*($C37+$G52+J52*(Q24-R28*$G31))-Q26^2-$C28)*(1+$I50))^0.5)/(2*(1+$I50))</f>
        <v>17.931410007735941</v>
      </c>
      <c r="S29" s="15">
        <f t="shared" si="14"/>
        <v>17.931445016008226</v>
      </c>
      <c r="T29" s="15">
        <f t="shared" si="14"/>
        <v>17.931452804192283</v>
      </c>
      <c r="U29" s="15">
        <f t="shared" si="14"/>
        <v>17.931452555884242</v>
      </c>
      <c r="V29" s="15">
        <f t="shared" si="14"/>
        <v>17.931452563889543</v>
      </c>
      <c r="W29" s="15">
        <f t="shared" si="14"/>
        <v>17.931452563631545</v>
      </c>
      <c r="X29" s="15">
        <f t="shared" si="14"/>
        <v>17.931452563639859</v>
      </c>
      <c r="Y29" s="15">
        <f>(-$G50+($G50^2-4*($C36*X24+$C40*X26+(X24-Y28*$G31)*($C37+$G52+Q51*(X24-Y28*$G31))-X26^2-$C28)*(1+$I50))^0.5)/(2*(1+$I50))</f>
        <v>17.931452563639596</v>
      </c>
      <c r="Z29" s="15">
        <f t="shared" si="14"/>
        <v>17.918342748749815</v>
      </c>
      <c r="AA29" s="15">
        <f t="shared" si="14"/>
        <v>17.920326917371355</v>
      </c>
      <c r="AB29" s="15">
        <f t="shared" si="14"/>
        <v>17.920119419750435</v>
      </c>
      <c r="AC29" s="15">
        <f t="shared" si="14"/>
        <v>17.92013935389145</v>
      </c>
      <c r="AD29" s="15">
        <f t="shared" si="14"/>
        <v>17.920137490732451</v>
      </c>
      <c r="AE29" s="15">
        <f t="shared" si="14"/>
        <v>17.920137663166315</v>
      </c>
      <c r="AF29" s="15">
        <f t="shared" si="14"/>
        <v>17.920137647265065</v>
      </c>
      <c r="AG29" s="15">
        <f t="shared" si="14"/>
        <v>17.920137648729472</v>
      </c>
      <c r="AH29" s="15">
        <f t="shared" si="14"/>
        <v>17.932078581429025</v>
      </c>
      <c r="AI29" s="15">
        <f t="shared" si="14"/>
        <v>17.931432694449725</v>
      </c>
      <c r="AJ29" s="15">
        <f t="shared" si="14"/>
        <v>17.93145320410909</v>
      </c>
      <c r="AK29" s="15">
        <f t="shared" si="14"/>
        <v>17.931452542998478</v>
      </c>
      <c r="AL29" s="15">
        <f t="shared" si="14"/>
        <v>17.931452564304827</v>
      </c>
      <c r="AM29" s="15">
        <f t="shared" si="14"/>
        <v>17.931452563618159</v>
      </c>
      <c r="AN29" s="15">
        <f t="shared" si="14"/>
        <v>17.931452563640292</v>
      </c>
      <c r="AO29" s="15">
        <f t="shared" si="14"/>
        <v>17.931452563639581</v>
      </c>
      <c r="AP29" s="15">
        <f t="shared" si="14"/>
        <v>17.931452563639603</v>
      </c>
      <c r="AQ29" s="15">
        <f t="shared" si="14"/>
        <v>17.931452563639603</v>
      </c>
      <c r="AR29" s="15">
        <f t="shared" si="14"/>
        <v>17.931452563639603</v>
      </c>
      <c r="AS29" s="15">
        <f t="shared" si="14"/>
        <v>17.931452563639603</v>
      </c>
      <c r="AT29" s="15">
        <f t="shared" si="14"/>
        <v>17.931452563639603</v>
      </c>
      <c r="AU29" s="15">
        <f t="shared" si="14"/>
        <v>17.931452563639603</v>
      </c>
      <c r="AV29" s="15">
        <f t="shared" si="14"/>
        <v>17.931452563639603</v>
      </c>
      <c r="AW29" s="15">
        <f t="shared" si="14"/>
        <v>17.931452563639603</v>
      </c>
      <c r="AX29" s="15">
        <f t="shared" si="14"/>
        <v>17.931452563639603</v>
      </c>
      <c r="AY29" s="15">
        <f t="shared" si="14"/>
        <v>17.931452563639603</v>
      </c>
      <c r="AZ29" s="15">
        <f t="shared" si="14"/>
        <v>17.931452563639603</v>
      </c>
      <c r="BA29" s="15">
        <f t="shared" si="14"/>
        <v>17.931452563639603</v>
      </c>
      <c r="BB29" s="15">
        <f t="shared" si="14"/>
        <v>17.931452563639603</v>
      </c>
      <c r="BC29" s="15">
        <f t="shared" si="14"/>
        <v>17.931452563639603</v>
      </c>
      <c r="BD29" s="15">
        <f t="shared" si="14"/>
        <v>17.931452563639603</v>
      </c>
      <c r="BE29" s="15">
        <f t="shared" si="14"/>
        <v>17.931452563639603</v>
      </c>
      <c r="BF29" s="15">
        <f t="shared" si="14"/>
        <v>17.931452563639603</v>
      </c>
      <c r="BG29" s="15">
        <f t="shared" si="14"/>
        <v>17.931452563639603</v>
      </c>
      <c r="BH29" s="15">
        <f t="shared" si="14"/>
        <v>17.931452563639603</v>
      </c>
      <c r="BI29" s="15">
        <f t="shared" si="14"/>
        <v>17.931452563639603</v>
      </c>
      <c r="BJ29" s="15">
        <f t="shared" si="14"/>
        <v>17.931452563639603</v>
      </c>
      <c r="BK29" s="15">
        <f t="shared" si="14"/>
        <v>17.931452563639603</v>
      </c>
      <c r="BL29" s="15">
        <f t="shared" si="14"/>
        <v>17.931452563639603</v>
      </c>
      <c r="BM29" s="15">
        <f t="shared" si="14"/>
        <v>17.931452563639603</v>
      </c>
      <c r="BN29" s="15">
        <f t="shared" si="14"/>
        <v>17.931452563639603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</row>
    <row r="30" spans="1:116" ht="16.5" customHeight="1" thickBot="1">
      <c r="A30" s="278"/>
      <c r="B30" s="207" t="s">
        <v>69</v>
      </c>
      <c r="C30" s="208"/>
      <c r="D30" s="209"/>
      <c r="F30" s="228" t="s">
        <v>63</v>
      </c>
      <c r="G30" s="230"/>
      <c r="H30" s="7"/>
      <c r="I30" s="27"/>
      <c r="J30" s="27"/>
      <c r="K30" s="27"/>
      <c r="L30" s="27"/>
      <c r="M30" s="218"/>
      <c r="N30" s="217"/>
      <c r="O30" s="179" t="s">
        <v>11</v>
      </c>
      <c r="P30" s="15">
        <v>1</v>
      </c>
      <c r="Q30" s="182">
        <f>(-$G51+($G51^2-4*($C36*P24+$C41*P27+(P24-Q28*$G31)*($C37+$G52+I52*(P24-Q28*$G31))+(P24-Q28*$G31-Q29*$G32)*($C38+$G53+I53*(P24-Q28*$G31-Q29*$G32))-P27^2-$C28)*(1+$I51))^0.5)/(2*(1+$I51))</f>
        <v>19.294997603585323</v>
      </c>
      <c r="R30" s="15">
        <f t="shared" ref="R30:BN30" si="15">(-$G51+($G51^2-4*($C36*Q24+$C41*Q27+(Q24-R28*$G31)*($C37+$G52+J52*(Q24-R28*$G31))+(Q24-R28*$G31-R29*$G32)*($C38+$G53+J53*(Q24-R28*$G31-R29*$G32))-Q27^2-$C28)*(1+$I51))^0.5)/(2*(1+$I51))</f>
        <v>19.233670016583698</v>
      </c>
      <c r="S30" s="15">
        <f t="shared" si="15"/>
        <v>19.233327463696817</v>
      </c>
      <c r="T30" s="15">
        <f t="shared" si="15"/>
        <v>19.233337026035336</v>
      </c>
      <c r="U30" s="15">
        <f t="shared" si="15"/>
        <v>19.233336716995343</v>
      </c>
      <c r="V30" s="15">
        <f t="shared" si="15"/>
        <v>19.233336726954633</v>
      </c>
      <c r="W30" s="15">
        <f t="shared" si="15"/>
        <v>19.233336726633659</v>
      </c>
      <c r="X30" s="15">
        <f t="shared" si="15"/>
        <v>19.233336726644005</v>
      </c>
      <c r="Y30" s="15">
        <f>(-$G51+($G51^2-4*($C36*X24+$C41*X27+(X24-Y28*$G31)*($C37+$G52+Q51*(X24-Y28*$G31))+(X24-Y28*$G31-Y29*$G32)*($C38+$G53+Q52*(X24-Y28*$G31-Y29*$G32))-X27^2-$C28)*(1+$I51))^0.5)/(2*(1+$I51))</f>
        <v>19.233336726643671</v>
      </c>
      <c r="Z30" s="15">
        <f t="shared" si="15"/>
        <v>19.203361534982609</v>
      </c>
      <c r="AA30" s="15">
        <f t="shared" si="15"/>
        <v>19.207065599232553</v>
      </c>
      <c r="AB30" s="15">
        <f t="shared" si="15"/>
        <v>19.206693151928498</v>
      </c>
      <c r="AC30" s="15">
        <f t="shared" si="15"/>
        <v>19.206728514593696</v>
      </c>
      <c r="AD30" s="15">
        <f t="shared" si="15"/>
        <v>19.206725223373809</v>
      </c>
      <c r="AE30" s="15">
        <f t="shared" si="15"/>
        <v>19.206725527506343</v>
      </c>
      <c r="AF30" s="15">
        <f t="shared" si="15"/>
        <v>19.20672549947621</v>
      </c>
      <c r="AG30" s="15">
        <f t="shared" si="15"/>
        <v>19.206725502057065</v>
      </c>
      <c r="AH30" s="15">
        <f t="shared" si="15"/>
        <v>19.234102134793602</v>
      </c>
      <c r="AI30" s="15">
        <f t="shared" si="15"/>
        <v>19.233312001979773</v>
      </c>
      <c r="AJ30" s="15">
        <f t="shared" si="15"/>
        <v>19.233337523443751</v>
      </c>
      <c r="AK30" s="15">
        <f t="shared" si="15"/>
        <v>19.233336700964177</v>
      </c>
      <c r="AL30" s="15">
        <f t="shared" si="15"/>
        <v>19.233336727471286</v>
      </c>
      <c r="AM30" s="15">
        <f t="shared" si="15"/>
        <v>19.233336726617011</v>
      </c>
      <c r="AN30" s="15">
        <f t="shared" si="15"/>
        <v>19.233336726644541</v>
      </c>
      <c r="AO30" s="15">
        <f t="shared" si="15"/>
        <v>19.233336726643657</v>
      </c>
      <c r="AP30" s="15">
        <f t="shared" si="15"/>
        <v>19.233336726643682</v>
      </c>
      <c r="AQ30" s="15">
        <f t="shared" si="15"/>
        <v>19.233336726643682</v>
      </c>
      <c r="AR30" s="15">
        <f t="shared" si="15"/>
        <v>19.233336726643682</v>
      </c>
      <c r="AS30" s="15">
        <f t="shared" si="15"/>
        <v>19.233336726643682</v>
      </c>
      <c r="AT30" s="15">
        <f t="shared" si="15"/>
        <v>19.233336726643682</v>
      </c>
      <c r="AU30" s="15">
        <f t="shared" si="15"/>
        <v>19.233336726643682</v>
      </c>
      <c r="AV30" s="15">
        <f t="shared" si="15"/>
        <v>19.233336726643682</v>
      </c>
      <c r="AW30" s="15">
        <f t="shared" si="15"/>
        <v>19.233336726643682</v>
      </c>
      <c r="AX30" s="15">
        <f t="shared" si="15"/>
        <v>19.233336726643682</v>
      </c>
      <c r="AY30" s="15">
        <f t="shared" si="15"/>
        <v>19.233336726643682</v>
      </c>
      <c r="AZ30" s="15">
        <f t="shared" si="15"/>
        <v>19.233336726643682</v>
      </c>
      <c r="BA30" s="15">
        <f t="shared" si="15"/>
        <v>19.233336726643682</v>
      </c>
      <c r="BB30" s="15">
        <f t="shared" si="15"/>
        <v>19.233336726643682</v>
      </c>
      <c r="BC30" s="15">
        <f t="shared" si="15"/>
        <v>19.233336726643682</v>
      </c>
      <c r="BD30" s="15">
        <f t="shared" si="15"/>
        <v>19.233336726643682</v>
      </c>
      <c r="BE30" s="15">
        <f t="shared" si="15"/>
        <v>19.233336726643682</v>
      </c>
      <c r="BF30" s="15">
        <f t="shared" si="15"/>
        <v>19.233336726643682</v>
      </c>
      <c r="BG30" s="15">
        <f t="shared" si="15"/>
        <v>19.233336726643682</v>
      </c>
      <c r="BH30" s="15">
        <f t="shared" si="15"/>
        <v>19.233336726643682</v>
      </c>
      <c r="BI30" s="15">
        <f t="shared" si="15"/>
        <v>19.233336726643682</v>
      </c>
      <c r="BJ30" s="15">
        <f t="shared" si="15"/>
        <v>19.233336726643682</v>
      </c>
      <c r="BK30" s="15">
        <f t="shared" si="15"/>
        <v>19.233336726643682</v>
      </c>
      <c r="BL30" s="15">
        <f t="shared" si="15"/>
        <v>19.233336726643682</v>
      </c>
      <c r="BM30" s="15">
        <f t="shared" si="15"/>
        <v>19.233336726643682</v>
      </c>
      <c r="BN30" s="15">
        <f t="shared" si="15"/>
        <v>19.233336726643682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</row>
    <row r="31" spans="1:116" ht="15.75" customHeight="1">
      <c r="A31" s="278"/>
      <c r="B31" s="17" t="s">
        <v>3</v>
      </c>
      <c r="C31" s="15">
        <v>2.9000000000000001E-2</v>
      </c>
      <c r="D31" s="14"/>
      <c r="F31" s="176" t="s">
        <v>75</v>
      </c>
      <c r="G31" s="22">
        <f>J33/J32</f>
        <v>5.0055624999999996E-3</v>
      </c>
      <c r="H31" s="180"/>
      <c r="I31" s="207" t="s">
        <v>18</v>
      </c>
      <c r="J31" s="208"/>
      <c r="K31" s="209"/>
      <c r="L31" s="27"/>
      <c r="M31" s="218"/>
      <c r="N31" s="315" t="s">
        <v>41</v>
      </c>
      <c r="O31" s="315"/>
      <c r="P31" s="15"/>
      <c r="Q31" s="15" t="str">
        <f t="shared" ref="Q31:BN33" si="16">IF((Q28-P28)=0,"Yes","No")</f>
        <v>No</v>
      </c>
      <c r="R31" s="15" t="str">
        <f t="shared" si="16"/>
        <v>No</v>
      </c>
      <c r="S31" s="15" t="str">
        <f t="shared" si="16"/>
        <v>No</v>
      </c>
      <c r="T31" s="15" t="str">
        <f t="shared" si="16"/>
        <v>No</v>
      </c>
      <c r="U31" s="15" t="str">
        <f t="shared" si="16"/>
        <v>No</v>
      </c>
      <c r="V31" s="15" t="str">
        <f t="shared" si="16"/>
        <v>No</v>
      </c>
      <c r="W31" s="15" t="str">
        <f t="shared" si="16"/>
        <v>No</v>
      </c>
      <c r="X31" s="15" t="str">
        <f t="shared" si="16"/>
        <v>No</v>
      </c>
      <c r="Y31" s="15" t="str">
        <f t="shared" si="16"/>
        <v>No</v>
      </c>
      <c r="Z31" s="15" t="str">
        <f t="shared" si="16"/>
        <v>No</v>
      </c>
      <c r="AA31" s="15" t="str">
        <f t="shared" si="16"/>
        <v>No</v>
      </c>
      <c r="AB31" s="15" t="str">
        <f t="shared" si="16"/>
        <v>No</v>
      </c>
      <c r="AC31" s="15" t="str">
        <f t="shared" si="16"/>
        <v>No</v>
      </c>
      <c r="AD31" s="15" t="str">
        <f t="shared" si="16"/>
        <v>No</v>
      </c>
      <c r="AE31" s="15" t="str">
        <f t="shared" si="16"/>
        <v>No</v>
      </c>
      <c r="AF31" s="15" t="str">
        <f t="shared" si="16"/>
        <v>No</v>
      </c>
      <c r="AG31" s="15" t="str">
        <f t="shared" si="16"/>
        <v>No</v>
      </c>
      <c r="AH31" s="15" t="str">
        <f t="shared" si="16"/>
        <v>No</v>
      </c>
      <c r="AI31" s="15" t="str">
        <f t="shared" si="16"/>
        <v>No</v>
      </c>
      <c r="AJ31" s="15" t="str">
        <f t="shared" si="16"/>
        <v>No</v>
      </c>
      <c r="AK31" s="15" t="str">
        <f t="shared" si="16"/>
        <v>No</v>
      </c>
      <c r="AL31" s="15" t="str">
        <f t="shared" si="16"/>
        <v>No</v>
      </c>
      <c r="AM31" s="15" t="str">
        <f t="shared" si="16"/>
        <v>No</v>
      </c>
      <c r="AN31" s="15" t="str">
        <f t="shared" si="16"/>
        <v>No</v>
      </c>
      <c r="AO31" s="15" t="str">
        <f t="shared" si="16"/>
        <v>No</v>
      </c>
      <c r="AP31" s="15" t="str">
        <f t="shared" si="16"/>
        <v>No</v>
      </c>
      <c r="AQ31" s="15" t="str">
        <f t="shared" si="16"/>
        <v>Yes</v>
      </c>
      <c r="AR31" s="15" t="str">
        <f t="shared" si="16"/>
        <v>Yes</v>
      </c>
      <c r="AS31" s="15" t="str">
        <f t="shared" si="16"/>
        <v>Yes</v>
      </c>
      <c r="AT31" s="15" t="str">
        <f t="shared" si="16"/>
        <v>Yes</v>
      </c>
      <c r="AU31" s="15" t="str">
        <f t="shared" si="16"/>
        <v>Yes</v>
      </c>
      <c r="AV31" s="15" t="str">
        <f t="shared" si="16"/>
        <v>Yes</v>
      </c>
      <c r="AW31" s="15" t="str">
        <f t="shared" si="16"/>
        <v>Yes</v>
      </c>
      <c r="AX31" s="15" t="str">
        <f t="shared" si="16"/>
        <v>Yes</v>
      </c>
      <c r="AY31" s="15" t="str">
        <f t="shared" si="16"/>
        <v>Yes</v>
      </c>
      <c r="AZ31" s="15" t="str">
        <f t="shared" si="16"/>
        <v>Yes</v>
      </c>
      <c r="BA31" s="15" t="str">
        <f t="shared" si="16"/>
        <v>Yes</v>
      </c>
      <c r="BB31" s="15" t="str">
        <f t="shared" si="16"/>
        <v>Yes</v>
      </c>
      <c r="BC31" s="15" t="str">
        <f t="shared" si="16"/>
        <v>Yes</v>
      </c>
      <c r="BD31" s="15" t="str">
        <f t="shared" si="16"/>
        <v>Yes</v>
      </c>
      <c r="BE31" s="15" t="str">
        <f t="shared" si="16"/>
        <v>Yes</v>
      </c>
      <c r="BF31" s="15" t="str">
        <f t="shared" si="16"/>
        <v>Yes</v>
      </c>
      <c r="BG31" s="15" t="str">
        <f t="shared" si="16"/>
        <v>Yes</v>
      </c>
      <c r="BH31" s="15" t="str">
        <f t="shared" si="16"/>
        <v>Yes</v>
      </c>
      <c r="BI31" s="15" t="str">
        <f t="shared" si="16"/>
        <v>Yes</v>
      </c>
      <c r="BJ31" s="15" t="str">
        <f t="shared" si="16"/>
        <v>Yes</v>
      </c>
      <c r="BK31" s="15" t="str">
        <f t="shared" si="16"/>
        <v>Yes</v>
      </c>
      <c r="BL31" s="15" t="str">
        <f t="shared" si="16"/>
        <v>Yes</v>
      </c>
      <c r="BM31" s="15" t="str">
        <f t="shared" si="16"/>
        <v>Yes</v>
      </c>
      <c r="BN31" s="15" t="str">
        <f t="shared" si="16"/>
        <v>Yes</v>
      </c>
    </row>
    <row r="32" spans="1:116" ht="15.75" customHeight="1">
      <c r="A32" s="278"/>
      <c r="B32" s="17" t="s">
        <v>2</v>
      </c>
      <c r="C32" s="15">
        <v>891</v>
      </c>
      <c r="D32" s="14" t="s">
        <v>71</v>
      </c>
      <c r="F32" s="176" t="s">
        <v>76</v>
      </c>
      <c r="G32" s="22">
        <f>J34/J32</f>
        <v>1.4400000000000001E-2</v>
      </c>
      <c r="H32" s="27"/>
      <c r="I32" s="176" t="s">
        <v>56</v>
      </c>
      <c r="J32" s="15">
        <f>J23^2*PI()/4</f>
        <v>1.2566370614359172E-5</v>
      </c>
      <c r="K32" s="14" t="s">
        <v>60</v>
      </c>
      <c r="L32" s="27"/>
      <c r="M32" s="218"/>
      <c r="N32" s="315"/>
      <c r="O32" s="315"/>
      <c r="P32" s="15"/>
      <c r="Q32" s="15" t="str">
        <f t="shared" si="16"/>
        <v>No</v>
      </c>
      <c r="R32" s="15" t="str">
        <f t="shared" si="16"/>
        <v>No</v>
      </c>
      <c r="S32" s="15" t="str">
        <f t="shared" si="16"/>
        <v>No</v>
      </c>
      <c r="T32" s="15" t="str">
        <f t="shared" si="16"/>
        <v>No</v>
      </c>
      <c r="U32" s="15" t="str">
        <f t="shared" si="16"/>
        <v>No</v>
      </c>
      <c r="V32" s="15" t="str">
        <f t="shared" si="16"/>
        <v>No</v>
      </c>
      <c r="W32" s="15" t="str">
        <f t="shared" si="16"/>
        <v>No</v>
      </c>
      <c r="X32" s="15" t="str">
        <f t="shared" si="16"/>
        <v>No</v>
      </c>
      <c r="Y32" s="15" t="str">
        <f t="shared" si="16"/>
        <v>No</v>
      </c>
      <c r="Z32" s="15" t="str">
        <f t="shared" si="16"/>
        <v>No</v>
      </c>
      <c r="AA32" s="15" t="str">
        <f t="shared" si="16"/>
        <v>No</v>
      </c>
      <c r="AB32" s="15" t="str">
        <f t="shared" si="16"/>
        <v>No</v>
      </c>
      <c r="AC32" s="15" t="str">
        <f t="shared" si="16"/>
        <v>No</v>
      </c>
      <c r="AD32" s="15" t="str">
        <f t="shared" si="16"/>
        <v>No</v>
      </c>
      <c r="AE32" s="15" t="str">
        <f t="shared" si="16"/>
        <v>No</v>
      </c>
      <c r="AF32" s="15" t="str">
        <f t="shared" si="16"/>
        <v>No</v>
      </c>
      <c r="AG32" s="15" t="str">
        <f t="shared" si="16"/>
        <v>No</v>
      </c>
      <c r="AH32" s="15" t="str">
        <f t="shared" si="16"/>
        <v>No</v>
      </c>
      <c r="AI32" s="15" t="str">
        <f t="shared" si="16"/>
        <v>No</v>
      </c>
      <c r="AJ32" s="15" t="str">
        <f t="shared" si="16"/>
        <v>No</v>
      </c>
      <c r="AK32" s="15" t="str">
        <f t="shared" si="16"/>
        <v>No</v>
      </c>
      <c r="AL32" s="15" t="str">
        <f t="shared" si="16"/>
        <v>No</v>
      </c>
      <c r="AM32" s="15" t="str">
        <f t="shared" si="16"/>
        <v>No</v>
      </c>
      <c r="AN32" s="15" t="str">
        <f t="shared" si="16"/>
        <v>No</v>
      </c>
      <c r="AO32" s="15" t="str">
        <f t="shared" si="16"/>
        <v>No</v>
      </c>
      <c r="AP32" s="15" t="str">
        <f t="shared" si="16"/>
        <v>No</v>
      </c>
      <c r="AQ32" s="15" t="str">
        <f t="shared" si="16"/>
        <v>Yes</v>
      </c>
      <c r="AR32" s="15" t="str">
        <f t="shared" si="16"/>
        <v>Yes</v>
      </c>
      <c r="AS32" s="15" t="str">
        <f t="shared" si="16"/>
        <v>Yes</v>
      </c>
      <c r="AT32" s="15" t="str">
        <f t="shared" si="16"/>
        <v>Yes</v>
      </c>
      <c r="AU32" s="15" t="str">
        <f t="shared" si="16"/>
        <v>Yes</v>
      </c>
      <c r="AV32" s="15" t="str">
        <f t="shared" si="16"/>
        <v>Yes</v>
      </c>
      <c r="AW32" s="15" t="str">
        <f t="shared" si="16"/>
        <v>Yes</v>
      </c>
      <c r="AX32" s="15" t="str">
        <f t="shared" si="16"/>
        <v>Yes</v>
      </c>
      <c r="AY32" s="15" t="str">
        <f t="shared" si="16"/>
        <v>Yes</v>
      </c>
      <c r="AZ32" s="15" t="str">
        <f t="shared" si="16"/>
        <v>Yes</v>
      </c>
      <c r="BA32" s="15" t="str">
        <f t="shared" si="16"/>
        <v>Yes</v>
      </c>
      <c r="BB32" s="15" t="str">
        <f t="shared" si="16"/>
        <v>Yes</v>
      </c>
      <c r="BC32" s="15" t="str">
        <f t="shared" si="16"/>
        <v>Yes</v>
      </c>
      <c r="BD32" s="15" t="str">
        <f t="shared" si="16"/>
        <v>Yes</v>
      </c>
      <c r="BE32" s="15" t="str">
        <f t="shared" si="16"/>
        <v>Yes</v>
      </c>
      <c r="BF32" s="15" t="str">
        <f t="shared" si="16"/>
        <v>Yes</v>
      </c>
      <c r="BG32" s="15" t="str">
        <f t="shared" si="16"/>
        <v>Yes</v>
      </c>
      <c r="BH32" s="15" t="str">
        <f t="shared" si="16"/>
        <v>Yes</v>
      </c>
      <c r="BI32" s="15" t="str">
        <f t="shared" si="16"/>
        <v>Yes</v>
      </c>
      <c r="BJ32" s="15" t="str">
        <f t="shared" si="16"/>
        <v>Yes</v>
      </c>
      <c r="BK32" s="15" t="str">
        <f t="shared" si="16"/>
        <v>Yes</v>
      </c>
      <c r="BL32" s="15" t="str">
        <f t="shared" si="16"/>
        <v>Yes</v>
      </c>
      <c r="BM32" s="15" t="str">
        <f t="shared" si="16"/>
        <v>Yes</v>
      </c>
      <c r="BN32" s="15" t="str">
        <f t="shared" si="16"/>
        <v>Yes</v>
      </c>
    </row>
    <row r="33" spans="1:116" ht="15.75" customHeight="1" thickBot="1">
      <c r="A33" s="278"/>
      <c r="B33" s="18" t="s">
        <v>29</v>
      </c>
      <c r="C33" s="20">
        <f>2*9.81</f>
        <v>19.62</v>
      </c>
      <c r="D33" s="21" t="s">
        <v>70</v>
      </c>
      <c r="F33" s="176" t="s">
        <v>77</v>
      </c>
      <c r="G33" s="22">
        <f>J35/J32</f>
        <v>8.1224999999999992E-2</v>
      </c>
      <c r="H33" s="27"/>
      <c r="I33" s="176" t="s">
        <v>57</v>
      </c>
      <c r="J33" s="15">
        <f t="shared" ref="J33:J38" si="17">J24^2*PI()/4</f>
        <v>6.2901753508338228E-8</v>
      </c>
      <c r="K33" s="14" t="s">
        <v>60</v>
      </c>
      <c r="L33" s="27"/>
      <c r="M33" s="218"/>
      <c r="N33" s="315"/>
      <c r="O33" s="315"/>
      <c r="P33" s="15"/>
      <c r="Q33" s="15" t="str">
        <f t="shared" si="16"/>
        <v>No</v>
      </c>
      <c r="R33" s="15" t="str">
        <f t="shared" si="16"/>
        <v>No</v>
      </c>
      <c r="S33" s="15" t="str">
        <f t="shared" si="16"/>
        <v>No</v>
      </c>
      <c r="T33" s="15" t="str">
        <f t="shared" si="16"/>
        <v>No</v>
      </c>
      <c r="U33" s="15" t="str">
        <f t="shared" si="16"/>
        <v>No</v>
      </c>
      <c r="V33" s="15" t="str">
        <f t="shared" si="16"/>
        <v>No</v>
      </c>
      <c r="W33" s="15" t="str">
        <f t="shared" si="16"/>
        <v>No</v>
      </c>
      <c r="X33" s="15" t="str">
        <f t="shared" si="16"/>
        <v>No</v>
      </c>
      <c r="Y33" s="15" t="str">
        <f t="shared" si="16"/>
        <v>No</v>
      </c>
      <c r="Z33" s="15" t="str">
        <f t="shared" si="16"/>
        <v>No</v>
      </c>
      <c r="AA33" s="15" t="str">
        <f t="shared" si="16"/>
        <v>No</v>
      </c>
      <c r="AB33" s="15" t="str">
        <f t="shared" si="16"/>
        <v>No</v>
      </c>
      <c r="AC33" s="15" t="str">
        <f t="shared" si="16"/>
        <v>No</v>
      </c>
      <c r="AD33" s="15" t="str">
        <f t="shared" si="16"/>
        <v>No</v>
      </c>
      <c r="AE33" s="15" t="str">
        <f t="shared" si="16"/>
        <v>No</v>
      </c>
      <c r="AF33" s="15" t="str">
        <f t="shared" si="16"/>
        <v>No</v>
      </c>
      <c r="AG33" s="15" t="str">
        <f t="shared" si="16"/>
        <v>No</v>
      </c>
      <c r="AH33" s="15" t="str">
        <f t="shared" si="16"/>
        <v>No</v>
      </c>
      <c r="AI33" s="15" t="str">
        <f t="shared" si="16"/>
        <v>No</v>
      </c>
      <c r="AJ33" s="15" t="str">
        <f t="shared" si="16"/>
        <v>No</v>
      </c>
      <c r="AK33" s="15" t="str">
        <f t="shared" si="16"/>
        <v>No</v>
      </c>
      <c r="AL33" s="15" t="str">
        <f t="shared" si="16"/>
        <v>No</v>
      </c>
      <c r="AM33" s="15" t="str">
        <f t="shared" si="16"/>
        <v>No</v>
      </c>
      <c r="AN33" s="15" t="str">
        <f t="shared" si="16"/>
        <v>No</v>
      </c>
      <c r="AO33" s="15" t="str">
        <f t="shared" si="16"/>
        <v>No</v>
      </c>
      <c r="AP33" s="15" t="str">
        <f t="shared" si="16"/>
        <v>No</v>
      </c>
      <c r="AQ33" s="15" t="str">
        <f t="shared" si="16"/>
        <v>Yes</v>
      </c>
      <c r="AR33" s="15" t="str">
        <f t="shared" si="16"/>
        <v>Yes</v>
      </c>
      <c r="AS33" s="15" t="str">
        <f t="shared" si="16"/>
        <v>Yes</v>
      </c>
      <c r="AT33" s="15" t="str">
        <f t="shared" si="16"/>
        <v>Yes</v>
      </c>
      <c r="AU33" s="15" t="str">
        <f t="shared" si="16"/>
        <v>Yes</v>
      </c>
      <c r="AV33" s="15" t="str">
        <f t="shared" si="16"/>
        <v>Yes</v>
      </c>
      <c r="AW33" s="15" t="str">
        <f t="shared" si="16"/>
        <v>Yes</v>
      </c>
      <c r="AX33" s="15" t="str">
        <f t="shared" si="16"/>
        <v>Yes</v>
      </c>
      <c r="AY33" s="15" t="str">
        <f t="shared" si="16"/>
        <v>Yes</v>
      </c>
      <c r="AZ33" s="15" t="str">
        <f t="shared" si="16"/>
        <v>Yes</v>
      </c>
      <c r="BA33" s="15" t="str">
        <f t="shared" si="16"/>
        <v>Yes</v>
      </c>
      <c r="BB33" s="15" t="str">
        <f t="shared" si="16"/>
        <v>Yes</v>
      </c>
      <c r="BC33" s="15" t="str">
        <f t="shared" si="16"/>
        <v>Yes</v>
      </c>
      <c r="BD33" s="15" t="str">
        <f t="shared" si="16"/>
        <v>Yes</v>
      </c>
      <c r="BE33" s="15" t="str">
        <f t="shared" si="16"/>
        <v>Yes</v>
      </c>
      <c r="BF33" s="15" t="str">
        <f t="shared" si="16"/>
        <v>Yes</v>
      </c>
      <c r="BG33" s="15" t="str">
        <f t="shared" si="16"/>
        <v>Yes</v>
      </c>
      <c r="BH33" s="15" t="str">
        <f t="shared" si="16"/>
        <v>Yes</v>
      </c>
      <c r="BI33" s="15" t="str">
        <f t="shared" si="16"/>
        <v>Yes</v>
      </c>
      <c r="BJ33" s="15" t="str">
        <f t="shared" si="16"/>
        <v>Yes</v>
      </c>
      <c r="BK33" s="15" t="str">
        <f t="shared" si="16"/>
        <v>Yes</v>
      </c>
      <c r="BL33" s="15" t="str">
        <f t="shared" si="16"/>
        <v>Yes</v>
      </c>
      <c r="BM33" s="15" t="str">
        <f t="shared" si="16"/>
        <v>Yes</v>
      </c>
      <c r="BN33" s="15" t="str">
        <f t="shared" si="16"/>
        <v>Yes</v>
      </c>
    </row>
    <row r="34" spans="1:116" ht="16.5" customHeight="1" thickBot="1">
      <c r="A34" s="278"/>
      <c r="B34" s="180"/>
      <c r="C34" s="27"/>
      <c r="D34" s="27"/>
      <c r="F34" s="176" t="s">
        <v>78</v>
      </c>
      <c r="G34" s="22">
        <f>J36/J32</f>
        <v>6.25E-2</v>
      </c>
      <c r="H34" s="27"/>
      <c r="I34" s="176" t="s">
        <v>58</v>
      </c>
      <c r="J34" s="15">
        <f t="shared" si="17"/>
        <v>1.8095573684677208E-7</v>
      </c>
      <c r="K34" s="14" t="s">
        <v>60</v>
      </c>
      <c r="L34" s="27"/>
      <c r="M34" s="218"/>
      <c r="N34" s="218" t="s">
        <v>19</v>
      </c>
      <c r="O34" s="39" t="s">
        <v>12</v>
      </c>
      <c r="P34" s="15">
        <f t="shared" ref="P34:BN36" si="18">P28*$J33*1000000*60</f>
        <v>3.7741052105002932</v>
      </c>
      <c r="Q34" s="15">
        <f t="shared" si="18"/>
        <v>58.396580601986244</v>
      </c>
      <c r="R34" s="15">
        <f t="shared" si="18"/>
        <v>61.882504938802803</v>
      </c>
      <c r="S34" s="15">
        <f t="shared" si="18"/>
        <v>61.880713963537232</v>
      </c>
      <c r="T34" s="15">
        <f t="shared" si="18"/>
        <v>61.880750653608835</v>
      </c>
      <c r="U34" s="15">
        <f t="shared" si="18"/>
        <v>61.880749495261036</v>
      </c>
      <c r="V34" s="15">
        <f t="shared" si="18"/>
        <v>61.880749532591736</v>
      </c>
      <c r="W34" s="15">
        <f t="shared" si="18"/>
        <v>61.880749531388631</v>
      </c>
      <c r="X34" s="15">
        <f t="shared" si="18"/>
        <v>61.880749531427398</v>
      </c>
      <c r="Y34" s="15">
        <f t="shared" si="18"/>
        <v>61.880749531426162</v>
      </c>
      <c r="Z34" s="15">
        <f t="shared" si="18"/>
        <v>61.880749531426197</v>
      </c>
      <c r="AA34" s="15">
        <f t="shared" si="18"/>
        <v>61.883989698261381</v>
      </c>
      <c r="AB34" s="15">
        <f t="shared" si="18"/>
        <v>61.88357767118076</v>
      </c>
      <c r="AC34" s="15">
        <f t="shared" si="18"/>
        <v>61.883619386063025</v>
      </c>
      <c r="AD34" s="15">
        <f t="shared" si="18"/>
        <v>61.883615416999945</v>
      </c>
      <c r="AE34" s="15">
        <f t="shared" si="18"/>
        <v>61.883615786684643</v>
      </c>
      <c r="AF34" s="15">
        <f t="shared" si="18"/>
        <v>61.883615752513606</v>
      </c>
      <c r="AG34" s="15">
        <f t="shared" si="18"/>
        <v>61.883615755663271</v>
      </c>
      <c r="AH34" s="15">
        <f t="shared" si="18"/>
        <v>61.883615755373278</v>
      </c>
      <c r="AI34" s="15">
        <f t="shared" si="18"/>
        <v>61.880656880567066</v>
      </c>
      <c r="AJ34" s="15">
        <f t="shared" si="18"/>
        <v>61.880752518080897</v>
      </c>
      <c r="AK34" s="15">
        <f t="shared" si="18"/>
        <v>61.880749435171502</v>
      </c>
      <c r="AL34" s="15">
        <f t="shared" si="18"/>
        <v>61.88074953452832</v>
      </c>
      <c r="AM34" s="15">
        <f t="shared" si="18"/>
        <v>61.880749531326209</v>
      </c>
      <c r="AN34" s="15">
        <f t="shared" si="18"/>
        <v>61.880749531429409</v>
      </c>
      <c r="AO34" s="15">
        <f t="shared" si="18"/>
        <v>61.88074953142609</v>
      </c>
      <c r="AP34" s="15">
        <f t="shared" si="18"/>
        <v>61.880749531426197</v>
      </c>
      <c r="AQ34" s="15">
        <f t="shared" si="18"/>
        <v>61.880749531426197</v>
      </c>
      <c r="AR34" s="15">
        <f t="shared" si="18"/>
        <v>61.880749531426197</v>
      </c>
      <c r="AS34" s="15">
        <f t="shared" si="18"/>
        <v>61.880749531426197</v>
      </c>
      <c r="AT34" s="15">
        <f t="shared" si="18"/>
        <v>61.880749531426197</v>
      </c>
      <c r="AU34" s="15">
        <f t="shared" si="18"/>
        <v>61.880749531426197</v>
      </c>
      <c r="AV34" s="15">
        <f t="shared" si="18"/>
        <v>61.880749531426197</v>
      </c>
      <c r="AW34" s="15">
        <f t="shared" si="18"/>
        <v>61.880749531426197</v>
      </c>
      <c r="AX34" s="15">
        <f t="shared" si="18"/>
        <v>61.880749531426197</v>
      </c>
      <c r="AY34" s="15">
        <f t="shared" si="18"/>
        <v>61.880749531426197</v>
      </c>
      <c r="AZ34" s="15">
        <f t="shared" si="18"/>
        <v>61.880749531426197</v>
      </c>
      <c r="BA34" s="15">
        <f t="shared" si="18"/>
        <v>61.880749531426197</v>
      </c>
      <c r="BB34" s="15">
        <f t="shared" si="18"/>
        <v>61.880749531426197</v>
      </c>
      <c r="BC34" s="15">
        <f t="shared" si="18"/>
        <v>61.880749531426197</v>
      </c>
      <c r="BD34" s="15">
        <f t="shared" si="18"/>
        <v>61.880749531426197</v>
      </c>
      <c r="BE34" s="15">
        <f t="shared" si="18"/>
        <v>61.880749531426197</v>
      </c>
      <c r="BF34" s="15">
        <f t="shared" si="18"/>
        <v>61.880749531426197</v>
      </c>
      <c r="BG34" s="15">
        <f t="shared" si="18"/>
        <v>61.880749531426197</v>
      </c>
      <c r="BH34" s="15">
        <f t="shared" si="18"/>
        <v>61.880749531426197</v>
      </c>
      <c r="BI34" s="15">
        <f t="shared" si="18"/>
        <v>61.880749531426197</v>
      </c>
      <c r="BJ34" s="15">
        <f t="shared" si="18"/>
        <v>61.880749531426197</v>
      </c>
      <c r="BK34" s="15">
        <f t="shared" si="18"/>
        <v>61.880749531426197</v>
      </c>
      <c r="BL34" s="15">
        <f t="shared" si="18"/>
        <v>61.880749531426197</v>
      </c>
      <c r="BM34" s="15">
        <f t="shared" si="18"/>
        <v>61.880749531426197</v>
      </c>
      <c r="BN34" s="15">
        <f t="shared" si="18"/>
        <v>61.880749531426197</v>
      </c>
    </row>
    <row r="35" spans="1:116" ht="20.100000000000001" customHeight="1">
      <c r="A35" s="278"/>
      <c r="B35" s="220" t="s">
        <v>104</v>
      </c>
      <c r="C35" s="221"/>
      <c r="D35" s="222"/>
      <c r="F35" s="176" t="s">
        <v>79</v>
      </c>
      <c r="G35" s="22">
        <f>J37/J32</f>
        <v>0.25</v>
      </c>
      <c r="H35" s="27"/>
      <c r="I35" s="176" t="s">
        <v>59</v>
      </c>
      <c r="J35" s="15">
        <f t="shared" si="17"/>
        <v>1.0207034531513237E-6</v>
      </c>
      <c r="K35" s="14" t="s">
        <v>60</v>
      </c>
      <c r="L35" s="27"/>
      <c r="M35" s="218"/>
      <c r="N35" s="218"/>
      <c r="O35" s="39" t="s">
        <v>13</v>
      </c>
      <c r="P35" s="15">
        <f t="shared" si="18"/>
        <v>10.857344210806325</v>
      </c>
      <c r="Q35" s="15">
        <f t="shared" si="18"/>
        <v>193.32441910343616</v>
      </c>
      <c r="R35" s="15">
        <f t="shared" si="18"/>
        <v>194.68749063908641</v>
      </c>
      <c r="S35" s="15">
        <f t="shared" si="18"/>
        <v>194.68787073594885</v>
      </c>
      <c r="T35" s="15">
        <f t="shared" si="18"/>
        <v>194.68795529494392</v>
      </c>
      <c r="U35" s="15">
        <f t="shared" si="18"/>
        <v>194.68795259897806</v>
      </c>
      <c r="V35" s="15">
        <f t="shared" si="18"/>
        <v>194.68795268589437</v>
      </c>
      <c r="W35" s="15">
        <f t="shared" si="18"/>
        <v>194.68795268309319</v>
      </c>
      <c r="X35" s="15">
        <f t="shared" si="18"/>
        <v>194.68795268318343</v>
      </c>
      <c r="Y35" s="15">
        <f t="shared" si="18"/>
        <v>194.68795268318058</v>
      </c>
      <c r="Z35" s="15">
        <f t="shared" si="18"/>
        <v>194.54561491038228</v>
      </c>
      <c r="AA35" s="15">
        <f t="shared" si="18"/>
        <v>194.56715771207863</v>
      </c>
      <c r="AB35" s="15">
        <f t="shared" si="18"/>
        <v>194.5649048389854</v>
      </c>
      <c r="AC35" s="15">
        <f t="shared" si="18"/>
        <v>194.56512127081592</v>
      </c>
      <c r="AD35" s="15">
        <f t="shared" si="18"/>
        <v>194.56510104185736</v>
      </c>
      <c r="AE35" s="15">
        <f t="shared" si="18"/>
        <v>194.5651029140312</v>
      </c>
      <c r="AF35" s="15">
        <f t="shared" si="18"/>
        <v>194.56510274138583</v>
      </c>
      <c r="AG35" s="15">
        <f t="shared" si="18"/>
        <v>194.56510275728539</v>
      </c>
      <c r="AH35" s="15">
        <f t="shared" si="18"/>
        <v>194.69474957380251</v>
      </c>
      <c r="AI35" s="15">
        <f t="shared" si="18"/>
        <v>194.68773695654698</v>
      </c>
      <c r="AJ35" s="15">
        <f t="shared" si="18"/>
        <v>194.68795963697835</v>
      </c>
      <c r="AK35" s="15">
        <f t="shared" si="18"/>
        <v>194.68795245907287</v>
      </c>
      <c r="AL35" s="15">
        <f t="shared" si="18"/>
        <v>194.68795269040322</v>
      </c>
      <c r="AM35" s="15">
        <f t="shared" si="18"/>
        <v>194.68795268294787</v>
      </c>
      <c r="AN35" s="15">
        <f t="shared" si="18"/>
        <v>194.68795268318814</v>
      </c>
      <c r="AO35" s="15">
        <f t="shared" si="18"/>
        <v>194.68795268318044</v>
      </c>
      <c r="AP35" s="15">
        <f t="shared" si="18"/>
        <v>194.68795268318067</v>
      </c>
      <c r="AQ35" s="15">
        <f t="shared" si="18"/>
        <v>194.68795268318067</v>
      </c>
      <c r="AR35" s="15">
        <f t="shared" si="18"/>
        <v>194.68795268318067</v>
      </c>
      <c r="AS35" s="15">
        <f t="shared" si="18"/>
        <v>194.68795268318067</v>
      </c>
      <c r="AT35" s="15">
        <f t="shared" si="18"/>
        <v>194.68795268318067</v>
      </c>
      <c r="AU35" s="15">
        <f t="shared" si="18"/>
        <v>194.68795268318067</v>
      </c>
      <c r="AV35" s="15">
        <f t="shared" si="18"/>
        <v>194.68795268318067</v>
      </c>
      <c r="AW35" s="15">
        <f t="shared" si="18"/>
        <v>194.68795268318067</v>
      </c>
      <c r="AX35" s="15">
        <f t="shared" si="18"/>
        <v>194.68795268318067</v>
      </c>
      <c r="AY35" s="15">
        <f t="shared" si="18"/>
        <v>194.68795268318067</v>
      </c>
      <c r="AZ35" s="15">
        <f t="shared" si="18"/>
        <v>194.68795268318067</v>
      </c>
      <c r="BA35" s="15">
        <f t="shared" si="18"/>
        <v>194.68795268318067</v>
      </c>
      <c r="BB35" s="15">
        <f t="shared" si="18"/>
        <v>194.68795268318067</v>
      </c>
      <c r="BC35" s="15">
        <f t="shared" si="18"/>
        <v>194.68795268318067</v>
      </c>
      <c r="BD35" s="15">
        <f t="shared" si="18"/>
        <v>194.68795268318067</v>
      </c>
      <c r="BE35" s="15">
        <f t="shared" si="18"/>
        <v>194.68795268318067</v>
      </c>
      <c r="BF35" s="15">
        <f t="shared" si="18"/>
        <v>194.68795268318067</v>
      </c>
      <c r="BG35" s="15">
        <f t="shared" si="18"/>
        <v>194.68795268318067</v>
      </c>
      <c r="BH35" s="15">
        <f t="shared" si="18"/>
        <v>194.68795268318067</v>
      </c>
      <c r="BI35" s="15">
        <f t="shared" si="18"/>
        <v>194.68795268318067</v>
      </c>
      <c r="BJ35" s="15">
        <f t="shared" si="18"/>
        <v>194.68795268318067</v>
      </c>
      <c r="BK35" s="15">
        <f t="shared" si="18"/>
        <v>194.68795268318067</v>
      </c>
      <c r="BL35" s="15">
        <f t="shared" si="18"/>
        <v>194.68795268318067</v>
      </c>
      <c r="BM35" s="15">
        <f t="shared" si="18"/>
        <v>194.68795268318067</v>
      </c>
      <c r="BN35" s="15">
        <f t="shared" si="18"/>
        <v>194.68795268318067</v>
      </c>
    </row>
    <row r="36" spans="1:116" ht="20.100000000000001" customHeight="1" thickBot="1">
      <c r="A36" s="278"/>
      <c r="B36" s="34" t="s">
        <v>85</v>
      </c>
      <c r="C36" s="15">
        <f>64*$C$31*(F23)/($C$32*$J$23^2)</f>
        <v>6.5095398428731768</v>
      </c>
      <c r="D36" s="22" t="s">
        <v>91</v>
      </c>
      <c r="F36" s="177" t="s">
        <v>80</v>
      </c>
      <c r="G36" s="24">
        <f>J38/J32</f>
        <v>0.5625</v>
      </c>
      <c r="H36" s="27"/>
      <c r="I36" s="176" t="s">
        <v>72</v>
      </c>
      <c r="J36" s="15">
        <f t="shared" si="17"/>
        <v>7.8539816339744823E-7</v>
      </c>
      <c r="K36" s="14" t="s">
        <v>60</v>
      </c>
      <c r="L36" s="27"/>
      <c r="M36" s="218"/>
      <c r="N36" s="218"/>
      <c r="O36" s="39" t="s">
        <v>14</v>
      </c>
      <c r="P36" s="15">
        <f t="shared" si="18"/>
        <v>61.242207189079423</v>
      </c>
      <c r="Q36" s="15">
        <f t="shared" si="18"/>
        <v>1181.6682409515633</v>
      </c>
      <c r="R36" s="15">
        <f t="shared" si="18"/>
        <v>1177.9124041620032</v>
      </c>
      <c r="S36" s="15">
        <f t="shared" si="18"/>
        <v>1177.8914254671317</v>
      </c>
      <c r="T36" s="15">
        <f t="shared" si="18"/>
        <v>1177.8920110858487</v>
      </c>
      <c r="U36" s="15">
        <f t="shared" si="18"/>
        <v>1177.8919921595575</v>
      </c>
      <c r="V36" s="15">
        <f t="shared" si="18"/>
        <v>1177.8919927694863</v>
      </c>
      <c r="W36" s="15">
        <f t="shared" si="18"/>
        <v>1177.8919927498289</v>
      </c>
      <c r="X36" s="15">
        <f t="shared" si="18"/>
        <v>1177.8919927504628</v>
      </c>
      <c r="Y36" s="15">
        <f t="shared" si="18"/>
        <v>1177.8919927504423</v>
      </c>
      <c r="Z36" s="15">
        <f t="shared" si="18"/>
        <v>1176.0562458522033</v>
      </c>
      <c r="AA36" s="15">
        <f t="shared" si="18"/>
        <v>1176.2830909224399</v>
      </c>
      <c r="AB36" s="15">
        <f t="shared" si="18"/>
        <v>1176.2602814274778</v>
      </c>
      <c r="AC36" s="15">
        <f t="shared" si="18"/>
        <v>1176.2624471151466</v>
      </c>
      <c r="AD36" s="15">
        <f t="shared" si="18"/>
        <v>1176.2622455535763</v>
      </c>
      <c r="AE36" s="15">
        <f t="shared" si="18"/>
        <v>1176.2622641793241</v>
      </c>
      <c r="AF36" s="15">
        <f t="shared" si="18"/>
        <v>1176.262262462697</v>
      </c>
      <c r="AG36" s="15">
        <f t="shared" si="18"/>
        <v>1176.2622626207542</v>
      </c>
      <c r="AH36" s="15">
        <f t="shared" si="18"/>
        <v>1177.9388680349446</v>
      </c>
      <c r="AI36" s="15">
        <f t="shared" si="18"/>
        <v>1177.890478557453</v>
      </c>
      <c r="AJ36" s="15">
        <f t="shared" si="18"/>
        <v>1177.892041548238</v>
      </c>
      <c r="AK36" s="15">
        <f t="shared" si="18"/>
        <v>1177.8919911777734</v>
      </c>
      <c r="AL36" s="15">
        <f t="shared" si="18"/>
        <v>1177.8919928011273</v>
      </c>
      <c r="AM36" s="15">
        <f t="shared" si="18"/>
        <v>1177.8919927488096</v>
      </c>
      <c r="AN36" s="15">
        <f t="shared" si="18"/>
        <v>1177.8919927504958</v>
      </c>
      <c r="AO36" s="15">
        <f t="shared" si="18"/>
        <v>1177.8919927504414</v>
      </c>
      <c r="AP36" s="15">
        <f t="shared" si="18"/>
        <v>1177.891992750443</v>
      </c>
      <c r="AQ36" s="15">
        <f t="shared" si="18"/>
        <v>1177.891992750443</v>
      </c>
      <c r="AR36" s="15">
        <f t="shared" si="18"/>
        <v>1177.891992750443</v>
      </c>
      <c r="AS36" s="15">
        <f t="shared" si="18"/>
        <v>1177.891992750443</v>
      </c>
      <c r="AT36" s="15">
        <f t="shared" si="18"/>
        <v>1177.891992750443</v>
      </c>
      <c r="AU36" s="15">
        <f t="shared" si="18"/>
        <v>1177.891992750443</v>
      </c>
      <c r="AV36" s="15">
        <f t="shared" si="18"/>
        <v>1177.891992750443</v>
      </c>
      <c r="AW36" s="15">
        <f t="shared" si="18"/>
        <v>1177.891992750443</v>
      </c>
      <c r="AX36" s="15">
        <f t="shared" si="18"/>
        <v>1177.891992750443</v>
      </c>
      <c r="AY36" s="15">
        <f t="shared" si="18"/>
        <v>1177.891992750443</v>
      </c>
      <c r="AZ36" s="15">
        <f t="shared" si="18"/>
        <v>1177.891992750443</v>
      </c>
      <c r="BA36" s="15">
        <f t="shared" si="18"/>
        <v>1177.891992750443</v>
      </c>
      <c r="BB36" s="15">
        <f t="shared" si="18"/>
        <v>1177.891992750443</v>
      </c>
      <c r="BC36" s="15">
        <f t="shared" si="18"/>
        <v>1177.891992750443</v>
      </c>
      <c r="BD36" s="15">
        <f t="shared" si="18"/>
        <v>1177.891992750443</v>
      </c>
      <c r="BE36" s="15">
        <f t="shared" si="18"/>
        <v>1177.891992750443</v>
      </c>
      <c r="BF36" s="15">
        <f t="shared" si="18"/>
        <v>1177.891992750443</v>
      </c>
      <c r="BG36" s="15">
        <f t="shared" si="18"/>
        <v>1177.891992750443</v>
      </c>
      <c r="BH36" s="15">
        <f t="shared" si="18"/>
        <v>1177.891992750443</v>
      </c>
      <c r="BI36" s="15">
        <f t="shared" si="18"/>
        <v>1177.891992750443</v>
      </c>
      <c r="BJ36" s="15">
        <f t="shared" si="18"/>
        <v>1177.891992750443</v>
      </c>
      <c r="BK36" s="15">
        <f t="shared" si="18"/>
        <v>1177.891992750443</v>
      </c>
      <c r="BL36" s="15">
        <f t="shared" si="18"/>
        <v>1177.891992750443</v>
      </c>
      <c r="BM36" s="15">
        <f t="shared" si="18"/>
        <v>1177.891992750443</v>
      </c>
      <c r="BN36" s="15">
        <f t="shared" si="18"/>
        <v>1177.891992750443</v>
      </c>
    </row>
    <row r="37" spans="1:116" ht="20.100000000000001" customHeight="1">
      <c r="A37" s="278"/>
      <c r="B37" s="34" t="s">
        <v>86</v>
      </c>
      <c r="C37" s="15">
        <f>64*$C$31*(F24)/($C$32*$J$23^2)</f>
        <v>6.5095398428731768</v>
      </c>
      <c r="D37" s="22" t="s">
        <v>91</v>
      </c>
      <c r="E37" s="27"/>
      <c r="F37" s="27"/>
      <c r="G37" s="27"/>
      <c r="H37" s="27"/>
      <c r="I37" s="176" t="s">
        <v>73</v>
      </c>
      <c r="J37" s="15">
        <f t="shared" si="17"/>
        <v>3.1415926535897929E-6</v>
      </c>
      <c r="K37" s="14" t="s">
        <v>60</v>
      </c>
      <c r="L37" s="27"/>
      <c r="M37" s="218"/>
      <c r="N37" s="218"/>
      <c r="O37" s="39" t="s">
        <v>15</v>
      </c>
      <c r="P37" s="15">
        <f t="shared" ref="P37:BN37" si="19">P24*$J32*1000000*60</f>
        <v>753.98223686155029</v>
      </c>
      <c r="Q37" s="15">
        <f t="shared" si="19"/>
        <v>1433.3892406569855</v>
      </c>
      <c r="R37" s="15">
        <f t="shared" si="19"/>
        <v>1434.4823997398928</v>
      </c>
      <c r="S37" s="15">
        <f t="shared" si="19"/>
        <v>1434.4600101666178</v>
      </c>
      <c r="T37" s="15">
        <f t="shared" si="19"/>
        <v>1434.4607170344013</v>
      </c>
      <c r="U37" s="15">
        <f t="shared" si="19"/>
        <v>1434.4606942537964</v>
      </c>
      <c r="V37" s="15">
        <f t="shared" si="19"/>
        <v>1434.4606949879724</v>
      </c>
      <c r="W37" s="15">
        <f t="shared" si="19"/>
        <v>1434.460694964311</v>
      </c>
      <c r="X37" s="15">
        <f t="shared" si="19"/>
        <v>1434.4606949650733</v>
      </c>
      <c r="Y37" s="15">
        <f t="shared" si="19"/>
        <v>1434.460694965049</v>
      </c>
      <c r="Z37" s="15">
        <f t="shared" si="19"/>
        <v>1432.4826102940115</v>
      </c>
      <c r="AA37" s="15">
        <f t="shared" si="19"/>
        <v>1432.7342383327798</v>
      </c>
      <c r="AB37" s="15">
        <f t="shared" si="19"/>
        <v>1432.7087639376439</v>
      </c>
      <c r="AC37" s="15">
        <f t="shared" si="19"/>
        <v>1432.7111877720256</v>
      </c>
      <c r="AD37" s="15">
        <f t="shared" si="19"/>
        <v>1432.7109620124338</v>
      </c>
      <c r="AE37" s="15">
        <f t="shared" si="19"/>
        <v>1432.7109828800399</v>
      </c>
      <c r="AF37" s="15">
        <f t="shared" si="19"/>
        <v>1432.7109809565964</v>
      </c>
      <c r="AG37" s="15">
        <f t="shared" si="19"/>
        <v>1432.7109811337029</v>
      </c>
      <c r="AH37" s="15">
        <f t="shared" si="19"/>
        <v>1434.5172333641203</v>
      </c>
      <c r="AI37" s="15">
        <f t="shared" si="19"/>
        <v>1434.4588723945672</v>
      </c>
      <c r="AJ37" s="15">
        <f t="shared" si="19"/>
        <v>1434.4607537032969</v>
      </c>
      <c r="AK37" s="15">
        <f t="shared" si="19"/>
        <v>1434.4606930720179</v>
      </c>
      <c r="AL37" s="15">
        <f t="shared" si="19"/>
        <v>1434.4606950260591</v>
      </c>
      <c r="AM37" s="15">
        <f t="shared" si="19"/>
        <v>1434.4606949630836</v>
      </c>
      <c r="AN37" s="15">
        <f t="shared" si="19"/>
        <v>1434.4606949651131</v>
      </c>
      <c r="AO37" s="15">
        <f t="shared" si="19"/>
        <v>1434.4606949650479</v>
      </c>
      <c r="AP37" s="15">
        <f t="shared" si="19"/>
        <v>1434.4606949650499</v>
      </c>
      <c r="AQ37" s="15">
        <f t="shared" si="19"/>
        <v>1434.4606949650499</v>
      </c>
      <c r="AR37" s="15">
        <f t="shared" si="19"/>
        <v>1434.4606949650499</v>
      </c>
      <c r="AS37" s="15">
        <f t="shared" si="19"/>
        <v>1434.4606949650499</v>
      </c>
      <c r="AT37" s="15">
        <f t="shared" si="19"/>
        <v>1434.4606949650499</v>
      </c>
      <c r="AU37" s="15">
        <f t="shared" si="19"/>
        <v>1434.4606949650499</v>
      </c>
      <c r="AV37" s="15">
        <f t="shared" si="19"/>
        <v>1434.4606949650499</v>
      </c>
      <c r="AW37" s="15">
        <f t="shared" si="19"/>
        <v>1434.4606949650499</v>
      </c>
      <c r="AX37" s="15">
        <f t="shared" si="19"/>
        <v>1434.4606949650499</v>
      </c>
      <c r="AY37" s="15">
        <f t="shared" si="19"/>
        <v>1434.4606949650499</v>
      </c>
      <c r="AZ37" s="15">
        <f t="shared" si="19"/>
        <v>1434.4606949650499</v>
      </c>
      <c r="BA37" s="15">
        <f t="shared" si="19"/>
        <v>1434.4606949650499</v>
      </c>
      <c r="BB37" s="15">
        <f t="shared" si="19"/>
        <v>1434.4606949650499</v>
      </c>
      <c r="BC37" s="15">
        <f t="shared" si="19"/>
        <v>1434.4606949650499</v>
      </c>
      <c r="BD37" s="15">
        <f t="shared" si="19"/>
        <v>1434.4606949650499</v>
      </c>
      <c r="BE37" s="15">
        <f t="shared" si="19"/>
        <v>1434.4606949650499</v>
      </c>
      <c r="BF37" s="15">
        <f t="shared" si="19"/>
        <v>1434.4606949650499</v>
      </c>
      <c r="BG37" s="15">
        <f t="shared" si="19"/>
        <v>1434.4606949650499</v>
      </c>
      <c r="BH37" s="15">
        <f t="shared" si="19"/>
        <v>1434.4606949650499</v>
      </c>
      <c r="BI37" s="15">
        <f t="shared" si="19"/>
        <v>1434.4606949650499</v>
      </c>
      <c r="BJ37" s="15">
        <f t="shared" si="19"/>
        <v>1434.4606949650499</v>
      </c>
      <c r="BK37" s="15">
        <f t="shared" si="19"/>
        <v>1434.4606949650499</v>
      </c>
      <c r="BL37" s="15">
        <f t="shared" si="19"/>
        <v>1434.4606949650499</v>
      </c>
      <c r="BM37" s="15">
        <f t="shared" si="19"/>
        <v>1434.4606949650499</v>
      </c>
      <c r="BN37" s="15">
        <f t="shared" si="19"/>
        <v>1434.4606949650499</v>
      </c>
    </row>
    <row r="38" spans="1:116" ht="20.100000000000001" customHeight="1" thickBot="1">
      <c r="A38" s="278"/>
      <c r="B38" s="34" t="s">
        <v>87</v>
      </c>
      <c r="C38" s="15">
        <f>64*$C$31*(F25)/($C$32*$J$23^2)</f>
        <v>6.5095398428731768</v>
      </c>
      <c r="D38" s="22" t="s">
        <v>91</v>
      </c>
      <c r="E38" s="27"/>
      <c r="F38" s="27"/>
      <c r="G38" s="27"/>
      <c r="H38" s="27"/>
      <c r="I38" s="177" t="s">
        <v>74</v>
      </c>
      <c r="J38" s="15">
        <f t="shared" si="17"/>
        <v>7.0685834705770344E-6</v>
      </c>
      <c r="K38" s="21" t="s">
        <v>60</v>
      </c>
      <c r="L38" s="27"/>
      <c r="M38" s="29"/>
      <c r="N38" s="29"/>
      <c r="O38" s="16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116" ht="19.5" customHeight="1" thickBot="1">
      <c r="A39" s="278"/>
      <c r="B39" s="34" t="s">
        <v>82</v>
      </c>
      <c r="C39" s="15">
        <f>64*$C$31*F26/($C$32*J27^2)</f>
        <v>104.15263748597083</v>
      </c>
      <c r="D39" s="22" t="s">
        <v>91</v>
      </c>
      <c r="E39" s="27"/>
      <c r="F39" s="27"/>
      <c r="G39" s="27"/>
      <c r="H39" s="27"/>
      <c r="I39" s="27"/>
      <c r="J39" s="27"/>
      <c r="K39" s="27"/>
      <c r="L39" s="27"/>
      <c r="M39" s="29"/>
      <c r="N39" s="29"/>
      <c r="O39" s="29"/>
      <c r="P39" s="27"/>
      <c r="Q39" s="2">
        <v>1.90109152521081</v>
      </c>
      <c r="R39" s="2">
        <v>1.8526708604706901</v>
      </c>
      <c r="S39" s="2">
        <v>1.8572022532450401</v>
      </c>
      <c r="T39" s="2">
        <v>1.8567856383432899</v>
      </c>
      <c r="U39" s="2">
        <v>1.85682397863865</v>
      </c>
      <c r="V39" s="2">
        <v>1.85682045055459</v>
      </c>
      <c r="W39" s="2">
        <v>1.85682077521238</v>
      </c>
      <c r="X39" s="2">
        <v>1.85682074533707</v>
      </c>
      <c r="Y39" s="2">
        <v>1.85682074808622</v>
      </c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</row>
    <row r="40" spans="1:116" ht="20.100000000000001" customHeight="1">
      <c r="A40" s="278"/>
      <c r="B40" s="34" t="s">
        <v>83</v>
      </c>
      <c r="C40" s="15">
        <f>64*$C$31*F27/($C$32*J28^2)</f>
        <v>26.038159371492707</v>
      </c>
      <c r="D40" s="22" t="s">
        <v>91</v>
      </c>
      <c r="E40" s="294" t="s">
        <v>89</v>
      </c>
      <c r="F40" s="208"/>
      <c r="G40" s="208"/>
      <c r="H40" s="208"/>
      <c r="I40" s="209"/>
      <c r="J40" s="27"/>
      <c r="K40" s="7"/>
      <c r="L40" s="7"/>
      <c r="M40" s="29"/>
      <c r="N40" s="27"/>
      <c r="Q40" s="2">
        <v>0.206051406625895</v>
      </c>
      <c r="R40" s="2">
        <v>0.19635582115630401</v>
      </c>
      <c r="S40" s="2">
        <v>0.197255155762495</v>
      </c>
      <c r="T40" s="2">
        <v>0.19717240171247799</v>
      </c>
      <c r="U40" s="2">
        <v>0.19718001682633099</v>
      </c>
      <c r="V40" s="2">
        <v>0.19717931607657499</v>
      </c>
      <c r="W40" s="2">
        <v>0.197179380560219</v>
      </c>
      <c r="X40" s="2">
        <v>0.197179374626374</v>
      </c>
      <c r="Y40" s="2">
        <v>0.19717937517241199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116" ht="20.100000000000001" customHeight="1" thickBot="1">
      <c r="A41" s="278"/>
      <c r="B41" s="35" t="s">
        <v>84</v>
      </c>
      <c r="C41" s="20">
        <f>64*$C$31*F28/($C$32*J29^2)</f>
        <v>11.572515276218981</v>
      </c>
      <c r="D41" s="24" t="s">
        <v>91</v>
      </c>
      <c r="E41" s="90"/>
      <c r="F41" s="262" t="s">
        <v>90</v>
      </c>
      <c r="G41" s="262"/>
      <c r="H41" s="262" t="s">
        <v>111</v>
      </c>
      <c r="I41" s="263"/>
      <c r="J41" s="27"/>
      <c r="K41" s="7"/>
      <c r="L41" s="7"/>
      <c r="M41" s="29"/>
      <c r="N41" s="27"/>
      <c r="Q41" s="2">
        <v>0.32764245992230201</v>
      </c>
      <c r="R41" s="2">
        <v>0.31184236497851198</v>
      </c>
      <c r="S41" s="2">
        <v>0.31316046627258598</v>
      </c>
      <c r="T41" s="2">
        <v>0.31303923974478498</v>
      </c>
      <c r="U41" s="2">
        <v>0.31305039551778902</v>
      </c>
      <c r="V41" s="2">
        <v>0.31304936895651397</v>
      </c>
      <c r="W41" s="2">
        <v>0.31304946342166401</v>
      </c>
      <c r="X41" s="2">
        <v>0.31304945472889301</v>
      </c>
      <c r="Y41" s="2">
        <v>0.31304945552880997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116" ht="20.100000000000001" customHeight="1">
      <c r="A42" s="278"/>
      <c r="B42" s="27"/>
      <c r="C42" s="27"/>
      <c r="D42" s="27"/>
      <c r="E42" s="86" t="s">
        <v>112</v>
      </c>
      <c r="F42" s="84" t="s">
        <v>105</v>
      </c>
      <c r="G42" s="13">
        <v>500</v>
      </c>
      <c r="H42" s="84" t="s">
        <v>106</v>
      </c>
      <c r="I42" s="14">
        <v>0.7</v>
      </c>
      <c r="J42" s="27"/>
      <c r="K42" s="27"/>
      <c r="L42" s="27"/>
      <c r="M42" s="29"/>
      <c r="N42" s="27"/>
      <c r="Q42" s="2">
        <v>0.32967455067157098</v>
      </c>
      <c r="R42" s="2">
        <v>0.31317552964162199</v>
      </c>
      <c r="S42" s="2">
        <v>0.31448707178553198</v>
      </c>
      <c r="T42" s="2">
        <v>0.31436636713534899</v>
      </c>
      <c r="U42" s="2">
        <v>0.31437747525204601</v>
      </c>
      <c r="V42" s="2">
        <v>0.31437645307874201</v>
      </c>
      <c r="W42" s="2">
        <v>0.31437654714012903</v>
      </c>
      <c r="X42" s="2">
        <v>0.31437653848451302</v>
      </c>
      <c r="Y42" s="2">
        <v>0.314376539281011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116" ht="20.100000000000001" customHeight="1">
      <c r="A43" s="278"/>
      <c r="B43" s="27"/>
      <c r="C43" s="27"/>
      <c r="D43" s="27"/>
      <c r="E43" s="86" t="s">
        <v>113</v>
      </c>
      <c r="F43" s="84" t="s">
        <v>107</v>
      </c>
      <c r="G43" s="13">
        <v>200</v>
      </c>
      <c r="H43" s="84" t="s">
        <v>108</v>
      </c>
      <c r="I43" s="14">
        <v>1.1000000000000001</v>
      </c>
      <c r="J43" s="27"/>
      <c r="K43" s="27"/>
      <c r="L43" s="27"/>
      <c r="M43" s="29"/>
      <c r="N43" s="27"/>
      <c r="Q43" s="2">
        <v>15.4729604356327</v>
      </c>
      <c r="R43" s="2">
        <v>16.396603032325</v>
      </c>
      <c r="S43" s="2">
        <v>16.412326968588602</v>
      </c>
      <c r="T43" s="2">
        <v>16.410865761964502</v>
      </c>
      <c r="U43" s="2">
        <v>16.411000194098701</v>
      </c>
      <c r="V43" s="2">
        <v>16.4109878233137</v>
      </c>
      <c r="W43" s="2">
        <v>16.410988961683</v>
      </c>
      <c r="X43" s="2">
        <v>16.410988856929201</v>
      </c>
      <c r="Y43" s="2">
        <v>16.410988866568701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116" ht="20.100000000000001" customHeight="1">
      <c r="A44" s="278"/>
      <c r="B44" s="27"/>
      <c r="C44" s="27"/>
      <c r="D44" s="27"/>
      <c r="E44" s="86" t="s">
        <v>114</v>
      </c>
      <c r="F44" s="84" t="s">
        <v>109</v>
      </c>
      <c r="G44" s="13">
        <v>160</v>
      </c>
      <c r="H44" s="84" t="s">
        <v>110</v>
      </c>
      <c r="I44" s="14">
        <v>1</v>
      </c>
      <c r="J44" s="27"/>
      <c r="K44" s="27"/>
      <c r="L44" s="27"/>
      <c r="M44" s="29"/>
      <c r="N44" s="27"/>
      <c r="Q44" s="2">
        <v>17.8058662735423</v>
      </c>
      <c r="R44" s="2">
        <v>17.604856480598698</v>
      </c>
      <c r="S44" s="2">
        <v>17.6358245652962</v>
      </c>
      <c r="T44" s="2">
        <v>17.632998164330601</v>
      </c>
      <c r="U44" s="2">
        <v>17.6332582211652</v>
      </c>
      <c r="V44" s="2">
        <v>17.6332342903385</v>
      </c>
      <c r="W44" s="2">
        <v>17.633236492474001</v>
      </c>
      <c r="X44" s="2">
        <v>17.633236289831402</v>
      </c>
      <c r="Y44" s="2">
        <v>17.6332363084788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116" ht="20.100000000000001" customHeight="1">
      <c r="A45" s="278"/>
      <c r="B45" s="27"/>
      <c r="C45" s="27"/>
      <c r="D45" s="27"/>
      <c r="E45" s="86"/>
      <c r="F45" s="13"/>
      <c r="G45" s="13"/>
      <c r="H45" s="13"/>
      <c r="I45" s="14"/>
      <c r="J45" s="27"/>
      <c r="K45" s="27"/>
      <c r="L45" s="27"/>
      <c r="M45" s="29"/>
      <c r="N45" s="27"/>
      <c r="Q45" s="2">
        <v>19.294997603585301</v>
      </c>
      <c r="R45" s="2">
        <v>18.677583328828199</v>
      </c>
      <c r="S45" s="2">
        <v>18.726912294159099</v>
      </c>
      <c r="T45" s="2">
        <v>18.7223742754854</v>
      </c>
      <c r="U45" s="2">
        <v>18.722791912524499</v>
      </c>
      <c r="V45" s="2">
        <v>18.722753481531299</v>
      </c>
      <c r="W45" s="2">
        <v>18.722757017989998</v>
      </c>
      <c r="X45" s="2">
        <v>18.722756692561799</v>
      </c>
      <c r="Y45" s="2">
        <v>18.722756722507999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</row>
    <row r="46" spans="1:116" ht="20.100000000000001" customHeight="1">
      <c r="A46" s="278"/>
      <c r="B46" s="27"/>
      <c r="C46" s="27"/>
      <c r="D46" s="27"/>
      <c r="E46" s="86" t="s">
        <v>26</v>
      </c>
      <c r="F46" s="13"/>
      <c r="G46" s="13">
        <f>$G$42*$C$31/($C$32*J27)</f>
        <v>16.273849607182939</v>
      </c>
      <c r="H46" s="13"/>
      <c r="I46" s="14">
        <f>$I$42*(0.0254/$J$23+1)</f>
        <v>5.1449999999999996</v>
      </c>
      <c r="J46" s="27"/>
      <c r="K46" s="27"/>
      <c r="L46" s="27"/>
      <c r="M46" s="29"/>
      <c r="N46" s="2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</row>
    <row r="47" spans="1:116" ht="20.100000000000001" customHeight="1">
      <c r="A47" s="278"/>
      <c r="B47" s="180"/>
      <c r="C47" s="27"/>
      <c r="D47" s="27"/>
      <c r="E47" s="86" t="s">
        <v>27</v>
      </c>
      <c r="F47" s="85"/>
      <c r="G47" s="13">
        <f t="shared" ref="G47:G48" si="20">$G$42*$C$31/($C$32*J28)</f>
        <v>8.1369248035914694</v>
      </c>
      <c r="H47" s="13"/>
      <c r="I47" s="14">
        <f>$I$42*(0.0254/$J$23+1)</f>
        <v>5.1449999999999996</v>
      </c>
      <c r="J47" s="27"/>
      <c r="K47" s="27"/>
      <c r="L47" s="27"/>
      <c r="M47" s="27"/>
      <c r="N47" s="27"/>
      <c r="O47" s="27"/>
      <c r="P47" s="27"/>
      <c r="Q47" s="184">
        <f t="shared" ref="Q47:Q53" si="21">Q24-Q39</f>
        <v>3.5527136788005009E-15</v>
      </c>
      <c r="R47" s="184">
        <f t="shared" ref="R47:Y53" si="22">R24-R39</f>
        <v>4.9870512003710843E-2</v>
      </c>
      <c r="S47" s="184">
        <f t="shared" si="22"/>
        <v>4.5309424135524079E-2</v>
      </c>
      <c r="T47" s="184">
        <f t="shared" si="22"/>
        <v>4.5726976549789855E-2</v>
      </c>
      <c r="U47" s="184">
        <f t="shared" si="22"/>
        <v>4.5688606040713786E-2</v>
      </c>
      <c r="V47" s="184">
        <f t="shared" si="22"/>
        <v>4.5692135098504894E-2</v>
      </c>
      <c r="W47" s="184">
        <f t="shared" si="22"/>
        <v>4.5691810409333122E-2</v>
      </c>
      <c r="X47" s="184">
        <f t="shared" si="22"/>
        <v>4.5691840285654317E-2</v>
      </c>
      <c r="Y47" s="184">
        <f t="shared" si="22"/>
        <v>4.569183753647188E-2</v>
      </c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5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</row>
    <row r="48" spans="1:116" ht="20.100000000000001" customHeight="1">
      <c r="A48" s="278"/>
      <c r="B48" s="180"/>
      <c r="C48" s="27"/>
      <c r="D48" s="27"/>
      <c r="E48" s="86" t="s">
        <v>28</v>
      </c>
      <c r="F48" s="85"/>
      <c r="G48" s="13">
        <f t="shared" si="20"/>
        <v>5.4246165357276466</v>
      </c>
      <c r="H48" s="13"/>
      <c r="I48" s="14">
        <f>$I$42*(0.0254/$J$23+1)</f>
        <v>5.1449999999999996</v>
      </c>
      <c r="J48" s="27"/>
      <c r="K48" s="27"/>
      <c r="L48" s="27"/>
      <c r="M48" s="27"/>
      <c r="N48" s="27"/>
      <c r="O48" s="27"/>
      <c r="P48" s="27"/>
      <c r="Q48" s="184">
        <f t="shared" si="21"/>
        <v>-4.9960036108132044E-16</v>
      </c>
      <c r="R48" s="184">
        <f t="shared" si="22"/>
        <v>9.9887947399029398E-3</v>
      </c>
      <c r="S48" s="184">
        <f t="shared" si="22"/>
        <v>9.0834530799786539E-3</v>
      </c>
      <c r="T48" s="184">
        <f t="shared" si="22"/>
        <v>9.1663967793777779E-3</v>
      </c>
      <c r="U48" s="184">
        <f t="shared" si="22"/>
        <v>9.1587755535916804E-3</v>
      </c>
      <c r="V48" s="184">
        <f t="shared" si="22"/>
        <v>9.1594765003238376E-3</v>
      </c>
      <c r="W48" s="184">
        <f t="shared" si="22"/>
        <v>9.1594120103314636E-3</v>
      </c>
      <c r="X48" s="184">
        <f t="shared" si="22"/>
        <v>9.1594179443811319E-3</v>
      </c>
      <c r="Y48" s="184">
        <f t="shared" si="22"/>
        <v>9.1594173983365057E-3</v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5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</row>
    <row r="49" spans="1:116" ht="20.100000000000001" customHeight="1">
      <c r="A49" s="278"/>
      <c r="B49" s="180"/>
      <c r="C49" s="27"/>
      <c r="D49" s="27"/>
      <c r="E49" s="86" t="s">
        <v>124</v>
      </c>
      <c r="F49" s="13"/>
      <c r="G49" s="13">
        <f>$G$44*$C$31/($C$32*J24)</f>
        <v>18.401526057592019</v>
      </c>
      <c r="H49" s="13"/>
      <c r="I49" s="14">
        <f>$I$44</f>
        <v>1</v>
      </c>
      <c r="J49" s="27"/>
      <c r="K49" s="27"/>
      <c r="L49" s="27"/>
      <c r="M49" s="27"/>
      <c r="N49" s="27"/>
      <c r="O49" s="27"/>
      <c r="P49" s="27"/>
      <c r="Q49" s="184">
        <f t="shared" si="21"/>
        <v>0</v>
      </c>
      <c r="R49" s="184">
        <f t="shared" si="22"/>
        <v>1.4848888014283357E-2</v>
      </c>
      <c r="S49" s="184">
        <f t="shared" si="22"/>
        <v>1.3522601288545821E-2</v>
      </c>
      <c r="T49" s="184">
        <f t="shared" si="22"/>
        <v>1.3644094129423467E-2</v>
      </c>
      <c r="U49" s="184">
        <f t="shared" si="22"/>
        <v>1.3632929764235191E-2</v>
      </c>
      <c r="V49" s="184">
        <f t="shared" si="22"/>
        <v>1.3633956602420283E-2</v>
      </c>
      <c r="W49" s="184">
        <f t="shared" si="22"/>
        <v>1.3633862128345942E-2</v>
      </c>
      <c r="X49" s="184">
        <f t="shared" si="22"/>
        <v>1.3633870821404437E-2</v>
      </c>
      <c r="Y49" s="184">
        <f t="shared" si="22"/>
        <v>1.3633870021478367E-2</v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5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</row>
    <row r="50" spans="1:116" ht="20.100000000000001" customHeight="1">
      <c r="A50" s="278"/>
      <c r="B50" s="180"/>
      <c r="C50" s="27"/>
      <c r="D50" s="27"/>
      <c r="E50" s="86" t="s">
        <v>125</v>
      </c>
      <c r="F50" s="13"/>
      <c r="G50" s="13">
        <f t="shared" ref="G50:G51" si="23">$G$44*$C$31/($C$32*J25)</f>
        <v>10.849233071455295</v>
      </c>
      <c r="H50" s="13"/>
      <c r="I50" s="14">
        <f>$I$44</f>
        <v>1</v>
      </c>
      <c r="J50" s="27"/>
      <c r="K50" s="27"/>
      <c r="L50" s="27"/>
      <c r="M50" s="27"/>
      <c r="N50" s="27"/>
      <c r="O50" s="27"/>
      <c r="P50" s="27"/>
      <c r="Q50" s="184">
        <f t="shared" si="21"/>
        <v>0.17704580543660259</v>
      </c>
      <c r="R50" s="184">
        <f t="shared" si="22"/>
        <v>0.19305728619661033</v>
      </c>
      <c r="S50" s="184">
        <f t="shared" si="22"/>
        <v>0.19173617167459173</v>
      </c>
      <c r="T50" s="184">
        <f t="shared" si="22"/>
        <v>0.1918572336517273</v>
      </c>
      <c r="U50" s="184">
        <f t="shared" si="22"/>
        <v>0.1918461140216679</v>
      </c>
      <c r="V50" s="184">
        <f t="shared" si="22"/>
        <v>0.19184713656604074</v>
      </c>
      <c r="W50" s="184">
        <f t="shared" si="22"/>
        <v>0.19184704249269463</v>
      </c>
      <c r="X50" s="184">
        <f t="shared" si="22"/>
        <v>0.1918470511486961</v>
      </c>
      <c r="Y50" s="184">
        <f t="shared" si="22"/>
        <v>0.1918470503521858</v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5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1:116" ht="20.100000000000001" customHeight="1">
      <c r="A51" s="278"/>
      <c r="B51" s="180"/>
      <c r="C51" s="27"/>
      <c r="D51" s="27"/>
      <c r="E51" s="86" t="s">
        <v>126</v>
      </c>
      <c r="F51" s="13"/>
      <c r="G51" s="13">
        <f t="shared" si="23"/>
        <v>4.5680981353495982</v>
      </c>
      <c r="H51" s="13"/>
      <c r="I51" s="14">
        <f>$I$44</f>
        <v>1</v>
      </c>
      <c r="J51" s="27"/>
      <c r="K51" s="27"/>
      <c r="L51" s="27"/>
      <c r="M51" s="27"/>
      <c r="N51" s="27"/>
      <c r="O51" s="27"/>
      <c r="P51" s="27"/>
      <c r="Q51" s="184">
        <f t="shared" si="21"/>
        <v>0</v>
      </c>
      <c r="R51" s="184">
        <f t="shared" si="22"/>
        <v>0</v>
      </c>
      <c r="S51" s="184">
        <f t="shared" si="22"/>
        <v>-1.6198479278589417E-2</v>
      </c>
      <c r="T51" s="184">
        <f t="shared" si="22"/>
        <v>-1.4727551125925942E-2</v>
      </c>
      <c r="U51" s="184">
        <f t="shared" si="22"/>
        <v>-1.4862290179973314E-2</v>
      </c>
      <c r="V51" s="184">
        <f t="shared" si="22"/>
        <v>-1.4849909503702463E-2</v>
      </c>
      <c r="W51" s="184">
        <f t="shared" si="22"/>
        <v>-1.4851048191779626E-2</v>
      </c>
      <c r="X51" s="184">
        <f t="shared" si="22"/>
        <v>-1.4850943427706653E-2</v>
      </c>
      <c r="Y51" s="184">
        <f t="shared" si="22"/>
        <v>-1.4850953067536921E-2</v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5"/>
    </row>
    <row r="52" spans="1:116" ht="20.100000000000001" customHeight="1">
      <c r="A52" s="278"/>
      <c r="B52" s="180"/>
      <c r="C52" s="27"/>
      <c r="D52" s="27"/>
      <c r="E52" s="86" t="s">
        <v>127</v>
      </c>
      <c r="F52" s="13"/>
      <c r="G52" s="13">
        <f>$G$43*$C$31/$C$32/$J$23</f>
        <v>1.6273849607182942</v>
      </c>
      <c r="H52" s="13"/>
      <c r="I52" s="14">
        <f>$I$43*(0.0254/$J$23+1)</f>
        <v>8.0850000000000009</v>
      </c>
      <c r="J52" s="27"/>
      <c r="K52" s="27"/>
      <c r="L52" s="27"/>
      <c r="M52" s="27"/>
      <c r="N52" s="27"/>
      <c r="O52" s="27"/>
      <c r="P52" s="27"/>
      <c r="Q52" s="184">
        <f t="shared" si="21"/>
        <v>0</v>
      </c>
      <c r="R52" s="184">
        <f t="shared" si="22"/>
        <v>0.32655352713724284</v>
      </c>
      <c r="S52" s="184">
        <f t="shared" si="22"/>
        <v>0.29562045071202547</v>
      </c>
      <c r="T52" s="184">
        <f t="shared" si="22"/>
        <v>0.29845463986168141</v>
      </c>
      <c r="U52" s="184">
        <f t="shared" si="22"/>
        <v>0.29819433471904233</v>
      </c>
      <c r="V52" s="184">
        <f t="shared" si="22"/>
        <v>0.29821827355104347</v>
      </c>
      <c r="W52" s="184">
        <f t="shared" si="22"/>
        <v>0.29821607115754389</v>
      </c>
      <c r="X52" s="184">
        <f t="shared" si="22"/>
        <v>0.29821627380845683</v>
      </c>
      <c r="Y52" s="184">
        <f t="shared" si="22"/>
        <v>0.29821625516079564</v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5"/>
    </row>
    <row r="53" spans="1:116" ht="20.100000000000001" customHeight="1" thickBot="1">
      <c r="A53" s="278"/>
      <c r="B53" s="180"/>
      <c r="C53" s="27"/>
      <c r="D53" s="27"/>
      <c r="E53" s="87" t="s">
        <v>128</v>
      </c>
      <c r="F53" s="19"/>
      <c r="G53" s="19">
        <f>$G$43*$C$31/$C$32/$J$23</f>
        <v>1.6273849607182942</v>
      </c>
      <c r="H53" s="19"/>
      <c r="I53" s="21">
        <f>$I$43*(0.0254/$J$23+1)</f>
        <v>8.0850000000000009</v>
      </c>
      <c r="J53" s="27"/>
      <c r="K53" s="27"/>
      <c r="L53" s="27"/>
      <c r="M53" s="27"/>
      <c r="N53" s="27"/>
      <c r="O53" s="27"/>
      <c r="P53" s="27"/>
      <c r="Q53" s="184">
        <f t="shared" si="21"/>
        <v>0</v>
      </c>
      <c r="R53" s="184">
        <f t="shared" si="22"/>
        <v>0.5560866877554993</v>
      </c>
      <c r="S53" s="184">
        <f t="shared" si="22"/>
        <v>0.5064151695377177</v>
      </c>
      <c r="T53" s="184">
        <f t="shared" si="22"/>
        <v>0.51096275054993612</v>
      </c>
      <c r="U53" s="184">
        <f t="shared" si="22"/>
        <v>0.51054480447084316</v>
      </c>
      <c r="V53" s="184">
        <f t="shared" si="22"/>
        <v>0.51058324542333366</v>
      </c>
      <c r="W53" s="184">
        <f t="shared" si="22"/>
        <v>0.51057970864366098</v>
      </c>
      <c r="X53" s="184">
        <f t="shared" si="22"/>
        <v>0.51058003408220642</v>
      </c>
      <c r="Y53" s="184">
        <f t="shared" si="22"/>
        <v>0.51058000413567228</v>
      </c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5"/>
    </row>
    <row r="54" spans="1:116" ht="20.100000000000001" customHeight="1" thickBot="1">
      <c r="A54" s="279"/>
      <c r="B54" s="62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26"/>
    </row>
    <row r="55" spans="1:116" ht="20.100000000000001" customHeight="1">
      <c r="I55" s="6"/>
    </row>
    <row r="60" spans="1:116" ht="15.75" customHeight="1">
      <c r="D60" s="6"/>
    </row>
    <row r="61" spans="1:116" ht="16.5" customHeight="1">
      <c r="D61" s="6"/>
    </row>
    <row r="62" spans="1:116" ht="16.5" customHeight="1">
      <c r="D62" s="6"/>
    </row>
    <row r="64" spans="1:116" ht="15.75" customHeight="1">
      <c r="B64" s="8"/>
    </row>
    <row r="65" spans="2:2" ht="15.75">
      <c r="B65" s="8"/>
    </row>
  </sheetData>
  <mergeCells count="29">
    <mergeCell ref="A1:A54"/>
    <mergeCell ref="B1:BN1"/>
    <mergeCell ref="C2:E2"/>
    <mergeCell ref="T2:W2"/>
    <mergeCell ref="C9:Q9"/>
    <mergeCell ref="C10:C11"/>
    <mergeCell ref="D10:G10"/>
    <mergeCell ref="H10:H11"/>
    <mergeCell ref="I10:L10"/>
    <mergeCell ref="M10:M11"/>
    <mergeCell ref="N10:Q10"/>
    <mergeCell ref="M15:Q19"/>
    <mergeCell ref="C18:G19"/>
    <mergeCell ref="B21:BN21"/>
    <mergeCell ref="B22:C22"/>
    <mergeCell ref="E22:G22"/>
    <mergeCell ref="I22:K22"/>
    <mergeCell ref="M22:BN22"/>
    <mergeCell ref="B30:D30"/>
    <mergeCell ref="F30:G30"/>
    <mergeCell ref="I31:K31"/>
    <mergeCell ref="N31:O33"/>
    <mergeCell ref="N34:N37"/>
    <mergeCell ref="B35:D35"/>
    <mergeCell ref="E40:I40"/>
    <mergeCell ref="F41:G41"/>
    <mergeCell ref="H41:I41"/>
    <mergeCell ref="M23:M37"/>
    <mergeCell ref="N24:N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B1:L24"/>
  <sheetViews>
    <sheetView zoomScale="70" zoomScaleNormal="70" workbookViewId="0">
      <selection activeCell="N17" sqref="N17"/>
    </sheetView>
  </sheetViews>
  <sheetFormatPr defaultColWidth="15.7109375" defaultRowHeight="15"/>
  <cols>
    <col min="1" max="2" width="15.7109375" style="1"/>
    <col min="3" max="3" width="20.7109375" style="1" customWidth="1"/>
    <col min="4" max="6" width="15.7109375" style="1"/>
    <col min="7" max="7" width="20.7109375" style="1" customWidth="1"/>
    <col min="8" max="11" width="15.7109375" style="1"/>
    <col min="12" max="12" width="20.7109375" style="1" customWidth="1"/>
    <col min="13" max="16384" width="15.7109375" style="1"/>
  </cols>
  <sheetData>
    <row r="1" spans="2:12" ht="15.75" thickBot="1"/>
    <row r="2" spans="2:12" ht="21.75" thickBot="1">
      <c r="B2" s="327" t="s">
        <v>153</v>
      </c>
      <c r="C2" s="328"/>
      <c r="D2" s="329"/>
      <c r="E2" s="97"/>
      <c r="F2" s="327" t="s">
        <v>158</v>
      </c>
      <c r="G2" s="328"/>
      <c r="H2" s="329"/>
      <c r="I2" s="147"/>
      <c r="J2" s="321" t="s">
        <v>159</v>
      </c>
      <c r="K2" s="322"/>
      <c r="L2" s="323"/>
    </row>
    <row r="3" spans="2:12" ht="15.75" customHeight="1">
      <c r="B3" s="104" t="s">
        <v>154</v>
      </c>
      <c r="C3" s="109" t="s">
        <v>160</v>
      </c>
      <c r="D3" s="105" t="s">
        <v>142</v>
      </c>
      <c r="E3" s="97"/>
      <c r="F3" s="113" t="s">
        <v>154</v>
      </c>
      <c r="G3" s="117" t="s">
        <v>160</v>
      </c>
      <c r="H3" s="114" t="s">
        <v>142</v>
      </c>
      <c r="I3" s="118"/>
      <c r="J3" s="189" t="s">
        <v>154</v>
      </c>
      <c r="K3" s="191" t="s">
        <v>160</v>
      </c>
      <c r="L3" s="190" t="s">
        <v>142</v>
      </c>
    </row>
    <row r="4" spans="2:12" ht="15.75" customHeight="1">
      <c r="B4" s="110" t="s">
        <v>15</v>
      </c>
      <c r="C4" s="123">
        <f>Inviscid!V4</f>
        <v>490341.51234567899</v>
      </c>
      <c r="D4" s="127">
        <f>Inviscid!W4</f>
        <v>2.1036806861577015</v>
      </c>
      <c r="E4" s="97"/>
      <c r="F4" s="110" t="s">
        <v>15</v>
      </c>
      <c r="G4" s="123">
        <f>'Viscous Free slip'!V4</f>
        <v>490341.51234567899</v>
      </c>
      <c r="H4" s="127">
        <f>'Viscous Free slip'!W4</f>
        <v>1.9496924005636831</v>
      </c>
      <c r="I4" s="148"/>
      <c r="J4" s="110" t="s">
        <v>15</v>
      </c>
      <c r="K4" s="123">
        <f>'Viscous No slip'!V4</f>
        <v>490341.51234567899</v>
      </c>
      <c r="L4" s="127">
        <f>'Viscous No slip'!W4</f>
        <v>1.902512585622693</v>
      </c>
    </row>
    <row r="5" spans="2:12" ht="15.75">
      <c r="B5" s="110" t="s">
        <v>137</v>
      </c>
      <c r="C5" s="123">
        <f>Inviscid!V5</f>
        <v>490341.51234567899</v>
      </c>
      <c r="D5" s="128">
        <f>Inviscid!W5</f>
        <v>2.1036806861577015</v>
      </c>
      <c r="E5" s="97"/>
      <c r="F5" s="110" t="s">
        <v>137</v>
      </c>
      <c r="G5" s="123">
        <f>'Viscous Free slip'!V5</f>
        <v>490341.51234567899</v>
      </c>
      <c r="H5" s="128">
        <f>'Viscous Free slip'!W5</f>
        <v>1.9496924005636831</v>
      </c>
      <c r="I5" s="149"/>
      <c r="J5" s="110" t="s">
        <v>137</v>
      </c>
      <c r="K5" s="123">
        <f>'Viscous No slip'!V5</f>
        <v>484824.22584737319</v>
      </c>
      <c r="L5" s="128">
        <f>'Viscous No slip'!W5</f>
        <v>1.902512585622693</v>
      </c>
    </row>
    <row r="6" spans="2:12" ht="15.75">
      <c r="B6" s="110" t="s">
        <v>147</v>
      </c>
      <c r="C6" s="123">
        <f>Inviscid!V6</f>
        <v>475947.78863286023</v>
      </c>
      <c r="D6" s="128">
        <f>Inviscid!W6</f>
        <v>1.9990456639779106</v>
      </c>
      <c r="E6" s="97"/>
      <c r="F6" s="110" t="s">
        <v>147</v>
      </c>
      <c r="G6" s="123">
        <f>'Viscous Free slip'!V6</f>
        <v>476452.49640370498</v>
      </c>
      <c r="H6" s="128">
        <f>'Viscous Free slip'!W6</f>
        <v>1.865620338414395</v>
      </c>
      <c r="I6" s="149"/>
      <c r="J6" s="110" t="s">
        <v>147</v>
      </c>
      <c r="K6" s="123">
        <f>'Viscous No slip'!V6</f>
        <v>466288.52389969025</v>
      </c>
      <c r="L6" s="128">
        <f>'Viscous No slip'!W6</f>
        <v>1.8204406925380432</v>
      </c>
    </row>
    <row r="7" spans="2:12" ht="15.75">
      <c r="B7" s="110" t="s">
        <v>138</v>
      </c>
      <c r="C7" s="123">
        <f>Inviscid!V7</f>
        <v>465562.33519019868</v>
      </c>
      <c r="D7" s="128">
        <f>Inviscid!W7</f>
        <v>1.9990456639779106</v>
      </c>
      <c r="E7" s="97"/>
      <c r="F7" s="110" t="s">
        <v>138</v>
      </c>
      <c r="G7" s="123">
        <f>'Viscous Free slip'!V7</f>
        <v>466050.11006254971</v>
      </c>
      <c r="H7" s="128">
        <f>'Viscous Free slip'!W7</f>
        <v>1.865620338414395</v>
      </c>
      <c r="I7" s="149"/>
      <c r="J7" s="110" t="s">
        <v>138</v>
      </c>
      <c r="K7" s="123">
        <f>'Viscous No slip'!V7</f>
        <v>451834.89023291063</v>
      </c>
      <c r="L7" s="128">
        <f>'Viscous No slip'!W7</f>
        <v>1.8204406925380432</v>
      </c>
    </row>
    <row r="8" spans="2:12" ht="15.75">
      <c r="B8" s="110" t="s">
        <v>148</v>
      </c>
      <c r="C8" s="123">
        <f>Inviscid!V8</f>
        <v>480197.89805413189</v>
      </c>
      <c r="D8" s="128">
        <f>Inviscid!W8</f>
        <v>1.6980437095196164</v>
      </c>
      <c r="E8" s="97"/>
      <c r="F8" s="110" t="s">
        <v>148</v>
      </c>
      <c r="G8" s="123">
        <f>'Viscous Free slip'!V8</f>
        <v>467493.29116777598</v>
      </c>
      <c r="H8" s="128">
        <f>'Viscous Free slip'!W8</f>
        <v>1.6017626636615359</v>
      </c>
      <c r="I8" s="149"/>
      <c r="J8" s="110" t="s">
        <v>148</v>
      </c>
      <c r="K8" s="123">
        <f>'Viscous No slip'!V8</f>
        <v>462734.63860974647</v>
      </c>
      <c r="L8" s="128">
        <f>'Viscous No slip'!W8</f>
        <v>1.562227775621633</v>
      </c>
    </row>
    <row r="9" spans="2:12" ht="15.75">
      <c r="B9" s="110" t="s">
        <v>149</v>
      </c>
      <c r="C9" s="123">
        <f>Inviscid!V9</f>
        <v>466788.14627015742</v>
      </c>
      <c r="D9" s="128">
        <f>Inviscid!W9</f>
        <v>1.6980437095196164</v>
      </c>
      <c r="E9" s="97"/>
      <c r="F9" s="110" t="s">
        <v>149</v>
      </c>
      <c r="G9" s="123">
        <f>'Viscous Free slip'!V9</f>
        <v>461711.88737001055</v>
      </c>
      <c r="H9" s="128">
        <f>'Viscous Free slip'!W9</f>
        <v>1.6017626636615359</v>
      </c>
      <c r="I9" s="149"/>
      <c r="J9" s="110" t="s">
        <v>149</v>
      </c>
      <c r="K9" s="123">
        <f>'Viscous No slip'!V9</f>
        <v>452093.40538372821</v>
      </c>
      <c r="L9" s="128">
        <f>'Viscous No slip'!W9</f>
        <v>1.562227775621633</v>
      </c>
    </row>
    <row r="10" spans="2:12" ht="15.75">
      <c r="B10" s="98" t="s">
        <v>140</v>
      </c>
      <c r="C10" s="124">
        <f>Inviscid!V10</f>
        <v>458953.41027214134</v>
      </c>
      <c r="D10" s="128">
        <f>Inviscid!W10</f>
        <v>1.674160354876653</v>
      </c>
      <c r="E10" s="97"/>
      <c r="F10" s="98" t="s">
        <v>140</v>
      </c>
      <c r="G10" s="124">
        <f>'Viscous Free slip'!V10</f>
        <v>456298.47827354906</v>
      </c>
      <c r="H10" s="128">
        <f>'Viscous Free slip'!W10</f>
        <v>1.3451529943886111</v>
      </c>
      <c r="I10" s="149"/>
      <c r="J10" s="98" t="s">
        <v>140</v>
      </c>
      <c r="K10" s="124">
        <f>'Viscous No slip'!V10</f>
        <v>442465.51499991061</v>
      </c>
      <c r="L10" s="128">
        <f>'Viscous No slip'!W10</f>
        <v>1.3131502893543954</v>
      </c>
    </row>
    <row r="11" spans="2:12" ht="15.75">
      <c r="B11" s="98" t="s">
        <v>141</v>
      </c>
      <c r="C11" s="124">
        <f>Inviscid!V11</f>
        <v>285529.22300682054</v>
      </c>
      <c r="D11" s="128">
        <f>Inviscid!W11</f>
        <v>1.2040078178331768</v>
      </c>
      <c r="E11" s="97"/>
      <c r="F11" s="98" t="s">
        <v>141</v>
      </c>
      <c r="G11" s="124">
        <f>'Viscous Free slip'!V11</f>
        <v>204129.96838390891</v>
      </c>
      <c r="H11" s="128">
        <f>'Viscous Free slip'!W11</f>
        <v>1.0554306990114368</v>
      </c>
      <c r="I11" s="149"/>
      <c r="J11" s="98" t="s">
        <v>141</v>
      </c>
      <c r="K11" s="124">
        <f>'Viscous No slip'!V11</f>
        <v>198981.69758141175</v>
      </c>
      <c r="L11" s="128">
        <f>'Viscous No slip'!W11</f>
        <v>1.0328516676656412</v>
      </c>
    </row>
    <row r="12" spans="2:12" ht="15.75">
      <c r="B12" s="98" t="s">
        <v>139</v>
      </c>
      <c r="C12" s="124">
        <f>Inviscid!V12</f>
        <v>272135.03250749275</v>
      </c>
      <c r="D12" s="128">
        <f>Inviscid!W12</f>
        <v>3.0187443724793179</v>
      </c>
      <c r="E12" s="97"/>
      <c r="F12" s="98" t="s">
        <v>139</v>
      </c>
      <c r="G12" s="124">
        <f>'Viscous Free slip'!V12</f>
        <v>223572.45414698974</v>
      </c>
      <c r="H12" s="128">
        <f>'Viscous Free slip'!W12</f>
        <v>2.847578068731619</v>
      </c>
      <c r="I12" s="149"/>
      <c r="J12" s="98" t="s">
        <v>139</v>
      </c>
      <c r="K12" s="124">
        <f>'Viscous No slip'!V12</f>
        <v>218390.46190718358</v>
      </c>
      <c r="L12" s="128">
        <f>'Viscous No slip'!W12</f>
        <v>2.7772938233273474</v>
      </c>
    </row>
    <row r="13" spans="2:12" ht="15.75">
      <c r="B13" s="98" t="s">
        <v>134</v>
      </c>
      <c r="C13" s="124">
        <f>Inviscid!V13</f>
        <v>264253.38903945871</v>
      </c>
      <c r="D13" s="128">
        <f>Inviscid!W13</f>
        <v>1.674160354876653</v>
      </c>
      <c r="E13" s="97"/>
      <c r="F13" s="98" t="s">
        <v>134</v>
      </c>
      <c r="G13" s="124">
        <f>'Viscous Free slip'!V13</f>
        <v>242919.85418586346</v>
      </c>
      <c r="H13" s="128">
        <f>'Viscous Free slip'!W13</f>
        <v>1.3451529943886111</v>
      </c>
      <c r="I13" s="149"/>
      <c r="J13" s="98" t="s">
        <v>134</v>
      </c>
      <c r="K13" s="124">
        <f>'Viscous No slip'!V13</f>
        <v>235914.21063567817</v>
      </c>
      <c r="L13" s="128">
        <f>'Viscous No slip'!W13</f>
        <v>1.3131502893543954</v>
      </c>
    </row>
    <row r="14" spans="2:12" ht="15.75">
      <c r="B14" s="98" t="s">
        <v>135</v>
      </c>
      <c r="C14" s="124">
        <f>Inviscid!V14</f>
        <v>475947.78863286023</v>
      </c>
      <c r="D14" s="128">
        <f>Inviscid!W14</f>
        <v>1.2040078178331768</v>
      </c>
      <c r="E14" s="97"/>
      <c r="F14" s="98" t="s">
        <v>135</v>
      </c>
      <c r="G14" s="124">
        <f>'Viscous Free slip'!V14</f>
        <v>476452.49640370498</v>
      </c>
      <c r="H14" s="128">
        <f>'Viscous Free slip'!W14</f>
        <v>1.0554306990114368</v>
      </c>
      <c r="I14" s="149"/>
      <c r="J14" s="98" t="s">
        <v>135</v>
      </c>
      <c r="K14" s="124">
        <f>'Viscous No slip'!V14</f>
        <v>471567.80190805055</v>
      </c>
      <c r="L14" s="128">
        <f>'Viscous No slip'!W14</f>
        <v>1.0328516676656412</v>
      </c>
    </row>
    <row r="15" spans="2:12" ht="15.75">
      <c r="B15" s="98" t="s">
        <v>136</v>
      </c>
      <c r="C15" s="124">
        <f>Inviscid!V15</f>
        <v>465562.33519019868</v>
      </c>
      <c r="D15" s="128">
        <f>Inviscid!W15</f>
        <v>3.0187443724793179</v>
      </c>
      <c r="E15" s="97"/>
      <c r="F15" s="98" t="s">
        <v>136</v>
      </c>
      <c r="G15" s="124">
        <f>'Viscous Free slip'!V15</f>
        <v>466050.11006254971</v>
      </c>
      <c r="H15" s="128">
        <f>'Viscous Free slip'!W15</f>
        <v>2.847578068731619</v>
      </c>
      <c r="I15" s="149"/>
      <c r="J15" s="98" t="s">
        <v>136</v>
      </c>
      <c r="K15" s="124">
        <f>'Viscous No slip'!V15</f>
        <v>456365.35078221338</v>
      </c>
      <c r="L15" s="128">
        <f>'Viscous No slip'!W15</f>
        <v>2.7772938233273474</v>
      </c>
    </row>
    <row r="16" spans="2:12" ht="15.75">
      <c r="B16" s="98" t="s">
        <v>150</v>
      </c>
      <c r="C16" s="124">
        <f>Inviscid!V16</f>
        <v>101325</v>
      </c>
      <c r="D16" s="128">
        <f>Inviscid!W16</f>
        <v>20.903749015178779</v>
      </c>
      <c r="E16" s="97"/>
      <c r="F16" s="98" t="s">
        <v>150</v>
      </c>
      <c r="G16" s="124">
        <f>'Viscous Free slip'!V16</f>
        <v>101325</v>
      </c>
      <c r="H16" s="128">
        <f>'Viscous Free slip'!W16</f>
        <v>16.795727183366147</v>
      </c>
      <c r="I16" s="149"/>
      <c r="J16" s="98" t="s">
        <v>150</v>
      </c>
      <c r="K16" s="124">
        <f>'Viscous No slip'!V16</f>
        <v>101325</v>
      </c>
      <c r="L16" s="128">
        <f>'Viscous No slip'!W16</f>
        <v>16.396137913501175</v>
      </c>
    </row>
    <row r="17" spans="2:12" ht="15.75">
      <c r="B17" s="98" t="s">
        <v>151</v>
      </c>
      <c r="C17" s="124">
        <f>Inviscid!V17</f>
        <v>101325</v>
      </c>
      <c r="D17" s="128">
        <f>Inviscid!W17</f>
        <v>20.902913504048207</v>
      </c>
      <c r="E17" s="97"/>
      <c r="F17" s="98" t="s">
        <v>151</v>
      </c>
      <c r="G17" s="124">
        <f>'Viscous Free slip'!V17</f>
        <v>101325</v>
      </c>
      <c r="H17" s="128">
        <f>'Viscous Free slip'!W17</f>
        <v>18.323449635615219</v>
      </c>
      <c r="I17" s="149"/>
      <c r="J17" s="98" t="s">
        <v>151</v>
      </c>
      <c r="K17" s="124">
        <f>'Viscous No slip'!V17</f>
        <v>101325</v>
      </c>
      <c r="L17" s="128">
        <f>'Viscous No slip'!W17</f>
        <v>17.931452563639603</v>
      </c>
    </row>
    <row r="18" spans="2:12" ht="16.5" thickBot="1">
      <c r="B18" s="98" t="s">
        <v>152</v>
      </c>
      <c r="C18" s="124">
        <f>Inviscid!V18</f>
        <v>101325</v>
      </c>
      <c r="D18" s="128">
        <f>Inviscid!W18</f>
        <v>20.90543194237755</v>
      </c>
      <c r="F18" s="98" t="s">
        <v>152</v>
      </c>
      <c r="G18" s="124">
        <f>'Viscous Free slip'!V18</f>
        <v>101325</v>
      </c>
      <c r="H18" s="128">
        <f>'Viscous Free slip'!W18</f>
        <v>19.720069728058306</v>
      </c>
      <c r="I18" s="149"/>
      <c r="J18" s="98" t="s">
        <v>152</v>
      </c>
      <c r="K18" s="124">
        <f>'Viscous No slip'!V18</f>
        <v>101325</v>
      </c>
      <c r="L18" s="128">
        <f>'Viscous No slip'!W18</f>
        <v>19.233336726643682</v>
      </c>
    </row>
    <row r="19" spans="2:12" ht="21.75" thickBot="1">
      <c r="B19" s="245" t="s">
        <v>155</v>
      </c>
      <c r="C19" s="246"/>
      <c r="D19" s="247"/>
      <c r="F19" s="245" t="s">
        <v>155</v>
      </c>
      <c r="G19" s="246"/>
      <c r="H19" s="247"/>
      <c r="I19" s="150"/>
      <c r="J19" s="324" t="s">
        <v>155</v>
      </c>
      <c r="K19" s="325"/>
      <c r="L19" s="326"/>
    </row>
    <row r="20" spans="2:12" ht="15.75">
      <c r="B20" s="113" t="s">
        <v>154</v>
      </c>
      <c r="C20" s="117" t="s">
        <v>156</v>
      </c>
      <c r="D20" s="114" t="s">
        <v>157</v>
      </c>
      <c r="F20" s="113" t="s">
        <v>154</v>
      </c>
      <c r="G20" s="117" t="s">
        <v>156</v>
      </c>
      <c r="H20" s="114" t="s">
        <v>157</v>
      </c>
      <c r="I20" s="118"/>
      <c r="J20" s="189" t="s">
        <v>154</v>
      </c>
      <c r="K20" s="191" t="s">
        <v>156</v>
      </c>
      <c r="L20" s="190" t="s">
        <v>157</v>
      </c>
    </row>
    <row r="21" spans="2:12" ht="15.75">
      <c r="B21" s="98" t="s">
        <v>12</v>
      </c>
      <c r="C21" s="126">
        <f>D21*891/1000000/60</f>
        <v>1.1715602789460727E-3</v>
      </c>
      <c r="D21" s="120">
        <f>Inviscid!E4</f>
        <v>78.892948077176612</v>
      </c>
      <c r="F21" s="98" t="s">
        <v>12</v>
      </c>
      <c r="G21" s="126">
        <f>H21*891/1000000/60</f>
        <v>9.4132429593172119E-4</v>
      </c>
      <c r="H21" s="120">
        <f>'Viscous Free slip'!E4</f>
        <v>63.388841476883584</v>
      </c>
      <c r="I21" s="151"/>
      <c r="J21" s="98" t="s">
        <v>12</v>
      </c>
      <c r="K21" s="126">
        <f>L21*891/1000000/60</f>
        <v>9.18929130541679E-4</v>
      </c>
      <c r="L21" s="120">
        <f>'Viscous No slip'!E4</f>
        <v>61.880749531426197</v>
      </c>
    </row>
    <row r="22" spans="2:12" ht="15.75">
      <c r="B22" s="98" t="s">
        <v>13</v>
      </c>
      <c r="C22" s="126">
        <f t="shared" ref="C22:C24" si="0">D22*891/1000000/60</f>
        <v>3.3702093847941235E-3</v>
      </c>
      <c r="D22" s="120">
        <f>Inviscid!E5</f>
        <v>226.95012692216318</v>
      </c>
      <c r="F22" s="98" t="s">
        <v>13</v>
      </c>
      <c r="G22" s="126">
        <f t="shared" ref="G22:G24" si="1">H22*891/1000000/60</f>
        <v>2.9543183973752352E-3</v>
      </c>
      <c r="H22" s="120">
        <f>'Viscous Free slip'!E5</f>
        <v>198.94399982324816</v>
      </c>
      <c r="I22" s="151"/>
      <c r="J22" s="98" t="s">
        <v>13</v>
      </c>
      <c r="K22" s="126">
        <f t="shared" ref="K22:K24" si="2">L22*891/1000000/60</f>
        <v>2.891116097345233E-3</v>
      </c>
      <c r="L22" s="120">
        <f>'Viscous No slip'!E5</f>
        <v>194.68795268318067</v>
      </c>
    </row>
    <row r="23" spans="2:12" ht="15.75">
      <c r="B23" s="98" t="s">
        <v>14</v>
      </c>
      <c r="C23" s="126">
        <f t="shared" si="0"/>
        <v>1.9012377696725431E-2</v>
      </c>
      <c r="D23" s="120">
        <f>Inviscid!E6</f>
        <v>1280.294794392285</v>
      </c>
      <c r="F23" s="98" t="s">
        <v>14</v>
      </c>
      <c r="G23" s="126">
        <f t="shared" si="1"/>
        <v>1.7934353851622269E-2</v>
      </c>
      <c r="H23" s="120">
        <f>'Viscous Free slip'!E6</f>
        <v>1207.7005960688398</v>
      </c>
      <c r="I23" s="151"/>
      <c r="J23" s="98" t="s">
        <v>14</v>
      </c>
      <c r="K23" s="126">
        <f t="shared" si="2"/>
        <v>1.7491696092344078E-2</v>
      </c>
      <c r="L23" s="120">
        <f>'Viscous No slip'!E6</f>
        <v>1177.891992750443</v>
      </c>
    </row>
    <row r="24" spans="2:12" ht="16.5" thickBot="1">
      <c r="B24" s="99" t="s">
        <v>15</v>
      </c>
      <c r="C24" s="145">
        <f t="shared" si="0"/>
        <v>2.3554147360465631E-2</v>
      </c>
      <c r="D24" s="121">
        <f>Inviscid!E7</f>
        <v>1586.1378693916249</v>
      </c>
      <c r="F24" s="99" t="s">
        <v>15</v>
      </c>
      <c r="G24" s="145">
        <f t="shared" si="1"/>
        <v>2.1829996544929224E-2</v>
      </c>
      <c r="H24" s="121">
        <f>'Viscous Free slip'!E7</f>
        <v>1470.0334373689714</v>
      </c>
      <c r="I24" s="151"/>
      <c r="J24" s="99" t="s">
        <v>15</v>
      </c>
      <c r="K24" s="145">
        <f t="shared" si="2"/>
        <v>2.130174132023099E-2</v>
      </c>
      <c r="L24" s="121">
        <f>'Viscous No slip'!E7</f>
        <v>1434.4606949650499</v>
      </c>
    </row>
  </sheetData>
  <mergeCells count="6">
    <mergeCell ref="J2:L2"/>
    <mergeCell ref="J19:L19"/>
    <mergeCell ref="B19:D19"/>
    <mergeCell ref="F19:H19"/>
    <mergeCell ref="B2:D2"/>
    <mergeCell ref="F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Case 1</vt:lpstr>
      <vt:lpstr>Case 2</vt:lpstr>
      <vt:lpstr>Case 3</vt:lpstr>
      <vt:lpstr>Case 4</vt:lpstr>
      <vt:lpstr>Case 5</vt:lpstr>
      <vt:lpstr>Case 6</vt:lpstr>
      <vt:lpstr>Case 7</vt:lpstr>
      <vt:lpstr>Case 8</vt:lpstr>
      <vt:lpstr>Analytical</vt:lpstr>
      <vt:lpstr>ANSYS FLUENT</vt:lpstr>
      <vt:lpstr>MATLAB N-R DATA</vt:lpstr>
      <vt:lpstr>MATLAB Excel DATA</vt:lpstr>
      <vt:lpstr>Inviscid</vt:lpstr>
      <vt:lpstr>Viscous Free slip</vt:lpstr>
      <vt:lpstr>Viscous No slip</vt:lpstr>
      <vt:lpstr>Errors</vt:lpstr>
      <vt:lpstr>Simulink</vt:lpstr>
      <vt:lpstr>Charts</vt:lpstr>
      <vt:lpstr>Simulink_requirement_item_1</vt:lpstr>
      <vt:lpstr>Simulink_requirement_item_2</vt:lpstr>
      <vt:lpstr>Simulink_requirement_item_3</vt:lpstr>
      <vt:lpstr>Simulink_requirement_item_4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gurusiddappas</dc:creator>
  <cp:lastModifiedBy>gurusiddappas</cp:lastModifiedBy>
  <cp:lastPrinted>2016-07-04T08:04:51Z</cp:lastPrinted>
  <dcterms:created xsi:type="dcterms:W3CDTF">2016-06-09T04:51:30Z</dcterms:created>
  <dcterms:modified xsi:type="dcterms:W3CDTF">2016-07-29T06:08:20Z</dcterms:modified>
</cp:coreProperties>
</file>