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_follows_raw" sheetId="1" r:id="rId4"/>
    <sheet state="visible" name="Instagram_interactions_raw" sheetId="2" r:id="rId5"/>
    <sheet state="visible" name="Instagram_reach_raw" sheetId="3" r:id="rId6"/>
    <sheet state="visible" name="Facebook_follows_raw" sheetId="4" r:id="rId7"/>
    <sheet state="visible" name="Facebook_interactions_raw" sheetId="5" r:id="rId8"/>
    <sheet state="visible" name="Facebook_reach_raw" sheetId="6" r:id="rId9"/>
    <sheet state="visible" name="LinkedIn_follows_raw" sheetId="7" r:id="rId10"/>
    <sheet state="visible" name="LinkedIn_content_raw" sheetId="8" r:id="rId11"/>
    <sheet state="visible" name="LinkedIn_metrics" sheetId="9" r:id="rId12"/>
    <sheet state="visible" name="Instagram_metrics" sheetId="10" r:id="rId13"/>
    <sheet state="visible" name="Facebook_metrics" sheetId="11" r:id="rId14"/>
    <sheet state="visible" name="Only to Looker Studio under thi" sheetId="12" r:id="rId15"/>
    <sheet state="visible" name="Email" sheetId="13" r:id="rId16"/>
    <sheet state="visible" name="Social Media" sheetId="14" r:id="rId17"/>
  </sheets>
  <definedNames>
    <definedName hidden="1" localSheetId="13" name="_xlnm._FilterDatabase">'Social Media'!$A$1:$E$823</definedName>
  </definedNames>
  <calcPr/>
</workbook>
</file>

<file path=xl/sharedStrings.xml><?xml version="1.0" encoding="utf-8"?>
<sst xmlns="http://schemas.openxmlformats.org/spreadsheetml/2006/main" count="98" uniqueCount="57">
  <si>
    <t>sep=</t>
  </si>
  <si>
    <t>Instagram follows</t>
  </si>
  <si>
    <t>Date</t>
  </si>
  <si>
    <t>Primary</t>
  </si>
  <si>
    <t>Content interactions</t>
  </si>
  <si>
    <t>Instagram reach</t>
  </si>
  <si>
    <t>Follows</t>
  </si>
  <si>
    <t>Facebook reach</t>
  </si>
  <si>
    <t>Sponsored followers</t>
  </si>
  <si>
    <t>Organic followers</t>
  </si>
  <si>
    <t>Auto-invited followers</t>
  </si>
  <si>
    <t>Total followers</t>
  </si>
  <si>
    <t>Aggregated engagement metrics for your organic and sponsored posts over time. Date indicates when your posts were viewed by LinkedIn members. Data is delayed by up to 2 days. All dates and times are in UTC.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</si>
  <si>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</si>
  <si>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</si>
  <si>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</si>
  <si>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</si>
  <si>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</si>
  <si>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</si>
  <si>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</si>
  <si>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</si>
  <si>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</si>
  <si>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</si>
  <si>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</si>
  <si>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</si>
  <si>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</si>
  <si>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Reposts (organic)</t>
  </si>
  <si>
    <t>Reposts (sponsored)</t>
  </si>
  <si>
    <t>Reposts (total)</t>
  </si>
  <si>
    <t>Engagement rate (organic)</t>
  </si>
  <si>
    <t>Engagement rate (sponsored)</t>
  </si>
  <si>
    <t>Engagement rate (total)</t>
  </si>
  <si>
    <t>Platform</t>
  </si>
  <si>
    <t>Interactions</t>
  </si>
  <si>
    <t>Reach</t>
  </si>
  <si>
    <t>Date formatted</t>
  </si>
  <si>
    <t>Month</t>
  </si>
  <si>
    <t>Day</t>
  </si>
  <si>
    <t>Time</t>
  </si>
  <si>
    <t>Send date</t>
  </si>
  <si>
    <t>Recipients</t>
  </si>
  <si>
    <t>Total unique opens</t>
  </si>
  <si>
    <t>Total opens</t>
  </si>
  <si>
    <t>Open rate</t>
  </si>
  <si>
    <t>Successful deliveries</t>
  </si>
  <si>
    <t>Total unique recipients clicked</t>
  </si>
  <si>
    <t>Total clicks</t>
  </si>
  <si>
    <t>Click rate</t>
  </si>
  <si>
    <t>Bounces</t>
  </si>
  <si>
    <t>Bounce rate</t>
  </si>
  <si>
    <t>Unsubscribes</t>
  </si>
  <si>
    <t>Unsubscribe rate</t>
  </si>
  <si>
    <t>Clicks per unique opens</t>
  </si>
  <si>
    <t>Friday</t>
  </si>
  <si>
    <t>Thursday</t>
  </si>
  <si>
    <t>Tuesday</t>
  </si>
  <si>
    <t>Monday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</si>
</sst>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-mm-dd h:mm:ss"/>
    <numFmt numFmtId="165" formatCode="mm/dd/yyyy"/>
    <numFmt numFmtId="166" formatCode="m/d/yyyy"/>
    <numFmt numFmtId="167" formatCode="M/d/yyyy"/>
    <numFmt numFmtId="168" formatCode="mm/yyyy"/>
    <numFmt numFmtId="169" formatCode="h:mm am/pm"/>
    <numFmt numFmtId="170" formatCode="m/d/yy"/>
    <numFmt numFmtId="171" formatCode="m/yyyy"/>
  </numFmts>
  <fonts count="10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b/>
      <color rgb="FF000000"/>
      <name val="&quot;Helvetica Neue&quot;"/>
    </font>
    <font>
      <sz val="12.0"/>
      <color rgb="FF000000"/>
      <name val="Helvetica"/>
    </font>
    <font>
      <sz val="8.0"/>
      <color rgb="FF000000"/>
      <name val="&quot;Helvetica Neue&quot;"/>
    </font>
    <font>
      <color rgb="FF000000"/>
      <name val="&quot;Helvetica Neue&quot;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0" fillId="0" fontId="6" numFmtId="0" xfId="0" applyAlignment="1" applyFont="1">
      <alignment readingOrder="0" shrinkToFit="0" vertical="bottom" wrapText="0"/>
    </xf>
    <xf borderId="1" fillId="3" fontId="1" numFmtId="164" xfId="0" applyAlignment="1" applyBorder="1" applyFont="1" applyNumberFormat="1">
      <alignment readingOrder="0" vertical="top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0" fontId="2" numFmtId="0" xfId="0" applyAlignment="1" applyBorder="1" applyFont="1">
      <alignment vertical="top"/>
    </xf>
    <xf borderId="0" fillId="0" fontId="8" numFmtId="0" xfId="0" applyAlignment="1" applyFont="1">
      <alignment horizontal="center" readingOrder="0" shrinkToFit="0" vertical="bottom" wrapText="0"/>
    </xf>
    <xf borderId="0" fillId="0" fontId="9" numFmtId="165" xfId="0" applyAlignment="1" applyFont="1" applyNumberForma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166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2" numFmtId="0" xfId="0" applyFont="1"/>
    <xf borderId="0" fillId="0" fontId="2" numFmtId="166" xfId="0" applyFont="1" applyNumberFormat="1"/>
    <xf borderId="0" fillId="0" fontId="2" numFmtId="164" xfId="0" applyFont="1" applyNumberFormat="1"/>
    <xf borderId="0" fillId="0" fontId="2" numFmtId="167" xfId="0" applyFont="1" applyNumberFormat="1"/>
    <xf borderId="0" fillId="0" fontId="2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168" xfId="0" applyAlignment="1" applyFont="1" applyNumberFormat="1">
      <alignment readingOrder="0" shrinkToFit="0" vertical="bottom" wrapText="0"/>
    </xf>
    <xf borderId="0" fillId="0" fontId="7" numFmtId="169" xfId="0" applyAlignment="1" applyFont="1" applyNumberFormat="1">
      <alignment readingOrder="0" shrinkToFit="0" vertical="bottom" wrapText="0"/>
    </xf>
    <xf borderId="0" fillId="0" fontId="7" numFmtId="170" xfId="0" applyAlignment="1" applyFont="1" applyNumberFormat="1">
      <alignment horizontal="right" readingOrder="0" shrinkToFit="0" vertical="bottom" wrapText="0"/>
    </xf>
    <xf borderId="0" fillId="0" fontId="7" numFmtId="171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3"/>
      <c r="F1" s="4"/>
    </row>
    <row r="2">
      <c r="A2" s="5" t="s">
        <v>1</v>
      </c>
      <c r="B2" s="6"/>
      <c r="C2" s="3"/>
      <c r="E2" s="3"/>
    </row>
    <row r="3">
      <c r="A3" s="5" t="s">
        <v>2</v>
      </c>
      <c r="B3" s="7" t="s">
        <v>3</v>
      </c>
      <c r="C3" s="3"/>
      <c r="D3" s="8"/>
      <c r="E3" s="3"/>
      <c r="F3" s="8"/>
    </row>
    <row r="4">
      <c r="A4" s="9">
        <v>45515.0</v>
      </c>
      <c r="B4" s="7">
        <v>4.0</v>
      </c>
      <c r="C4" s="10"/>
      <c r="D4" s="11"/>
      <c r="E4" s="10"/>
      <c r="F4" s="11"/>
    </row>
    <row r="5">
      <c r="A5" s="9">
        <v>45516.0</v>
      </c>
      <c r="B5" s="7">
        <v>8.0</v>
      </c>
      <c r="C5" s="10"/>
      <c r="D5" s="11"/>
      <c r="E5" s="10"/>
      <c r="F5" s="11"/>
    </row>
    <row r="6">
      <c r="A6" s="9">
        <v>45517.0</v>
      </c>
      <c r="B6" s="7">
        <v>2.0</v>
      </c>
      <c r="C6" s="10"/>
      <c r="D6" s="11"/>
      <c r="E6" s="10"/>
      <c r="F6" s="11"/>
    </row>
    <row r="7">
      <c r="A7" s="9">
        <v>45518.0</v>
      </c>
      <c r="B7" s="7">
        <v>1.0</v>
      </c>
      <c r="C7" s="10"/>
      <c r="D7" s="11"/>
      <c r="E7" s="10"/>
      <c r="F7" s="11"/>
    </row>
    <row r="8">
      <c r="A8" s="9">
        <v>45519.0</v>
      </c>
      <c r="B8" s="7">
        <v>2.0</v>
      </c>
      <c r="C8" s="10"/>
      <c r="D8" s="11"/>
      <c r="E8" s="10"/>
      <c r="F8" s="11"/>
    </row>
    <row r="9">
      <c r="A9" s="9">
        <v>45520.0</v>
      </c>
      <c r="B9" s="7">
        <v>1.0</v>
      </c>
      <c r="C9" s="10"/>
      <c r="D9" s="11"/>
      <c r="E9" s="10"/>
      <c r="F9" s="11"/>
    </row>
    <row r="10">
      <c r="A10" s="9">
        <v>45521.0</v>
      </c>
      <c r="B10" s="7">
        <v>2.0</v>
      </c>
      <c r="C10" s="10"/>
      <c r="D10" s="11"/>
      <c r="E10" s="10"/>
      <c r="F10" s="11"/>
    </row>
    <row r="11">
      <c r="A11" s="9">
        <v>45522.0</v>
      </c>
      <c r="B11" s="7">
        <v>4.0</v>
      </c>
      <c r="C11" s="10"/>
      <c r="D11" s="11"/>
      <c r="E11" s="10"/>
      <c r="F11" s="11"/>
    </row>
    <row r="12">
      <c r="A12" s="9">
        <v>45523.0</v>
      </c>
      <c r="B12" s="7">
        <v>3.0</v>
      </c>
      <c r="C12" s="10"/>
      <c r="D12" s="11"/>
      <c r="E12" s="10"/>
      <c r="F12" s="11"/>
    </row>
    <row r="13">
      <c r="A13" s="9">
        <v>45524.0</v>
      </c>
      <c r="B13" s="7">
        <v>3.0</v>
      </c>
      <c r="C13" s="10"/>
      <c r="D13" s="11"/>
      <c r="E13" s="10"/>
      <c r="F13" s="11"/>
    </row>
    <row r="14">
      <c r="A14" s="9">
        <v>45525.0</v>
      </c>
      <c r="B14" s="7">
        <v>3.0</v>
      </c>
      <c r="C14" s="10"/>
      <c r="D14" s="11"/>
      <c r="E14" s="10"/>
      <c r="F14" s="11"/>
    </row>
    <row r="15">
      <c r="A15" s="9">
        <v>45526.0</v>
      </c>
      <c r="B15" s="7">
        <v>4.0</v>
      </c>
      <c r="C15" s="10"/>
      <c r="D15" s="11"/>
      <c r="E15" s="10"/>
      <c r="F15" s="11"/>
    </row>
    <row r="16">
      <c r="A16" s="9">
        <v>45528.0</v>
      </c>
      <c r="B16" s="7">
        <v>2.0</v>
      </c>
      <c r="C16" s="10"/>
      <c r="D16" s="11"/>
      <c r="E16" s="10"/>
      <c r="F16" s="11"/>
    </row>
    <row r="17">
      <c r="A17" s="9">
        <v>45529.0</v>
      </c>
      <c r="B17" s="7">
        <v>3.0</v>
      </c>
      <c r="C17" s="10"/>
      <c r="D17" s="11"/>
      <c r="E17" s="10"/>
      <c r="F17" s="11"/>
    </row>
    <row r="18">
      <c r="A18" s="9">
        <v>45530.0</v>
      </c>
      <c r="B18" s="7">
        <v>4.0</v>
      </c>
      <c r="C18" s="10"/>
      <c r="D18" s="11"/>
      <c r="E18" s="10"/>
      <c r="F18" s="11"/>
    </row>
    <row r="19">
      <c r="A19" s="9">
        <v>45531.0</v>
      </c>
      <c r="B19" s="7">
        <v>1.0</v>
      </c>
      <c r="C19" s="10"/>
      <c r="D19" s="11"/>
      <c r="E19" s="10"/>
      <c r="F19" s="11"/>
    </row>
    <row r="20">
      <c r="A20" s="9">
        <v>45532.0</v>
      </c>
      <c r="B20" s="7">
        <v>3.0</v>
      </c>
      <c r="C20" s="10"/>
      <c r="D20" s="11"/>
      <c r="E20" s="10"/>
      <c r="F20" s="11"/>
    </row>
    <row r="21">
      <c r="A21" s="9">
        <v>45533.0</v>
      </c>
      <c r="B21" s="7">
        <v>2.0</v>
      </c>
      <c r="C21" s="10"/>
      <c r="D21" s="11"/>
      <c r="E21" s="10"/>
      <c r="F21" s="11"/>
    </row>
    <row r="22">
      <c r="A22" s="9">
        <v>45534.0</v>
      </c>
      <c r="B22" s="7">
        <v>2.0</v>
      </c>
      <c r="C22" s="10"/>
      <c r="D22" s="11"/>
      <c r="E22" s="10"/>
      <c r="F22" s="11"/>
    </row>
    <row r="23">
      <c r="A23" s="9">
        <v>45535.0</v>
      </c>
      <c r="B23" s="7">
        <v>2.0</v>
      </c>
      <c r="C23" s="10"/>
      <c r="D23" s="11"/>
      <c r="E23" s="10"/>
      <c r="F23" s="11"/>
    </row>
    <row r="24">
      <c r="A24" s="9">
        <v>45536.0</v>
      </c>
      <c r="B24" s="7">
        <v>2.0</v>
      </c>
      <c r="C24" s="10"/>
      <c r="D24" s="11"/>
      <c r="E24" s="10"/>
      <c r="F24" s="11"/>
    </row>
    <row r="25">
      <c r="A25" s="9">
        <v>45537.0</v>
      </c>
      <c r="B25" s="7">
        <v>1.0</v>
      </c>
      <c r="C25" s="10"/>
      <c r="D25" s="11"/>
      <c r="E25" s="10"/>
      <c r="F25" s="11"/>
    </row>
    <row r="26">
      <c r="A26" s="9">
        <v>45538.0</v>
      </c>
      <c r="B26" s="7">
        <v>2.0</v>
      </c>
      <c r="C26" s="10"/>
      <c r="D26" s="11"/>
      <c r="E26" s="10"/>
      <c r="F26" s="11"/>
    </row>
    <row r="27">
      <c r="A27" s="9">
        <v>45539.0</v>
      </c>
      <c r="B27" s="7">
        <v>1.0</v>
      </c>
      <c r="C27" s="10"/>
      <c r="D27" s="11"/>
      <c r="E27" s="10"/>
      <c r="F27" s="11"/>
    </row>
    <row r="28">
      <c r="A28" s="9">
        <v>45540.0</v>
      </c>
      <c r="B28" s="7">
        <v>6.0</v>
      </c>
      <c r="C28" s="10"/>
      <c r="D28" s="11"/>
      <c r="E28" s="10"/>
      <c r="F28" s="11"/>
    </row>
    <row r="29">
      <c r="A29" s="9">
        <v>45541.0</v>
      </c>
      <c r="B29" s="7">
        <v>4.0</v>
      </c>
      <c r="C29" s="10"/>
      <c r="D29" s="11"/>
      <c r="E29" s="10"/>
      <c r="F29" s="11"/>
    </row>
    <row r="30">
      <c r="A30" s="9">
        <v>45542.0</v>
      </c>
      <c r="B30" s="7">
        <v>8.0</v>
      </c>
      <c r="C30" s="10"/>
      <c r="D30" s="11"/>
      <c r="E30" s="10"/>
      <c r="F30" s="11"/>
    </row>
    <row r="31">
      <c r="A31" s="9">
        <v>45543.0</v>
      </c>
      <c r="B31" s="7">
        <v>3.0</v>
      </c>
      <c r="C31" s="10"/>
      <c r="D31" s="11"/>
      <c r="E31" s="10"/>
      <c r="F31" s="11"/>
    </row>
    <row r="32">
      <c r="A32" s="9">
        <v>45544.0</v>
      </c>
      <c r="B32" s="7">
        <v>7.0</v>
      </c>
      <c r="C32" s="10"/>
      <c r="D32" s="11"/>
      <c r="E32" s="10"/>
      <c r="F32" s="11"/>
    </row>
    <row r="33">
      <c r="A33" s="9">
        <v>45545.0</v>
      </c>
      <c r="B33" s="7">
        <v>2.0</v>
      </c>
      <c r="C33" s="10"/>
      <c r="D33" s="11"/>
      <c r="E33" s="10"/>
      <c r="F33" s="11"/>
    </row>
    <row r="34">
      <c r="A34" s="9">
        <v>45546.0</v>
      </c>
      <c r="B34" s="7">
        <v>6.0</v>
      </c>
      <c r="C34" s="10"/>
      <c r="D34" s="11"/>
      <c r="E34" s="10"/>
      <c r="F34" s="11"/>
    </row>
    <row r="35">
      <c r="A35" s="9">
        <v>45547.0</v>
      </c>
      <c r="B35" s="7">
        <v>3.0</v>
      </c>
      <c r="C35" s="10"/>
      <c r="D35" s="11"/>
      <c r="E35" s="10"/>
      <c r="F35" s="11"/>
    </row>
    <row r="36">
      <c r="A36" s="9">
        <v>45548.0</v>
      </c>
      <c r="B36" s="7">
        <v>1.0</v>
      </c>
      <c r="C36" s="10"/>
      <c r="D36" s="11"/>
      <c r="E36" s="10"/>
      <c r="F36" s="11"/>
    </row>
    <row r="37">
      <c r="A37" s="9">
        <v>45549.0</v>
      </c>
      <c r="B37" s="7">
        <v>2.0</v>
      </c>
      <c r="C37" s="10"/>
      <c r="D37" s="11"/>
      <c r="E37" s="10"/>
      <c r="F37" s="11"/>
    </row>
    <row r="38">
      <c r="A38" s="9">
        <v>45550.0</v>
      </c>
      <c r="B38" s="7">
        <v>2.0</v>
      </c>
      <c r="C38" s="10"/>
      <c r="D38" s="11"/>
      <c r="E38" s="10"/>
      <c r="F38" s="11"/>
    </row>
    <row r="39">
      <c r="A39" s="9">
        <v>45551.0</v>
      </c>
      <c r="B39" s="7">
        <v>7.0</v>
      </c>
      <c r="C39" s="10"/>
      <c r="D39" s="11"/>
      <c r="E39" s="10"/>
      <c r="F39" s="11"/>
    </row>
    <row r="40">
      <c r="A40" s="9">
        <v>45552.0</v>
      </c>
      <c r="B40" s="7">
        <v>3.0</v>
      </c>
      <c r="C40" s="10"/>
      <c r="D40" s="11"/>
      <c r="E40" s="10"/>
      <c r="F40" s="11"/>
    </row>
    <row r="41">
      <c r="A41" s="9">
        <v>45553.0</v>
      </c>
      <c r="B41" s="7">
        <v>2.0</v>
      </c>
      <c r="C41" s="10"/>
      <c r="D41" s="11"/>
      <c r="E41" s="10"/>
      <c r="F41" s="11"/>
    </row>
    <row r="42">
      <c r="A42" s="9">
        <v>45554.0</v>
      </c>
      <c r="B42" s="7">
        <v>3.0</v>
      </c>
      <c r="C42" s="10"/>
      <c r="D42" s="11"/>
      <c r="E42" s="10"/>
      <c r="F42" s="11"/>
    </row>
    <row r="43">
      <c r="A43" s="9">
        <v>45555.0</v>
      </c>
      <c r="B43" s="7">
        <v>3.0</v>
      </c>
      <c r="C43" s="10"/>
      <c r="D43" s="11"/>
      <c r="E43" s="10"/>
      <c r="F43" s="11"/>
    </row>
    <row r="44">
      <c r="A44" s="9">
        <v>45556.0</v>
      </c>
      <c r="B44" s="7">
        <v>3.0</v>
      </c>
      <c r="C44" s="10"/>
      <c r="D44" s="11"/>
      <c r="E44" s="10"/>
      <c r="F44" s="11"/>
    </row>
    <row r="45">
      <c r="A45" s="9">
        <v>45557.0</v>
      </c>
      <c r="B45" s="7">
        <v>8.0</v>
      </c>
      <c r="C45" s="10"/>
      <c r="D45" s="11"/>
      <c r="E45" s="10"/>
      <c r="F45" s="11"/>
    </row>
    <row r="46">
      <c r="A46" s="9">
        <v>45558.0</v>
      </c>
      <c r="B46" s="7">
        <v>2.0</v>
      </c>
      <c r="C46" s="10"/>
      <c r="D46" s="11"/>
      <c r="E46" s="10"/>
      <c r="F46" s="11"/>
    </row>
    <row r="47">
      <c r="A47" s="9">
        <v>45559.0</v>
      </c>
      <c r="B47" s="7">
        <v>3.0</v>
      </c>
      <c r="C47" s="10"/>
      <c r="D47" s="11"/>
      <c r="E47" s="10"/>
      <c r="F47" s="11"/>
    </row>
    <row r="48">
      <c r="A48" s="9">
        <v>45560.0</v>
      </c>
      <c r="B48" s="7">
        <v>5.0</v>
      </c>
      <c r="C48" s="10"/>
      <c r="D48" s="11"/>
      <c r="E48" s="10"/>
      <c r="F48" s="11"/>
    </row>
    <row r="49">
      <c r="A49" s="9">
        <v>45561.0</v>
      </c>
      <c r="B49" s="7">
        <v>5.0</v>
      </c>
      <c r="C49" s="10"/>
      <c r="D49" s="11"/>
      <c r="E49" s="10"/>
      <c r="F49" s="11"/>
    </row>
    <row r="50">
      <c r="A50" s="9">
        <v>45562.0</v>
      </c>
      <c r="B50" s="7">
        <v>1.0</v>
      </c>
      <c r="C50" s="10"/>
      <c r="D50" s="11"/>
      <c r="E50" s="10"/>
      <c r="F50" s="11"/>
    </row>
    <row r="51">
      <c r="A51" s="9">
        <v>45563.0</v>
      </c>
      <c r="B51" s="7">
        <v>1.0</v>
      </c>
      <c r="C51" s="10"/>
      <c r="D51" s="11"/>
      <c r="E51" s="10"/>
      <c r="F51" s="11"/>
    </row>
    <row r="52">
      <c r="A52" s="9">
        <v>45564.0</v>
      </c>
      <c r="B52" s="7">
        <v>3.0</v>
      </c>
      <c r="C52" s="10"/>
      <c r="D52" s="11"/>
      <c r="E52" s="10"/>
      <c r="F52" s="11"/>
    </row>
    <row r="53">
      <c r="A53" s="9">
        <v>45565.0</v>
      </c>
      <c r="B53" s="7">
        <v>1.0</v>
      </c>
      <c r="C53" s="10"/>
      <c r="D53" s="11"/>
      <c r="E53" s="10"/>
      <c r="F53" s="11"/>
    </row>
    <row r="54">
      <c r="A54" s="9">
        <v>45566.0</v>
      </c>
      <c r="B54" s="7">
        <v>4.0</v>
      </c>
      <c r="C54" s="10"/>
      <c r="D54" s="11"/>
      <c r="E54" s="10"/>
      <c r="F54" s="11"/>
    </row>
    <row r="55">
      <c r="A55" s="9">
        <v>45567.0</v>
      </c>
      <c r="B55" s="7">
        <v>3.0</v>
      </c>
      <c r="C55" s="10"/>
      <c r="D55" s="11"/>
      <c r="E55" s="10"/>
      <c r="F55" s="11"/>
    </row>
    <row r="56">
      <c r="A56" s="9">
        <v>45568.0</v>
      </c>
      <c r="B56" s="7">
        <v>4.0</v>
      </c>
      <c r="C56" s="10"/>
      <c r="D56" s="11"/>
      <c r="E56" s="10"/>
      <c r="F56" s="11"/>
    </row>
    <row r="57">
      <c r="A57" s="9">
        <v>45569.0</v>
      </c>
      <c r="B57" s="7">
        <v>4.0</v>
      </c>
      <c r="C57" s="10"/>
      <c r="D57" s="11"/>
      <c r="E57" s="10"/>
      <c r="F57" s="11"/>
    </row>
    <row r="58">
      <c r="A58" s="9">
        <v>45570.0</v>
      </c>
      <c r="B58" s="7">
        <v>4.0</v>
      </c>
      <c r="C58" s="10"/>
      <c r="D58" s="11"/>
      <c r="E58" s="10"/>
      <c r="F58" s="11"/>
    </row>
    <row r="59">
      <c r="A59" s="9">
        <v>45571.0</v>
      </c>
      <c r="B59" s="7">
        <v>7.0</v>
      </c>
      <c r="C59" s="10"/>
      <c r="D59" s="11"/>
      <c r="E59" s="10"/>
      <c r="F59" s="11"/>
    </row>
    <row r="60">
      <c r="A60" s="9">
        <v>45572.0</v>
      </c>
      <c r="B60" s="7">
        <v>2.0</v>
      </c>
      <c r="C60" s="10"/>
      <c r="D60" s="11"/>
      <c r="E60" s="10"/>
      <c r="F60" s="11"/>
    </row>
    <row r="61">
      <c r="A61" s="9">
        <v>45573.0</v>
      </c>
      <c r="B61" s="7">
        <v>2.0</v>
      </c>
      <c r="C61" s="10"/>
      <c r="D61" s="11"/>
      <c r="E61" s="10"/>
      <c r="F61" s="11"/>
    </row>
    <row r="62">
      <c r="A62" s="9">
        <v>45574.0</v>
      </c>
      <c r="B62" s="7">
        <v>2.0</v>
      </c>
      <c r="C62" s="10"/>
      <c r="D62" s="11"/>
      <c r="E62" s="10"/>
      <c r="F62" s="11"/>
    </row>
    <row r="63">
      <c r="A63" s="9">
        <v>45575.0</v>
      </c>
      <c r="B63" s="7">
        <v>2.0</v>
      </c>
      <c r="C63" s="10"/>
      <c r="D63" s="11"/>
      <c r="E63" s="10"/>
      <c r="F63" s="11"/>
    </row>
    <row r="64">
      <c r="A64" s="9">
        <v>45576.0</v>
      </c>
      <c r="B64" s="7">
        <v>2.0</v>
      </c>
      <c r="C64" s="10"/>
      <c r="D64" s="11"/>
      <c r="E64" s="10"/>
      <c r="F64" s="11"/>
    </row>
    <row r="65">
      <c r="A65" s="9">
        <v>45577.0</v>
      </c>
      <c r="B65" s="7">
        <v>1.0</v>
      </c>
      <c r="C65" s="10"/>
      <c r="D65" s="11"/>
      <c r="E65" s="10"/>
      <c r="F65" s="11"/>
    </row>
    <row r="66">
      <c r="A66" s="9">
        <v>45578.0</v>
      </c>
      <c r="B66" s="7">
        <v>5.0</v>
      </c>
      <c r="C66" s="10"/>
      <c r="D66" s="11"/>
      <c r="E66" s="10"/>
      <c r="F66" s="11"/>
    </row>
    <row r="67">
      <c r="A67" s="9">
        <v>45579.0</v>
      </c>
      <c r="B67" s="7">
        <v>2.0</v>
      </c>
      <c r="C67" s="10"/>
      <c r="D67" s="11"/>
      <c r="E67" s="10"/>
      <c r="F67" s="11"/>
    </row>
    <row r="68">
      <c r="A68" s="9">
        <v>45580.0</v>
      </c>
      <c r="B68" s="7">
        <v>2.0</v>
      </c>
      <c r="C68" s="10"/>
      <c r="D68" s="11"/>
      <c r="E68" s="10"/>
      <c r="F68" s="11"/>
    </row>
    <row r="69">
      <c r="A69" s="9">
        <v>45581.0</v>
      </c>
      <c r="B69" s="7">
        <v>3.0</v>
      </c>
      <c r="C69" s="10"/>
      <c r="D69" s="11"/>
      <c r="E69" s="10"/>
      <c r="F69" s="11"/>
    </row>
    <row r="70">
      <c r="A70" s="9">
        <v>45582.0</v>
      </c>
      <c r="B70" s="7">
        <v>2.0</v>
      </c>
      <c r="C70" s="10"/>
      <c r="D70" s="11"/>
      <c r="E70" s="10"/>
      <c r="F70" s="11"/>
    </row>
    <row r="71">
      <c r="A71" s="9">
        <v>45583.0</v>
      </c>
      <c r="B71" s="7">
        <v>10.0</v>
      </c>
      <c r="C71" s="10"/>
      <c r="D71" s="11"/>
      <c r="E71" s="10"/>
      <c r="F71" s="11"/>
    </row>
    <row r="72">
      <c r="A72" s="9">
        <v>45584.0</v>
      </c>
      <c r="B72" s="7">
        <v>1.0</v>
      </c>
      <c r="C72" s="10"/>
      <c r="D72" s="11"/>
      <c r="E72" s="10"/>
      <c r="F72" s="11"/>
    </row>
    <row r="73">
      <c r="A73" s="9">
        <v>45585.0</v>
      </c>
      <c r="B73" s="7">
        <v>1.0</v>
      </c>
      <c r="C73" s="10"/>
      <c r="D73" s="11"/>
      <c r="E73" s="10"/>
      <c r="F73" s="11"/>
    </row>
    <row r="74">
      <c r="A74" s="9">
        <v>45586.0</v>
      </c>
      <c r="B74" s="7">
        <v>1.0</v>
      </c>
      <c r="C74" s="10"/>
      <c r="D74" s="11"/>
      <c r="E74" s="10"/>
      <c r="F74" s="11"/>
    </row>
    <row r="75">
      <c r="A75" s="9">
        <v>45587.0</v>
      </c>
      <c r="B75" s="7">
        <v>4.0</v>
      </c>
      <c r="C75" s="10"/>
      <c r="D75" s="11"/>
      <c r="E75" s="10"/>
      <c r="F75" s="11"/>
    </row>
    <row r="76">
      <c r="A76" s="9">
        <v>45588.0</v>
      </c>
      <c r="B76" s="7">
        <v>2.0</v>
      </c>
      <c r="C76" s="10"/>
      <c r="D76" s="11"/>
      <c r="E76" s="10"/>
      <c r="F76" s="11"/>
    </row>
    <row r="77">
      <c r="A77" s="9">
        <v>45589.0</v>
      </c>
      <c r="B77" s="7">
        <v>3.0</v>
      </c>
      <c r="C77" s="10"/>
      <c r="D77" s="11"/>
      <c r="E77" s="10"/>
      <c r="F77" s="11"/>
    </row>
    <row r="78">
      <c r="A78" s="9">
        <v>45590.0</v>
      </c>
      <c r="B78" s="7">
        <v>2.0</v>
      </c>
      <c r="C78" s="10"/>
      <c r="D78" s="11"/>
      <c r="E78" s="10"/>
      <c r="F78" s="11"/>
    </row>
    <row r="79">
      <c r="A79" s="9">
        <v>45591.0</v>
      </c>
      <c r="B79" s="7">
        <v>2.0</v>
      </c>
      <c r="C79" s="10"/>
      <c r="D79" s="11"/>
      <c r="E79" s="10"/>
      <c r="F79" s="11"/>
    </row>
    <row r="80">
      <c r="A80" s="9">
        <v>45592.0</v>
      </c>
      <c r="B80" s="7">
        <v>1.0</v>
      </c>
      <c r="C80" s="10"/>
      <c r="D80" s="11"/>
      <c r="E80" s="10"/>
      <c r="F80" s="11"/>
    </row>
    <row r="81">
      <c r="A81" s="9">
        <v>45593.0</v>
      </c>
      <c r="B81" s="7">
        <v>1.0</v>
      </c>
      <c r="C81" s="10"/>
      <c r="D81" s="11"/>
      <c r="E81" s="10"/>
      <c r="F81" s="11"/>
    </row>
    <row r="82">
      <c r="A82" s="9">
        <v>45594.0</v>
      </c>
      <c r="B82" s="7">
        <v>9.0</v>
      </c>
      <c r="C82" s="10"/>
      <c r="D82" s="11"/>
      <c r="E82" s="10"/>
      <c r="F82" s="11"/>
    </row>
    <row r="83">
      <c r="A83" s="9">
        <v>45595.0</v>
      </c>
      <c r="B83" s="7">
        <v>4.0</v>
      </c>
      <c r="C83" s="10"/>
      <c r="D83" s="11"/>
      <c r="E83" s="10"/>
      <c r="F83" s="11"/>
    </row>
    <row r="84">
      <c r="A84" s="9">
        <v>45596.0</v>
      </c>
      <c r="B84" s="7">
        <v>3.0</v>
      </c>
      <c r="C84" s="10"/>
      <c r="D84" s="11"/>
      <c r="E84" s="10"/>
      <c r="F84" s="11"/>
    </row>
    <row r="85">
      <c r="A85" s="9">
        <v>45597.0</v>
      </c>
      <c r="B85" s="7">
        <v>2.0</v>
      </c>
      <c r="C85" s="10"/>
      <c r="D85" s="11"/>
      <c r="E85" s="10"/>
      <c r="F85" s="11"/>
    </row>
    <row r="86">
      <c r="A86" s="9">
        <v>45598.0</v>
      </c>
      <c r="B86" s="7">
        <v>1.0</v>
      </c>
      <c r="C86" s="10"/>
      <c r="D86" s="11"/>
      <c r="E86" s="10"/>
      <c r="F86" s="11"/>
    </row>
    <row r="87">
      <c r="A87" s="9">
        <v>45599.0</v>
      </c>
      <c r="B87" s="7">
        <v>2.0</v>
      </c>
      <c r="C87" s="10"/>
      <c r="D87" s="11"/>
      <c r="E87" s="10"/>
      <c r="F87" s="11"/>
    </row>
    <row r="88">
      <c r="A88" s="9">
        <v>45600.0</v>
      </c>
      <c r="B88" s="7">
        <v>1.0</v>
      </c>
      <c r="C88" s="10"/>
      <c r="D88" s="11"/>
      <c r="E88" s="10"/>
      <c r="F88" s="11"/>
    </row>
    <row r="89">
      <c r="A89" s="9">
        <v>45601.0</v>
      </c>
      <c r="B89" s="7">
        <v>3.0</v>
      </c>
      <c r="C89" s="10"/>
      <c r="D89" s="11"/>
      <c r="E89" s="10"/>
      <c r="F89" s="11"/>
    </row>
    <row r="90">
      <c r="A90" s="9">
        <v>45602.0</v>
      </c>
      <c r="B90" s="7">
        <v>4.0</v>
      </c>
      <c r="C90" s="10"/>
      <c r="D90" s="11"/>
      <c r="E90" s="10"/>
      <c r="F90" s="11"/>
    </row>
    <row r="91">
      <c r="A91" s="9">
        <v>45603.0</v>
      </c>
      <c r="B91" s="7">
        <v>4.0</v>
      </c>
      <c r="C91" s="10"/>
      <c r="D91" s="11"/>
      <c r="E91" s="10"/>
      <c r="F91" s="11"/>
    </row>
    <row r="92">
      <c r="A92" s="9">
        <v>45604.0</v>
      </c>
      <c r="B92" s="7">
        <v>1.0</v>
      </c>
      <c r="C92" s="10"/>
      <c r="D92" s="11"/>
      <c r="E92" s="10"/>
      <c r="F92" s="11"/>
    </row>
    <row r="93">
      <c r="A93" s="9">
        <v>45605.0</v>
      </c>
      <c r="B93" s="7">
        <v>8.0</v>
      </c>
      <c r="C93" s="10"/>
      <c r="D93" s="11"/>
      <c r="E93" s="10"/>
      <c r="F93" s="11"/>
    </row>
    <row r="94">
      <c r="A94" s="9">
        <v>45607.0</v>
      </c>
      <c r="B94" s="7">
        <v>1.0</v>
      </c>
      <c r="C94" s="10"/>
      <c r="D94" s="11"/>
      <c r="E94" s="10"/>
      <c r="F94" s="11"/>
    </row>
    <row r="95">
      <c r="A95" s="9">
        <v>45608.0</v>
      </c>
      <c r="B95" s="7">
        <v>1.0</v>
      </c>
      <c r="C95" s="10"/>
      <c r="D95" s="11"/>
      <c r="E95" s="10"/>
      <c r="F95" s="11"/>
    </row>
    <row r="96">
      <c r="A96" s="9">
        <v>45609.0</v>
      </c>
      <c r="B96" s="7">
        <v>4.0</v>
      </c>
      <c r="C96" s="10"/>
      <c r="D96" s="11"/>
      <c r="E96" s="10"/>
      <c r="F96" s="11"/>
    </row>
    <row r="97">
      <c r="A97" s="9">
        <v>45610.0</v>
      </c>
      <c r="B97" s="7">
        <v>5.0</v>
      </c>
      <c r="C97" s="10"/>
      <c r="D97" s="11"/>
      <c r="E97" s="10"/>
      <c r="F97" s="11"/>
    </row>
    <row r="98">
      <c r="A98" s="9">
        <v>45611.0</v>
      </c>
      <c r="B98" s="7">
        <v>2.0</v>
      </c>
      <c r="C98" s="10"/>
      <c r="D98" s="11"/>
      <c r="E98" s="10"/>
      <c r="F98" s="11"/>
    </row>
    <row r="99">
      <c r="A99" s="9">
        <v>45613.0</v>
      </c>
      <c r="B99" s="7">
        <v>4.0</v>
      </c>
      <c r="C99" s="10"/>
      <c r="D99" s="11"/>
      <c r="E99" s="10"/>
      <c r="F99" s="11"/>
    </row>
    <row r="100">
      <c r="A100" s="9">
        <v>45614.0</v>
      </c>
      <c r="B100" s="7">
        <v>4.0</v>
      </c>
      <c r="C100" s="10"/>
      <c r="D100" s="11"/>
      <c r="E100" s="10"/>
      <c r="F100" s="11"/>
    </row>
    <row r="101">
      <c r="A101" s="9">
        <v>45616.0</v>
      </c>
      <c r="B101" s="7">
        <v>6.0</v>
      </c>
      <c r="C101" s="10"/>
      <c r="D101" s="11"/>
      <c r="E101" s="10"/>
      <c r="F101" s="11"/>
    </row>
    <row r="102">
      <c r="A102" s="9">
        <v>45617.0</v>
      </c>
      <c r="B102" s="7">
        <v>3.0</v>
      </c>
      <c r="C102" s="10"/>
      <c r="D102" s="11"/>
      <c r="E102" s="10"/>
      <c r="F102" s="11"/>
    </row>
    <row r="103">
      <c r="A103" s="9">
        <v>45618.0</v>
      </c>
      <c r="B103" s="7">
        <v>1.0</v>
      </c>
      <c r="C103" s="10"/>
      <c r="D103" s="11"/>
      <c r="E103" s="10"/>
      <c r="F103" s="11"/>
    </row>
    <row r="104">
      <c r="A104" s="9">
        <v>45619.0</v>
      </c>
      <c r="B104" s="7">
        <v>1.0</v>
      </c>
      <c r="C104" s="10"/>
      <c r="D104" s="11"/>
      <c r="E104" s="10"/>
      <c r="F104" s="11"/>
    </row>
    <row r="105">
      <c r="A105" s="9">
        <v>45620.0</v>
      </c>
      <c r="B105" s="7">
        <v>2.0</v>
      </c>
      <c r="C105" s="10"/>
      <c r="D105" s="11"/>
      <c r="E105" s="10"/>
      <c r="F105" s="11"/>
    </row>
    <row r="106">
      <c r="A106" s="9">
        <v>45621.0</v>
      </c>
      <c r="B106" s="7">
        <v>1.0</v>
      </c>
      <c r="C106" s="10"/>
      <c r="D106" s="11"/>
      <c r="E106" s="10"/>
      <c r="F106" s="11"/>
    </row>
    <row r="107">
      <c r="A107" s="9">
        <v>45623.0</v>
      </c>
      <c r="B107" s="7">
        <v>2.0</v>
      </c>
      <c r="C107" s="10"/>
      <c r="D107" s="11"/>
      <c r="E107" s="10"/>
      <c r="F107" s="11"/>
    </row>
    <row r="108">
      <c r="A108" s="9">
        <v>45624.0</v>
      </c>
      <c r="B108" s="7">
        <v>2.0</v>
      </c>
      <c r="C108" s="10"/>
      <c r="D108" s="11"/>
      <c r="E108" s="10"/>
      <c r="F108" s="11"/>
    </row>
    <row r="109">
      <c r="A109" s="9">
        <v>45625.0</v>
      </c>
      <c r="B109" s="7">
        <v>1.0</v>
      </c>
      <c r="C109" s="10"/>
      <c r="D109" s="11"/>
      <c r="E109" s="10"/>
      <c r="F109" s="11"/>
    </row>
    <row r="110">
      <c r="A110" s="9">
        <v>45626.0</v>
      </c>
      <c r="B110" s="7">
        <v>2.0</v>
      </c>
      <c r="C110" s="10"/>
      <c r="D110" s="11"/>
      <c r="E110" s="10"/>
      <c r="F110" s="11"/>
    </row>
    <row r="111">
      <c r="A111" s="9">
        <v>45627.0</v>
      </c>
      <c r="B111" s="7">
        <v>1.0</v>
      </c>
      <c r="C111" s="10"/>
      <c r="D111" s="11"/>
      <c r="E111" s="10"/>
      <c r="F111" s="11"/>
    </row>
    <row r="112">
      <c r="A112" s="9">
        <v>45628.0</v>
      </c>
      <c r="B112" s="7">
        <v>2.0</v>
      </c>
      <c r="C112" s="10"/>
      <c r="D112" s="11"/>
      <c r="E112" s="10"/>
      <c r="F112" s="11"/>
    </row>
    <row r="113">
      <c r="A113" s="9">
        <v>45629.0</v>
      </c>
      <c r="B113" s="7">
        <v>45.0</v>
      </c>
      <c r="C113" s="10"/>
      <c r="D113" s="11"/>
      <c r="E113" s="10"/>
      <c r="F113" s="11"/>
    </row>
    <row r="114">
      <c r="A114" s="9">
        <v>45630.0</v>
      </c>
      <c r="B114" s="7">
        <v>24.0</v>
      </c>
      <c r="C114" s="10"/>
      <c r="D114" s="11"/>
      <c r="E114" s="10"/>
      <c r="F114" s="11"/>
    </row>
    <row r="115">
      <c r="A115" s="9">
        <v>45631.0</v>
      </c>
      <c r="B115" s="7">
        <v>4.0</v>
      </c>
      <c r="C115" s="10"/>
      <c r="D115" s="11"/>
      <c r="E115" s="10"/>
      <c r="F115" s="11"/>
    </row>
    <row r="116">
      <c r="A116" s="9">
        <v>45632.0</v>
      </c>
      <c r="B116" s="7">
        <v>2.0</v>
      </c>
      <c r="C116" s="10"/>
      <c r="D116" s="11"/>
      <c r="E116" s="10"/>
      <c r="F116" s="11"/>
    </row>
    <row r="117">
      <c r="A117" s="9">
        <v>45633.0</v>
      </c>
      <c r="B117" s="7">
        <v>5.0</v>
      </c>
      <c r="C117" s="10"/>
      <c r="D117" s="11"/>
      <c r="E117" s="10"/>
      <c r="F117" s="11"/>
    </row>
    <row r="118">
      <c r="A118" s="9">
        <v>45634.0</v>
      </c>
      <c r="B118" s="7">
        <v>1.0</v>
      </c>
      <c r="C118" s="10"/>
      <c r="D118" s="11"/>
      <c r="E118" s="10"/>
      <c r="F118" s="11"/>
    </row>
    <row r="119">
      <c r="A119" s="9">
        <v>45635.0</v>
      </c>
      <c r="B119" s="7">
        <v>1.0</v>
      </c>
      <c r="C119" s="10"/>
      <c r="D119" s="11"/>
      <c r="E119" s="10"/>
      <c r="F119" s="11"/>
    </row>
    <row r="120">
      <c r="A120" s="9">
        <v>45636.0</v>
      </c>
      <c r="B120" s="7">
        <v>3.0</v>
      </c>
      <c r="C120" s="10"/>
      <c r="D120" s="11"/>
      <c r="E120" s="10"/>
      <c r="F120" s="11"/>
    </row>
    <row r="121">
      <c r="A121" s="9">
        <v>45637.0</v>
      </c>
      <c r="B121" s="7">
        <v>2.0</v>
      </c>
      <c r="C121" s="10"/>
      <c r="D121" s="11"/>
      <c r="E121" s="10"/>
      <c r="F121" s="11"/>
    </row>
    <row r="122">
      <c r="A122" s="9">
        <v>45638.0</v>
      </c>
      <c r="B122" s="7">
        <v>1.0</v>
      </c>
      <c r="C122" s="10"/>
      <c r="D122" s="11"/>
      <c r="E122" s="10"/>
      <c r="F122" s="11"/>
    </row>
    <row r="123">
      <c r="A123" s="9">
        <v>45639.0</v>
      </c>
      <c r="B123" s="7">
        <v>1.0</v>
      </c>
      <c r="C123" s="10"/>
      <c r="D123" s="11"/>
      <c r="E123" s="10"/>
      <c r="F123" s="11"/>
    </row>
    <row r="124">
      <c r="A124" s="9">
        <v>45640.0</v>
      </c>
      <c r="B124" s="7">
        <v>3.0</v>
      </c>
      <c r="C124" s="10"/>
      <c r="D124" s="11"/>
      <c r="E124" s="10"/>
      <c r="F124" s="11"/>
    </row>
    <row r="125">
      <c r="A125" s="9">
        <v>45641.0</v>
      </c>
      <c r="B125" s="7">
        <v>2.0</v>
      </c>
      <c r="C125" s="10"/>
      <c r="D125" s="11"/>
      <c r="E125" s="10"/>
      <c r="F125" s="11"/>
    </row>
    <row r="126">
      <c r="A126" s="9">
        <v>45645.0</v>
      </c>
      <c r="B126" s="7">
        <v>1.0</v>
      </c>
      <c r="C126" s="10"/>
      <c r="D126" s="11"/>
      <c r="E126" s="10"/>
      <c r="F126" s="11"/>
    </row>
    <row r="127">
      <c r="A127" s="9">
        <v>45646.0</v>
      </c>
      <c r="B127" s="7">
        <v>1.0</v>
      </c>
      <c r="C127" s="10"/>
      <c r="D127" s="11"/>
      <c r="E127" s="10"/>
      <c r="F127" s="11"/>
    </row>
    <row r="128">
      <c r="A128" s="9">
        <v>45647.0</v>
      </c>
      <c r="B128" s="7">
        <v>2.0</v>
      </c>
      <c r="C128" s="10"/>
      <c r="D128" s="11"/>
      <c r="E128" s="10"/>
      <c r="F128" s="11"/>
    </row>
    <row r="129">
      <c r="A129" s="9">
        <v>45648.0</v>
      </c>
      <c r="B129" s="7">
        <v>1.0</v>
      </c>
      <c r="C129" s="10"/>
      <c r="D129" s="11"/>
      <c r="E129" s="10"/>
      <c r="F129" s="11"/>
    </row>
    <row r="130">
      <c r="A130" s="9">
        <v>45649.0</v>
      </c>
      <c r="B130" s="7">
        <v>2.0</v>
      </c>
      <c r="C130" s="10"/>
      <c r="D130" s="11"/>
      <c r="E130" s="10"/>
      <c r="F130" s="11"/>
    </row>
    <row r="131">
      <c r="A131" s="9">
        <v>45650.0</v>
      </c>
      <c r="B131" s="7">
        <v>1.0</v>
      </c>
      <c r="C131" s="10"/>
      <c r="D131" s="11"/>
      <c r="E131" s="10"/>
      <c r="F131" s="11"/>
    </row>
    <row r="132">
      <c r="A132" s="9">
        <v>45652.0</v>
      </c>
      <c r="B132" s="7">
        <v>1.0</v>
      </c>
      <c r="C132" s="10"/>
      <c r="D132" s="11"/>
      <c r="E132" s="10"/>
      <c r="F132" s="11"/>
    </row>
    <row r="133">
      <c r="A133" s="9">
        <v>45653.0</v>
      </c>
      <c r="B133" s="7">
        <v>3.0</v>
      </c>
      <c r="C133" s="10"/>
      <c r="D133" s="11"/>
      <c r="E133" s="10"/>
      <c r="F133" s="11"/>
    </row>
    <row r="134">
      <c r="A134" s="9">
        <v>45654.0</v>
      </c>
      <c r="B134" s="7">
        <v>2.0</v>
      </c>
      <c r="C134" s="10"/>
      <c r="D134" s="11"/>
      <c r="E134" s="10"/>
      <c r="F134" s="11"/>
    </row>
    <row r="135">
      <c r="A135" s="9">
        <v>45655.0</v>
      </c>
      <c r="B135" s="7">
        <v>1.0</v>
      </c>
      <c r="C135" s="10"/>
      <c r="D135" s="11"/>
      <c r="E135" s="10"/>
      <c r="F135" s="11"/>
    </row>
    <row r="136">
      <c r="A136" s="9">
        <v>45656.0</v>
      </c>
      <c r="B136" s="7">
        <v>1.0</v>
      </c>
      <c r="C136" s="10"/>
      <c r="D136" s="11"/>
      <c r="E136" s="10"/>
      <c r="F136" s="11"/>
    </row>
    <row r="137">
      <c r="A137" s="9">
        <v>45657.0</v>
      </c>
      <c r="B137" s="7">
        <v>2.0</v>
      </c>
      <c r="C137" s="10"/>
      <c r="D137" s="11"/>
      <c r="E137" s="10"/>
      <c r="F137" s="11"/>
    </row>
    <row r="138">
      <c r="A138" s="9">
        <v>45658.0</v>
      </c>
      <c r="B138" s="7">
        <v>4.0</v>
      </c>
      <c r="C138" s="10"/>
      <c r="D138" s="11"/>
      <c r="E138" s="10"/>
      <c r="F138" s="11"/>
    </row>
    <row r="139">
      <c r="A139" s="9">
        <v>45659.0</v>
      </c>
      <c r="B139" s="7">
        <v>1.0</v>
      </c>
      <c r="C139" s="10"/>
      <c r="D139" s="11"/>
      <c r="E139" s="10"/>
      <c r="F139" s="11"/>
    </row>
    <row r="140">
      <c r="A140" s="9">
        <v>45661.0</v>
      </c>
      <c r="B140" s="7">
        <v>3.0</v>
      </c>
      <c r="C140" s="10"/>
      <c r="D140" s="11"/>
      <c r="E140" s="10"/>
      <c r="F140" s="11"/>
    </row>
    <row r="141">
      <c r="A141" s="9">
        <v>45663.0</v>
      </c>
      <c r="B141" s="7">
        <v>4.0</v>
      </c>
      <c r="C141" s="10"/>
      <c r="D141" s="11"/>
      <c r="E141" s="10"/>
      <c r="F141" s="11"/>
    </row>
    <row r="142">
      <c r="A142" s="9">
        <v>45664.0</v>
      </c>
      <c r="B142" s="7">
        <v>2.0</v>
      </c>
      <c r="C142" s="10"/>
      <c r="D142" s="11"/>
      <c r="E142" s="10"/>
      <c r="F142" s="11"/>
    </row>
    <row r="143">
      <c r="A143" s="9">
        <v>45665.0</v>
      </c>
      <c r="B143" s="7">
        <v>2.0</v>
      </c>
      <c r="C143" s="10"/>
      <c r="D143" s="11"/>
      <c r="E143" s="10"/>
      <c r="F143" s="11"/>
    </row>
    <row r="144">
      <c r="A144" s="9">
        <v>45666.0</v>
      </c>
      <c r="B144" s="7">
        <v>2.0</v>
      </c>
      <c r="C144" s="10"/>
      <c r="D144" s="11"/>
      <c r="E144" s="10"/>
      <c r="F144" s="11"/>
    </row>
    <row r="145">
      <c r="A145" s="9">
        <v>45667.0</v>
      </c>
      <c r="B145" s="7">
        <v>2.0</v>
      </c>
      <c r="C145" s="10"/>
      <c r="D145" s="11"/>
      <c r="E145" s="10"/>
      <c r="F145" s="11"/>
    </row>
    <row r="146">
      <c r="A146" s="9">
        <v>45668.0</v>
      </c>
      <c r="B146" s="7">
        <v>1.0</v>
      </c>
      <c r="C146" s="10"/>
      <c r="D146" s="11"/>
      <c r="E146" s="10"/>
      <c r="F146" s="11"/>
    </row>
    <row r="147">
      <c r="A147" s="9">
        <v>45669.0</v>
      </c>
      <c r="B147" s="7">
        <v>1.0</v>
      </c>
      <c r="C147" s="10"/>
      <c r="D147" s="11"/>
      <c r="E147" s="10"/>
      <c r="F147" s="11"/>
    </row>
    <row r="148">
      <c r="A148" s="9">
        <v>45670.0</v>
      </c>
      <c r="B148" s="7">
        <v>1.0</v>
      </c>
      <c r="C148" s="10"/>
      <c r="D148" s="11"/>
      <c r="E148" s="10"/>
      <c r="F148" s="11"/>
    </row>
    <row r="149">
      <c r="A149" s="9">
        <v>45671.0</v>
      </c>
      <c r="B149" s="7">
        <v>1.0</v>
      </c>
      <c r="C149" s="10"/>
      <c r="D149" s="11"/>
      <c r="E149" s="10"/>
      <c r="F149" s="11"/>
    </row>
    <row r="150">
      <c r="A150" s="9">
        <v>45672.0</v>
      </c>
      <c r="B150" s="7">
        <v>2.0</v>
      </c>
      <c r="C150" s="10"/>
      <c r="D150" s="11"/>
      <c r="E150" s="10"/>
      <c r="F150" s="11"/>
    </row>
    <row r="151">
      <c r="A151" s="9">
        <v>45673.0</v>
      </c>
      <c r="B151" s="7">
        <v>6.0</v>
      </c>
      <c r="C151" s="10"/>
      <c r="D151" s="11"/>
      <c r="E151" s="10"/>
      <c r="F151" s="11"/>
    </row>
    <row r="152">
      <c r="A152" s="9">
        <v>45674.0</v>
      </c>
      <c r="B152" s="7">
        <v>5.0</v>
      </c>
      <c r="C152" s="10"/>
      <c r="D152" s="11"/>
      <c r="E152" s="10"/>
      <c r="F152" s="11"/>
    </row>
    <row r="153">
      <c r="A153" s="9">
        <v>45675.0</v>
      </c>
      <c r="B153" s="7">
        <v>3.0</v>
      </c>
      <c r="C153" s="10"/>
      <c r="D153" s="11"/>
      <c r="E153" s="10"/>
      <c r="F153" s="11"/>
    </row>
    <row r="154">
      <c r="A154" s="9">
        <v>45676.0</v>
      </c>
      <c r="B154" s="7">
        <v>4.0</v>
      </c>
      <c r="C154" s="10"/>
      <c r="D154" s="11"/>
      <c r="E154" s="10"/>
      <c r="F154" s="11"/>
    </row>
    <row r="155">
      <c r="A155" s="9">
        <v>45677.0</v>
      </c>
      <c r="B155" s="7">
        <v>3.0</v>
      </c>
      <c r="C155" s="10"/>
      <c r="D155" s="11"/>
      <c r="E155" s="10"/>
      <c r="F155" s="11"/>
    </row>
    <row r="156">
      <c r="A156" s="9">
        <v>45678.0</v>
      </c>
      <c r="B156" s="7">
        <v>2.0</v>
      </c>
      <c r="C156" s="10"/>
      <c r="D156" s="11"/>
      <c r="E156" s="10"/>
      <c r="F156" s="11"/>
    </row>
    <row r="157">
      <c r="A157" s="9">
        <v>45679.0</v>
      </c>
      <c r="B157" s="7">
        <v>2.0</v>
      </c>
      <c r="C157" s="10"/>
      <c r="D157" s="11"/>
      <c r="E157" s="10"/>
      <c r="F157" s="11"/>
    </row>
    <row r="158">
      <c r="A158" s="9">
        <v>45680.0</v>
      </c>
      <c r="B158" s="7">
        <v>3.0</v>
      </c>
      <c r="C158" s="10"/>
      <c r="D158" s="11"/>
      <c r="E158" s="10"/>
      <c r="F158" s="11"/>
    </row>
    <row r="159">
      <c r="A159" s="9">
        <v>45681.0</v>
      </c>
      <c r="B159" s="7">
        <v>1.0</v>
      </c>
      <c r="C159" s="10"/>
      <c r="D159" s="11"/>
      <c r="E159" s="10"/>
      <c r="F159" s="11"/>
    </row>
    <row r="160">
      <c r="A160" s="9">
        <v>45683.0</v>
      </c>
      <c r="B160" s="7">
        <v>3.0</v>
      </c>
      <c r="C160" s="10"/>
      <c r="D160" s="11"/>
      <c r="E160" s="10"/>
      <c r="F160" s="11"/>
    </row>
    <row r="161">
      <c r="A161" s="9">
        <v>45684.0</v>
      </c>
      <c r="B161" s="7">
        <v>2.0</v>
      </c>
      <c r="C161" s="10"/>
      <c r="D161" s="11"/>
      <c r="E161" s="10"/>
      <c r="F161" s="11"/>
    </row>
    <row r="162">
      <c r="A162" s="9">
        <v>45685.0</v>
      </c>
      <c r="B162" s="7">
        <v>2.0</v>
      </c>
      <c r="C162" s="10"/>
      <c r="D162" s="11"/>
      <c r="E162" s="10"/>
      <c r="F162" s="11"/>
    </row>
    <row r="163">
      <c r="A163" s="9">
        <v>45686.0</v>
      </c>
      <c r="B163" s="7">
        <v>5.0</v>
      </c>
      <c r="C163" s="10"/>
      <c r="D163" s="11"/>
      <c r="E163" s="10"/>
      <c r="F163" s="11"/>
    </row>
    <row r="164">
      <c r="A164" s="9">
        <v>45687.0</v>
      </c>
      <c r="B164" s="7">
        <v>1.0</v>
      </c>
      <c r="C164" s="10"/>
      <c r="D164" s="11"/>
      <c r="E164" s="10"/>
      <c r="F164" s="11"/>
    </row>
    <row r="165">
      <c r="A165" s="9">
        <v>45688.0</v>
      </c>
      <c r="B165" s="7">
        <v>3.0</v>
      </c>
      <c r="C165" s="10"/>
      <c r="D165" s="11"/>
      <c r="E165" s="10"/>
      <c r="F165" s="11"/>
    </row>
    <row r="166">
      <c r="A166" s="9">
        <v>45689.0</v>
      </c>
      <c r="B166" s="7">
        <v>2.0</v>
      </c>
      <c r="C166" s="10"/>
      <c r="D166" s="11"/>
      <c r="E166" s="10"/>
      <c r="F166" s="11"/>
    </row>
    <row r="167">
      <c r="A167" s="9">
        <v>45690.0</v>
      </c>
      <c r="B167" s="7">
        <v>5.0</v>
      </c>
      <c r="C167" s="10"/>
      <c r="D167" s="11"/>
      <c r="E167" s="10"/>
      <c r="F167" s="11"/>
    </row>
    <row r="168">
      <c r="A168" s="9">
        <v>45691.0</v>
      </c>
      <c r="B168" s="7">
        <v>5.0</v>
      </c>
      <c r="C168" s="10"/>
      <c r="D168" s="11"/>
      <c r="E168" s="10"/>
      <c r="F168" s="11"/>
    </row>
    <row r="169">
      <c r="A169" s="9">
        <v>45692.0</v>
      </c>
      <c r="B169" s="7">
        <v>4.0</v>
      </c>
      <c r="C169" s="10"/>
      <c r="D169" s="11"/>
      <c r="E169" s="10"/>
      <c r="F169" s="11"/>
    </row>
    <row r="170">
      <c r="A170" s="9">
        <v>45693.0</v>
      </c>
      <c r="B170" s="7">
        <v>5.0</v>
      </c>
      <c r="C170" s="10"/>
      <c r="D170" s="11"/>
      <c r="E170" s="10"/>
      <c r="F170" s="11"/>
    </row>
    <row r="171">
      <c r="A171" s="9">
        <v>45694.0</v>
      </c>
      <c r="B171" s="7">
        <v>8.0</v>
      </c>
      <c r="C171" s="10"/>
      <c r="D171" s="11"/>
      <c r="E171" s="10"/>
      <c r="F171" s="11"/>
    </row>
    <row r="172">
      <c r="A172" s="9">
        <v>45695.0</v>
      </c>
      <c r="B172" s="7">
        <v>6.0</v>
      </c>
      <c r="C172" s="10"/>
      <c r="D172" s="11"/>
      <c r="E172" s="10"/>
      <c r="F172" s="11"/>
    </row>
    <row r="173">
      <c r="A173" s="9">
        <v>45696.0</v>
      </c>
      <c r="B173" s="7">
        <v>4.0</v>
      </c>
      <c r="C173" s="10"/>
      <c r="D173" s="11"/>
      <c r="E173" s="10"/>
      <c r="F173" s="11"/>
    </row>
    <row r="174">
      <c r="A174" s="9">
        <v>45697.0</v>
      </c>
      <c r="B174" s="7">
        <v>4.0</v>
      </c>
      <c r="C174" s="10"/>
      <c r="D174" s="11"/>
      <c r="E174" s="10"/>
      <c r="F174" s="11"/>
    </row>
    <row r="175">
      <c r="A175" s="9">
        <v>45698.0</v>
      </c>
      <c r="B175" s="7">
        <v>5.0</v>
      </c>
      <c r="C175" s="10"/>
      <c r="D175" s="11"/>
      <c r="E175" s="10"/>
      <c r="F175" s="11"/>
    </row>
    <row r="176">
      <c r="A176" s="9">
        <v>45699.0</v>
      </c>
      <c r="B176" s="7">
        <v>9.0</v>
      </c>
      <c r="C176" s="10"/>
      <c r="D176" s="11"/>
      <c r="E176" s="10"/>
      <c r="F176" s="11"/>
    </row>
    <row r="177">
      <c r="A177" s="9">
        <v>45700.0</v>
      </c>
      <c r="B177" s="7">
        <v>2.0</v>
      </c>
      <c r="C177" s="10"/>
      <c r="D177" s="11"/>
      <c r="E177" s="10"/>
      <c r="F177" s="11"/>
    </row>
    <row r="178">
      <c r="A178" s="9">
        <v>45701.0</v>
      </c>
      <c r="B178" s="7">
        <v>4.0</v>
      </c>
      <c r="C178" s="10"/>
      <c r="D178" s="11"/>
      <c r="E178" s="10"/>
      <c r="F178" s="11"/>
    </row>
    <row r="179">
      <c r="A179" s="9">
        <v>45702.0</v>
      </c>
      <c r="B179" s="7">
        <v>2.0</v>
      </c>
      <c r="C179" s="10"/>
      <c r="D179" s="11"/>
      <c r="E179" s="10"/>
      <c r="F179" s="11"/>
    </row>
    <row r="180">
      <c r="A180" s="9">
        <v>45703.0</v>
      </c>
      <c r="B180" s="7">
        <v>1.0</v>
      </c>
      <c r="C180" s="10"/>
      <c r="D180" s="11"/>
      <c r="E180" s="10"/>
      <c r="F180" s="11"/>
    </row>
    <row r="181">
      <c r="A181" s="9">
        <v>45704.0</v>
      </c>
      <c r="B181" s="7">
        <v>2.0</v>
      </c>
      <c r="C181" s="10"/>
      <c r="D181" s="11"/>
      <c r="E181" s="10"/>
      <c r="F181" s="11"/>
    </row>
    <row r="182">
      <c r="A182" s="9">
        <v>45705.0</v>
      </c>
      <c r="B182" s="7">
        <v>3.0</v>
      </c>
      <c r="C182" s="10"/>
      <c r="D182" s="11"/>
      <c r="E182" s="10"/>
      <c r="F182" s="11"/>
    </row>
    <row r="183">
      <c r="A183" s="9">
        <v>45706.0</v>
      </c>
      <c r="B183" s="7">
        <v>5.0</v>
      </c>
      <c r="C183" s="10"/>
      <c r="D183" s="11"/>
      <c r="E183" s="10"/>
      <c r="F183" s="11"/>
    </row>
    <row r="184">
      <c r="A184" s="9">
        <v>45707.0</v>
      </c>
      <c r="B184" s="7">
        <v>5.0</v>
      </c>
      <c r="C184" s="10"/>
      <c r="D184" s="11"/>
      <c r="E184" s="10"/>
      <c r="F184" s="11"/>
    </row>
    <row r="185">
      <c r="A185" s="9">
        <v>45708.0</v>
      </c>
      <c r="B185" s="7">
        <v>3.0</v>
      </c>
      <c r="C185" s="10"/>
      <c r="D185" s="11"/>
      <c r="E185" s="10"/>
      <c r="F185" s="11"/>
    </row>
    <row r="186">
      <c r="A186" s="9">
        <v>45709.0</v>
      </c>
      <c r="B186" s="7">
        <v>3.0</v>
      </c>
      <c r="C186" s="10"/>
      <c r="D186" s="11"/>
      <c r="E186" s="10"/>
      <c r="F186" s="11"/>
    </row>
    <row r="187">
      <c r="A187" s="9">
        <v>45710.0</v>
      </c>
      <c r="B187" s="7">
        <v>3.0</v>
      </c>
      <c r="C187" s="10"/>
      <c r="D187" s="11"/>
      <c r="E187" s="10"/>
      <c r="F187" s="11"/>
    </row>
    <row r="188">
      <c r="A188" s="9">
        <v>45711.0</v>
      </c>
      <c r="B188" s="7">
        <v>5.0</v>
      </c>
      <c r="C188" s="10"/>
      <c r="D188" s="11"/>
      <c r="E188" s="10"/>
      <c r="F188" s="11"/>
    </row>
    <row r="189">
      <c r="A189" s="9">
        <v>45712.0</v>
      </c>
      <c r="B189" s="7">
        <v>7.0</v>
      </c>
      <c r="C189" s="10"/>
      <c r="D189" s="11"/>
      <c r="E189" s="10"/>
      <c r="F189" s="11"/>
    </row>
    <row r="190">
      <c r="A190" s="9">
        <v>45713.0</v>
      </c>
      <c r="B190" s="7">
        <v>3.0</v>
      </c>
      <c r="C190" s="10"/>
      <c r="D190" s="11"/>
      <c r="E190" s="10"/>
      <c r="F190" s="11"/>
    </row>
    <row r="191">
      <c r="A191" s="9">
        <v>45714.0</v>
      </c>
      <c r="B191" s="7">
        <v>6.0</v>
      </c>
      <c r="C191" s="10"/>
      <c r="D191" s="11"/>
      <c r="E191" s="10"/>
      <c r="F191" s="11"/>
    </row>
    <row r="192">
      <c r="A192" s="9">
        <v>45715.0</v>
      </c>
      <c r="B192" s="7">
        <v>1.0</v>
      </c>
      <c r="C192" s="10"/>
      <c r="D192" s="11"/>
      <c r="E192" s="10"/>
      <c r="F192" s="11"/>
    </row>
    <row r="193">
      <c r="A193" s="9">
        <v>45716.0</v>
      </c>
      <c r="B193" s="7">
        <v>2.0</v>
      </c>
      <c r="C193" s="10"/>
      <c r="D193" s="11"/>
      <c r="E193" s="10"/>
      <c r="F193" s="11"/>
    </row>
    <row r="194">
      <c r="A194" s="9">
        <v>45717.0</v>
      </c>
      <c r="B194" s="7">
        <v>10.0</v>
      </c>
      <c r="C194" s="10"/>
      <c r="D194" s="11"/>
      <c r="E194" s="10"/>
      <c r="F194" s="11"/>
    </row>
    <row r="195">
      <c r="A195" s="9">
        <v>45718.0</v>
      </c>
      <c r="B195" s="7">
        <v>5.0</v>
      </c>
      <c r="C195" s="10"/>
      <c r="D195" s="11"/>
      <c r="E195" s="10"/>
      <c r="F195" s="11"/>
    </row>
    <row r="196">
      <c r="A196" s="9">
        <v>45719.0</v>
      </c>
      <c r="B196" s="7">
        <v>2.0</v>
      </c>
      <c r="C196" s="10"/>
      <c r="D196" s="11"/>
      <c r="E196" s="10"/>
      <c r="F196" s="11"/>
    </row>
    <row r="197">
      <c r="A197" s="9">
        <v>45720.0</v>
      </c>
      <c r="B197" s="7">
        <v>1.0</v>
      </c>
      <c r="C197" s="10"/>
      <c r="D197" s="11"/>
      <c r="E197" s="10"/>
      <c r="F197" s="11"/>
    </row>
    <row r="198">
      <c r="A198" s="9">
        <v>45721.0</v>
      </c>
      <c r="B198" s="7">
        <v>3.0</v>
      </c>
      <c r="C198" s="10"/>
      <c r="D198" s="11"/>
      <c r="E198" s="10"/>
      <c r="F198" s="11"/>
    </row>
    <row r="199">
      <c r="A199" s="9">
        <v>45722.0</v>
      </c>
      <c r="B199" s="7">
        <v>2.0</v>
      </c>
      <c r="C199" s="10"/>
      <c r="D199" s="11"/>
      <c r="E199" s="10"/>
      <c r="F199" s="11"/>
    </row>
    <row r="200">
      <c r="A200" s="9">
        <v>45723.0</v>
      </c>
      <c r="B200" s="7">
        <v>3.0</v>
      </c>
      <c r="C200" s="10"/>
      <c r="D200" s="11"/>
      <c r="E200" s="10"/>
      <c r="F200" s="11"/>
    </row>
    <row r="201">
      <c r="A201" s="9">
        <v>45724.0</v>
      </c>
      <c r="B201" s="7">
        <v>6.0</v>
      </c>
      <c r="C201" s="10"/>
      <c r="D201" s="11"/>
      <c r="E201" s="10"/>
      <c r="F201" s="11"/>
    </row>
    <row r="202">
      <c r="A202" s="9">
        <v>45725.0</v>
      </c>
      <c r="B202" s="7">
        <v>8.0</v>
      </c>
      <c r="C202" s="10"/>
      <c r="D202" s="11"/>
      <c r="E202" s="10"/>
      <c r="F202" s="11"/>
    </row>
    <row r="203">
      <c r="A203" s="9">
        <v>45726.0</v>
      </c>
      <c r="B203" s="7">
        <v>3.0</v>
      </c>
      <c r="C203" s="10"/>
      <c r="D203" s="11"/>
      <c r="E203" s="10"/>
      <c r="F203" s="11"/>
    </row>
    <row r="204">
      <c r="A204" s="9">
        <v>45727.0</v>
      </c>
      <c r="B204" s="7">
        <v>3.0</v>
      </c>
      <c r="C204" s="10"/>
      <c r="D204" s="11"/>
      <c r="E204" s="10"/>
      <c r="F204" s="11"/>
    </row>
    <row r="205">
      <c r="A205" s="9">
        <v>45728.0</v>
      </c>
      <c r="B205" s="7">
        <v>4.0</v>
      </c>
      <c r="C205" s="10"/>
      <c r="D205" s="11"/>
      <c r="E205" s="10"/>
      <c r="F205" s="11"/>
    </row>
    <row r="206">
      <c r="A206" s="9">
        <v>45729.0</v>
      </c>
      <c r="B206" s="7">
        <v>3.0</v>
      </c>
      <c r="C206" s="10"/>
      <c r="D206" s="11"/>
      <c r="E206" s="10"/>
      <c r="F206" s="11"/>
    </row>
    <row r="207">
      <c r="A207" s="9">
        <v>45731.0</v>
      </c>
      <c r="B207" s="7">
        <v>10.0</v>
      </c>
      <c r="C207" s="10"/>
      <c r="D207" s="11"/>
      <c r="E207" s="10"/>
      <c r="F207" s="11"/>
    </row>
    <row r="208">
      <c r="A208" s="9">
        <v>45732.0</v>
      </c>
      <c r="B208" s="7">
        <v>8.0</v>
      </c>
      <c r="C208" s="10"/>
      <c r="D208" s="11"/>
      <c r="E208" s="10"/>
      <c r="F208" s="11"/>
    </row>
    <row r="209">
      <c r="A209" s="9">
        <v>45733.0</v>
      </c>
      <c r="B209" s="7">
        <v>6.0</v>
      </c>
      <c r="C209" s="10"/>
      <c r="D209" s="11"/>
      <c r="E209" s="10"/>
      <c r="F209" s="11"/>
    </row>
    <row r="210">
      <c r="A210" s="9">
        <v>45734.0</v>
      </c>
      <c r="B210" s="7">
        <v>3.0</v>
      </c>
      <c r="C210" s="10"/>
      <c r="D210" s="11"/>
      <c r="E210" s="10"/>
      <c r="F210" s="11"/>
    </row>
    <row r="211">
      <c r="A211" s="9">
        <v>45735.0</v>
      </c>
      <c r="B211" s="7">
        <v>4.0</v>
      </c>
      <c r="C211" s="10"/>
      <c r="D211" s="11"/>
      <c r="E211" s="10"/>
      <c r="F211" s="11"/>
    </row>
    <row r="212">
      <c r="A212" s="9">
        <v>45736.0</v>
      </c>
      <c r="B212" s="7">
        <v>11.0</v>
      </c>
      <c r="C212" s="10"/>
      <c r="D212" s="11"/>
      <c r="E212" s="10"/>
      <c r="F212" s="11"/>
    </row>
    <row r="213">
      <c r="A213" s="9">
        <v>45737.0</v>
      </c>
      <c r="B213" s="7">
        <v>8.0</v>
      </c>
      <c r="C213" s="10"/>
      <c r="D213" s="11"/>
      <c r="E213" s="10"/>
      <c r="F213" s="11"/>
    </row>
    <row r="214">
      <c r="A214" s="9">
        <v>45738.0</v>
      </c>
      <c r="B214" s="7">
        <v>3.0</v>
      </c>
      <c r="C214" s="10"/>
      <c r="D214" s="11"/>
      <c r="E214" s="10"/>
      <c r="F214" s="11"/>
    </row>
    <row r="215">
      <c r="A215" s="9">
        <v>45739.0</v>
      </c>
      <c r="B215" s="7">
        <v>10.0</v>
      </c>
      <c r="C215" s="10"/>
      <c r="D215" s="11"/>
      <c r="E215" s="10"/>
      <c r="F215" s="11"/>
    </row>
    <row r="216">
      <c r="A216" s="9">
        <v>45740.0</v>
      </c>
      <c r="B216" s="7">
        <v>6.0</v>
      </c>
      <c r="C216" s="10"/>
      <c r="D216" s="11"/>
      <c r="E216" s="10"/>
      <c r="F216" s="11"/>
    </row>
    <row r="217">
      <c r="A217" s="9">
        <v>45741.0</v>
      </c>
      <c r="B217" s="7">
        <v>5.0</v>
      </c>
      <c r="C217" s="10"/>
      <c r="D217" s="11"/>
      <c r="E217" s="10"/>
      <c r="F217" s="11"/>
    </row>
    <row r="218">
      <c r="A218" s="9">
        <v>45742.0</v>
      </c>
      <c r="B218" s="7">
        <v>3.0</v>
      </c>
      <c r="C218" s="10"/>
      <c r="D218" s="11"/>
      <c r="E218" s="10"/>
      <c r="F218" s="11"/>
    </row>
    <row r="219">
      <c r="A219" s="9">
        <v>45743.0</v>
      </c>
      <c r="B219" s="7">
        <v>7.0</v>
      </c>
      <c r="C219" s="10"/>
      <c r="D219" s="11"/>
      <c r="E219" s="10"/>
      <c r="F219" s="11"/>
    </row>
    <row r="220">
      <c r="A220" s="9">
        <v>45744.0</v>
      </c>
      <c r="B220" s="7">
        <v>4.0</v>
      </c>
      <c r="C220" s="10"/>
      <c r="D220" s="11"/>
      <c r="E220" s="10"/>
      <c r="F220" s="11"/>
    </row>
    <row r="221">
      <c r="A221" s="9">
        <v>45745.0</v>
      </c>
      <c r="B221" s="7">
        <v>3.0</v>
      </c>
      <c r="C221" s="10"/>
      <c r="D221" s="11"/>
      <c r="E221" s="10"/>
      <c r="F221" s="11"/>
    </row>
    <row r="222">
      <c r="A222" s="9">
        <v>45746.0</v>
      </c>
      <c r="B222" s="7">
        <v>4.0</v>
      </c>
      <c r="C222" s="10"/>
      <c r="D222" s="11"/>
      <c r="E222" s="10"/>
      <c r="F222" s="11"/>
    </row>
    <row r="223">
      <c r="A223" s="9">
        <v>45747.0</v>
      </c>
      <c r="B223" s="7">
        <v>3.0</v>
      </c>
      <c r="C223" s="10"/>
      <c r="D223" s="11"/>
      <c r="E223" s="10"/>
      <c r="F223" s="11"/>
    </row>
    <row r="224">
      <c r="A224" s="9">
        <v>45748.0</v>
      </c>
      <c r="B224" s="7">
        <v>2.0</v>
      </c>
      <c r="C224" s="10"/>
      <c r="D224" s="11"/>
      <c r="E224" s="10"/>
      <c r="F224" s="11"/>
    </row>
    <row r="225">
      <c r="A225" s="9">
        <v>45749.0</v>
      </c>
      <c r="B225" s="7">
        <v>5.0</v>
      </c>
      <c r="C225" s="10"/>
      <c r="D225" s="11"/>
      <c r="E225" s="10"/>
      <c r="F225" s="11"/>
    </row>
    <row r="226">
      <c r="A226" s="9">
        <v>45751.0</v>
      </c>
      <c r="B226" s="7">
        <v>5.0</v>
      </c>
      <c r="C226" s="10"/>
      <c r="D226" s="11"/>
      <c r="E226" s="10"/>
      <c r="F226" s="11"/>
    </row>
    <row r="227">
      <c r="A227" s="9">
        <v>45752.0</v>
      </c>
      <c r="B227" s="7">
        <v>2.0</v>
      </c>
      <c r="C227" s="10"/>
      <c r="D227" s="11"/>
      <c r="E227" s="10"/>
      <c r="F227" s="11"/>
    </row>
    <row r="228">
      <c r="A228" s="9">
        <v>45753.0</v>
      </c>
      <c r="B228" s="7">
        <v>1.0</v>
      </c>
      <c r="C228" s="10"/>
      <c r="D228" s="11"/>
      <c r="E228" s="10"/>
      <c r="F228" s="11"/>
    </row>
    <row r="229">
      <c r="A229" s="9">
        <v>45754.0</v>
      </c>
      <c r="B229" s="7">
        <v>3.0</v>
      </c>
      <c r="C229" s="10"/>
      <c r="D229" s="11"/>
      <c r="E229" s="10"/>
      <c r="F229" s="11"/>
    </row>
    <row r="230">
      <c r="A230" s="9">
        <v>45755.0</v>
      </c>
      <c r="B230" s="7">
        <v>4.0</v>
      </c>
      <c r="C230" s="10"/>
      <c r="D230" s="11"/>
      <c r="E230" s="10"/>
      <c r="F230" s="11"/>
    </row>
    <row r="231">
      <c r="A231" s="9">
        <v>45756.0</v>
      </c>
      <c r="B231" s="7">
        <v>3.0</v>
      </c>
      <c r="C231" s="10"/>
      <c r="D231" s="11"/>
      <c r="E231" s="10"/>
      <c r="F231" s="11"/>
    </row>
    <row r="232">
      <c r="A232" s="9">
        <v>45757.0</v>
      </c>
      <c r="B232" s="7">
        <v>4.0</v>
      </c>
      <c r="C232" s="10"/>
      <c r="D232" s="11"/>
      <c r="E232" s="10"/>
      <c r="F232" s="11"/>
    </row>
    <row r="233">
      <c r="A233" s="9">
        <v>45758.0</v>
      </c>
      <c r="B233" s="7">
        <v>1.0</v>
      </c>
      <c r="C233" s="10"/>
      <c r="D233" s="11"/>
      <c r="E233" s="10"/>
      <c r="F233" s="11"/>
    </row>
    <row r="234">
      <c r="A234" s="9">
        <v>45759.0</v>
      </c>
      <c r="B234" s="7">
        <v>6.0</v>
      </c>
      <c r="C234" s="12"/>
      <c r="D234" s="13"/>
      <c r="E234" s="12"/>
      <c r="F234" s="13"/>
    </row>
    <row r="235">
      <c r="A235" s="9">
        <v>45761.0</v>
      </c>
      <c r="B235" s="7">
        <v>1.0</v>
      </c>
      <c r="C235" s="12"/>
      <c r="D235" s="13"/>
      <c r="E235" s="12"/>
      <c r="F235" s="13"/>
    </row>
    <row r="236">
      <c r="A236" s="9">
        <v>45762.0</v>
      </c>
      <c r="B236" s="7">
        <v>4.0</v>
      </c>
      <c r="C236" s="12"/>
      <c r="D236" s="13"/>
      <c r="E236" s="12"/>
      <c r="F236" s="13"/>
    </row>
    <row r="237">
      <c r="A237" s="9">
        <v>45763.0</v>
      </c>
      <c r="B237" s="7">
        <v>3.0</v>
      </c>
      <c r="C237" s="12"/>
      <c r="D237" s="13"/>
      <c r="E237" s="12"/>
      <c r="F237" s="13"/>
    </row>
    <row r="238">
      <c r="A238" s="9">
        <v>45764.0</v>
      </c>
      <c r="B238" s="7">
        <v>2.0</v>
      </c>
      <c r="C238" s="12"/>
      <c r="D238" s="13"/>
      <c r="E238" s="12"/>
      <c r="F238" s="13"/>
    </row>
    <row r="239">
      <c r="A239" s="9">
        <v>45765.0</v>
      </c>
      <c r="B239" s="7">
        <v>1.0</v>
      </c>
      <c r="C239" s="12"/>
      <c r="D239" s="13"/>
      <c r="E239" s="12"/>
      <c r="F239" s="13"/>
    </row>
    <row r="240">
      <c r="A240" s="9">
        <v>45766.0</v>
      </c>
      <c r="B240" s="7">
        <v>4.0</v>
      </c>
      <c r="C240" s="12"/>
      <c r="D240" s="13"/>
      <c r="E240" s="12"/>
      <c r="F240" s="13"/>
    </row>
    <row r="241">
      <c r="A241" s="9">
        <v>45767.0</v>
      </c>
      <c r="B241" s="7">
        <v>1.0</v>
      </c>
      <c r="C241" s="12"/>
      <c r="D241" s="13"/>
      <c r="E241" s="12"/>
      <c r="F241" s="13"/>
    </row>
    <row r="242">
      <c r="A242" s="9">
        <v>45768.0</v>
      </c>
      <c r="B242" s="7">
        <v>2.0</v>
      </c>
      <c r="C242" s="12"/>
      <c r="D242" s="13"/>
      <c r="E242" s="12"/>
      <c r="F242" s="13"/>
    </row>
    <row r="243">
      <c r="A243" s="9">
        <v>45769.0</v>
      </c>
      <c r="B243" s="7">
        <v>4.0</v>
      </c>
      <c r="C243" s="12"/>
      <c r="D243" s="13"/>
      <c r="E243" s="12"/>
      <c r="F243" s="13"/>
    </row>
    <row r="244">
      <c r="A244" s="9">
        <v>45770.0</v>
      </c>
      <c r="B244" s="7">
        <v>3.0</v>
      </c>
      <c r="C244" s="12"/>
      <c r="D244" s="13"/>
      <c r="E244" s="12"/>
      <c r="F244" s="13"/>
    </row>
    <row r="245">
      <c r="A245" s="9">
        <v>45771.0</v>
      </c>
      <c r="B245" s="7">
        <v>1.0</v>
      </c>
      <c r="C245" s="12"/>
      <c r="D245" s="13"/>
      <c r="E245" s="12"/>
      <c r="F245" s="13"/>
    </row>
    <row r="246">
      <c r="A246" s="9">
        <v>45772.0</v>
      </c>
      <c r="B246" s="7">
        <v>2.0</v>
      </c>
      <c r="C246" s="12"/>
      <c r="D246" s="13"/>
      <c r="E246" s="12"/>
      <c r="F246" s="13"/>
    </row>
    <row r="247">
      <c r="A247" s="9">
        <v>45773.0</v>
      </c>
      <c r="B247" s="7">
        <v>3.0</v>
      </c>
      <c r="C247" s="12"/>
      <c r="D247" s="13"/>
      <c r="E247" s="12"/>
      <c r="F247" s="13"/>
    </row>
    <row r="248">
      <c r="A248" s="9">
        <v>45774.0</v>
      </c>
      <c r="B248" s="7">
        <v>4.0</v>
      </c>
      <c r="C248" s="12"/>
      <c r="D248" s="13"/>
      <c r="E248" s="12"/>
      <c r="F248" s="13"/>
    </row>
    <row r="249">
      <c r="A249" s="9">
        <v>45775.0</v>
      </c>
      <c r="B249" s="7">
        <v>2.0</v>
      </c>
      <c r="C249" s="12"/>
      <c r="D249" s="13"/>
      <c r="E249" s="12"/>
      <c r="F249" s="13"/>
    </row>
    <row r="250">
      <c r="A250" s="9">
        <v>45776.0</v>
      </c>
      <c r="B250" s="7">
        <v>3.0</v>
      </c>
      <c r="C250" s="12"/>
      <c r="D250" s="13"/>
      <c r="E250" s="12"/>
      <c r="F250" s="13"/>
    </row>
    <row r="251">
      <c r="A251" s="9">
        <v>45777.0</v>
      </c>
      <c r="B251" s="7">
        <v>4.0</v>
      </c>
      <c r="C251" s="12"/>
      <c r="D251" s="13"/>
      <c r="E251" s="12"/>
      <c r="F251" s="13"/>
    </row>
    <row r="252">
      <c r="A252" s="12"/>
      <c r="B252" s="13"/>
      <c r="C252" s="12"/>
      <c r="D252" s="13"/>
      <c r="E252" s="12"/>
      <c r="F252" s="13"/>
    </row>
    <row r="253">
      <c r="A253" s="12"/>
      <c r="B253" s="13"/>
      <c r="C253" s="12"/>
      <c r="D253" s="13"/>
      <c r="E253" s="12"/>
      <c r="F253" s="13"/>
    </row>
    <row r="254">
      <c r="A254" s="12"/>
      <c r="B254" s="13"/>
      <c r="C254" s="12"/>
      <c r="D254" s="13"/>
      <c r="E254" s="12"/>
      <c r="F254" s="13"/>
    </row>
    <row r="255">
      <c r="A255" s="12"/>
      <c r="B255" s="13"/>
      <c r="C255" s="12"/>
      <c r="D255" s="13"/>
      <c r="E255" s="12"/>
      <c r="F255" s="13"/>
    </row>
    <row r="256">
      <c r="A256" s="14"/>
      <c r="B256" s="14"/>
      <c r="C256" s="12"/>
      <c r="D256" s="13"/>
      <c r="E256" s="12"/>
      <c r="F256" s="13"/>
    </row>
    <row r="257">
      <c r="A257" s="14"/>
      <c r="B257" s="14"/>
      <c r="C257" s="12"/>
      <c r="D257" s="13"/>
      <c r="E257" s="12"/>
      <c r="F257" s="13"/>
    </row>
    <row r="258">
      <c r="A258" s="14"/>
      <c r="B258" s="14"/>
      <c r="C258" s="12"/>
      <c r="D258" s="13"/>
      <c r="E258" s="12"/>
      <c r="F258" s="13"/>
    </row>
    <row r="259">
      <c r="A259" s="14"/>
      <c r="B259" s="14"/>
      <c r="C259" s="12"/>
      <c r="D259" s="13"/>
      <c r="E259" s="12"/>
      <c r="F259" s="13"/>
    </row>
    <row r="260">
      <c r="A260" s="14"/>
      <c r="B260" s="14"/>
      <c r="C260" s="12"/>
      <c r="D260" s="13"/>
      <c r="E260" s="12"/>
      <c r="F260" s="13"/>
    </row>
    <row r="261">
      <c r="A261" s="14"/>
      <c r="B261" s="14"/>
      <c r="C261" s="12"/>
      <c r="D261" s="13"/>
      <c r="E261" s="12"/>
      <c r="F261" s="13"/>
    </row>
    <row r="262">
      <c r="A262" s="14"/>
      <c r="B262" s="14"/>
      <c r="C262" s="12"/>
      <c r="D262" s="13"/>
      <c r="E262" s="12"/>
      <c r="F262" s="13"/>
    </row>
    <row r="263">
      <c r="A263" s="14"/>
      <c r="B263" s="14"/>
      <c r="C263" s="12"/>
      <c r="D263" s="13"/>
      <c r="E263" s="12"/>
      <c r="F263" s="13"/>
    </row>
    <row r="264">
      <c r="A264" s="14"/>
      <c r="B264" s="14"/>
      <c r="C264" s="12"/>
      <c r="D264" s="13"/>
      <c r="E264" s="12"/>
      <c r="F264" s="13"/>
    </row>
    <row r="265">
      <c r="A265" s="14"/>
      <c r="B265" s="14"/>
      <c r="C265" s="12"/>
      <c r="D265" s="13"/>
      <c r="E265" s="12"/>
      <c r="F265" s="13"/>
    </row>
    <row r="266">
      <c r="A266" s="14"/>
      <c r="B266" s="14"/>
      <c r="C266" s="12"/>
      <c r="D266" s="13"/>
      <c r="E266" s="12"/>
      <c r="F266" s="13"/>
    </row>
    <row r="267">
      <c r="A267" s="14"/>
      <c r="B267" s="14"/>
      <c r="C267" s="12"/>
      <c r="D267" s="13"/>
      <c r="E267" s="12"/>
      <c r="F267" s="13"/>
    </row>
    <row r="268">
      <c r="A268" s="14"/>
      <c r="B268" s="14"/>
      <c r="C268" s="12"/>
      <c r="D268" s="13"/>
      <c r="E268" s="12"/>
      <c r="F268" s="13"/>
    </row>
    <row r="269">
      <c r="A269" s="14"/>
      <c r="B269" s="14"/>
      <c r="C269" s="12"/>
      <c r="D269" s="13"/>
      <c r="E269" s="12"/>
      <c r="F269" s="13"/>
    </row>
    <row r="270">
      <c r="A270" s="14"/>
      <c r="B270" s="14"/>
      <c r="C270" s="12"/>
      <c r="D270" s="13"/>
      <c r="E270" s="12"/>
      <c r="F270" s="13"/>
    </row>
    <row r="271">
      <c r="A271" s="14"/>
      <c r="B271" s="14"/>
      <c r="C271" s="12"/>
      <c r="D271" s="13"/>
      <c r="E271" s="12"/>
      <c r="F271" s="13"/>
    </row>
    <row r="272">
      <c r="A272" s="14"/>
      <c r="B272" s="14"/>
      <c r="C272" s="12"/>
      <c r="D272" s="13"/>
      <c r="E272" s="12"/>
      <c r="F272" s="13"/>
    </row>
    <row r="273">
      <c r="A273" s="14"/>
      <c r="B273" s="14"/>
      <c r="C273" s="12"/>
      <c r="D273" s="13"/>
      <c r="E273" s="12"/>
      <c r="F273" s="13"/>
    </row>
    <row r="274">
      <c r="A274" s="14"/>
      <c r="B274" s="14"/>
      <c r="C274" s="12"/>
      <c r="D274" s="13"/>
      <c r="E274" s="12"/>
      <c r="F274" s="13"/>
    </row>
    <row r="275">
      <c r="A275" s="14"/>
      <c r="B275" s="14"/>
      <c r="C275" s="12"/>
      <c r="D275" s="13"/>
      <c r="E275" s="12"/>
      <c r="F275" s="13"/>
    </row>
    <row r="276">
      <c r="A276" s="14"/>
      <c r="B276" s="14"/>
      <c r="C276" s="12"/>
      <c r="D276" s="13"/>
      <c r="E276" s="12"/>
      <c r="F276" s="13"/>
    </row>
    <row r="277">
      <c r="A277" s="14"/>
      <c r="B277" s="14"/>
      <c r="C277" s="12"/>
      <c r="D277" s="13"/>
      <c r="E277" s="12"/>
      <c r="F277" s="13"/>
    </row>
  </sheetData>
  <mergeCells count="2">
    <mergeCell ref="C2:D2"/>
    <mergeCell ref="E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3"/>
      <c r="F1" s="4"/>
    </row>
    <row r="2">
      <c r="A2" s="5" t="s">
        <v>4</v>
      </c>
      <c r="B2" s="6"/>
      <c r="C2" s="3"/>
      <c r="E2" s="3"/>
    </row>
    <row r="3">
      <c r="A3" s="5" t="s">
        <v>2</v>
      </c>
      <c r="B3" s="7" t="s">
        <v>3</v>
      </c>
      <c r="C3" s="3"/>
      <c r="D3" s="8"/>
      <c r="E3" s="3"/>
      <c r="F3" s="8"/>
    </row>
    <row r="4">
      <c r="A4" s="9">
        <v>45474.0</v>
      </c>
      <c r="B4" s="7">
        <v>0.0</v>
      </c>
      <c r="C4" s="10"/>
      <c r="D4" s="11"/>
      <c r="E4" s="10"/>
      <c r="F4" s="11"/>
    </row>
    <row r="5">
      <c r="A5" s="9">
        <v>45475.0</v>
      </c>
      <c r="B5" s="7">
        <v>0.0</v>
      </c>
      <c r="C5" s="10"/>
      <c r="D5" s="11"/>
      <c r="E5" s="10"/>
      <c r="F5" s="11"/>
    </row>
    <row r="6">
      <c r="A6" s="9">
        <v>45476.0</v>
      </c>
      <c r="B6" s="7">
        <v>0.0</v>
      </c>
      <c r="C6" s="10"/>
      <c r="D6" s="11"/>
      <c r="E6" s="10"/>
      <c r="F6" s="11"/>
    </row>
    <row r="7">
      <c r="A7" s="9">
        <v>45477.0</v>
      </c>
      <c r="B7" s="7">
        <v>0.0</v>
      </c>
      <c r="C7" s="10"/>
      <c r="D7" s="11"/>
      <c r="E7" s="10"/>
      <c r="F7" s="11"/>
    </row>
    <row r="8">
      <c r="A8" s="9">
        <v>45478.0</v>
      </c>
      <c r="B8" s="7">
        <v>0.0</v>
      </c>
      <c r="C8" s="10"/>
      <c r="D8" s="11"/>
      <c r="E8" s="10"/>
      <c r="F8" s="11"/>
    </row>
    <row r="9">
      <c r="A9" s="9">
        <v>45479.0</v>
      </c>
      <c r="B9" s="7">
        <v>0.0</v>
      </c>
      <c r="C9" s="10"/>
      <c r="D9" s="11"/>
      <c r="E9" s="10"/>
      <c r="F9" s="11"/>
    </row>
    <row r="10">
      <c r="A10" s="9">
        <v>45480.0</v>
      </c>
      <c r="B10" s="7">
        <v>0.0</v>
      </c>
      <c r="C10" s="10"/>
      <c r="D10" s="11"/>
      <c r="E10" s="10"/>
      <c r="F10" s="11"/>
    </row>
    <row r="11">
      <c r="A11" s="9">
        <v>45481.0</v>
      </c>
      <c r="B11" s="7">
        <v>0.0</v>
      </c>
      <c r="C11" s="10"/>
      <c r="D11" s="11"/>
      <c r="E11" s="10"/>
      <c r="F11" s="11"/>
    </row>
    <row r="12">
      <c r="A12" s="9">
        <v>45482.0</v>
      </c>
      <c r="B12" s="7">
        <v>0.0</v>
      </c>
      <c r="C12" s="10"/>
      <c r="D12" s="11"/>
      <c r="E12" s="10"/>
      <c r="F12" s="11"/>
    </row>
    <row r="13">
      <c r="A13" s="9">
        <v>45483.0</v>
      </c>
      <c r="B13" s="7">
        <v>0.0</v>
      </c>
      <c r="C13" s="10"/>
      <c r="D13" s="11"/>
      <c r="E13" s="10"/>
      <c r="F13" s="11"/>
    </row>
    <row r="14">
      <c r="A14" s="9">
        <v>45484.0</v>
      </c>
      <c r="B14" s="7">
        <v>0.0</v>
      </c>
      <c r="C14" s="10"/>
      <c r="D14" s="11"/>
      <c r="E14" s="10"/>
      <c r="F14" s="11"/>
    </row>
    <row r="15">
      <c r="A15" s="9">
        <v>45485.0</v>
      </c>
      <c r="B15" s="7">
        <v>0.0</v>
      </c>
      <c r="C15" s="10"/>
      <c r="D15" s="11"/>
      <c r="E15" s="10"/>
      <c r="F15" s="11"/>
    </row>
    <row r="16">
      <c r="A16" s="9">
        <v>45486.0</v>
      </c>
      <c r="B16" s="7">
        <v>0.0</v>
      </c>
      <c r="C16" s="10"/>
      <c r="D16" s="11"/>
      <c r="E16" s="10"/>
      <c r="F16" s="11"/>
    </row>
    <row r="17">
      <c r="A17" s="9">
        <v>45487.0</v>
      </c>
      <c r="B17" s="7">
        <v>0.0</v>
      </c>
      <c r="C17" s="10"/>
      <c r="D17" s="11"/>
      <c r="E17" s="10"/>
      <c r="F17" s="11"/>
    </row>
    <row r="18">
      <c r="A18" s="9">
        <v>45488.0</v>
      </c>
      <c r="B18" s="7">
        <v>0.0</v>
      </c>
      <c r="C18" s="10"/>
      <c r="D18" s="11"/>
      <c r="E18" s="10"/>
      <c r="F18" s="11"/>
    </row>
    <row r="19">
      <c r="A19" s="9">
        <v>45489.0</v>
      </c>
      <c r="B19" s="7">
        <v>0.0</v>
      </c>
      <c r="C19" s="10"/>
      <c r="D19" s="11"/>
      <c r="E19" s="10"/>
      <c r="F19" s="11"/>
    </row>
    <row r="20">
      <c r="A20" s="9">
        <v>45490.0</v>
      </c>
      <c r="B20" s="7">
        <v>0.0</v>
      </c>
      <c r="C20" s="10"/>
      <c r="D20" s="11"/>
      <c r="E20" s="10"/>
      <c r="F20" s="11"/>
    </row>
    <row r="21">
      <c r="A21" s="9">
        <v>45491.0</v>
      </c>
      <c r="B21" s="7">
        <v>0.0</v>
      </c>
      <c r="C21" s="10"/>
      <c r="D21" s="11"/>
      <c r="E21" s="10"/>
      <c r="F21" s="11"/>
    </row>
    <row r="22">
      <c r="A22" s="9">
        <v>45492.0</v>
      </c>
      <c r="B22" s="7">
        <v>0.0</v>
      </c>
      <c r="C22" s="10"/>
      <c r="D22" s="11"/>
      <c r="E22" s="10"/>
      <c r="F22" s="11"/>
    </row>
    <row r="23">
      <c r="A23" s="9">
        <v>45493.0</v>
      </c>
      <c r="B23" s="7">
        <v>0.0</v>
      </c>
      <c r="C23" s="10"/>
      <c r="D23" s="11"/>
      <c r="E23" s="10"/>
      <c r="F23" s="11"/>
    </row>
    <row r="24">
      <c r="A24" s="9">
        <v>45494.0</v>
      </c>
      <c r="B24" s="7">
        <v>0.0</v>
      </c>
      <c r="C24" s="10"/>
      <c r="D24" s="11"/>
      <c r="E24" s="10"/>
      <c r="F24" s="11"/>
    </row>
    <row r="25">
      <c r="A25" s="9">
        <v>45495.0</v>
      </c>
      <c r="B25" s="7">
        <v>0.0</v>
      </c>
      <c r="C25" s="10"/>
      <c r="D25" s="11"/>
      <c r="E25" s="10"/>
      <c r="F25" s="11"/>
    </row>
    <row r="26">
      <c r="A26" s="9">
        <v>45496.0</v>
      </c>
      <c r="B26" s="7">
        <v>0.0</v>
      </c>
      <c r="C26" s="10"/>
      <c r="D26" s="11"/>
      <c r="E26" s="10"/>
      <c r="F26" s="11"/>
    </row>
    <row r="27">
      <c r="A27" s="9">
        <v>45497.0</v>
      </c>
      <c r="B27" s="7">
        <v>0.0</v>
      </c>
      <c r="C27" s="10"/>
      <c r="D27" s="11"/>
      <c r="E27" s="10"/>
      <c r="F27" s="11"/>
    </row>
    <row r="28">
      <c r="A28" s="9">
        <v>45498.0</v>
      </c>
      <c r="B28" s="7">
        <v>0.0</v>
      </c>
      <c r="C28" s="10"/>
      <c r="D28" s="11"/>
      <c r="E28" s="10"/>
      <c r="F28" s="11"/>
    </row>
    <row r="29">
      <c r="A29" s="9">
        <v>45499.0</v>
      </c>
      <c r="B29" s="7">
        <v>0.0</v>
      </c>
      <c r="C29" s="10"/>
      <c r="D29" s="11"/>
      <c r="E29" s="10"/>
      <c r="F29" s="11"/>
    </row>
    <row r="30">
      <c r="A30" s="9">
        <v>45500.0</v>
      </c>
      <c r="B30" s="7">
        <v>0.0</v>
      </c>
      <c r="C30" s="10"/>
      <c r="D30" s="11"/>
      <c r="E30" s="10"/>
      <c r="F30" s="11"/>
    </row>
    <row r="31">
      <c r="A31" s="9">
        <v>45501.0</v>
      </c>
      <c r="B31" s="7">
        <v>0.0</v>
      </c>
      <c r="C31" s="10"/>
      <c r="D31" s="11"/>
      <c r="E31" s="10"/>
      <c r="F31" s="11"/>
    </row>
    <row r="32">
      <c r="A32" s="9">
        <v>45502.0</v>
      </c>
      <c r="B32" s="7">
        <v>0.0</v>
      </c>
      <c r="C32" s="10"/>
      <c r="D32" s="11"/>
      <c r="E32" s="10"/>
      <c r="F32" s="11"/>
    </row>
    <row r="33">
      <c r="A33" s="9">
        <v>45503.0</v>
      </c>
      <c r="B33" s="7">
        <v>0.0</v>
      </c>
      <c r="C33" s="10"/>
      <c r="D33" s="11"/>
      <c r="E33" s="10"/>
      <c r="F33" s="11"/>
    </row>
    <row r="34">
      <c r="A34" s="9">
        <v>45504.0</v>
      </c>
      <c r="B34" s="7">
        <v>0.0</v>
      </c>
      <c r="C34" s="10"/>
      <c r="D34" s="11"/>
      <c r="E34" s="10"/>
      <c r="F34" s="11"/>
    </row>
    <row r="35">
      <c r="A35" s="9">
        <v>45505.0</v>
      </c>
      <c r="B35" s="7">
        <v>0.0</v>
      </c>
      <c r="C35" s="10"/>
      <c r="D35" s="11"/>
      <c r="E35" s="10"/>
      <c r="F35" s="11"/>
    </row>
    <row r="36">
      <c r="A36" s="9">
        <v>45506.0</v>
      </c>
      <c r="B36" s="7">
        <v>0.0</v>
      </c>
      <c r="C36" s="10"/>
      <c r="D36" s="11"/>
      <c r="E36" s="10"/>
      <c r="F36" s="11"/>
    </row>
    <row r="37">
      <c r="A37" s="9">
        <v>45507.0</v>
      </c>
      <c r="B37" s="7">
        <v>0.0</v>
      </c>
      <c r="C37" s="10"/>
      <c r="D37" s="11"/>
      <c r="E37" s="10"/>
      <c r="F37" s="11"/>
    </row>
    <row r="38">
      <c r="A38" s="9">
        <v>45508.0</v>
      </c>
      <c r="B38" s="7">
        <v>0.0</v>
      </c>
      <c r="C38" s="10"/>
      <c r="D38" s="11"/>
      <c r="E38" s="10"/>
      <c r="F38" s="11"/>
    </row>
    <row r="39">
      <c r="A39" s="9">
        <v>45509.0</v>
      </c>
      <c r="B39" s="7">
        <v>0.0</v>
      </c>
      <c r="C39" s="10"/>
      <c r="D39" s="11"/>
      <c r="E39" s="10"/>
      <c r="F39" s="11"/>
    </row>
    <row r="40">
      <c r="A40" s="9">
        <v>45510.0</v>
      </c>
      <c r="B40" s="7">
        <v>0.0</v>
      </c>
      <c r="C40" s="10"/>
      <c r="D40" s="11"/>
      <c r="E40" s="10"/>
      <c r="F40" s="11"/>
    </row>
    <row r="41">
      <c r="A41" s="9">
        <v>45511.0</v>
      </c>
      <c r="B41" s="7">
        <v>0.0</v>
      </c>
      <c r="C41" s="10"/>
      <c r="D41" s="11"/>
      <c r="E41" s="10"/>
      <c r="F41" s="11"/>
    </row>
    <row r="42">
      <c r="A42" s="9">
        <v>45512.0</v>
      </c>
      <c r="B42" s="7">
        <v>0.0</v>
      </c>
      <c r="C42" s="10"/>
      <c r="D42" s="11"/>
      <c r="E42" s="10"/>
      <c r="F42" s="11"/>
    </row>
    <row r="43">
      <c r="A43" s="9">
        <v>45513.0</v>
      </c>
      <c r="B43" s="7">
        <v>0.0</v>
      </c>
      <c r="C43" s="10"/>
      <c r="D43" s="11"/>
      <c r="E43" s="10"/>
      <c r="F43" s="11"/>
    </row>
    <row r="44">
      <c r="A44" s="9">
        <v>45514.0</v>
      </c>
      <c r="B44" s="7">
        <v>0.0</v>
      </c>
      <c r="C44" s="10"/>
      <c r="D44" s="11"/>
      <c r="E44" s="10"/>
      <c r="F44" s="11"/>
    </row>
    <row r="45">
      <c r="A45" s="9">
        <v>45515.0</v>
      </c>
      <c r="B45" s="7">
        <v>0.0</v>
      </c>
      <c r="C45" s="10"/>
      <c r="D45" s="11"/>
      <c r="E45" s="10"/>
      <c r="F45" s="11"/>
    </row>
    <row r="46">
      <c r="A46" s="9">
        <v>45516.0</v>
      </c>
      <c r="B46" s="7">
        <v>0.0</v>
      </c>
      <c r="C46" s="10"/>
      <c r="D46" s="11"/>
      <c r="E46" s="10"/>
      <c r="F46" s="11"/>
    </row>
    <row r="47">
      <c r="A47" s="9">
        <v>45517.0</v>
      </c>
      <c r="B47" s="7">
        <v>0.0</v>
      </c>
      <c r="C47" s="10"/>
      <c r="D47" s="11"/>
      <c r="E47" s="10"/>
      <c r="F47" s="11"/>
    </row>
    <row r="48">
      <c r="A48" s="9">
        <v>45518.0</v>
      </c>
      <c r="B48" s="7">
        <v>0.0</v>
      </c>
      <c r="C48" s="10"/>
      <c r="D48" s="11"/>
      <c r="E48" s="10"/>
      <c r="F48" s="11"/>
    </row>
    <row r="49">
      <c r="A49" s="9">
        <v>45519.0</v>
      </c>
      <c r="B49" s="7">
        <v>0.0</v>
      </c>
      <c r="C49" s="10"/>
      <c r="D49" s="11"/>
      <c r="E49" s="10"/>
      <c r="F49" s="11"/>
    </row>
    <row r="50">
      <c r="A50" s="9">
        <v>45520.0</v>
      </c>
      <c r="B50" s="7">
        <v>0.0</v>
      </c>
      <c r="C50" s="10"/>
      <c r="D50" s="11"/>
      <c r="E50" s="10"/>
      <c r="F50" s="11"/>
    </row>
    <row r="51">
      <c r="A51" s="9">
        <v>45521.0</v>
      </c>
      <c r="B51" s="7">
        <v>0.0</v>
      </c>
      <c r="C51" s="10"/>
      <c r="D51" s="11"/>
      <c r="E51" s="10"/>
      <c r="F51" s="11"/>
    </row>
    <row r="52">
      <c r="A52" s="9">
        <v>45522.0</v>
      </c>
      <c r="B52" s="7">
        <v>0.0</v>
      </c>
      <c r="C52" s="10"/>
      <c r="D52" s="11"/>
      <c r="E52" s="10"/>
      <c r="F52" s="11"/>
    </row>
    <row r="53">
      <c r="A53" s="9">
        <v>45523.0</v>
      </c>
      <c r="B53" s="7">
        <v>0.0</v>
      </c>
      <c r="C53" s="10"/>
      <c r="D53" s="11"/>
      <c r="E53" s="10"/>
      <c r="F53" s="11"/>
    </row>
    <row r="54">
      <c r="A54" s="9">
        <v>45524.0</v>
      </c>
      <c r="B54" s="7">
        <v>0.0</v>
      </c>
      <c r="C54" s="10"/>
      <c r="D54" s="11"/>
      <c r="E54" s="10"/>
      <c r="F54" s="11"/>
    </row>
    <row r="55">
      <c r="A55" s="9">
        <v>45525.0</v>
      </c>
      <c r="B55" s="7">
        <v>0.0</v>
      </c>
      <c r="C55" s="10"/>
      <c r="D55" s="11"/>
      <c r="E55" s="10"/>
      <c r="F55" s="11"/>
    </row>
    <row r="56">
      <c r="A56" s="9">
        <v>45526.0</v>
      </c>
      <c r="B56" s="7">
        <v>0.0</v>
      </c>
      <c r="C56" s="10"/>
      <c r="D56" s="11"/>
      <c r="E56" s="10"/>
      <c r="F56" s="11"/>
    </row>
    <row r="57">
      <c r="A57" s="9">
        <v>45527.0</v>
      </c>
      <c r="B57" s="7">
        <v>0.0</v>
      </c>
      <c r="C57" s="10"/>
      <c r="D57" s="11"/>
      <c r="E57" s="10"/>
      <c r="F57" s="11"/>
    </row>
    <row r="58">
      <c r="A58" s="9">
        <v>45528.0</v>
      </c>
      <c r="B58" s="7">
        <v>0.0</v>
      </c>
      <c r="C58" s="10"/>
      <c r="D58" s="11"/>
      <c r="E58" s="10"/>
      <c r="F58" s="11"/>
    </row>
    <row r="59">
      <c r="A59" s="9">
        <v>45529.0</v>
      </c>
      <c r="B59" s="7">
        <v>0.0</v>
      </c>
      <c r="C59" s="10"/>
      <c r="D59" s="11"/>
      <c r="E59" s="10"/>
      <c r="F59" s="11"/>
    </row>
    <row r="60">
      <c r="A60" s="9">
        <v>45530.0</v>
      </c>
      <c r="B60" s="7">
        <v>0.0</v>
      </c>
      <c r="C60" s="10"/>
      <c r="D60" s="11"/>
      <c r="E60" s="10"/>
      <c r="F60" s="11"/>
    </row>
    <row r="61">
      <c r="A61" s="9">
        <v>45531.0</v>
      </c>
      <c r="B61" s="7">
        <v>0.0</v>
      </c>
      <c r="C61" s="10"/>
      <c r="D61" s="11"/>
      <c r="E61" s="10"/>
      <c r="F61" s="11"/>
    </row>
    <row r="62">
      <c r="A62" s="9">
        <v>45532.0</v>
      </c>
      <c r="B62" s="7">
        <v>0.0</v>
      </c>
      <c r="C62" s="10"/>
      <c r="D62" s="11"/>
      <c r="E62" s="10"/>
      <c r="F62" s="11"/>
    </row>
    <row r="63">
      <c r="A63" s="9">
        <v>45533.0</v>
      </c>
      <c r="B63" s="7">
        <v>0.0</v>
      </c>
      <c r="C63" s="10"/>
      <c r="D63" s="11"/>
      <c r="E63" s="10"/>
      <c r="F63" s="11"/>
    </row>
    <row r="64">
      <c r="A64" s="9">
        <v>45534.0</v>
      </c>
      <c r="B64" s="7">
        <v>0.0</v>
      </c>
      <c r="C64" s="10"/>
      <c r="D64" s="11"/>
      <c r="E64" s="10"/>
      <c r="F64" s="11"/>
    </row>
    <row r="65">
      <c r="A65" s="9">
        <v>45535.0</v>
      </c>
      <c r="B65" s="7">
        <v>0.0</v>
      </c>
      <c r="C65" s="10"/>
      <c r="D65" s="11"/>
      <c r="E65" s="10"/>
      <c r="F65" s="11"/>
    </row>
    <row r="66">
      <c r="A66" s="9">
        <v>45536.0</v>
      </c>
      <c r="B66" s="7">
        <v>0.0</v>
      </c>
      <c r="C66" s="10"/>
      <c r="D66" s="11"/>
      <c r="E66" s="10"/>
      <c r="F66" s="11"/>
    </row>
    <row r="67">
      <c r="A67" s="9">
        <v>45537.0</v>
      </c>
      <c r="B67" s="7">
        <v>0.0</v>
      </c>
      <c r="C67" s="10"/>
      <c r="D67" s="11"/>
      <c r="E67" s="10"/>
      <c r="F67" s="11"/>
    </row>
    <row r="68">
      <c r="A68" s="9">
        <v>45538.0</v>
      </c>
      <c r="B68" s="7">
        <v>0.0</v>
      </c>
      <c r="C68" s="10"/>
      <c r="D68" s="11"/>
      <c r="E68" s="10"/>
      <c r="F68" s="11"/>
    </row>
    <row r="69">
      <c r="A69" s="9">
        <v>45539.0</v>
      </c>
      <c r="B69" s="7">
        <v>0.0</v>
      </c>
      <c r="C69" s="10"/>
      <c r="D69" s="11"/>
      <c r="E69" s="10"/>
      <c r="F69" s="11"/>
    </row>
    <row r="70">
      <c r="A70" s="9">
        <v>45540.0</v>
      </c>
      <c r="B70" s="7">
        <v>0.0</v>
      </c>
      <c r="C70" s="10"/>
      <c r="D70" s="11"/>
      <c r="E70" s="10"/>
      <c r="F70" s="11"/>
    </row>
    <row r="71">
      <c r="A71" s="9">
        <v>45541.0</v>
      </c>
      <c r="B71" s="7">
        <v>0.0</v>
      </c>
      <c r="C71" s="10"/>
      <c r="D71" s="11"/>
      <c r="E71" s="10"/>
      <c r="F71" s="11"/>
    </row>
    <row r="72">
      <c r="A72" s="9">
        <v>45542.0</v>
      </c>
      <c r="B72" s="7">
        <v>0.0</v>
      </c>
      <c r="C72" s="10"/>
      <c r="D72" s="11"/>
      <c r="E72" s="10"/>
      <c r="F72" s="11"/>
    </row>
    <row r="73">
      <c r="A73" s="9">
        <v>45543.0</v>
      </c>
      <c r="B73" s="7">
        <v>0.0</v>
      </c>
      <c r="C73" s="10"/>
      <c r="D73" s="11"/>
      <c r="E73" s="10"/>
      <c r="F73" s="11"/>
    </row>
    <row r="74">
      <c r="A74" s="9">
        <v>45544.0</v>
      </c>
      <c r="B74" s="7">
        <v>0.0</v>
      </c>
      <c r="C74" s="10"/>
      <c r="D74" s="11"/>
      <c r="E74" s="10"/>
      <c r="F74" s="11"/>
    </row>
    <row r="75">
      <c r="A75" s="9">
        <v>45545.0</v>
      </c>
      <c r="B75" s="7">
        <v>0.0</v>
      </c>
      <c r="C75" s="10"/>
      <c r="D75" s="11"/>
      <c r="E75" s="10"/>
      <c r="F75" s="11"/>
    </row>
    <row r="76">
      <c r="A76" s="9">
        <v>45546.0</v>
      </c>
      <c r="B76" s="7">
        <v>0.0</v>
      </c>
      <c r="C76" s="10"/>
      <c r="D76" s="11"/>
      <c r="E76" s="10"/>
      <c r="F76" s="11"/>
    </row>
    <row r="77">
      <c r="A77" s="9">
        <v>45547.0</v>
      </c>
      <c r="B77" s="7">
        <v>0.0</v>
      </c>
      <c r="C77" s="10"/>
      <c r="D77" s="11"/>
      <c r="E77" s="10"/>
      <c r="F77" s="11"/>
    </row>
    <row r="78">
      <c r="A78" s="9">
        <v>45548.0</v>
      </c>
      <c r="B78" s="7">
        <v>0.0</v>
      </c>
      <c r="C78" s="10"/>
      <c r="D78" s="11"/>
      <c r="E78" s="10"/>
      <c r="F78" s="11"/>
    </row>
    <row r="79">
      <c r="A79" s="9">
        <v>45549.0</v>
      </c>
      <c r="B79" s="7">
        <v>0.0</v>
      </c>
      <c r="C79" s="10"/>
      <c r="D79" s="11"/>
      <c r="E79" s="10"/>
      <c r="F79" s="11"/>
    </row>
    <row r="80">
      <c r="A80" s="9">
        <v>45550.0</v>
      </c>
      <c r="B80" s="7">
        <v>0.0</v>
      </c>
      <c r="C80" s="10"/>
      <c r="D80" s="11"/>
      <c r="E80" s="10"/>
      <c r="F80" s="11"/>
    </row>
    <row r="81">
      <c r="A81" s="9">
        <v>45551.0</v>
      </c>
      <c r="B81" s="7">
        <v>0.0</v>
      </c>
      <c r="C81" s="10"/>
      <c r="D81" s="11"/>
      <c r="E81" s="10"/>
      <c r="F81" s="11"/>
    </row>
    <row r="82">
      <c r="A82" s="9">
        <v>45552.0</v>
      </c>
      <c r="B82" s="7">
        <v>0.0</v>
      </c>
      <c r="C82" s="10"/>
      <c r="D82" s="11"/>
      <c r="E82" s="10"/>
      <c r="F82" s="11"/>
    </row>
    <row r="83">
      <c r="A83" s="9">
        <v>45553.0</v>
      </c>
      <c r="B83" s="7">
        <v>0.0</v>
      </c>
      <c r="C83" s="10"/>
      <c r="D83" s="11"/>
      <c r="E83" s="10"/>
      <c r="F83" s="11"/>
    </row>
    <row r="84">
      <c r="A84" s="9">
        <v>45554.0</v>
      </c>
      <c r="B84" s="7">
        <v>0.0</v>
      </c>
      <c r="C84" s="10"/>
      <c r="D84" s="11"/>
      <c r="E84" s="10"/>
      <c r="F84" s="11"/>
    </row>
    <row r="85">
      <c r="A85" s="9">
        <v>45555.0</v>
      </c>
      <c r="B85" s="7">
        <v>0.0</v>
      </c>
      <c r="C85" s="10"/>
      <c r="D85" s="11"/>
      <c r="E85" s="10"/>
      <c r="F85" s="11"/>
    </row>
    <row r="86">
      <c r="A86" s="9">
        <v>45556.0</v>
      </c>
      <c r="B86" s="7">
        <v>0.0</v>
      </c>
      <c r="C86" s="10"/>
      <c r="D86" s="11"/>
      <c r="E86" s="10"/>
      <c r="F86" s="11"/>
    </row>
    <row r="87">
      <c r="A87" s="9">
        <v>45557.0</v>
      </c>
      <c r="B87" s="7">
        <v>0.0</v>
      </c>
      <c r="C87" s="10"/>
      <c r="D87" s="11"/>
      <c r="E87" s="10"/>
      <c r="F87" s="11"/>
    </row>
    <row r="88">
      <c r="A88" s="9">
        <v>45558.0</v>
      </c>
      <c r="B88" s="7">
        <v>0.0</v>
      </c>
      <c r="C88" s="10"/>
      <c r="D88" s="11"/>
      <c r="E88" s="10"/>
      <c r="F88" s="11"/>
    </row>
    <row r="89">
      <c r="A89" s="9">
        <v>45559.0</v>
      </c>
      <c r="B89" s="7">
        <v>0.0</v>
      </c>
      <c r="C89" s="10"/>
      <c r="D89" s="11"/>
      <c r="E89" s="10"/>
      <c r="F89" s="11"/>
    </row>
    <row r="90">
      <c r="A90" s="9">
        <v>45560.0</v>
      </c>
      <c r="B90" s="7">
        <v>0.0</v>
      </c>
      <c r="C90" s="10"/>
      <c r="D90" s="11"/>
      <c r="E90" s="10"/>
      <c r="F90" s="11"/>
    </row>
    <row r="91">
      <c r="A91" s="9">
        <v>45561.0</v>
      </c>
      <c r="B91" s="7">
        <v>0.0</v>
      </c>
      <c r="C91" s="10"/>
      <c r="D91" s="11"/>
      <c r="E91" s="10"/>
      <c r="F91" s="11"/>
    </row>
    <row r="92">
      <c r="A92" s="9">
        <v>45562.0</v>
      </c>
      <c r="B92" s="7">
        <v>0.0</v>
      </c>
      <c r="C92" s="10"/>
      <c r="D92" s="11"/>
      <c r="E92" s="10"/>
      <c r="F92" s="11"/>
    </row>
    <row r="93">
      <c r="A93" s="9">
        <v>45563.0</v>
      </c>
      <c r="B93" s="7">
        <v>0.0</v>
      </c>
      <c r="C93" s="10"/>
      <c r="D93" s="11"/>
      <c r="E93" s="10"/>
      <c r="F93" s="11"/>
    </row>
    <row r="94">
      <c r="A94" s="9">
        <v>45564.0</v>
      </c>
      <c r="B94" s="7">
        <v>0.0</v>
      </c>
      <c r="C94" s="10"/>
      <c r="D94" s="11"/>
      <c r="E94" s="10"/>
      <c r="F94" s="11"/>
    </row>
    <row r="95">
      <c r="A95" s="9">
        <v>45565.0</v>
      </c>
      <c r="B95" s="7">
        <v>0.0</v>
      </c>
      <c r="C95" s="10"/>
      <c r="D95" s="11"/>
      <c r="E95" s="10"/>
      <c r="F95" s="11"/>
    </row>
    <row r="96">
      <c r="A96" s="9">
        <v>45566.0</v>
      </c>
      <c r="B96" s="7">
        <v>0.0</v>
      </c>
      <c r="C96" s="10"/>
      <c r="D96" s="11"/>
      <c r="E96" s="10"/>
      <c r="F96" s="11"/>
    </row>
    <row r="97">
      <c r="A97" s="9">
        <v>45567.0</v>
      </c>
      <c r="B97" s="7">
        <v>0.0</v>
      </c>
      <c r="C97" s="10"/>
      <c r="D97" s="11"/>
      <c r="E97" s="10"/>
      <c r="F97" s="11"/>
    </row>
    <row r="98">
      <c r="A98" s="9">
        <v>45568.0</v>
      </c>
      <c r="B98" s="7">
        <v>0.0</v>
      </c>
      <c r="C98" s="10"/>
      <c r="D98" s="11"/>
      <c r="E98" s="10"/>
      <c r="F98" s="11"/>
    </row>
    <row r="99">
      <c r="A99" s="9">
        <v>45569.0</v>
      </c>
      <c r="B99" s="7">
        <v>0.0</v>
      </c>
      <c r="C99" s="10"/>
      <c r="D99" s="11"/>
      <c r="E99" s="10"/>
      <c r="F99" s="11"/>
    </row>
    <row r="100">
      <c r="A100" s="9">
        <v>45570.0</v>
      </c>
      <c r="B100" s="7">
        <v>0.0</v>
      </c>
      <c r="C100" s="10"/>
      <c r="D100" s="11"/>
      <c r="E100" s="10"/>
      <c r="F100" s="11"/>
    </row>
    <row r="101">
      <c r="A101" s="9">
        <v>45571.0</v>
      </c>
      <c r="B101" s="7">
        <v>0.0</v>
      </c>
      <c r="C101" s="10"/>
      <c r="D101" s="11"/>
      <c r="E101" s="10"/>
      <c r="F101" s="11"/>
    </row>
    <row r="102">
      <c r="A102" s="9">
        <v>45572.0</v>
      </c>
      <c r="B102" s="7">
        <v>0.0</v>
      </c>
      <c r="C102" s="10"/>
      <c r="D102" s="11"/>
      <c r="E102" s="10"/>
      <c r="F102" s="11"/>
    </row>
    <row r="103">
      <c r="A103" s="9">
        <v>45573.0</v>
      </c>
      <c r="B103" s="7">
        <v>0.0</v>
      </c>
      <c r="C103" s="10"/>
      <c r="D103" s="11"/>
      <c r="E103" s="10"/>
      <c r="F103" s="11"/>
    </row>
    <row r="104">
      <c r="A104" s="9">
        <v>45574.0</v>
      </c>
      <c r="B104" s="7">
        <v>0.0</v>
      </c>
      <c r="C104" s="10"/>
      <c r="D104" s="11"/>
      <c r="E104" s="10"/>
      <c r="F104" s="11"/>
    </row>
    <row r="105">
      <c r="A105" s="9">
        <v>45575.0</v>
      </c>
      <c r="B105" s="7">
        <v>0.0</v>
      </c>
      <c r="C105" s="10"/>
      <c r="D105" s="11"/>
      <c r="E105" s="10"/>
      <c r="F105" s="11"/>
    </row>
    <row r="106">
      <c r="A106" s="9">
        <v>45576.0</v>
      </c>
      <c r="B106" s="7">
        <v>0.0</v>
      </c>
      <c r="C106" s="10"/>
      <c r="D106" s="11"/>
      <c r="E106" s="10"/>
      <c r="F106" s="11"/>
    </row>
    <row r="107">
      <c r="A107" s="9">
        <v>45577.0</v>
      </c>
      <c r="B107" s="7">
        <v>0.0</v>
      </c>
      <c r="C107" s="10"/>
      <c r="D107" s="11"/>
      <c r="E107" s="10"/>
      <c r="F107" s="11"/>
    </row>
    <row r="108">
      <c r="A108" s="9">
        <v>45578.0</v>
      </c>
      <c r="B108" s="7">
        <v>0.0</v>
      </c>
      <c r="C108" s="10"/>
      <c r="D108" s="11"/>
      <c r="E108" s="10"/>
      <c r="F108" s="11"/>
    </row>
    <row r="109">
      <c r="A109" s="9">
        <v>45579.0</v>
      </c>
      <c r="B109" s="7">
        <v>0.0</v>
      </c>
      <c r="C109" s="10"/>
      <c r="D109" s="11"/>
      <c r="E109" s="10"/>
      <c r="F109" s="11"/>
    </row>
    <row r="110">
      <c r="A110" s="9">
        <v>45580.0</v>
      </c>
      <c r="B110" s="7">
        <v>0.0</v>
      </c>
      <c r="C110" s="10"/>
      <c r="D110" s="11"/>
      <c r="E110" s="10"/>
      <c r="F110" s="11"/>
    </row>
    <row r="111">
      <c r="A111" s="9">
        <v>45581.0</v>
      </c>
      <c r="B111" s="7">
        <v>0.0</v>
      </c>
      <c r="C111" s="10"/>
      <c r="D111" s="11"/>
      <c r="E111" s="10"/>
      <c r="F111" s="11"/>
    </row>
    <row r="112">
      <c r="A112" s="9">
        <v>45582.0</v>
      </c>
      <c r="B112" s="7">
        <v>0.0</v>
      </c>
      <c r="C112" s="10"/>
      <c r="D112" s="11"/>
      <c r="E112" s="10"/>
      <c r="F112" s="11"/>
    </row>
    <row r="113">
      <c r="A113" s="9">
        <v>45583.0</v>
      </c>
      <c r="B113" s="7">
        <v>0.0</v>
      </c>
      <c r="C113" s="10"/>
      <c r="D113" s="11"/>
      <c r="E113" s="10"/>
      <c r="F113" s="11"/>
    </row>
    <row r="114">
      <c r="A114" s="9">
        <v>45584.0</v>
      </c>
      <c r="B114" s="7">
        <v>0.0</v>
      </c>
      <c r="C114" s="10"/>
      <c r="D114" s="11"/>
      <c r="E114" s="10"/>
      <c r="F114" s="11"/>
    </row>
    <row r="115">
      <c r="A115" s="9">
        <v>45585.0</v>
      </c>
      <c r="B115" s="7">
        <v>0.0</v>
      </c>
      <c r="C115" s="10"/>
      <c r="D115" s="11"/>
      <c r="E115" s="10"/>
      <c r="F115" s="11"/>
    </row>
    <row r="116">
      <c r="A116" s="9">
        <v>45586.0</v>
      </c>
      <c r="B116" s="7">
        <v>0.0</v>
      </c>
      <c r="C116" s="10"/>
      <c r="D116" s="11"/>
      <c r="E116" s="10"/>
      <c r="F116" s="11"/>
    </row>
    <row r="117">
      <c r="A117" s="9">
        <v>45587.0</v>
      </c>
      <c r="B117" s="7">
        <v>0.0</v>
      </c>
      <c r="C117" s="10"/>
      <c r="D117" s="11"/>
      <c r="E117" s="10"/>
      <c r="F117" s="11"/>
    </row>
    <row r="118">
      <c r="A118" s="9">
        <v>45588.0</v>
      </c>
      <c r="B118" s="7">
        <v>0.0</v>
      </c>
      <c r="C118" s="10"/>
      <c r="D118" s="11"/>
      <c r="E118" s="10"/>
      <c r="F118" s="11"/>
    </row>
    <row r="119">
      <c r="A119" s="9">
        <v>45589.0</v>
      </c>
      <c r="B119" s="7">
        <v>0.0</v>
      </c>
      <c r="C119" s="10"/>
      <c r="D119" s="11"/>
      <c r="E119" s="10"/>
      <c r="F119" s="11"/>
    </row>
    <row r="120">
      <c r="A120" s="9">
        <v>45590.0</v>
      </c>
      <c r="B120" s="7">
        <v>52.0</v>
      </c>
      <c r="C120" s="10"/>
      <c r="D120" s="11"/>
      <c r="E120" s="10"/>
      <c r="F120" s="11"/>
    </row>
    <row r="121">
      <c r="A121" s="9">
        <v>45591.0</v>
      </c>
      <c r="B121" s="7">
        <v>20.0</v>
      </c>
      <c r="C121" s="10"/>
      <c r="D121" s="11"/>
      <c r="E121" s="10"/>
      <c r="F121" s="11"/>
    </row>
    <row r="122">
      <c r="A122" s="9">
        <v>45592.0</v>
      </c>
      <c r="B122" s="7">
        <v>3.0</v>
      </c>
      <c r="C122" s="10"/>
      <c r="D122" s="11"/>
      <c r="E122" s="10"/>
      <c r="F122" s="11"/>
    </row>
    <row r="123">
      <c r="A123" s="9">
        <v>45593.0</v>
      </c>
      <c r="B123" s="7">
        <v>4.0</v>
      </c>
      <c r="C123" s="10"/>
      <c r="D123" s="11"/>
      <c r="E123" s="10"/>
      <c r="F123" s="11"/>
    </row>
    <row r="124">
      <c r="A124" s="9">
        <v>45594.0</v>
      </c>
      <c r="B124" s="7">
        <v>4.0</v>
      </c>
      <c r="C124" s="10"/>
      <c r="D124" s="11"/>
      <c r="E124" s="10"/>
      <c r="F124" s="11"/>
    </row>
    <row r="125">
      <c r="A125" s="9">
        <v>45595.0</v>
      </c>
      <c r="B125" s="7">
        <v>75.0</v>
      </c>
      <c r="C125" s="10"/>
      <c r="D125" s="11"/>
      <c r="E125" s="10"/>
      <c r="F125" s="11"/>
    </row>
    <row r="126">
      <c r="A126" s="9">
        <v>45596.0</v>
      </c>
      <c r="B126" s="7">
        <v>23.0</v>
      </c>
      <c r="C126" s="10"/>
      <c r="D126" s="11"/>
      <c r="E126" s="10"/>
      <c r="F126" s="11"/>
    </row>
    <row r="127">
      <c r="A127" s="9">
        <v>45597.0</v>
      </c>
      <c r="B127" s="7">
        <v>84.0</v>
      </c>
      <c r="C127" s="10"/>
      <c r="D127" s="11"/>
      <c r="E127" s="10"/>
      <c r="F127" s="11"/>
    </row>
    <row r="128">
      <c r="A128" s="9">
        <v>45598.0</v>
      </c>
      <c r="B128" s="7">
        <v>43.0</v>
      </c>
      <c r="C128" s="10"/>
      <c r="D128" s="11"/>
      <c r="E128" s="10"/>
      <c r="F128" s="11"/>
    </row>
    <row r="129">
      <c r="A129" s="9">
        <v>45599.0</v>
      </c>
      <c r="B129" s="7">
        <v>21.0</v>
      </c>
      <c r="C129" s="10"/>
      <c r="D129" s="11"/>
      <c r="E129" s="10"/>
      <c r="F129" s="11"/>
    </row>
    <row r="130">
      <c r="A130" s="9">
        <v>45600.0</v>
      </c>
      <c r="B130" s="7">
        <v>10.0</v>
      </c>
      <c r="C130" s="10"/>
      <c r="D130" s="11"/>
      <c r="E130" s="10"/>
      <c r="F130" s="11"/>
    </row>
    <row r="131">
      <c r="A131" s="9">
        <v>45601.0</v>
      </c>
      <c r="B131" s="7">
        <v>3.0</v>
      </c>
      <c r="C131" s="10"/>
      <c r="D131" s="11"/>
      <c r="E131" s="10"/>
      <c r="F131" s="11"/>
    </row>
    <row r="132">
      <c r="A132" s="9">
        <v>45602.0</v>
      </c>
      <c r="B132" s="7">
        <v>41.0</v>
      </c>
      <c r="C132" s="10"/>
      <c r="D132" s="11"/>
      <c r="E132" s="10"/>
      <c r="F132" s="11"/>
    </row>
    <row r="133">
      <c r="A133" s="9">
        <v>45603.0</v>
      </c>
      <c r="B133" s="7">
        <v>12.0</v>
      </c>
      <c r="C133" s="10"/>
      <c r="D133" s="11"/>
      <c r="E133" s="10"/>
      <c r="F133" s="11"/>
    </row>
    <row r="134">
      <c r="A134" s="9">
        <v>45604.0</v>
      </c>
      <c r="B134" s="7">
        <v>3.0</v>
      </c>
      <c r="C134" s="10"/>
      <c r="D134" s="11"/>
      <c r="E134" s="10"/>
      <c r="F134" s="11"/>
    </row>
    <row r="135">
      <c r="A135" s="9">
        <v>45605.0</v>
      </c>
      <c r="B135" s="7">
        <v>27.0</v>
      </c>
      <c r="C135" s="10"/>
      <c r="D135" s="11"/>
      <c r="E135" s="10"/>
      <c r="F135" s="11"/>
    </row>
    <row r="136">
      <c r="A136" s="9">
        <v>45606.0</v>
      </c>
      <c r="B136" s="7">
        <v>11.0</v>
      </c>
      <c r="C136" s="10"/>
      <c r="D136" s="11"/>
      <c r="E136" s="10"/>
      <c r="F136" s="11"/>
    </row>
    <row r="137">
      <c r="A137" s="9">
        <v>45607.0</v>
      </c>
      <c r="B137" s="7">
        <v>3.0</v>
      </c>
      <c r="C137" s="10"/>
      <c r="D137" s="11"/>
      <c r="E137" s="10"/>
      <c r="F137" s="11"/>
    </row>
    <row r="138">
      <c r="A138" s="9">
        <v>45608.0</v>
      </c>
      <c r="B138" s="7">
        <v>12.0</v>
      </c>
      <c r="C138" s="10"/>
      <c r="D138" s="11"/>
      <c r="E138" s="10"/>
      <c r="F138" s="11"/>
    </row>
    <row r="139">
      <c r="A139" s="9">
        <v>45609.0</v>
      </c>
      <c r="B139" s="7">
        <v>56.0</v>
      </c>
      <c r="C139" s="10"/>
      <c r="D139" s="11"/>
      <c r="E139" s="10"/>
      <c r="F139" s="11"/>
    </row>
    <row r="140">
      <c r="A140" s="9">
        <v>45610.0</v>
      </c>
      <c r="B140" s="7">
        <v>79.0</v>
      </c>
      <c r="C140" s="10"/>
      <c r="D140" s="11"/>
      <c r="E140" s="10"/>
      <c r="F140" s="11"/>
    </row>
    <row r="141">
      <c r="A141" s="9">
        <v>45611.0</v>
      </c>
      <c r="B141" s="7">
        <v>74.0</v>
      </c>
      <c r="C141" s="10"/>
      <c r="D141" s="11"/>
      <c r="E141" s="10"/>
      <c r="F141" s="11"/>
    </row>
    <row r="142">
      <c r="A142" s="9">
        <v>45612.0</v>
      </c>
      <c r="B142" s="7">
        <v>20.0</v>
      </c>
      <c r="C142" s="10"/>
      <c r="D142" s="11"/>
      <c r="E142" s="10"/>
      <c r="F142" s="11"/>
    </row>
    <row r="143">
      <c r="A143" s="9">
        <v>45613.0</v>
      </c>
      <c r="B143" s="7">
        <v>12.0</v>
      </c>
      <c r="C143" s="10"/>
      <c r="D143" s="11"/>
      <c r="E143" s="10"/>
      <c r="F143" s="11"/>
    </row>
    <row r="144">
      <c r="A144" s="9">
        <v>45614.0</v>
      </c>
      <c r="B144" s="7">
        <v>6.0</v>
      </c>
      <c r="C144" s="10"/>
      <c r="D144" s="11"/>
      <c r="E144" s="10"/>
      <c r="F144" s="11"/>
    </row>
    <row r="145">
      <c r="A145" s="9">
        <v>45615.0</v>
      </c>
      <c r="B145" s="7">
        <v>4.0</v>
      </c>
      <c r="C145" s="10"/>
      <c r="D145" s="11"/>
      <c r="E145" s="10"/>
      <c r="F145" s="11"/>
    </row>
    <row r="146">
      <c r="A146" s="9">
        <v>45616.0</v>
      </c>
      <c r="B146" s="7">
        <v>31.0</v>
      </c>
      <c r="C146" s="10"/>
      <c r="D146" s="11"/>
      <c r="E146" s="10"/>
      <c r="F146" s="11"/>
    </row>
    <row r="147">
      <c r="A147" s="9">
        <v>45617.0</v>
      </c>
      <c r="B147" s="7">
        <v>7.0</v>
      </c>
      <c r="C147" s="10"/>
      <c r="D147" s="11"/>
      <c r="E147" s="10"/>
      <c r="F147" s="11"/>
    </row>
    <row r="148">
      <c r="A148" s="9">
        <v>45618.0</v>
      </c>
      <c r="B148" s="7">
        <v>11.0</v>
      </c>
      <c r="C148" s="10"/>
      <c r="D148" s="11"/>
      <c r="E148" s="10"/>
      <c r="F148" s="11"/>
    </row>
    <row r="149">
      <c r="A149" s="9">
        <v>45619.0</v>
      </c>
      <c r="B149" s="7">
        <v>12.0</v>
      </c>
      <c r="C149" s="10"/>
      <c r="D149" s="11"/>
      <c r="E149" s="10"/>
      <c r="F149" s="11"/>
    </row>
    <row r="150">
      <c r="A150" s="9">
        <v>45620.0</v>
      </c>
      <c r="B150" s="7">
        <v>7.0</v>
      </c>
      <c r="C150" s="10"/>
      <c r="D150" s="11"/>
      <c r="E150" s="10"/>
      <c r="F150" s="11"/>
    </row>
    <row r="151">
      <c r="A151" s="9">
        <v>45621.0</v>
      </c>
      <c r="B151" s="7">
        <v>3.0</v>
      </c>
      <c r="C151" s="10"/>
      <c r="D151" s="11"/>
      <c r="E151" s="10"/>
      <c r="F151" s="11"/>
    </row>
    <row r="152">
      <c r="A152" s="9">
        <v>45622.0</v>
      </c>
      <c r="B152" s="7">
        <v>2.0</v>
      </c>
      <c r="C152" s="10"/>
      <c r="D152" s="11"/>
      <c r="E152" s="10"/>
      <c r="F152" s="11"/>
    </row>
    <row r="153">
      <c r="A153" s="9">
        <v>45623.0</v>
      </c>
      <c r="B153" s="7">
        <v>2.0</v>
      </c>
      <c r="C153" s="10"/>
      <c r="D153" s="11"/>
      <c r="E153" s="10"/>
      <c r="F153" s="11"/>
    </row>
    <row r="154">
      <c r="A154" s="9">
        <v>45624.0</v>
      </c>
      <c r="B154" s="7">
        <v>80.0</v>
      </c>
      <c r="C154" s="10"/>
      <c r="D154" s="11"/>
      <c r="E154" s="10"/>
      <c r="F154" s="11"/>
    </row>
    <row r="155">
      <c r="A155" s="9">
        <v>45625.0</v>
      </c>
      <c r="B155" s="7">
        <v>45.0</v>
      </c>
      <c r="C155" s="10"/>
      <c r="D155" s="11"/>
      <c r="E155" s="10"/>
      <c r="F155" s="11"/>
    </row>
    <row r="156">
      <c r="A156" s="9">
        <v>45626.0</v>
      </c>
      <c r="B156" s="7">
        <v>8.0</v>
      </c>
      <c r="C156" s="10"/>
      <c r="D156" s="11"/>
      <c r="E156" s="10"/>
      <c r="F156" s="11"/>
    </row>
    <row r="157">
      <c r="A157" s="9">
        <v>45627.0</v>
      </c>
      <c r="B157" s="7">
        <v>10.0</v>
      </c>
      <c r="C157" s="10"/>
      <c r="D157" s="11"/>
      <c r="E157" s="10"/>
      <c r="F157" s="11"/>
    </row>
    <row r="158">
      <c r="A158" s="9">
        <v>45628.0</v>
      </c>
      <c r="B158" s="7">
        <v>50.0</v>
      </c>
      <c r="C158" s="10"/>
      <c r="D158" s="11"/>
      <c r="E158" s="10"/>
      <c r="F158" s="11"/>
    </row>
    <row r="159">
      <c r="A159" s="9">
        <v>45629.0</v>
      </c>
      <c r="B159" s="7">
        <v>83.0</v>
      </c>
      <c r="C159" s="10"/>
      <c r="D159" s="11"/>
      <c r="E159" s="10"/>
      <c r="F159" s="11"/>
    </row>
    <row r="160">
      <c r="A160" s="9">
        <v>45630.0</v>
      </c>
      <c r="B160" s="7">
        <v>48.0</v>
      </c>
      <c r="C160" s="10"/>
      <c r="D160" s="11"/>
      <c r="E160" s="10"/>
      <c r="F160" s="11"/>
    </row>
    <row r="161">
      <c r="A161" s="9">
        <v>45631.0</v>
      </c>
      <c r="B161" s="7">
        <v>24.0</v>
      </c>
      <c r="C161" s="10"/>
      <c r="D161" s="11"/>
      <c r="E161" s="10"/>
      <c r="F161" s="11"/>
    </row>
    <row r="162">
      <c r="A162" s="9">
        <v>45632.0</v>
      </c>
      <c r="B162" s="7">
        <v>2.0</v>
      </c>
      <c r="C162" s="10"/>
      <c r="D162" s="11"/>
      <c r="E162" s="10"/>
      <c r="F162" s="11"/>
    </row>
    <row r="163">
      <c r="A163" s="9">
        <v>45633.0</v>
      </c>
      <c r="B163" s="7">
        <v>4.0</v>
      </c>
      <c r="C163" s="10"/>
      <c r="D163" s="11"/>
      <c r="E163" s="10"/>
      <c r="F163" s="11"/>
    </row>
    <row r="164">
      <c r="A164" s="9">
        <v>45634.0</v>
      </c>
      <c r="B164" s="7">
        <v>7.0</v>
      </c>
      <c r="C164" s="10"/>
      <c r="D164" s="11"/>
      <c r="E164" s="10"/>
      <c r="F164" s="11"/>
    </row>
    <row r="165">
      <c r="A165" s="9">
        <v>45635.0</v>
      </c>
      <c r="B165" s="7">
        <v>4.0</v>
      </c>
      <c r="C165" s="10"/>
      <c r="D165" s="11"/>
      <c r="E165" s="10"/>
      <c r="F165" s="11"/>
    </row>
    <row r="166">
      <c r="A166" s="9">
        <v>45636.0</v>
      </c>
      <c r="B166" s="7">
        <v>0.0</v>
      </c>
      <c r="C166" s="10"/>
      <c r="D166" s="11"/>
      <c r="E166" s="10"/>
      <c r="F166" s="11"/>
    </row>
    <row r="167">
      <c r="A167" s="9">
        <v>45637.0</v>
      </c>
      <c r="B167" s="7">
        <v>3.0</v>
      </c>
      <c r="C167" s="10"/>
      <c r="D167" s="11"/>
      <c r="E167" s="10"/>
      <c r="F167" s="11"/>
    </row>
    <row r="168">
      <c r="A168" s="9">
        <v>45638.0</v>
      </c>
      <c r="B168" s="7">
        <v>35.0</v>
      </c>
      <c r="C168" s="10"/>
      <c r="D168" s="11"/>
      <c r="E168" s="10"/>
      <c r="F168" s="11"/>
    </row>
    <row r="169">
      <c r="A169" s="9">
        <v>45639.0</v>
      </c>
      <c r="B169" s="7">
        <v>15.0</v>
      </c>
      <c r="C169" s="10"/>
      <c r="D169" s="11"/>
      <c r="E169" s="10"/>
      <c r="F169" s="11"/>
    </row>
    <row r="170">
      <c r="A170" s="9">
        <v>45640.0</v>
      </c>
      <c r="B170" s="7">
        <v>6.0</v>
      </c>
      <c r="C170" s="10"/>
      <c r="D170" s="11"/>
      <c r="E170" s="10"/>
      <c r="F170" s="11"/>
    </row>
    <row r="171">
      <c r="A171" s="9">
        <v>45641.0</v>
      </c>
      <c r="B171" s="7">
        <v>5.0</v>
      </c>
      <c r="C171" s="10"/>
      <c r="D171" s="11"/>
      <c r="E171" s="10"/>
      <c r="F171" s="11"/>
    </row>
    <row r="172">
      <c r="A172" s="9">
        <v>45642.0</v>
      </c>
      <c r="B172" s="7">
        <v>4.0</v>
      </c>
      <c r="C172" s="10"/>
      <c r="D172" s="11"/>
      <c r="E172" s="10"/>
      <c r="F172" s="11"/>
    </row>
    <row r="173">
      <c r="A173" s="9">
        <v>45643.0</v>
      </c>
      <c r="B173" s="7">
        <v>4.0</v>
      </c>
      <c r="C173" s="10"/>
      <c r="D173" s="11"/>
      <c r="E173" s="10"/>
      <c r="F173" s="11"/>
    </row>
    <row r="174">
      <c r="A174" s="9">
        <v>45644.0</v>
      </c>
      <c r="B174" s="7">
        <v>79.0</v>
      </c>
      <c r="C174" s="10"/>
      <c r="D174" s="11"/>
      <c r="E174" s="10"/>
      <c r="F174" s="11"/>
    </row>
    <row r="175">
      <c r="A175" s="9">
        <v>45645.0</v>
      </c>
      <c r="B175" s="7">
        <v>19.0</v>
      </c>
      <c r="C175" s="10"/>
      <c r="D175" s="11"/>
      <c r="E175" s="10"/>
      <c r="F175" s="11"/>
    </row>
    <row r="176">
      <c r="A176" s="9">
        <v>45646.0</v>
      </c>
      <c r="B176" s="7">
        <v>56.0</v>
      </c>
      <c r="C176" s="10"/>
      <c r="D176" s="11"/>
      <c r="E176" s="10"/>
      <c r="F176" s="11"/>
    </row>
    <row r="177">
      <c r="A177" s="9">
        <v>45647.0</v>
      </c>
      <c r="B177" s="7">
        <v>18.0</v>
      </c>
      <c r="C177" s="10"/>
      <c r="D177" s="11"/>
      <c r="E177" s="10"/>
      <c r="F177" s="11"/>
    </row>
    <row r="178">
      <c r="A178" s="9">
        <v>45648.0</v>
      </c>
      <c r="B178" s="7">
        <v>97.0</v>
      </c>
      <c r="C178" s="10"/>
      <c r="D178" s="11"/>
      <c r="E178" s="10"/>
      <c r="F178" s="11"/>
    </row>
    <row r="179">
      <c r="A179" s="9">
        <v>45649.0</v>
      </c>
      <c r="B179" s="7">
        <v>27.0</v>
      </c>
      <c r="C179" s="10"/>
      <c r="D179" s="11"/>
      <c r="E179" s="10"/>
      <c r="F179" s="11"/>
    </row>
    <row r="180">
      <c r="A180" s="9">
        <v>45650.0</v>
      </c>
      <c r="B180" s="7">
        <v>10.0</v>
      </c>
      <c r="C180" s="10"/>
      <c r="D180" s="11"/>
      <c r="E180" s="10"/>
      <c r="F180" s="11"/>
    </row>
    <row r="181">
      <c r="A181" s="9">
        <v>45651.0</v>
      </c>
      <c r="B181" s="7">
        <v>7.0</v>
      </c>
      <c r="C181" s="10"/>
      <c r="D181" s="11"/>
      <c r="E181" s="10"/>
      <c r="F181" s="11"/>
    </row>
    <row r="182">
      <c r="A182" s="9">
        <v>45652.0</v>
      </c>
      <c r="B182" s="7">
        <v>2.0</v>
      </c>
      <c r="C182" s="10"/>
      <c r="D182" s="11"/>
      <c r="E182" s="10"/>
      <c r="F182" s="11"/>
    </row>
    <row r="183">
      <c r="A183" s="9">
        <v>45653.0</v>
      </c>
      <c r="B183" s="7">
        <v>1.0</v>
      </c>
      <c r="C183" s="10"/>
      <c r="D183" s="11"/>
      <c r="E183" s="10"/>
      <c r="F183" s="11"/>
    </row>
    <row r="184">
      <c r="A184" s="9">
        <v>45654.0</v>
      </c>
      <c r="B184" s="7">
        <v>4.0</v>
      </c>
      <c r="C184" s="10"/>
      <c r="D184" s="11"/>
      <c r="E184" s="10"/>
      <c r="F184" s="11"/>
    </row>
    <row r="185">
      <c r="A185" s="9">
        <v>45655.0</v>
      </c>
      <c r="B185" s="7">
        <v>3.0</v>
      </c>
      <c r="C185" s="10"/>
      <c r="D185" s="11"/>
      <c r="E185" s="10"/>
      <c r="F185" s="11"/>
    </row>
    <row r="186">
      <c r="A186" s="9">
        <v>45656.0</v>
      </c>
      <c r="B186" s="7">
        <v>4.0</v>
      </c>
      <c r="C186" s="10"/>
      <c r="D186" s="11"/>
      <c r="E186" s="10"/>
      <c r="F186" s="11"/>
    </row>
    <row r="187">
      <c r="A187" s="9">
        <v>45657.0</v>
      </c>
      <c r="B187" s="7">
        <v>3.0</v>
      </c>
      <c r="C187" s="10"/>
      <c r="D187" s="11"/>
      <c r="E187" s="10"/>
      <c r="F187" s="11"/>
    </row>
    <row r="188">
      <c r="A188" s="9">
        <v>45658.0</v>
      </c>
      <c r="B188" s="7">
        <v>1.0</v>
      </c>
      <c r="C188" s="10"/>
      <c r="D188" s="11"/>
      <c r="E188" s="10"/>
      <c r="F188" s="11"/>
    </row>
    <row r="189">
      <c r="A189" s="9">
        <v>45659.0</v>
      </c>
      <c r="B189" s="7">
        <v>48.0</v>
      </c>
      <c r="C189" s="10"/>
      <c r="D189" s="11"/>
      <c r="E189" s="10"/>
      <c r="F189" s="11"/>
    </row>
    <row r="190">
      <c r="A190" s="9">
        <v>45660.0</v>
      </c>
      <c r="B190" s="7">
        <v>19.0</v>
      </c>
      <c r="C190" s="10"/>
      <c r="D190" s="11"/>
      <c r="E190" s="10"/>
      <c r="F190" s="11"/>
    </row>
    <row r="191">
      <c r="A191" s="9">
        <v>45661.0</v>
      </c>
      <c r="B191" s="7">
        <v>11.0</v>
      </c>
      <c r="C191" s="10"/>
      <c r="D191" s="11"/>
      <c r="E191" s="10"/>
      <c r="F191" s="11"/>
    </row>
    <row r="192">
      <c r="A192" s="9">
        <v>45662.0</v>
      </c>
      <c r="B192" s="7">
        <v>3.0</v>
      </c>
      <c r="C192" s="10"/>
      <c r="D192" s="11"/>
      <c r="E192" s="10"/>
      <c r="F192" s="11"/>
    </row>
    <row r="193">
      <c r="A193" s="9">
        <v>45663.0</v>
      </c>
      <c r="B193" s="7">
        <v>3.0</v>
      </c>
      <c r="C193" s="10"/>
      <c r="D193" s="11"/>
      <c r="E193" s="10"/>
      <c r="F193" s="11"/>
    </row>
    <row r="194">
      <c r="A194" s="9">
        <v>45664.0</v>
      </c>
      <c r="B194" s="7">
        <v>16.0</v>
      </c>
      <c r="C194" s="10"/>
      <c r="D194" s="11"/>
      <c r="E194" s="10"/>
      <c r="F194" s="11"/>
    </row>
    <row r="195">
      <c r="A195" s="9">
        <v>45665.0</v>
      </c>
      <c r="B195" s="7">
        <v>7.0</v>
      </c>
      <c r="C195" s="10"/>
      <c r="D195" s="11"/>
      <c r="E195" s="10"/>
      <c r="F195" s="11"/>
    </row>
    <row r="196">
      <c r="A196" s="9">
        <v>45666.0</v>
      </c>
      <c r="B196" s="7">
        <v>56.0</v>
      </c>
      <c r="C196" s="10"/>
      <c r="D196" s="11"/>
      <c r="E196" s="10"/>
      <c r="F196" s="11"/>
    </row>
    <row r="197">
      <c r="A197" s="9">
        <v>45667.0</v>
      </c>
      <c r="B197" s="7">
        <v>20.0</v>
      </c>
      <c r="C197" s="10"/>
      <c r="D197" s="11"/>
      <c r="E197" s="10"/>
      <c r="F197" s="11"/>
    </row>
    <row r="198">
      <c r="A198" s="9">
        <v>45668.0</v>
      </c>
      <c r="B198" s="7">
        <v>4.0</v>
      </c>
      <c r="C198" s="10"/>
      <c r="D198" s="11"/>
      <c r="E198" s="10"/>
      <c r="F198" s="11"/>
    </row>
    <row r="199">
      <c r="A199" s="9">
        <v>45669.0</v>
      </c>
      <c r="B199" s="7">
        <v>4.0</v>
      </c>
      <c r="C199" s="10"/>
      <c r="D199" s="11"/>
      <c r="E199" s="10"/>
      <c r="F199" s="11"/>
    </row>
    <row r="200">
      <c r="A200" s="9">
        <v>45670.0</v>
      </c>
      <c r="B200" s="7">
        <v>2.0</v>
      </c>
      <c r="C200" s="10"/>
      <c r="D200" s="11"/>
      <c r="E200" s="10"/>
      <c r="F200" s="11"/>
    </row>
    <row r="201">
      <c r="A201" s="9">
        <v>45671.0</v>
      </c>
      <c r="B201" s="7">
        <v>10.0</v>
      </c>
      <c r="C201" s="10"/>
      <c r="D201" s="11"/>
      <c r="E201" s="10"/>
      <c r="F201" s="11"/>
    </row>
    <row r="202">
      <c r="A202" s="9">
        <v>45672.0</v>
      </c>
      <c r="B202" s="7">
        <v>10.0</v>
      </c>
      <c r="C202" s="10"/>
      <c r="D202" s="11"/>
      <c r="E202" s="10"/>
      <c r="F202" s="11"/>
    </row>
    <row r="203">
      <c r="A203" s="9">
        <v>45673.0</v>
      </c>
      <c r="B203" s="7">
        <v>101.0</v>
      </c>
      <c r="C203" s="10"/>
      <c r="D203" s="11"/>
      <c r="E203" s="10"/>
      <c r="F203" s="11"/>
    </row>
    <row r="204">
      <c r="A204" s="9">
        <v>45674.0</v>
      </c>
      <c r="B204" s="7">
        <v>62.0</v>
      </c>
      <c r="C204" s="10"/>
      <c r="D204" s="11"/>
      <c r="E204" s="10"/>
      <c r="F204" s="11"/>
    </row>
    <row r="205">
      <c r="A205" s="9">
        <v>45675.0</v>
      </c>
      <c r="B205" s="7">
        <v>46.0</v>
      </c>
      <c r="C205" s="10"/>
      <c r="D205" s="11"/>
      <c r="E205" s="10"/>
      <c r="F205" s="11"/>
    </row>
    <row r="206">
      <c r="A206" s="9">
        <v>45676.0</v>
      </c>
      <c r="B206" s="7">
        <v>8.0</v>
      </c>
      <c r="C206" s="10"/>
      <c r="D206" s="11"/>
      <c r="E206" s="10"/>
      <c r="F206" s="11"/>
    </row>
    <row r="207">
      <c r="A207" s="9">
        <v>45677.0</v>
      </c>
      <c r="B207" s="7">
        <v>11.0</v>
      </c>
      <c r="C207" s="10"/>
      <c r="D207" s="11"/>
      <c r="E207" s="10"/>
      <c r="F207" s="11"/>
    </row>
    <row r="208">
      <c r="A208" s="9">
        <v>45678.0</v>
      </c>
      <c r="B208" s="7">
        <v>17.0</v>
      </c>
      <c r="C208" s="10"/>
      <c r="D208" s="11"/>
      <c r="E208" s="10"/>
      <c r="F208" s="11"/>
    </row>
    <row r="209">
      <c r="A209" s="9">
        <v>45679.0</v>
      </c>
      <c r="B209" s="7">
        <v>19.0</v>
      </c>
      <c r="C209" s="10"/>
      <c r="D209" s="11"/>
      <c r="E209" s="10"/>
      <c r="F209" s="11"/>
    </row>
    <row r="210">
      <c r="A210" s="9">
        <v>45680.0</v>
      </c>
      <c r="B210" s="7">
        <v>27.0</v>
      </c>
      <c r="C210" s="10"/>
      <c r="D210" s="11"/>
      <c r="E210" s="10"/>
      <c r="F210" s="11"/>
    </row>
    <row r="211">
      <c r="A211" s="9">
        <v>45681.0</v>
      </c>
      <c r="B211" s="7">
        <v>11.0</v>
      </c>
      <c r="C211" s="10"/>
      <c r="D211" s="11"/>
      <c r="E211" s="10"/>
      <c r="F211" s="11"/>
    </row>
    <row r="212">
      <c r="A212" s="9">
        <v>45682.0</v>
      </c>
      <c r="B212" s="7">
        <v>1.0</v>
      </c>
      <c r="C212" s="10"/>
      <c r="D212" s="11"/>
      <c r="E212" s="10"/>
      <c r="F212" s="11"/>
    </row>
    <row r="213">
      <c r="A213" s="9">
        <v>45683.0</v>
      </c>
      <c r="B213" s="7">
        <v>11.0</v>
      </c>
      <c r="C213" s="10"/>
      <c r="D213" s="11"/>
      <c r="E213" s="10"/>
      <c r="F213" s="11"/>
    </row>
    <row r="214">
      <c r="A214" s="9">
        <v>45684.0</v>
      </c>
      <c r="B214" s="7">
        <v>44.0</v>
      </c>
      <c r="C214" s="10"/>
      <c r="D214" s="11"/>
      <c r="E214" s="10"/>
      <c r="F214" s="11"/>
    </row>
    <row r="215">
      <c r="A215" s="9">
        <v>45685.0</v>
      </c>
      <c r="B215" s="7">
        <v>39.0</v>
      </c>
      <c r="C215" s="10"/>
      <c r="D215" s="11"/>
      <c r="E215" s="10"/>
      <c r="F215" s="11"/>
    </row>
    <row r="216">
      <c r="A216" s="9">
        <v>45686.0</v>
      </c>
      <c r="B216" s="7">
        <v>11.0</v>
      </c>
      <c r="C216" s="10"/>
      <c r="D216" s="11"/>
      <c r="E216" s="10"/>
      <c r="F216" s="11"/>
    </row>
    <row r="217">
      <c r="A217" s="9">
        <v>45687.0</v>
      </c>
      <c r="B217" s="7">
        <v>24.0</v>
      </c>
      <c r="C217" s="10"/>
      <c r="D217" s="11"/>
      <c r="E217" s="10"/>
      <c r="F217" s="11"/>
    </row>
    <row r="218">
      <c r="A218" s="9">
        <v>45688.0</v>
      </c>
      <c r="B218" s="7">
        <v>34.0</v>
      </c>
      <c r="C218" s="10"/>
      <c r="D218" s="11"/>
      <c r="E218" s="10"/>
      <c r="F218" s="11"/>
    </row>
    <row r="219">
      <c r="A219" s="9">
        <v>45689.0</v>
      </c>
      <c r="B219" s="7">
        <v>17.0</v>
      </c>
      <c r="C219" s="10"/>
      <c r="D219" s="11"/>
      <c r="E219" s="10"/>
      <c r="F219" s="11"/>
    </row>
    <row r="220">
      <c r="A220" s="9">
        <v>45690.0</v>
      </c>
      <c r="B220" s="7">
        <v>12.0</v>
      </c>
      <c r="C220" s="10"/>
      <c r="D220" s="11"/>
      <c r="E220" s="10"/>
      <c r="F220" s="11"/>
    </row>
    <row r="221">
      <c r="A221" s="9">
        <v>45691.0</v>
      </c>
      <c r="B221" s="7">
        <v>51.0</v>
      </c>
      <c r="C221" s="10"/>
      <c r="D221" s="11"/>
      <c r="E221" s="10"/>
      <c r="F221" s="11"/>
    </row>
    <row r="222">
      <c r="A222" s="9">
        <v>45692.0</v>
      </c>
      <c r="B222" s="7">
        <v>110.0</v>
      </c>
      <c r="C222" s="10"/>
      <c r="D222" s="11"/>
      <c r="E222" s="10"/>
      <c r="F222" s="11"/>
    </row>
    <row r="223">
      <c r="A223" s="9">
        <v>45693.0</v>
      </c>
      <c r="B223" s="7">
        <v>64.0</v>
      </c>
      <c r="C223" s="10"/>
      <c r="D223" s="11"/>
      <c r="E223" s="10"/>
      <c r="F223" s="11"/>
    </row>
    <row r="224">
      <c r="A224" s="9">
        <v>45694.0</v>
      </c>
      <c r="B224" s="7">
        <v>73.0</v>
      </c>
      <c r="C224" s="10"/>
      <c r="D224" s="11"/>
      <c r="E224" s="10"/>
      <c r="F224" s="11"/>
    </row>
    <row r="225">
      <c r="A225" s="9">
        <v>45695.0</v>
      </c>
      <c r="B225" s="7">
        <v>69.0</v>
      </c>
      <c r="C225" s="10"/>
      <c r="D225" s="11"/>
      <c r="E225" s="10"/>
      <c r="F225" s="11"/>
    </row>
    <row r="226">
      <c r="A226" s="9">
        <v>45696.0</v>
      </c>
      <c r="B226" s="7">
        <v>54.0</v>
      </c>
      <c r="C226" s="10"/>
      <c r="D226" s="11"/>
      <c r="E226" s="10"/>
      <c r="F226" s="11"/>
    </row>
    <row r="227">
      <c r="A227" s="9">
        <v>45697.0</v>
      </c>
      <c r="B227" s="7">
        <v>9.0</v>
      </c>
      <c r="C227" s="10"/>
      <c r="D227" s="11"/>
      <c r="E227" s="10"/>
      <c r="F227" s="11"/>
    </row>
    <row r="228">
      <c r="A228" s="9">
        <v>45698.0</v>
      </c>
      <c r="B228" s="7">
        <v>12.0</v>
      </c>
      <c r="C228" s="10"/>
      <c r="D228" s="11"/>
      <c r="E228" s="10"/>
      <c r="F228" s="11"/>
    </row>
    <row r="229">
      <c r="A229" s="9">
        <v>45699.0</v>
      </c>
      <c r="B229" s="7">
        <v>7.0</v>
      </c>
      <c r="C229" s="10"/>
      <c r="D229" s="11"/>
      <c r="E229" s="10"/>
      <c r="F229" s="11"/>
    </row>
    <row r="230">
      <c r="A230" s="9">
        <v>45700.0</v>
      </c>
      <c r="B230" s="7">
        <v>19.0</v>
      </c>
      <c r="C230" s="10"/>
      <c r="D230" s="11"/>
      <c r="E230" s="10"/>
      <c r="F230" s="11"/>
    </row>
    <row r="231">
      <c r="A231" s="9">
        <v>45701.0</v>
      </c>
      <c r="B231" s="7">
        <v>70.0</v>
      </c>
      <c r="C231" s="10"/>
      <c r="D231" s="11"/>
      <c r="E231" s="10"/>
      <c r="F231" s="11"/>
    </row>
    <row r="232">
      <c r="A232" s="9">
        <v>45702.0</v>
      </c>
      <c r="B232" s="7">
        <v>37.0</v>
      </c>
      <c r="C232" s="10"/>
      <c r="D232" s="11"/>
      <c r="E232" s="10"/>
      <c r="F232" s="11"/>
    </row>
    <row r="233">
      <c r="A233" s="9">
        <v>45703.0</v>
      </c>
      <c r="B233" s="7">
        <v>19.0</v>
      </c>
      <c r="C233" s="10"/>
      <c r="D233" s="11"/>
      <c r="E233" s="10"/>
      <c r="F233" s="11"/>
    </row>
    <row r="234">
      <c r="A234" s="9">
        <v>45704.0</v>
      </c>
      <c r="B234" s="7">
        <v>198.0</v>
      </c>
      <c r="C234" s="12"/>
      <c r="D234" s="13"/>
      <c r="E234" s="12"/>
      <c r="F234" s="13"/>
    </row>
    <row r="235">
      <c r="A235" s="9">
        <v>45705.0</v>
      </c>
      <c r="B235" s="7">
        <v>44.0</v>
      </c>
      <c r="C235" s="12"/>
      <c r="D235" s="13"/>
      <c r="E235" s="12"/>
      <c r="F235" s="13"/>
    </row>
    <row r="236">
      <c r="A236" s="9">
        <v>45706.0</v>
      </c>
      <c r="B236" s="7">
        <v>17.0</v>
      </c>
      <c r="C236" s="12"/>
      <c r="D236" s="13"/>
      <c r="E236" s="12"/>
      <c r="F236" s="13"/>
    </row>
    <row r="237">
      <c r="A237" s="9">
        <v>45707.0</v>
      </c>
      <c r="B237" s="7">
        <v>47.0</v>
      </c>
      <c r="C237" s="12"/>
      <c r="D237" s="13"/>
      <c r="E237" s="12"/>
      <c r="F237" s="13"/>
    </row>
    <row r="238">
      <c r="A238" s="9">
        <v>45708.0</v>
      </c>
      <c r="B238" s="7">
        <v>26.0</v>
      </c>
      <c r="C238" s="12"/>
      <c r="D238" s="13"/>
      <c r="E238" s="12"/>
      <c r="F238" s="13"/>
    </row>
    <row r="239">
      <c r="A239" s="9">
        <v>45709.0</v>
      </c>
      <c r="B239" s="7">
        <v>10.0</v>
      </c>
      <c r="C239" s="12"/>
      <c r="D239" s="13"/>
      <c r="E239" s="12"/>
      <c r="F239" s="13"/>
    </row>
    <row r="240">
      <c r="A240" s="9">
        <v>45710.0</v>
      </c>
      <c r="B240" s="7">
        <v>13.0</v>
      </c>
      <c r="C240" s="12"/>
      <c r="D240" s="13"/>
      <c r="E240" s="12"/>
      <c r="F240" s="13"/>
    </row>
    <row r="241">
      <c r="A241" s="9">
        <v>45711.0</v>
      </c>
      <c r="B241" s="7">
        <v>7.0</v>
      </c>
      <c r="C241" s="12"/>
      <c r="D241" s="13"/>
      <c r="E241" s="12"/>
      <c r="F241" s="13"/>
    </row>
    <row r="242">
      <c r="A242" s="9">
        <v>45712.0</v>
      </c>
      <c r="B242" s="7">
        <v>148.0</v>
      </c>
      <c r="C242" s="12"/>
      <c r="D242" s="13"/>
      <c r="E242" s="12"/>
      <c r="F242" s="13"/>
    </row>
    <row r="243">
      <c r="A243" s="9">
        <v>45713.0</v>
      </c>
      <c r="B243" s="7">
        <v>25.0</v>
      </c>
      <c r="C243" s="12"/>
      <c r="D243" s="13"/>
      <c r="E243" s="12"/>
      <c r="F243" s="13"/>
    </row>
    <row r="244">
      <c r="A244" s="9">
        <v>45714.0</v>
      </c>
      <c r="B244" s="7">
        <v>92.0</v>
      </c>
      <c r="C244" s="12"/>
      <c r="D244" s="13"/>
      <c r="E244" s="12"/>
      <c r="F244" s="13"/>
    </row>
    <row r="245">
      <c r="A245" s="9">
        <v>45715.0</v>
      </c>
      <c r="B245" s="7">
        <v>18.0</v>
      </c>
      <c r="C245" s="12"/>
      <c r="D245" s="13"/>
      <c r="E245" s="12"/>
      <c r="F245" s="13"/>
    </row>
    <row r="246">
      <c r="A246" s="9">
        <v>45716.0</v>
      </c>
      <c r="B246" s="7">
        <v>42.0</v>
      </c>
      <c r="C246" s="12"/>
      <c r="D246" s="13"/>
      <c r="E246" s="12"/>
      <c r="F246" s="13"/>
    </row>
    <row r="247">
      <c r="A247" s="9">
        <v>45717.0</v>
      </c>
      <c r="B247" s="7">
        <v>9.0</v>
      </c>
      <c r="C247" s="12"/>
      <c r="D247" s="13"/>
      <c r="E247" s="12"/>
      <c r="F247" s="13"/>
    </row>
    <row r="248">
      <c r="A248" s="9">
        <v>45718.0</v>
      </c>
      <c r="B248" s="7">
        <v>11.0</v>
      </c>
      <c r="C248" s="12"/>
      <c r="D248" s="13"/>
      <c r="E248" s="12"/>
      <c r="F248" s="13"/>
    </row>
    <row r="249">
      <c r="A249" s="9">
        <v>45719.0</v>
      </c>
      <c r="B249" s="7">
        <v>106.0</v>
      </c>
      <c r="C249" s="12"/>
      <c r="D249" s="13"/>
      <c r="E249" s="12"/>
      <c r="F249" s="13"/>
    </row>
    <row r="250">
      <c r="A250" s="9">
        <v>45720.0</v>
      </c>
      <c r="B250" s="7">
        <v>34.0</v>
      </c>
      <c r="C250" s="12"/>
      <c r="D250" s="13"/>
      <c r="E250" s="12"/>
      <c r="F250" s="13"/>
    </row>
    <row r="251">
      <c r="A251" s="9">
        <v>45721.0</v>
      </c>
      <c r="B251" s="7">
        <v>26.0</v>
      </c>
      <c r="C251" s="12"/>
      <c r="D251" s="13"/>
      <c r="E251" s="12"/>
      <c r="F251" s="13"/>
    </row>
    <row r="252">
      <c r="A252" s="9">
        <v>45722.0</v>
      </c>
      <c r="B252" s="7">
        <v>51.0</v>
      </c>
      <c r="C252" s="12"/>
      <c r="D252" s="13"/>
      <c r="E252" s="12"/>
      <c r="F252" s="13"/>
    </row>
    <row r="253">
      <c r="A253" s="9">
        <v>45723.0</v>
      </c>
      <c r="B253" s="7">
        <v>21.0</v>
      </c>
      <c r="C253" s="12"/>
      <c r="D253" s="13"/>
      <c r="E253" s="12"/>
      <c r="F253" s="13"/>
    </row>
    <row r="254">
      <c r="A254" s="9">
        <v>45724.0</v>
      </c>
      <c r="B254" s="7">
        <v>7.0</v>
      </c>
      <c r="C254" s="12"/>
      <c r="D254" s="13"/>
      <c r="E254" s="12"/>
      <c r="F254" s="13"/>
    </row>
    <row r="255">
      <c r="A255" s="9">
        <v>45725.0</v>
      </c>
      <c r="B255" s="7">
        <v>9.0</v>
      </c>
      <c r="C255" s="12"/>
      <c r="D255" s="13"/>
      <c r="E255" s="12"/>
      <c r="F255" s="13"/>
    </row>
    <row r="256">
      <c r="A256" s="9">
        <v>45726.0</v>
      </c>
      <c r="B256" s="7">
        <v>53.0</v>
      </c>
      <c r="C256" s="12"/>
      <c r="D256" s="13"/>
      <c r="E256" s="12"/>
      <c r="F256" s="13"/>
    </row>
    <row r="257">
      <c r="A257" s="9">
        <v>45727.0</v>
      </c>
      <c r="B257" s="7">
        <v>12.0</v>
      </c>
      <c r="C257" s="12"/>
      <c r="D257" s="13"/>
      <c r="E257" s="12"/>
      <c r="F257" s="13"/>
    </row>
    <row r="258">
      <c r="A258" s="9">
        <v>45728.0</v>
      </c>
      <c r="B258" s="7">
        <v>18.0</v>
      </c>
      <c r="C258" s="12"/>
      <c r="D258" s="13"/>
      <c r="E258" s="12"/>
      <c r="F258" s="13"/>
    </row>
    <row r="259">
      <c r="A259" s="9">
        <v>45729.0</v>
      </c>
      <c r="B259" s="7">
        <v>10.0</v>
      </c>
      <c r="C259" s="12"/>
      <c r="D259" s="13"/>
      <c r="E259" s="12"/>
      <c r="F259" s="13"/>
    </row>
    <row r="260">
      <c r="A260" s="9">
        <v>45730.0</v>
      </c>
      <c r="B260" s="7">
        <v>70.0</v>
      </c>
      <c r="C260" s="12"/>
      <c r="D260" s="13"/>
      <c r="E260" s="12"/>
      <c r="F260" s="13"/>
    </row>
    <row r="261">
      <c r="A261" s="9">
        <v>45731.0</v>
      </c>
      <c r="B261" s="7">
        <v>52.0</v>
      </c>
      <c r="C261" s="12"/>
      <c r="D261" s="13"/>
      <c r="E261" s="12"/>
      <c r="F261" s="13"/>
    </row>
    <row r="262">
      <c r="A262" s="9">
        <v>45732.0</v>
      </c>
      <c r="B262" s="7">
        <v>24.0</v>
      </c>
      <c r="C262" s="12"/>
      <c r="D262" s="13"/>
      <c r="E262" s="12"/>
      <c r="F262" s="13"/>
    </row>
    <row r="263">
      <c r="A263" s="9">
        <v>45733.0</v>
      </c>
      <c r="B263" s="7">
        <v>13.0</v>
      </c>
      <c r="C263" s="12"/>
      <c r="D263" s="13"/>
      <c r="E263" s="12"/>
      <c r="F263" s="13"/>
    </row>
    <row r="264">
      <c r="A264" s="9">
        <v>45734.0</v>
      </c>
      <c r="B264" s="7">
        <v>38.0</v>
      </c>
      <c r="C264" s="12"/>
      <c r="D264" s="13"/>
      <c r="E264" s="12"/>
      <c r="F264" s="13"/>
    </row>
    <row r="265">
      <c r="A265" s="9">
        <v>45735.0</v>
      </c>
      <c r="B265" s="7">
        <v>16.0</v>
      </c>
      <c r="C265" s="12"/>
      <c r="D265" s="13"/>
      <c r="E265" s="12"/>
      <c r="F265" s="13"/>
    </row>
    <row r="266">
      <c r="A266" s="9">
        <v>45736.0</v>
      </c>
      <c r="B266" s="7">
        <v>386.0</v>
      </c>
      <c r="C266" s="12"/>
      <c r="D266" s="13"/>
      <c r="E266" s="12"/>
      <c r="F266" s="13"/>
    </row>
    <row r="267">
      <c r="A267" s="9">
        <v>45737.0</v>
      </c>
      <c r="B267" s="7">
        <v>84.0</v>
      </c>
      <c r="C267" s="12"/>
      <c r="D267" s="13"/>
      <c r="E267" s="12"/>
      <c r="F267" s="13"/>
    </row>
    <row r="268">
      <c r="A268" s="9">
        <v>45738.0</v>
      </c>
      <c r="B268" s="7">
        <v>47.0</v>
      </c>
      <c r="C268" s="12"/>
      <c r="D268" s="13"/>
      <c r="E268" s="12"/>
      <c r="F268" s="13"/>
    </row>
    <row r="269">
      <c r="A269" s="9">
        <v>45739.0</v>
      </c>
      <c r="B269" s="7">
        <v>31.0</v>
      </c>
      <c r="C269" s="12"/>
      <c r="D269" s="13"/>
      <c r="E269" s="12"/>
      <c r="F269" s="13"/>
    </row>
    <row r="270">
      <c r="A270" s="9">
        <v>45740.0</v>
      </c>
      <c r="B270" s="7">
        <v>40.0</v>
      </c>
      <c r="C270" s="12"/>
      <c r="D270" s="13"/>
      <c r="E270" s="12"/>
      <c r="F270" s="13"/>
    </row>
    <row r="271">
      <c r="A271" s="9">
        <v>45741.0</v>
      </c>
      <c r="B271" s="7">
        <v>59.0</v>
      </c>
      <c r="C271" s="12"/>
      <c r="D271" s="13"/>
      <c r="E271" s="12"/>
      <c r="F271" s="13"/>
    </row>
    <row r="272">
      <c r="A272" s="9">
        <v>45742.0</v>
      </c>
      <c r="B272" s="7">
        <v>81.0</v>
      </c>
      <c r="C272" s="12"/>
      <c r="D272" s="13"/>
      <c r="E272" s="12"/>
      <c r="F272" s="13"/>
    </row>
    <row r="273">
      <c r="A273" s="9">
        <v>45743.0</v>
      </c>
      <c r="B273" s="7">
        <v>35.0</v>
      </c>
      <c r="C273" s="12"/>
      <c r="D273" s="13"/>
      <c r="E273" s="12"/>
      <c r="F273" s="13"/>
    </row>
    <row r="274">
      <c r="A274" s="9">
        <v>45744.0</v>
      </c>
      <c r="B274" s="7">
        <v>1189.0</v>
      </c>
      <c r="C274" s="12"/>
      <c r="D274" s="13"/>
      <c r="E274" s="12"/>
      <c r="F274" s="13"/>
    </row>
    <row r="275">
      <c r="A275" s="9">
        <v>45745.0</v>
      </c>
      <c r="B275" s="7">
        <v>306.0</v>
      </c>
      <c r="C275" s="12"/>
      <c r="D275" s="13"/>
      <c r="E275" s="12"/>
      <c r="F275" s="13"/>
    </row>
    <row r="276">
      <c r="A276" s="9">
        <v>45746.0</v>
      </c>
      <c r="B276" s="7">
        <v>100.0</v>
      </c>
      <c r="C276" s="12"/>
      <c r="D276" s="13"/>
      <c r="E276" s="12"/>
      <c r="F276" s="13"/>
    </row>
    <row r="277">
      <c r="A277" s="9">
        <v>45747.0</v>
      </c>
      <c r="B277" s="7">
        <v>43.0</v>
      </c>
      <c r="C277" s="12"/>
      <c r="D277" s="13"/>
      <c r="E277" s="12"/>
      <c r="F277" s="13"/>
    </row>
    <row r="278">
      <c r="A278" s="9">
        <v>45748.0</v>
      </c>
      <c r="B278" s="7">
        <v>21.0</v>
      </c>
    </row>
    <row r="279">
      <c r="A279" s="9">
        <v>45749.0</v>
      </c>
      <c r="B279" s="7">
        <v>20.0</v>
      </c>
    </row>
    <row r="280">
      <c r="A280" s="9">
        <v>45750.0</v>
      </c>
      <c r="B280" s="7">
        <v>119.0</v>
      </c>
    </row>
    <row r="281">
      <c r="A281" s="9">
        <v>45751.0</v>
      </c>
      <c r="B281" s="7">
        <v>92.0</v>
      </c>
    </row>
    <row r="282">
      <c r="A282" s="9">
        <v>45752.0</v>
      </c>
      <c r="B282" s="7">
        <v>34.0</v>
      </c>
    </row>
    <row r="283">
      <c r="A283" s="9">
        <v>45753.0</v>
      </c>
      <c r="B283" s="7">
        <v>16.0</v>
      </c>
    </row>
    <row r="284">
      <c r="A284" s="9">
        <v>45754.0</v>
      </c>
      <c r="B284" s="7">
        <v>67.0</v>
      </c>
    </row>
    <row r="285">
      <c r="A285" s="9">
        <v>45755.0</v>
      </c>
      <c r="B285" s="7">
        <v>33.0</v>
      </c>
    </row>
    <row r="286">
      <c r="A286" s="9">
        <v>45756.0</v>
      </c>
      <c r="B286" s="7">
        <v>16.0</v>
      </c>
    </row>
    <row r="287">
      <c r="A287" s="9">
        <v>45757.0</v>
      </c>
      <c r="B287" s="7">
        <v>18.0</v>
      </c>
    </row>
    <row r="288">
      <c r="A288" s="9">
        <v>45758.0</v>
      </c>
      <c r="B288" s="7">
        <v>49.0</v>
      </c>
    </row>
    <row r="289">
      <c r="A289" s="9">
        <v>45759.0</v>
      </c>
      <c r="B289" s="7">
        <v>16.0</v>
      </c>
    </row>
    <row r="290">
      <c r="A290" s="9">
        <v>45760.0</v>
      </c>
      <c r="B290" s="7">
        <v>9.0</v>
      </c>
    </row>
    <row r="291">
      <c r="A291" s="9">
        <v>45761.0</v>
      </c>
      <c r="B291" s="7">
        <v>9.0</v>
      </c>
    </row>
    <row r="292">
      <c r="A292" s="9">
        <v>45762.0</v>
      </c>
      <c r="B292" s="7">
        <v>62.0</v>
      </c>
    </row>
    <row r="293">
      <c r="A293" s="9">
        <v>45763.0</v>
      </c>
      <c r="B293" s="7">
        <v>23.0</v>
      </c>
    </row>
    <row r="294">
      <c r="A294" s="9">
        <v>45764.0</v>
      </c>
      <c r="B294" s="7">
        <v>6.0</v>
      </c>
    </row>
    <row r="295">
      <c r="A295" s="9">
        <v>45765.0</v>
      </c>
      <c r="B295" s="7">
        <v>1.0</v>
      </c>
    </row>
    <row r="296">
      <c r="A296" s="9">
        <v>45766.0</v>
      </c>
      <c r="B296" s="7">
        <v>33.0</v>
      </c>
    </row>
    <row r="297">
      <c r="A297" s="9">
        <v>45767.0</v>
      </c>
      <c r="B297" s="7">
        <v>8.0</v>
      </c>
    </row>
    <row r="298">
      <c r="A298" s="9">
        <v>45768.0</v>
      </c>
      <c r="B298" s="7">
        <v>4.0</v>
      </c>
    </row>
    <row r="299">
      <c r="A299" s="9">
        <v>45769.0</v>
      </c>
      <c r="B299" s="7">
        <v>28.0</v>
      </c>
    </row>
    <row r="300">
      <c r="A300" s="9">
        <v>45770.0</v>
      </c>
      <c r="B300" s="7">
        <v>25.0</v>
      </c>
    </row>
    <row r="301">
      <c r="A301" s="9">
        <v>45771.0</v>
      </c>
      <c r="B301" s="7">
        <v>33.0</v>
      </c>
    </row>
    <row r="302">
      <c r="A302" s="9">
        <v>45772.0</v>
      </c>
      <c r="B302" s="7">
        <v>91.0</v>
      </c>
    </row>
    <row r="303">
      <c r="A303" s="9">
        <v>45773.0</v>
      </c>
      <c r="B303" s="7">
        <v>50.0</v>
      </c>
    </row>
    <row r="304">
      <c r="A304" s="9">
        <v>45774.0</v>
      </c>
      <c r="B304" s="7">
        <v>17.0</v>
      </c>
    </row>
    <row r="305">
      <c r="A305" s="9">
        <v>45775.0</v>
      </c>
      <c r="B305" s="7">
        <v>10.0</v>
      </c>
    </row>
    <row r="306">
      <c r="A306" s="9">
        <v>45776.0</v>
      </c>
      <c r="B306" s="7">
        <v>10.0</v>
      </c>
    </row>
    <row r="307">
      <c r="A307" s="9">
        <v>45777.0</v>
      </c>
      <c r="B307" s="7">
        <v>9.0</v>
      </c>
    </row>
  </sheetData>
  <mergeCells count="2">
    <mergeCell ref="C2:D2"/>
    <mergeCell ref="E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3"/>
      <c r="F1" s="4"/>
    </row>
    <row r="2">
      <c r="A2" s="5" t="s">
        <v>5</v>
      </c>
      <c r="B2" s="6"/>
      <c r="C2" s="3"/>
      <c r="E2" s="3"/>
    </row>
    <row r="3">
      <c r="A3" s="5" t="s">
        <v>2</v>
      </c>
      <c r="B3" s="7" t="s">
        <v>3</v>
      </c>
      <c r="C3" s="3"/>
      <c r="D3" s="8"/>
      <c r="E3" s="3"/>
      <c r="F3" s="8"/>
    </row>
    <row r="4">
      <c r="A4" s="9">
        <v>45474.0</v>
      </c>
      <c r="B4" s="7">
        <v>1258.0</v>
      </c>
      <c r="C4" s="10"/>
      <c r="D4" s="11"/>
      <c r="E4" s="10"/>
      <c r="F4" s="11"/>
    </row>
    <row r="5">
      <c r="A5" s="9">
        <v>45475.0</v>
      </c>
      <c r="B5" s="7">
        <v>1180.0</v>
      </c>
      <c r="C5" s="10"/>
      <c r="D5" s="11"/>
      <c r="E5" s="10"/>
      <c r="F5" s="11"/>
    </row>
    <row r="6">
      <c r="A6" s="9">
        <v>45476.0</v>
      </c>
      <c r="B6" s="7">
        <v>1049.0</v>
      </c>
      <c r="C6" s="10"/>
      <c r="D6" s="11"/>
      <c r="E6" s="10"/>
      <c r="F6" s="11"/>
    </row>
    <row r="7">
      <c r="A7" s="9">
        <v>45477.0</v>
      </c>
      <c r="B7" s="7">
        <v>1216.0</v>
      </c>
      <c r="C7" s="10"/>
      <c r="D7" s="11"/>
      <c r="E7" s="10"/>
      <c r="F7" s="11"/>
    </row>
    <row r="8">
      <c r="A8" s="9">
        <v>45478.0</v>
      </c>
      <c r="B8" s="7">
        <v>1324.0</v>
      </c>
      <c r="C8" s="10"/>
      <c r="D8" s="11"/>
      <c r="E8" s="10"/>
      <c r="F8" s="11"/>
    </row>
    <row r="9">
      <c r="A9" s="9">
        <v>45479.0</v>
      </c>
      <c r="B9" s="7">
        <v>423.0</v>
      </c>
      <c r="C9" s="10"/>
      <c r="D9" s="11"/>
      <c r="E9" s="10"/>
      <c r="F9" s="11"/>
    </row>
    <row r="10">
      <c r="A10" s="9">
        <v>45480.0</v>
      </c>
      <c r="B10" s="7">
        <v>591.0</v>
      </c>
      <c r="C10" s="10"/>
      <c r="D10" s="11"/>
      <c r="E10" s="10"/>
      <c r="F10" s="11"/>
    </row>
    <row r="11">
      <c r="A11" s="9">
        <v>45481.0</v>
      </c>
      <c r="B11" s="7">
        <v>398.0</v>
      </c>
      <c r="C11" s="10"/>
      <c r="D11" s="11"/>
      <c r="E11" s="10"/>
      <c r="F11" s="11"/>
    </row>
    <row r="12">
      <c r="A12" s="9">
        <v>45482.0</v>
      </c>
      <c r="B12" s="7">
        <v>116.0</v>
      </c>
      <c r="C12" s="10"/>
      <c r="D12" s="11"/>
      <c r="E12" s="10"/>
      <c r="F12" s="11"/>
    </row>
    <row r="13">
      <c r="A13" s="9">
        <v>45483.0</v>
      </c>
      <c r="B13" s="7">
        <v>70.0</v>
      </c>
      <c r="C13" s="10"/>
      <c r="D13" s="11"/>
      <c r="E13" s="10"/>
      <c r="F13" s="11"/>
    </row>
    <row r="14">
      <c r="A14" s="9">
        <v>45484.0</v>
      </c>
      <c r="B14" s="7">
        <v>1890.0</v>
      </c>
      <c r="C14" s="10"/>
      <c r="D14" s="11"/>
      <c r="E14" s="10"/>
      <c r="F14" s="11"/>
    </row>
    <row r="15">
      <c r="A15" s="9">
        <v>45485.0</v>
      </c>
      <c r="B15" s="7">
        <v>3072.0</v>
      </c>
      <c r="C15" s="10"/>
      <c r="D15" s="11"/>
      <c r="E15" s="10"/>
      <c r="F15" s="11"/>
    </row>
    <row r="16">
      <c r="A16" s="9">
        <v>45486.0</v>
      </c>
      <c r="B16" s="7">
        <v>2484.0</v>
      </c>
      <c r="C16" s="10"/>
      <c r="D16" s="11"/>
      <c r="E16" s="10"/>
      <c r="F16" s="11"/>
    </row>
    <row r="17">
      <c r="A17" s="9">
        <v>45487.0</v>
      </c>
      <c r="B17" s="7">
        <v>3696.0</v>
      </c>
      <c r="C17" s="10"/>
      <c r="D17" s="11"/>
      <c r="E17" s="10"/>
      <c r="F17" s="11"/>
    </row>
    <row r="18">
      <c r="A18" s="9">
        <v>45488.0</v>
      </c>
      <c r="B18" s="7">
        <v>3873.0</v>
      </c>
      <c r="C18" s="10"/>
      <c r="D18" s="11"/>
      <c r="E18" s="10"/>
      <c r="F18" s="11"/>
    </row>
    <row r="19">
      <c r="A19" s="9">
        <v>45489.0</v>
      </c>
      <c r="B19" s="7">
        <v>3720.0</v>
      </c>
      <c r="C19" s="10"/>
      <c r="D19" s="11"/>
      <c r="E19" s="10"/>
      <c r="F19" s="11"/>
    </row>
    <row r="20">
      <c r="A20" s="9">
        <v>45490.0</v>
      </c>
      <c r="B20" s="7">
        <v>2741.0</v>
      </c>
      <c r="C20" s="10"/>
      <c r="D20" s="11"/>
      <c r="E20" s="10"/>
      <c r="F20" s="11"/>
    </row>
    <row r="21">
      <c r="A21" s="9">
        <v>45491.0</v>
      </c>
      <c r="B21" s="7">
        <v>2823.0</v>
      </c>
      <c r="C21" s="10"/>
      <c r="D21" s="11"/>
      <c r="E21" s="10"/>
      <c r="F21" s="11"/>
    </row>
    <row r="22">
      <c r="A22" s="9">
        <v>45492.0</v>
      </c>
      <c r="B22" s="7">
        <v>1737.0</v>
      </c>
      <c r="C22" s="10"/>
      <c r="D22" s="11"/>
      <c r="E22" s="10"/>
      <c r="F22" s="11"/>
    </row>
    <row r="23">
      <c r="A23" s="9">
        <v>45493.0</v>
      </c>
      <c r="B23" s="7">
        <v>1353.0</v>
      </c>
      <c r="C23" s="10"/>
      <c r="D23" s="11"/>
      <c r="E23" s="10"/>
      <c r="F23" s="11"/>
    </row>
    <row r="24">
      <c r="A24" s="9">
        <v>45494.0</v>
      </c>
      <c r="B24" s="7">
        <v>1380.0</v>
      </c>
      <c r="C24" s="10"/>
      <c r="D24" s="11"/>
      <c r="E24" s="10"/>
      <c r="F24" s="11"/>
    </row>
    <row r="25">
      <c r="A25" s="9">
        <v>45495.0</v>
      </c>
      <c r="B25" s="7">
        <v>2577.0</v>
      </c>
      <c r="C25" s="10"/>
      <c r="D25" s="11"/>
      <c r="E25" s="10"/>
      <c r="F25" s="11"/>
    </row>
    <row r="26">
      <c r="A26" s="9">
        <v>45496.0</v>
      </c>
      <c r="B26" s="7">
        <v>1850.0</v>
      </c>
      <c r="C26" s="10"/>
      <c r="D26" s="11"/>
      <c r="E26" s="10"/>
      <c r="F26" s="11"/>
    </row>
    <row r="27">
      <c r="A27" s="9">
        <v>45497.0</v>
      </c>
      <c r="B27" s="7">
        <v>3989.0</v>
      </c>
      <c r="C27" s="10"/>
      <c r="D27" s="11"/>
      <c r="E27" s="10"/>
      <c r="F27" s="11"/>
    </row>
    <row r="28">
      <c r="A28" s="9">
        <v>45498.0</v>
      </c>
      <c r="B28" s="7">
        <v>2896.0</v>
      </c>
      <c r="C28" s="10"/>
      <c r="D28" s="11"/>
      <c r="E28" s="10"/>
      <c r="F28" s="11"/>
    </row>
    <row r="29">
      <c r="A29" s="9">
        <v>45499.0</v>
      </c>
      <c r="B29" s="7">
        <v>2715.0</v>
      </c>
      <c r="C29" s="10"/>
      <c r="D29" s="11"/>
      <c r="E29" s="10"/>
      <c r="F29" s="11"/>
    </row>
    <row r="30">
      <c r="A30" s="9">
        <v>45500.0</v>
      </c>
      <c r="B30" s="7">
        <v>2057.0</v>
      </c>
      <c r="C30" s="10"/>
      <c r="D30" s="11"/>
      <c r="E30" s="10"/>
      <c r="F30" s="11"/>
    </row>
    <row r="31">
      <c r="A31" s="9">
        <v>45501.0</v>
      </c>
      <c r="B31" s="7">
        <v>3225.0</v>
      </c>
      <c r="C31" s="10"/>
      <c r="D31" s="11"/>
      <c r="E31" s="10"/>
      <c r="F31" s="11"/>
    </row>
    <row r="32">
      <c r="A32" s="9">
        <v>45502.0</v>
      </c>
      <c r="B32" s="7">
        <v>4165.0</v>
      </c>
      <c r="C32" s="10"/>
      <c r="D32" s="11"/>
      <c r="E32" s="10"/>
      <c r="F32" s="11"/>
    </row>
    <row r="33">
      <c r="A33" s="9">
        <v>45503.0</v>
      </c>
      <c r="B33" s="7">
        <v>3764.0</v>
      </c>
      <c r="C33" s="10"/>
      <c r="D33" s="11"/>
      <c r="E33" s="10"/>
      <c r="F33" s="11"/>
    </row>
    <row r="34">
      <c r="A34" s="9">
        <v>45504.0</v>
      </c>
      <c r="B34" s="7">
        <v>3001.0</v>
      </c>
      <c r="C34" s="10"/>
      <c r="D34" s="11"/>
      <c r="E34" s="10"/>
      <c r="F34" s="11"/>
    </row>
    <row r="35">
      <c r="A35" s="9">
        <v>45505.0</v>
      </c>
      <c r="B35" s="7">
        <v>953.0</v>
      </c>
      <c r="C35" s="10"/>
      <c r="D35" s="11"/>
      <c r="E35" s="10"/>
      <c r="F35" s="11"/>
    </row>
    <row r="36">
      <c r="A36" s="9">
        <v>45506.0</v>
      </c>
      <c r="B36" s="7">
        <v>538.0</v>
      </c>
      <c r="C36" s="10"/>
      <c r="D36" s="11"/>
      <c r="E36" s="10"/>
      <c r="F36" s="11"/>
    </row>
    <row r="37">
      <c r="A37" s="9">
        <v>45507.0</v>
      </c>
      <c r="B37" s="7">
        <v>436.0</v>
      </c>
      <c r="C37" s="10"/>
      <c r="D37" s="11"/>
      <c r="E37" s="10"/>
      <c r="F37" s="11"/>
    </row>
    <row r="38">
      <c r="A38" s="9">
        <v>45508.0</v>
      </c>
      <c r="B38" s="7">
        <v>190.0</v>
      </c>
      <c r="C38" s="10"/>
      <c r="D38" s="11"/>
      <c r="E38" s="10"/>
      <c r="F38" s="11"/>
    </row>
    <row r="39">
      <c r="A39" s="9">
        <v>45509.0</v>
      </c>
      <c r="B39" s="7">
        <v>82.0</v>
      </c>
      <c r="C39" s="10"/>
      <c r="D39" s="11"/>
      <c r="E39" s="10"/>
      <c r="F39" s="11"/>
    </row>
    <row r="40">
      <c r="A40" s="9">
        <v>45510.0</v>
      </c>
      <c r="B40" s="7">
        <v>389.0</v>
      </c>
      <c r="C40" s="10"/>
      <c r="D40" s="11"/>
      <c r="E40" s="10"/>
      <c r="F40" s="11"/>
    </row>
    <row r="41">
      <c r="A41" s="9">
        <v>45511.0</v>
      </c>
      <c r="B41" s="7">
        <v>287.0</v>
      </c>
      <c r="C41" s="10"/>
      <c r="D41" s="11"/>
      <c r="E41" s="10"/>
      <c r="F41" s="11"/>
    </row>
    <row r="42">
      <c r="A42" s="9">
        <v>45512.0</v>
      </c>
      <c r="B42" s="7">
        <v>328.0</v>
      </c>
      <c r="C42" s="10"/>
      <c r="D42" s="11"/>
      <c r="E42" s="10"/>
      <c r="F42" s="11"/>
    </row>
    <row r="43">
      <c r="A43" s="9">
        <v>45513.0</v>
      </c>
      <c r="B43" s="7">
        <v>7258.0</v>
      </c>
      <c r="C43" s="10"/>
      <c r="D43" s="11"/>
      <c r="E43" s="10"/>
      <c r="F43" s="11"/>
    </row>
    <row r="44">
      <c r="A44" s="9">
        <v>45514.0</v>
      </c>
      <c r="B44" s="7">
        <v>7242.0</v>
      </c>
      <c r="C44" s="10"/>
      <c r="D44" s="11"/>
      <c r="E44" s="10"/>
      <c r="F44" s="11"/>
    </row>
    <row r="45">
      <c r="A45" s="9">
        <v>45515.0</v>
      </c>
      <c r="B45" s="7">
        <v>3019.0</v>
      </c>
      <c r="C45" s="10"/>
      <c r="D45" s="11"/>
      <c r="E45" s="10"/>
      <c r="F45" s="11"/>
    </row>
    <row r="46">
      <c r="A46" s="9">
        <v>45516.0</v>
      </c>
      <c r="B46" s="7">
        <v>1454.0</v>
      </c>
      <c r="C46" s="10"/>
      <c r="D46" s="11"/>
      <c r="E46" s="10"/>
      <c r="F46" s="11"/>
    </row>
    <row r="47">
      <c r="A47" s="9">
        <v>45517.0</v>
      </c>
      <c r="B47" s="7">
        <v>635.0</v>
      </c>
      <c r="C47" s="10"/>
      <c r="D47" s="11"/>
      <c r="E47" s="10"/>
      <c r="F47" s="11"/>
    </row>
    <row r="48">
      <c r="A48" s="9">
        <v>45518.0</v>
      </c>
      <c r="B48" s="7">
        <v>1723.0</v>
      </c>
      <c r="C48" s="10"/>
      <c r="D48" s="11"/>
      <c r="E48" s="10"/>
      <c r="F48" s="11"/>
    </row>
    <row r="49">
      <c r="A49" s="9">
        <v>45519.0</v>
      </c>
      <c r="B49" s="7">
        <v>1550.0</v>
      </c>
      <c r="C49" s="10"/>
      <c r="D49" s="11"/>
      <c r="E49" s="10"/>
      <c r="F49" s="11"/>
    </row>
    <row r="50">
      <c r="A50" s="9">
        <v>45520.0</v>
      </c>
      <c r="B50" s="7">
        <v>1098.0</v>
      </c>
      <c r="C50" s="10"/>
      <c r="D50" s="11"/>
      <c r="E50" s="10"/>
      <c r="F50" s="11"/>
    </row>
    <row r="51">
      <c r="A51" s="9">
        <v>45521.0</v>
      </c>
      <c r="B51" s="7">
        <v>841.0</v>
      </c>
      <c r="C51" s="10"/>
      <c r="D51" s="11"/>
      <c r="E51" s="10"/>
      <c r="F51" s="11"/>
    </row>
    <row r="52">
      <c r="A52" s="9">
        <v>45522.0</v>
      </c>
      <c r="B52" s="7">
        <v>2033.0</v>
      </c>
      <c r="C52" s="10"/>
      <c r="D52" s="11"/>
      <c r="E52" s="10"/>
      <c r="F52" s="11"/>
    </row>
    <row r="53">
      <c r="A53" s="9">
        <v>45523.0</v>
      </c>
      <c r="B53" s="7">
        <v>2219.0</v>
      </c>
      <c r="C53" s="10"/>
      <c r="D53" s="11"/>
      <c r="E53" s="10"/>
      <c r="F53" s="11"/>
    </row>
    <row r="54">
      <c r="A54" s="9">
        <v>45524.0</v>
      </c>
      <c r="B54" s="7">
        <v>2480.0</v>
      </c>
      <c r="C54" s="10"/>
      <c r="D54" s="11"/>
      <c r="E54" s="10"/>
      <c r="F54" s="11"/>
    </row>
    <row r="55">
      <c r="A55" s="9">
        <v>45525.0</v>
      </c>
      <c r="B55" s="7">
        <v>1619.0</v>
      </c>
      <c r="C55" s="10"/>
      <c r="D55" s="11"/>
      <c r="E55" s="10"/>
      <c r="F55" s="11"/>
    </row>
    <row r="56">
      <c r="A56" s="9">
        <v>45526.0</v>
      </c>
      <c r="B56" s="7">
        <v>3058.0</v>
      </c>
      <c r="C56" s="10"/>
      <c r="D56" s="11"/>
      <c r="E56" s="10"/>
      <c r="F56" s="11"/>
    </row>
    <row r="57">
      <c r="A57" s="9">
        <v>45527.0</v>
      </c>
      <c r="B57" s="7">
        <v>2184.0</v>
      </c>
      <c r="C57" s="10"/>
      <c r="D57" s="11"/>
      <c r="E57" s="10"/>
      <c r="F57" s="11"/>
    </row>
    <row r="58">
      <c r="A58" s="9">
        <v>45528.0</v>
      </c>
      <c r="B58" s="7">
        <v>1688.0</v>
      </c>
      <c r="C58" s="10"/>
      <c r="D58" s="11"/>
      <c r="E58" s="10"/>
      <c r="F58" s="11"/>
    </row>
    <row r="59">
      <c r="A59" s="9">
        <v>45529.0</v>
      </c>
      <c r="B59" s="7">
        <v>1655.0</v>
      </c>
      <c r="C59" s="10"/>
      <c r="D59" s="11"/>
      <c r="E59" s="10"/>
      <c r="F59" s="11"/>
    </row>
    <row r="60">
      <c r="A60" s="9">
        <v>45530.0</v>
      </c>
      <c r="B60" s="7">
        <v>1735.0</v>
      </c>
      <c r="C60" s="10"/>
      <c r="D60" s="11"/>
      <c r="E60" s="10"/>
      <c r="F60" s="11"/>
    </row>
    <row r="61">
      <c r="A61" s="9">
        <v>45531.0</v>
      </c>
      <c r="B61" s="7">
        <v>1071.0</v>
      </c>
      <c r="C61" s="10"/>
      <c r="D61" s="11"/>
      <c r="E61" s="10"/>
      <c r="F61" s="11"/>
    </row>
    <row r="62">
      <c r="A62" s="9">
        <v>45532.0</v>
      </c>
      <c r="B62" s="7">
        <v>2093.0</v>
      </c>
      <c r="C62" s="10"/>
      <c r="D62" s="11"/>
      <c r="E62" s="10"/>
      <c r="F62" s="11"/>
    </row>
    <row r="63">
      <c r="A63" s="9">
        <v>45533.0</v>
      </c>
      <c r="B63" s="7">
        <v>8922.0</v>
      </c>
      <c r="C63" s="10"/>
      <c r="D63" s="11"/>
      <c r="E63" s="10"/>
      <c r="F63" s="11"/>
    </row>
    <row r="64">
      <c r="A64" s="9">
        <v>45534.0</v>
      </c>
      <c r="B64" s="7">
        <v>2715.0</v>
      </c>
      <c r="C64" s="10"/>
      <c r="D64" s="11"/>
      <c r="E64" s="10"/>
      <c r="F64" s="11"/>
    </row>
    <row r="65">
      <c r="A65" s="9">
        <v>45535.0</v>
      </c>
      <c r="B65" s="7">
        <v>390.0</v>
      </c>
      <c r="C65" s="10"/>
      <c r="D65" s="11"/>
      <c r="E65" s="10"/>
      <c r="F65" s="11"/>
    </row>
    <row r="66">
      <c r="A66" s="9">
        <v>45536.0</v>
      </c>
      <c r="B66" s="7">
        <v>108.0</v>
      </c>
      <c r="C66" s="10"/>
      <c r="D66" s="11"/>
      <c r="E66" s="10"/>
      <c r="F66" s="11"/>
    </row>
    <row r="67">
      <c r="A67" s="9">
        <v>45537.0</v>
      </c>
      <c r="B67" s="7">
        <v>323.0</v>
      </c>
      <c r="C67" s="10"/>
      <c r="D67" s="11"/>
      <c r="E67" s="10"/>
      <c r="F67" s="11"/>
    </row>
    <row r="68">
      <c r="A68" s="9">
        <v>45538.0</v>
      </c>
      <c r="B68" s="7">
        <v>214.0</v>
      </c>
      <c r="C68" s="10"/>
      <c r="D68" s="11"/>
      <c r="E68" s="10"/>
      <c r="F68" s="11"/>
    </row>
    <row r="69">
      <c r="A69" s="9">
        <v>45539.0</v>
      </c>
      <c r="B69" s="7">
        <v>96.0</v>
      </c>
      <c r="C69" s="10"/>
      <c r="D69" s="11"/>
      <c r="E69" s="10"/>
      <c r="F69" s="11"/>
    </row>
    <row r="70">
      <c r="A70" s="9">
        <v>45540.0</v>
      </c>
      <c r="B70" s="7">
        <v>77.0</v>
      </c>
      <c r="C70" s="10"/>
      <c r="D70" s="11"/>
      <c r="E70" s="10"/>
      <c r="F70" s="11"/>
    </row>
    <row r="71">
      <c r="A71" s="9">
        <v>45541.0</v>
      </c>
      <c r="B71" s="7">
        <v>1714.0</v>
      </c>
      <c r="C71" s="10"/>
      <c r="D71" s="11"/>
      <c r="E71" s="10"/>
      <c r="F71" s="11"/>
    </row>
    <row r="72">
      <c r="A72" s="9">
        <v>45542.0</v>
      </c>
      <c r="B72" s="7">
        <v>2847.0</v>
      </c>
      <c r="C72" s="10"/>
      <c r="D72" s="11"/>
      <c r="E72" s="10"/>
      <c r="F72" s="11"/>
    </row>
    <row r="73">
      <c r="A73" s="9">
        <v>45543.0</v>
      </c>
      <c r="B73" s="7">
        <v>1925.0</v>
      </c>
      <c r="C73" s="10"/>
      <c r="D73" s="11"/>
      <c r="E73" s="10"/>
      <c r="F73" s="11"/>
    </row>
    <row r="74">
      <c r="A74" s="9">
        <v>45544.0</v>
      </c>
      <c r="B74" s="7">
        <v>1520.0</v>
      </c>
      <c r="C74" s="10"/>
      <c r="D74" s="11"/>
      <c r="E74" s="10"/>
      <c r="F74" s="11"/>
    </row>
    <row r="75">
      <c r="A75" s="9">
        <v>45545.0</v>
      </c>
      <c r="B75" s="7">
        <v>1448.0</v>
      </c>
      <c r="C75" s="10"/>
      <c r="D75" s="11"/>
      <c r="E75" s="10"/>
      <c r="F75" s="11"/>
    </row>
    <row r="76">
      <c r="A76" s="9">
        <v>45546.0</v>
      </c>
      <c r="B76" s="7">
        <v>1044.0</v>
      </c>
      <c r="C76" s="10"/>
      <c r="D76" s="11"/>
      <c r="E76" s="10"/>
      <c r="F76" s="11"/>
    </row>
    <row r="77">
      <c r="A77" s="9">
        <v>45547.0</v>
      </c>
      <c r="B77" s="7">
        <v>759.0</v>
      </c>
      <c r="C77" s="10"/>
      <c r="D77" s="11"/>
      <c r="E77" s="10"/>
      <c r="F77" s="11"/>
    </row>
    <row r="78">
      <c r="A78" s="9">
        <v>45548.0</v>
      </c>
      <c r="B78" s="7">
        <v>931.0</v>
      </c>
      <c r="C78" s="10"/>
      <c r="D78" s="11"/>
      <c r="E78" s="10"/>
      <c r="F78" s="11"/>
    </row>
    <row r="79">
      <c r="A79" s="9">
        <v>45549.0</v>
      </c>
      <c r="B79" s="7">
        <v>794.0</v>
      </c>
      <c r="C79" s="10"/>
      <c r="D79" s="11"/>
      <c r="E79" s="10"/>
      <c r="F79" s="11"/>
    </row>
    <row r="80">
      <c r="A80" s="9">
        <v>45550.0</v>
      </c>
      <c r="B80" s="7">
        <v>703.0</v>
      </c>
      <c r="C80" s="10"/>
      <c r="D80" s="11"/>
      <c r="E80" s="10"/>
      <c r="F80" s="11"/>
    </row>
    <row r="81">
      <c r="A81" s="9">
        <v>45551.0</v>
      </c>
      <c r="B81" s="7">
        <v>1021.0</v>
      </c>
      <c r="C81" s="10"/>
      <c r="D81" s="11"/>
      <c r="E81" s="10"/>
      <c r="F81" s="11"/>
    </row>
    <row r="82">
      <c r="A82" s="9">
        <v>45552.0</v>
      </c>
      <c r="B82" s="7">
        <v>1867.0</v>
      </c>
      <c r="C82" s="10"/>
      <c r="D82" s="11"/>
      <c r="E82" s="10"/>
      <c r="F82" s="11"/>
    </row>
    <row r="83">
      <c r="A83" s="9">
        <v>45553.0</v>
      </c>
      <c r="B83" s="7">
        <v>2264.0</v>
      </c>
      <c r="C83" s="10"/>
      <c r="D83" s="11"/>
      <c r="E83" s="10"/>
      <c r="F83" s="11"/>
    </row>
    <row r="84">
      <c r="A84" s="9">
        <v>45554.0</v>
      </c>
      <c r="B84" s="7">
        <v>4569.0</v>
      </c>
      <c r="C84" s="10"/>
      <c r="D84" s="11"/>
      <c r="E84" s="10"/>
      <c r="F84" s="11"/>
    </row>
    <row r="85">
      <c r="A85" s="9">
        <v>45555.0</v>
      </c>
      <c r="B85" s="7">
        <v>7893.0</v>
      </c>
      <c r="C85" s="10"/>
      <c r="D85" s="11"/>
      <c r="E85" s="10"/>
      <c r="F85" s="11"/>
    </row>
    <row r="86">
      <c r="A86" s="9">
        <v>45556.0</v>
      </c>
      <c r="B86" s="7">
        <v>8049.0</v>
      </c>
      <c r="C86" s="10"/>
      <c r="D86" s="11"/>
      <c r="E86" s="10"/>
      <c r="F86" s="11"/>
    </row>
    <row r="87">
      <c r="A87" s="9">
        <v>45557.0</v>
      </c>
      <c r="B87" s="7">
        <v>8146.0</v>
      </c>
      <c r="C87" s="10"/>
      <c r="D87" s="11"/>
      <c r="E87" s="10"/>
      <c r="F87" s="11"/>
    </row>
    <row r="88">
      <c r="A88" s="9">
        <v>45558.0</v>
      </c>
      <c r="B88" s="7">
        <v>5438.0</v>
      </c>
      <c r="C88" s="10"/>
      <c r="D88" s="11"/>
      <c r="E88" s="10"/>
      <c r="F88" s="11"/>
    </row>
    <row r="89">
      <c r="A89" s="9">
        <v>45559.0</v>
      </c>
      <c r="B89" s="7">
        <v>3732.0</v>
      </c>
      <c r="C89" s="10"/>
      <c r="D89" s="11"/>
      <c r="E89" s="10"/>
      <c r="F89" s="11"/>
    </row>
    <row r="90">
      <c r="A90" s="9">
        <v>45560.0</v>
      </c>
      <c r="B90" s="7">
        <v>3873.0</v>
      </c>
      <c r="C90" s="10"/>
      <c r="D90" s="11"/>
      <c r="E90" s="10"/>
      <c r="F90" s="11"/>
    </row>
    <row r="91">
      <c r="A91" s="9">
        <v>45561.0</v>
      </c>
      <c r="B91" s="7">
        <v>3601.0</v>
      </c>
      <c r="C91" s="10"/>
      <c r="D91" s="11"/>
      <c r="E91" s="10"/>
      <c r="F91" s="11"/>
    </row>
    <row r="92">
      <c r="A92" s="9">
        <v>45562.0</v>
      </c>
      <c r="B92" s="7">
        <v>4283.0</v>
      </c>
      <c r="C92" s="10"/>
      <c r="D92" s="11"/>
      <c r="E92" s="10"/>
      <c r="F92" s="11"/>
    </row>
    <row r="93">
      <c r="A93" s="9">
        <v>45563.0</v>
      </c>
      <c r="B93" s="7">
        <v>4243.0</v>
      </c>
      <c r="C93" s="10"/>
      <c r="D93" s="11"/>
      <c r="E93" s="10"/>
      <c r="F93" s="11"/>
    </row>
    <row r="94">
      <c r="A94" s="9">
        <v>45564.0</v>
      </c>
      <c r="B94" s="7">
        <v>4142.0</v>
      </c>
      <c r="C94" s="10"/>
      <c r="D94" s="11"/>
      <c r="E94" s="10"/>
      <c r="F94" s="11"/>
    </row>
    <row r="95">
      <c r="A95" s="9">
        <v>45565.0</v>
      </c>
      <c r="B95" s="7">
        <v>4827.0</v>
      </c>
      <c r="C95" s="10"/>
      <c r="D95" s="11"/>
      <c r="E95" s="10"/>
      <c r="F95" s="11"/>
    </row>
    <row r="96">
      <c r="A96" s="9">
        <v>45566.0</v>
      </c>
      <c r="B96" s="7">
        <v>4469.0</v>
      </c>
      <c r="C96" s="10"/>
      <c r="D96" s="11"/>
      <c r="E96" s="10"/>
      <c r="F96" s="11"/>
    </row>
    <row r="97">
      <c r="A97" s="9">
        <v>45567.0</v>
      </c>
      <c r="B97" s="7">
        <v>5673.0</v>
      </c>
      <c r="C97" s="10"/>
      <c r="D97" s="11"/>
      <c r="E97" s="10"/>
      <c r="F97" s="11"/>
    </row>
    <row r="98">
      <c r="A98" s="9">
        <v>45568.0</v>
      </c>
      <c r="B98" s="7">
        <v>21015.0</v>
      </c>
      <c r="C98" s="10"/>
      <c r="D98" s="11"/>
      <c r="E98" s="10"/>
      <c r="F98" s="11"/>
    </row>
    <row r="99">
      <c r="A99" s="9">
        <v>45569.0</v>
      </c>
      <c r="B99" s="7">
        <v>55005.0</v>
      </c>
      <c r="C99" s="10"/>
      <c r="D99" s="11"/>
      <c r="E99" s="10"/>
      <c r="F99" s="11"/>
    </row>
    <row r="100">
      <c r="A100" s="9">
        <v>45570.0</v>
      </c>
      <c r="B100" s="7">
        <v>1518.0</v>
      </c>
      <c r="C100" s="10"/>
      <c r="D100" s="11"/>
      <c r="E100" s="10"/>
      <c r="F100" s="11"/>
    </row>
    <row r="101">
      <c r="A101" s="9">
        <v>45571.0</v>
      </c>
      <c r="B101" s="7">
        <v>355.0</v>
      </c>
      <c r="C101" s="10"/>
      <c r="D101" s="11"/>
      <c r="E101" s="10"/>
      <c r="F101" s="11"/>
    </row>
    <row r="102">
      <c r="A102" s="9">
        <v>45572.0</v>
      </c>
      <c r="B102" s="7">
        <v>275.0</v>
      </c>
      <c r="C102" s="10"/>
      <c r="D102" s="11"/>
      <c r="E102" s="10"/>
      <c r="F102" s="11"/>
    </row>
    <row r="103">
      <c r="A103" s="9">
        <v>45573.0</v>
      </c>
      <c r="B103" s="7">
        <v>391.0</v>
      </c>
      <c r="C103" s="10"/>
      <c r="D103" s="11"/>
      <c r="E103" s="10"/>
      <c r="F103" s="11"/>
    </row>
    <row r="104">
      <c r="A104" s="9">
        <v>45574.0</v>
      </c>
      <c r="B104" s="7">
        <v>654.0</v>
      </c>
      <c r="C104" s="10"/>
      <c r="D104" s="11"/>
      <c r="E104" s="10"/>
      <c r="F104" s="11"/>
    </row>
    <row r="105">
      <c r="A105" s="9">
        <v>45575.0</v>
      </c>
      <c r="B105" s="7">
        <v>507.0</v>
      </c>
      <c r="C105" s="10"/>
      <c r="D105" s="11"/>
      <c r="E105" s="10"/>
      <c r="F105" s="11"/>
    </row>
    <row r="106">
      <c r="A106" s="9">
        <v>45576.0</v>
      </c>
      <c r="B106" s="7">
        <v>456.0</v>
      </c>
      <c r="C106" s="10"/>
      <c r="D106" s="11"/>
      <c r="E106" s="10"/>
      <c r="F106" s="11"/>
    </row>
    <row r="107">
      <c r="A107" s="9">
        <v>45577.0</v>
      </c>
      <c r="B107" s="7">
        <v>326.0</v>
      </c>
      <c r="C107" s="10"/>
      <c r="D107" s="11"/>
      <c r="E107" s="10"/>
      <c r="F107" s="11"/>
    </row>
    <row r="108">
      <c r="A108" s="9">
        <v>45578.0</v>
      </c>
      <c r="B108" s="7">
        <v>140.0</v>
      </c>
      <c r="C108" s="10"/>
      <c r="D108" s="11"/>
      <c r="E108" s="10"/>
      <c r="F108" s="11"/>
    </row>
    <row r="109">
      <c r="A109" s="9">
        <v>45579.0</v>
      </c>
      <c r="B109" s="7">
        <v>117.0</v>
      </c>
      <c r="C109" s="10"/>
      <c r="D109" s="11"/>
      <c r="E109" s="10"/>
      <c r="F109" s="11"/>
    </row>
    <row r="110">
      <c r="A110" s="9">
        <v>45580.0</v>
      </c>
      <c r="B110" s="7">
        <v>474.0</v>
      </c>
      <c r="C110" s="10"/>
      <c r="D110" s="11"/>
      <c r="E110" s="10"/>
      <c r="F110" s="11"/>
    </row>
    <row r="111">
      <c r="A111" s="9">
        <v>45581.0</v>
      </c>
      <c r="B111" s="7">
        <v>436.0</v>
      </c>
      <c r="C111" s="10"/>
      <c r="D111" s="11"/>
      <c r="E111" s="10"/>
      <c r="F111" s="11"/>
    </row>
    <row r="112">
      <c r="A112" s="9">
        <v>45582.0</v>
      </c>
      <c r="B112" s="7">
        <v>426.0</v>
      </c>
      <c r="C112" s="10"/>
      <c r="D112" s="11"/>
      <c r="E112" s="10"/>
      <c r="F112" s="11"/>
    </row>
    <row r="113">
      <c r="A113" s="9">
        <v>45583.0</v>
      </c>
      <c r="B113" s="7">
        <v>726.0</v>
      </c>
      <c r="C113" s="10"/>
      <c r="D113" s="11"/>
      <c r="E113" s="10"/>
      <c r="F113" s="11"/>
    </row>
    <row r="114">
      <c r="A114" s="9">
        <v>45584.0</v>
      </c>
      <c r="B114" s="7">
        <v>730.0</v>
      </c>
      <c r="C114" s="10"/>
      <c r="D114" s="11"/>
      <c r="E114" s="10"/>
      <c r="F114" s="11"/>
    </row>
    <row r="115">
      <c r="A115" s="9">
        <v>45585.0</v>
      </c>
      <c r="B115" s="7">
        <v>131.0</v>
      </c>
      <c r="C115" s="10"/>
      <c r="D115" s="11"/>
      <c r="E115" s="10"/>
      <c r="F115" s="11"/>
    </row>
    <row r="116">
      <c r="A116" s="9">
        <v>45586.0</v>
      </c>
      <c r="B116" s="7">
        <v>72.0</v>
      </c>
      <c r="C116" s="10"/>
      <c r="D116" s="11"/>
      <c r="E116" s="10"/>
      <c r="F116" s="11"/>
    </row>
    <row r="117">
      <c r="A117" s="9">
        <v>45587.0</v>
      </c>
      <c r="B117" s="7">
        <v>66.0</v>
      </c>
      <c r="C117" s="10"/>
      <c r="D117" s="11"/>
      <c r="E117" s="10"/>
      <c r="F117" s="11"/>
    </row>
    <row r="118">
      <c r="A118" s="9">
        <v>45588.0</v>
      </c>
      <c r="B118" s="7">
        <v>51.0</v>
      </c>
      <c r="C118" s="10"/>
      <c r="D118" s="11"/>
      <c r="E118" s="10"/>
      <c r="F118" s="11"/>
    </row>
    <row r="119">
      <c r="A119" s="9">
        <v>45589.0</v>
      </c>
      <c r="B119" s="7">
        <v>1659.0</v>
      </c>
      <c r="C119" s="10"/>
      <c r="D119" s="11"/>
      <c r="E119" s="10"/>
      <c r="F119" s="11"/>
    </row>
    <row r="120">
      <c r="A120" s="9">
        <v>45590.0</v>
      </c>
      <c r="B120" s="7">
        <v>576.0</v>
      </c>
      <c r="C120" s="10"/>
      <c r="D120" s="11"/>
      <c r="E120" s="10"/>
      <c r="F120" s="11"/>
    </row>
    <row r="121">
      <c r="A121" s="9">
        <v>45591.0</v>
      </c>
      <c r="B121" s="7">
        <v>131.0</v>
      </c>
      <c r="C121" s="10"/>
      <c r="D121" s="11"/>
      <c r="E121" s="10"/>
      <c r="F121" s="11"/>
    </row>
    <row r="122">
      <c r="A122" s="9">
        <v>45592.0</v>
      </c>
      <c r="B122" s="7">
        <v>97.0</v>
      </c>
      <c r="C122" s="10"/>
      <c r="D122" s="11"/>
      <c r="E122" s="10"/>
      <c r="F122" s="11"/>
    </row>
    <row r="123">
      <c r="A123" s="9">
        <v>45593.0</v>
      </c>
      <c r="B123" s="7">
        <v>56.0</v>
      </c>
      <c r="C123" s="10"/>
      <c r="D123" s="11"/>
      <c r="E123" s="10"/>
      <c r="F123" s="11"/>
    </row>
    <row r="124">
      <c r="A124" s="9">
        <v>45594.0</v>
      </c>
      <c r="B124" s="7">
        <v>58.0</v>
      </c>
      <c r="C124" s="10"/>
      <c r="D124" s="11"/>
      <c r="E124" s="10"/>
      <c r="F124" s="11"/>
    </row>
    <row r="125">
      <c r="A125" s="9">
        <v>45595.0</v>
      </c>
      <c r="B125" s="7">
        <v>546.0</v>
      </c>
      <c r="C125" s="10"/>
      <c r="D125" s="11"/>
      <c r="E125" s="10"/>
      <c r="F125" s="11"/>
    </row>
    <row r="126">
      <c r="A126" s="9">
        <v>45596.0</v>
      </c>
      <c r="B126" s="7">
        <v>251.0</v>
      </c>
      <c r="C126" s="10"/>
      <c r="D126" s="11"/>
      <c r="E126" s="10"/>
      <c r="F126" s="11"/>
    </row>
    <row r="127">
      <c r="A127" s="9">
        <v>45597.0</v>
      </c>
      <c r="B127" s="7">
        <v>1159.0</v>
      </c>
      <c r="C127" s="10"/>
      <c r="D127" s="11"/>
      <c r="E127" s="10"/>
      <c r="F127" s="11"/>
    </row>
    <row r="128">
      <c r="A128" s="9">
        <v>45598.0</v>
      </c>
      <c r="B128" s="7">
        <v>1330.0</v>
      </c>
      <c r="C128" s="10"/>
      <c r="D128" s="11"/>
      <c r="E128" s="10"/>
      <c r="F128" s="11"/>
    </row>
    <row r="129">
      <c r="A129" s="9">
        <v>45599.0</v>
      </c>
      <c r="B129" s="7">
        <v>303.0</v>
      </c>
      <c r="C129" s="10"/>
      <c r="D129" s="11"/>
      <c r="E129" s="10"/>
      <c r="F129" s="11"/>
    </row>
    <row r="130">
      <c r="A130" s="9">
        <v>45600.0</v>
      </c>
      <c r="B130" s="7">
        <v>155.0</v>
      </c>
      <c r="C130" s="10"/>
      <c r="D130" s="11"/>
      <c r="E130" s="10"/>
      <c r="F130" s="11"/>
    </row>
    <row r="131">
      <c r="A131" s="9">
        <v>45601.0</v>
      </c>
      <c r="B131" s="7">
        <v>105.0</v>
      </c>
      <c r="C131" s="10"/>
      <c r="D131" s="11"/>
      <c r="E131" s="10"/>
      <c r="F131" s="11"/>
    </row>
    <row r="132">
      <c r="A132" s="9">
        <v>45602.0</v>
      </c>
      <c r="B132" s="7">
        <v>490.0</v>
      </c>
      <c r="C132" s="10"/>
      <c r="D132" s="11"/>
      <c r="E132" s="10"/>
      <c r="F132" s="11"/>
    </row>
    <row r="133">
      <c r="A133" s="9">
        <v>45603.0</v>
      </c>
      <c r="B133" s="7">
        <v>520.0</v>
      </c>
      <c r="C133" s="10"/>
      <c r="D133" s="11"/>
      <c r="E133" s="10"/>
      <c r="F133" s="11"/>
    </row>
    <row r="134">
      <c r="A134" s="9">
        <v>45604.0</v>
      </c>
      <c r="B134" s="7">
        <v>86.0</v>
      </c>
      <c r="C134" s="10"/>
      <c r="D134" s="11"/>
      <c r="E134" s="10"/>
      <c r="F134" s="11"/>
    </row>
    <row r="135">
      <c r="A135" s="9">
        <v>45605.0</v>
      </c>
      <c r="B135" s="7">
        <v>369.0</v>
      </c>
      <c r="C135" s="10"/>
      <c r="D135" s="11"/>
      <c r="E135" s="10"/>
      <c r="F135" s="11"/>
    </row>
    <row r="136">
      <c r="A136" s="9">
        <v>45606.0</v>
      </c>
      <c r="B136" s="7">
        <v>121.0</v>
      </c>
      <c r="C136" s="10"/>
      <c r="D136" s="11"/>
      <c r="E136" s="10"/>
      <c r="F136" s="11"/>
    </row>
    <row r="137">
      <c r="A137" s="9">
        <v>45607.0</v>
      </c>
      <c r="B137" s="7">
        <v>319.0</v>
      </c>
      <c r="C137" s="10"/>
      <c r="D137" s="11"/>
      <c r="E137" s="10"/>
      <c r="F137" s="11"/>
    </row>
    <row r="138">
      <c r="A138" s="9">
        <v>45608.0</v>
      </c>
      <c r="B138" s="7">
        <v>278.0</v>
      </c>
      <c r="C138" s="10"/>
      <c r="D138" s="11"/>
      <c r="E138" s="10"/>
      <c r="F138" s="11"/>
    </row>
    <row r="139">
      <c r="A139" s="9">
        <v>45609.0</v>
      </c>
      <c r="B139" s="7">
        <v>988.0</v>
      </c>
      <c r="C139" s="10"/>
      <c r="D139" s="11"/>
      <c r="E139" s="10"/>
      <c r="F139" s="11"/>
    </row>
    <row r="140">
      <c r="A140" s="9">
        <v>45610.0</v>
      </c>
      <c r="B140" s="7">
        <v>936.0</v>
      </c>
      <c r="C140" s="10"/>
      <c r="D140" s="11"/>
      <c r="E140" s="10"/>
      <c r="F140" s="11"/>
    </row>
    <row r="141">
      <c r="A141" s="9">
        <v>45611.0</v>
      </c>
      <c r="B141" s="7">
        <v>929.0</v>
      </c>
      <c r="C141" s="10"/>
      <c r="D141" s="11"/>
      <c r="E141" s="10"/>
      <c r="F141" s="11"/>
    </row>
    <row r="142">
      <c r="A142" s="9">
        <v>45612.0</v>
      </c>
      <c r="B142" s="7">
        <v>639.0</v>
      </c>
      <c r="C142" s="10"/>
      <c r="D142" s="11"/>
      <c r="E142" s="10"/>
      <c r="F142" s="11"/>
    </row>
    <row r="143">
      <c r="A143" s="9">
        <v>45613.0</v>
      </c>
      <c r="B143" s="7">
        <v>263.0</v>
      </c>
      <c r="C143" s="10"/>
      <c r="D143" s="11"/>
      <c r="E143" s="10"/>
      <c r="F143" s="11"/>
    </row>
    <row r="144">
      <c r="A144" s="9">
        <v>45614.0</v>
      </c>
      <c r="B144" s="7">
        <v>182.0</v>
      </c>
      <c r="C144" s="10"/>
      <c r="D144" s="11"/>
      <c r="E144" s="10"/>
      <c r="F144" s="11"/>
    </row>
    <row r="145">
      <c r="A145" s="9">
        <v>45615.0</v>
      </c>
      <c r="B145" s="7">
        <v>106.0</v>
      </c>
      <c r="C145" s="10"/>
      <c r="D145" s="11"/>
      <c r="E145" s="10"/>
      <c r="F145" s="11"/>
    </row>
    <row r="146">
      <c r="A146" s="9">
        <v>45616.0</v>
      </c>
      <c r="B146" s="7">
        <v>307.0</v>
      </c>
      <c r="C146" s="10"/>
      <c r="D146" s="11"/>
      <c r="E146" s="10"/>
      <c r="F146" s="11"/>
    </row>
    <row r="147">
      <c r="A147" s="9">
        <v>45617.0</v>
      </c>
      <c r="B147" s="7">
        <v>138.0</v>
      </c>
      <c r="C147" s="10"/>
      <c r="D147" s="11"/>
      <c r="E147" s="10"/>
      <c r="F147" s="11"/>
    </row>
    <row r="148">
      <c r="A148" s="9">
        <v>45618.0</v>
      </c>
      <c r="B148" s="7">
        <v>131.0</v>
      </c>
      <c r="C148" s="10"/>
      <c r="D148" s="11"/>
      <c r="E148" s="10"/>
      <c r="F148" s="11"/>
    </row>
    <row r="149">
      <c r="A149" s="9">
        <v>45619.0</v>
      </c>
      <c r="B149" s="7">
        <v>118.0</v>
      </c>
      <c r="C149" s="10"/>
      <c r="D149" s="11"/>
      <c r="E149" s="10"/>
      <c r="F149" s="11"/>
    </row>
    <row r="150">
      <c r="A150" s="9">
        <v>45620.0</v>
      </c>
      <c r="B150" s="7">
        <v>121.0</v>
      </c>
      <c r="C150" s="10"/>
      <c r="D150" s="11"/>
      <c r="E150" s="10"/>
      <c r="F150" s="11"/>
    </row>
    <row r="151">
      <c r="A151" s="9">
        <v>45621.0</v>
      </c>
      <c r="B151" s="7">
        <v>77.0</v>
      </c>
      <c r="C151" s="10"/>
      <c r="D151" s="11"/>
      <c r="E151" s="10"/>
      <c r="F151" s="11"/>
    </row>
    <row r="152">
      <c r="A152" s="9">
        <v>45622.0</v>
      </c>
      <c r="B152" s="7">
        <v>349.0</v>
      </c>
      <c r="C152" s="10"/>
      <c r="D152" s="11"/>
      <c r="E152" s="10"/>
      <c r="F152" s="11"/>
    </row>
    <row r="153">
      <c r="A153" s="9">
        <v>45623.0</v>
      </c>
      <c r="B153" s="7">
        <v>95.0</v>
      </c>
      <c r="C153" s="10"/>
      <c r="D153" s="11"/>
      <c r="E153" s="10"/>
      <c r="F153" s="11"/>
    </row>
    <row r="154">
      <c r="A154" s="9">
        <v>45624.0</v>
      </c>
      <c r="B154" s="7">
        <v>890.0</v>
      </c>
      <c r="C154" s="10"/>
      <c r="D154" s="11"/>
      <c r="E154" s="10"/>
      <c r="F154" s="11"/>
    </row>
    <row r="155">
      <c r="A155" s="9">
        <v>45625.0</v>
      </c>
      <c r="B155" s="7">
        <v>1830.0</v>
      </c>
      <c r="C155" s="10"/>
      <c r="D155" s="11"/>
      <c r="E155" s="10"/>
      <c r="F155" s="11"/>
    </row>
    <row r="156">
      <c r="A156" s="9">
        <v>45626.0</v>
      </c>
      <c r="B156" s="7">
        <v>320.0</v>
      </c>
      <c r="C156" s="10"/>
      <c r="D156" s="11"/>
      <c r="E156" s="10"/>
      <c r="F156" s="11"/>
    </row>
    <row r="157">
      <c r="A157" s="9">
        <v>45627.0</v>
      </c>
      <c r="B157" s="7">
        <v>85.0</v>
      </c>
      <c r="C157" s="10"/>
      <c r="D157" s="11"/>
      <c r="E157" s="10"/>
      <c r="F157" s="11"/>
    </row>
    <row r="158">
      <c r="A158" s="9">
        <v>45628.0</v>
      </c>
      <c r="B158" s="7">
        <v>974.0</v>
      </c>
      <c r="C158" s="10"/>
      <c r="D158" s="11"/>
      <c r="E158" s="10"/>
      <c r="F158" s="11"/>
    </row>
    <row r="159">
      <c r="A159" s="9">
        <v>45629.0</v>
      </c>
      <c r="B159" s="7">
        <v>1487.0</v>
      </c>
      <c r="C159" s="10"/>
      <c r="D159" s="11"/>
      <c r="E159" s="10"/>
      <c r="F159" s="11"/>
    </row>
    <row r="160">
      <c r="A160" s="9">
        <v>45630.0</v>
      </c>
      <c r="B160" s="7">
        <v>1412.0</v>
      </c>
      <c r="C160" s="10"/>
      <c r="D160" s="11"/>
      <c r="E160" s="10"/>
      <c r="F160" s="11"/>
    </row>
    <row r="161">
      <c r="A161" s="9">
        <v>45631.0</v>
      </c>
      <c r="B161" s="7">
        <v>564.0</v>
      </c>
      <c r="C161" s="10"/>
      <c r="D161" s="11"/>
      <c r="E161" s="10"/>
      <c r="F161" s="11"/>
    </row>
    <row r="162">
      <c r="A162" s="9">
        <v>45632.0</v>
      </c>
      <c r="B162" s="7">
        <v>1347.0</v>
      </c>
      <c r="C162" s="10"/>
      <c r="D162" s="11"/>
      <c r="E162" s="10"/>
      <c r="F162" s="11"/>
    </row>
    <row r="163">
      <c r="A163" s="9">
        <v>45633.0</v>
      </c>
      <c r="B163" s="7">
        <v>588.0</v>
      </c>
      <c r="C163" s="10"/>
      <c r="D163" s="11"/>
      <c r="E163" s="10"/>
      <c r="F163" s="11"/>
    </row>
    <row r="164">
      <c r="A164" s="9">
        <v>45634.0</v>
      </c>
      <c r="B164" s="7">
        <v>277.0</v>
      </c>
      <c r="C164" s="10"/>
      <c r="D164" s="11"/>
      <c r="E164" s="10"/>
      <c r="F164" s="11"/>
    </row>
    <row r="165">
      <c r="A165" s="9">
        <v>45635.0</v>
      </c>
      <c r="B165" s="7">
        <v>261.0</v>
      </c>
      <c r="C165" s="10"/>
      <c r="D165" s="11"/>
      <c r="E165" s="10"/>
      <c r="F165" s="11"/>
    </row>
    <row r="166">
      <c r="A166" s="9">
        <v>45636.0</v>
      </c>
      <c r="B166" s="7">
        <v>214.0</v>
      </c>
      <c r="C166" s="10"/>
      <c r="D166" s="11"/>
      <c r="E166" s="10"/>
      <c r="F166" s="11"/>
    </row>
    <row r="167">
      <c r="A167" s="9">
        <v>45637.0</v>
      </c>
      <c r="B167" s="7">
        <v>468.0</v>
      </c>
      <c r="C167" s="10"/>
      <c r="D167" s="11"/>
      <c r="E167" s="10"/>
      <c r="F167" s="11"/>
    </row>
    <row r="168">
      <c r="A168" s="9">
        <v>45638.0</v>
      </c>
      <c r="B168" s="7">
        <v>1604.0</v>
      </c>
      <c r="C168" s="10"/>
      <c r="D168" s="11"/>
      <c r="E168" s="10"/>
      <c r="F168" s="11"/>
    </row>
    <row r="169">
      <c r="A169" s="9">
        <v>45639.0</v>
      </c>
      <c r="B169" s="7">
        <v>800.0</v>
      </c>
      <c r="C169" s="10"/>
      <c r="D169" s="11"/>
      <c r="E169" s="10"/>
      <c r="F169" s="11"/>
    </row>
    <row r="170">
      <c r="A170" s="9">
        <v>45640.0</v>
      </c>
      <c r="B170" s="7">
        <v>448.0</v>
      </c>
      <c r="C170" s="10"/>
      <c r="D170" s="11"/>
      <c r="E170" s="10"/>
      <c r="F170" s="11"/>
    </row>
    <row r="171">
      <c r="A171" s="9">
        <v>45641.0</v>
      </c>
      <c r="B171" s="7">
        <v>580.0</v>
      </c>
      <c r="C171" s="10"/>
      <c r="D171" s="11"/>
      <c r="E171" s="10"/>
      <c r="F171" s="11"/>
    </row>
    <row r="172">
      <c r="A172" s="9">
        <v>45642.0</v>
      </c>
      <c r="B172" s="7">
        <v>277.0</v>
      </c>
      <c r="C172" s="10"/>
      <c r="D172" s="11"/>
      <c r="E172" s="10"/>
      <c r="F172" s="11"/>
    </row>
    <row r="173">
      <c r="A173" s="9">
        <v>45643.0</v>
      </c>
      <c r="B173" s="7">
        <v>1018.0</v>
      </c>
      <c r="C173" s="10"/>
      <c r="D173" s="11"/>
      <c r="E173" s="10"/>
      <c r="F173" s="11"/>
    </row>
    <row r="174">
      <c r="A174" s="9">
        <v>45644.0</v>
      </c>
      <c r="B174" s="7">
        <v>1212.0</v>
      </c>
      <c r="C174" s="10"/>
      <c r="D174" s="11"/>
      <c r="E174" s="10"/>
      <c r="F174" s="11"/>
    </row>
    <row r="175">
      <c r="A175" s="9">
        <v>45645.0</v>
      </c>
      <c r="B175" s="7">
        <v>668.0</v>
      </c>
      <c r="C175" s="10"/>
      <c r="D175" s="11"/>
      <c r="E175" s="10"/>
      <c r="F175" s="11"/>
    </row>
    <row r="176">
      <c r="A176" s="9">
        <v>45646.0</v>
      </c>
      <c r="B176" s="7">
        <v>716.0</v>
      </c>
      <c r="C176" s="10"/>
      <c r="D176" s="11"/>
      <c r="E176" s="10"/>
      <c r="F176" s="11"/>
    </row>
    <row r="177">
      <c r="A177" s="9">
        <v>45647.0</v>
      </c>
      <c r="B177" s="7">
        <v>650.0</v>
      </c>
      <c r="C177" s="10"/>
      <c r="D177" s="11"/>
      <c r="E177" s="10"/>
      <c r="F177" s="11"/>
    </row>
    <row r="178">
      <c r="A178" s="9">
        <v>45648.0</v>
      </c>
      <c r="B178" s="7">
        <v>1303.0</v>
      </c>
      <c r="C178" s="10"/>
      <c r="D178" s="11"/>
      <c r="E178" s="10"/>
      <c r="F178" s="11"/>
    </row>
    <row r="179">
      <c r="A179" s="9">
        <v>45649.0</v>
      </c>
      <c r="B179" s="7">
        <v>682.0</v>
      </c>
      <c r="C179" s="10"/>
      <c r="D179" s="11"/>
      <c r="E179" s="10"/>
      <c r="F179" s="11"/>
    </row>
    <row r="180">
      <c r="A180" s="9">
        <v>45650.0</v>
      </c>
      <c r="B180" s="7">
        <v>276.0</v>
      </c>
      <c r="C180" s="10"/>
      <c r="D180" s="11"/>
      <c r="E180" s="10"/>
      <c r="F180" s="11"/>
    </row>
    <row r="181">
      <c r="A181" s="9">
        <v>45651.0</v>
      </c>
      <c r="B181" s="7">
        <v>409.0</v>
      </c>
      <c r="C181" s="10"/>
      <c r="D181" s="11"/>
      <c r="E181" s="10"/>
      <c r="F181" s="11"/>
    </row>
    <row r="182">
      <c r="A182" s="9">
        <v>45652.0</v>
      </c>
      <c r="B182" s="7">
        <v>348.0</v>
      </c>
      <c r="C182" s="10"/>
      <c r="D182" s="11"/>
      <c r="E182" s="10"/>
      <c r="F182" s="11"/>
    </row>
    <row r="183">
      <c r="A183" s="9">
        <v>45653.0</v>
      </c>
      <c r="B183" s="7">
        <v>284.0</v>
      </c>
      <c r="C183" s="10"/>
      <c r="D183" s="11"/>
      <c r="E183" s="10"/>
      <c r="F183" s="11"/>
    </row>
    <row r="184">
      <c r="A184" s="9">
        <v>45654.0</v>
      </c>
      <c r="B184" s="7">
        <v>727.0</v>
      </c>
      <c r="C184" s="10"/>
      <c r="D184" s="11"/>
      <c r="E184" s="10"/>
      <c r="F184" s="11"/>
    </row>
    <row r="185">
      <c r="A185" s="9">
        <v>45655.0</v>
      </c>
      <c r="B185" s="7">
        <v>672.0</v>
      </c>
      <c r="C185" s="10"/>
      <c r="D185" s="11"/>
      <c r="E185" s="10"/>
      <c r="F185" s="11"/>
    </row>
    <row r="186">
      <c r="A186" s="9">
        <v>45656.0</v>
      </c>
      <c r="B186" s="7">
        <v>569.0</v>
      </c>
      <c r="C186" s="10"/>
      <c r="D186" s="11"/>
      <c r="E186" s="10"/>
      <c r="F186" s="11"/>
    </row>
    <row r="187">
      <c r="A187" s="9">
        <v>45657.0</v>
      </c>
      <c r="B187" s="7">
        <v>470.0</v>
      </c>
      <c r="C187" s="10"/>
      <c r="D187" s="11"/>
      <c r="E187" s="10"/>
      <c r="F187" s="11"/>
    </row>
    <row r="188">
      <c r="A188" s="9">
        <v>45658.0</v>
      </c>
      <c r="B188" s="7">
        <v>207.0</v>
      </c>
      <c r="C188" s="10"/>
      <c r="D188" s="11"/>
      <c r="E188" s="10"/>
      <c r="F188" s="11"/>
    </row>
    <row r="189">
      <c r="A189" s="9">
        <v>45659.0</v>
      </c>
      <c r="B189" s="7">
        <v>849.0</v>
      </c>
      <c r="C189" s="10"/>
      <c r="D189" s="11"/>
      <c r="E189" s="10"/>
      <c r="F189" s="11"/>
    </row>
    <row r="190">
      <c r="A190" s="9">
        <v>45660.0</v>
      </c>
      <c r="B190" s="7">
        <v>535.0</v>
      </c>
      <c r="C190" s="10"/>
      <c r="D190" s="11"/>
      <c r="E190" s="10"/>
      <c r="F190" s="11"/>
    </row>
    <row r="191">
      <c r="A191" s="9">
        <v>45661.0</v>
      </c>
      <c r="B191" s="7">
        <v>191.0</v>
      </c>
      <c r="C191" s="10"/>
      <c r="D191" s="11"/>
      <c r="E191" s="10"/>
      <c r="F191" s="11"/>
    </row>
    <row r="192">
      <c r="A192" s="9">
        <v>45662.0</v>
      </c>
      <c r="B192" s="7">
        <v>95.0</v>
      </c>
      <c r="C192" s="10"/>
      <c r="D192" s="11"/>
      <c r="E192" s="10"/>
      <c r="F192" s="11"/>
    </row>
    <row r="193">
      <c r="A193" s="9">
        <v>45663.0</v>
      </c>
      <c r="B193" s="7">
        <v>119.0</v>
      </c>
      <c r="C193" s="10"/>
      <c r="D193" s="11"/>
      <c r="E193" s="10"/>
      <c r="F193" s="11"/>
    </row>
    <row r="194">
      <c r="A194" s="9">
        <v>45664.0</v>
      </c>
      <c r="B194" s="7">
        <v>337.0</v>
      </c>
      <c r="C194" s="10"/>
      <c r="D194" s="11"/>
      <c r="E194" s="10"/>
      <c r="F194" s="11"/>
    </row>
    <row r="195">
      <c r="A195" s="9">
        <v>45665.0</v>
      </c>
      <c r="B195" s="7">
        <v>172.0</v>
      </c>
      <c r="C195" s="10"/>
      <c r="D195" s="11"/>
      <c r="E195" s="10"/>
      <c r="F195" s="11"/>
    </row>
    <row r="196">
      <c r="A196" s="9">
        <v>45666.0</v>
      </c>
      <c r="B196" s="7">
        <v>762.0</v>
      </c>
      <c r="C196" s="10"/>
      <c r="D196" s="11"/>
      <c r="E196" s="10"/>
      <c r="F196" s="11"/>
    </row>
    <row r="197">
      <c r="A197" s="9">
        <v>45667.0</v>
      </c>
      <c r="B197" s="7">
        <v>338.0</v>
      </c>
      <c r="C197" s="10"/>
      <c r="D197" s="11"/>
      <c r="E197" s="10"/>
      <c r="F197" s="11"/>
    </row>
    <row r="198">
      <c r="A198" s="9">
        <v>45668.0</v>
      </c>
      <c r="B198" s="7">
        <v>129.0</v>
      </c>
      <c r="C198" s="10"/>
      <c r="D198" s="11"/>
      <c r="E198" s="10"/>
      <c r="F198" s="11"/>
    </row>
    <row r="199">
      <c r="A199" s="9">
        <v>45669.0</v>
      </c>
      <c r="B199" s="7">
        <v>123.0</v>
      </c>
      <c r="C199" s="10"/>
      <c r="D199" s="11"/>
      <c r="E199" s="10"/>
      <c r="F199" s="11"/>
    </row>
    <row r="200">
      <c r="A200" s="9">
        <v>45670.0</v>
      </c>
      <c r="B200" s="7">
        <v>79.0</v>
      </c>
      <c r="C200" s="10"/>
      <c r="D200" s="11"/>
      <c r="E200" s="10"/>
      <c r="F200" s="11"/>
    </row>
    <row r="201">
      <c r="A201" s="9">
        <v>45671.0</v>
      </c>
      <c r="B201" s="7">
        <v>287.0</v>
      </c>
      <c r="C201" s="10"/>
      <c r="D201" s="11"/>
      <c r="E201" s="10"/>
      <c r="F201" s="11"/>
    </row>
    <row r="202">
      <c r="A202" s="9">
        <v>45672.0</v>
      </c>
      <c r="B202" s="7">
        <v>143.0</v>
      </c>
      <c r="C202" s="10"/>
      <c r="D202" s="11"/>
      <c r="E202" s="10"/>
      <c r="F202" s="11"/>
    </row>
    <row r="203">
      <c r="A203" s="9">
        <v>45673.0</v>
      </c>
      <c r="B203" s="7">
        <v>1485.0</v>
      </c>
      <c r="C203" s="10"/>
      <c r="D203" s="11"/>
      <c r="E203" s="10"/>
      <c r="F203" s="11"/>
    </row>
    <row r="204">
      <c r="A204" s="9">
        <v>45674.0</v>
      </c>
      <c r="B204" s="7">
        <v>1718.0</v>
      </c>
      <c r="C204" s="10"/>
      <c r="D204" s="11"/>
      <c r="E204" s="10"/>
      <c r="F204" s="11"/>
    </row>
    <row r="205">
      <c r="A205" s="9">
        <v>45675.0</v>
      </c>
      <c r="B205" s="7">
        <v>2009.0</v>
      </c>
      <c r="C205" s="10"/>
      <c r="D205" s="11"/>
      <c r="E205" s="10"/>
      <c r="F205" s="11"/>
    </row>
    <row r="206">
      <c r="A206" s="9">
        <v>45676.0</v>
      </c>
      <c r="B206" s="7">
        <v>923.0</v>
      </c>
      <c r="C206" s="10"/>
      <c r="D206" s="11"/>
      <c r="E206" s="10"/>
      <c r="F206" s="11"/>
    </row>
    <row r="207">
      <c r="A207" s="9">
        <v>45677.0</v>
      </c>
      <c r="B207" s="7">
        <v>589.0</v>
      </c>
      <c r="C207" s="10"/>
      <c r="D207" s="11"/>
      <c r="E207" s="10"/>
      <c r="F207" s="11"/>
    </row>
    <row r="208">
      <c r="A208" s="9">
        <v>45678.0</v>
      </c>
      <c r="B208" s="7">
        <v>638.0</v>
      </c>
      <c r="C208" s="10"/>
      <c r="D208" s="11"/>
      <c r="E208" s="10"/>
      <c r="F208" s="11"/>
    </row>
    <row r="209">
      <c r="A209" s="9">
        <v>45679.0</v>
      </c>
      <c r="B209" s="7">
        <v>555.0</v>
      </c>
      <c r="C209" s="10"/>
      <c r="D209" s="11"/>
      <c r="E209" s="10"/>
      <c r="F209" s="11"/>
    </row>
    <row r="210">
      <c r="A210" s="9">
        <v>45680.0</v>
      </c>
      <c r="B210" s="7">
        <v>627.0</v>
      </c>
      <c r="C210" s="10"/>
      <c r="D210" s="11"/>
      <c r="E210" s="10"/>
      <c r="F210" s="11"/>
    </row>
    <row r="211">
      <c r="A211" s="9">
        <v>45681.0</v>
      </c>
      <c r="B211" s="7">
        <v>379.0</v>
      </c>
      <c r="C211" s="10"/>
      <c r="D211" s="11"/>
      <c r="E211" s="10"/>
      <c r="F211" s="11"/>
    </row>
    <row r="212">
      <c r="A212" s="9">
        <v>45682.0</v>
      </c>
      <c r="B212" s="7">
        <v>353.0</v>
      </c>
      <c r="C212" s="10"/>
      <c r="D212" s="11"/>
      <c r="E212" s="10"/>
      <c r="F212" s="11"/>
    </row>
    <row r="213">
      <c r="A213" s="9">
        <v>45683.0</v>
      </c>
      <c r="B213" s="7">
        <v>258.0</v>
      </c>
      <c r="C213" s="10"/>
      <c r="D213" s="11"/>
      <c r="E213" s="10"/>
      <c r="F213" s="11"/>
    </row>
    <row r="214">
      <c r="A214" s="9">
        <v>45684.0</v>
      </c>
      <c r="B214" s="7">
        <v>1053.0</v>
      </c>
      <c r="C214" s="10"/>
      <c r="D214" s="11"/>
      <c r="E214" s="10"/>
      <c r="F214" s="11"/>
    </row>
    <row r="215">
      <c r="A215" s="9">
        <v>45685.0</v>
      </c>
      <c r="B215" s="7">
        <v>807.0</v>
      </c>
      <c r="C215" s="10"/>
      <c r="D215" s="11"/>
      <c r="E215" s="10"/>
      <c r="F215" s="11"/>
    </row>
    <row r="216">
      <c r="A216" s="9">
        <v>45686.0</v>
      </c>
      <c r="B216" s="7">
        <v>717.0</v>
      </c>
      <c r="C216" s="10"/>
      <c r="D216" s="11"/>
      <c r="E216" s="10"/>
      <c r="F216" s="11"/>
    </row>
    <row r="217">
      <c r="A217" s="9">
        <v>45687.0</v>
      </c>
      <c r="B217" s="7">
        <v>1005.0</v>
      </c>
      <c r="C217" s="10"/>
      <c r="D217" s="11"/>
      <c r="E217" s="10"/>
      <c r="F217" s="11"/>
    </row>
    <row r="218">
      <c r="A218" s="9">
        <v>45688.0</v>
      </c>
      <c r="B218" s="7">
        <v>923.0</v>
      </c>
      <c r="C218" s="10"/>
      <c r="D218" s="11"/>
      <c r="E218" s="10"/>
      <c r="F218" s="11"/>
    </row>
    <row r="219">
      <c r="A219" s="9">
        <v>45689.0</v>
      </c>
      <c r="B219" s="7">
        <v>676.0</v>
      </c>
      <c r="C219" s="10"/>
      <c r="D219" s="11"/>
      <c r="E219" s="10"/>
      <c r="F219" s="11"/>
    </row>
    <row r="220">
      <c r="A220" s="9">
        <v>45690.0</v>
      </c>
      <c r="B220" s="7">
        <v>431.0</v>
      </c>
      <c r="C220" s="10"/>
      <c r="D220" s="11"/>
      <c r="E220" s="10"/>
      <c r="F220" s="11"/>
    </row>
    <row r="221">
      <c r="A221" s="9">
        <v>45691.0</v>
      </c>
      <c r="B221" s="7">
        <v>1108.0</v>
      </c>
      <c r="C221" s="10"/>
      <c r="D221" s="11"/>
      <c r="E221" s="10"/>
      <c r="F221" s="11"/>
    </row>
    <row r="222">
      <c r="A222" s="9">
        <v>45692.0</v>
      </c>
      <c r="B222" s="7">
        <v>964.0</v>
      </c>
      <c r="C222" s="10"/>
      <c r="D222" s="11"/>
      <c r="E222" s="10"/>
      <c r="F222" s="11"/>
    </row>
    <row r="223">
      <c r="A223" s="9">
        <v>45693.0</v>
      </c>
      <c r="B223" s="7">
        <v>1041.0</v>
      </c>
      <c r="C223" s="10"/>
      <c r="D223" s="11"/>
      <c r="E223" s="10"/>
      <c r="F223" s="11"/>
    </row>
    <row r="224">
      <c r="A224" s="9">
        <v>45694.0</v>
      </c>
      <c r="B224" s="7">
        <v>904.0</v>
      </c>
      <c r="C224" s="10"/>
      <c r="D224" s="11"/>
      <c r="E224" s="10"/>
      <c r="F224" s="11"/>
    </row>
    <row r="225">
      <c r="A225" s="9">
        <v>45695.0</v>
      </c>
      <c r="B225" s="7">
        <v>1480.0</v>
      </c>
      <c r="C225" s="10"/>
      <c r="D225" s="11"/>
      <c r="E225" s="10"/>
      <c r="F225" s="11"/>
    </row>
    <row r="226">
      <c r="A226" s="9">
        <v>45696.0</v>
      </c>
      <c r="B226" s="7">
        <v>1028.0</v>
      </c>
      <c r="C226" s="10"/>
      <c r="D226" s="11"/>
      <c r="E226" s="10"/>
      <c r="F226" s="11"/>
    </row>
    <row r="227">
      <c r="A227" s="9">
        <v>45697.0</v>
      </c>
      <c r="B227" s="7">
        <v>400.0</v>
      </c>
      <c r="C227" s="10"/>
      <c r="D227" s="11"/>
      <c r="E227" s="10"/>
      <c r="F227" s="11"/>
    </row>
    <row r="228">
      <c r="A228" s="9">
        <v>45698.0</v>
      </c>
      <c r="B228" s="7">
        <v>229.0</v>
      </c>
      <c r="C228" s="10"/>
      <c r="D228" s="11"/>
      <c r="E228" s="10"/>
      <c r="F228" s="11"/>
    </row>
    <row r="229">
      <c r="A229" s="9">
        <v>45699.0</v>
      </c>
      <c r="B229" s="7">
        <v>204.0</v>
      </c>
      <c r="C229" s="10"/>
      <c r="D229" s="11"/>
      <c r="E229" s="10"/>
      <c r="F229" s="11"/>
    </row>
    <row r="230">
      <c r="A230" s="9">
        <v>45700.0</v>
      </c>
      <c r="B230" s="7">
        <v>372.0</v>
      </c>
      <c r="C230" s="10"/>
      <c r="D230" s="11"/>
      <c r="E230" s="10"/>
      <c r="F230" s="11"/>
    </row>
    <row r="231">
      <c r="A231" s="9">
        <v>45701.0</v>
      </c>
      <c r="B231" s="7">
        <v>835.0</v>
      </c>
      <c r="C231" s="10"/>
      <c r="D231" s="11"/>
      <c r="E231" s="10"/>
      <c r="F231" s="11"/>
    </row>
    <row r="232">
      <c r="A232" s="9">
        <v>45702.0</v>
      </c>
      <c r="B232" s="7">
        <v>753.0</v>
      </c>
      <c r="C232" s="10"/>
      <c r="D232" s="11"/>
      <c r="E232" s="10"/>
      <c r="F232" s="11"/>
    </row>
    <row r="233">
      <c r="A233" s="9">
        <v>45703.0</v>
      </c>
      <c r="B233" s="7">
        <v>330.0</v>
      </c>
      <c r="C233" s="10"/>
      <c r="D233" s="11"/>
      <c r="E233" s="10"/>
      <c r="F233" s="11"/>
    </row>
    <row r="234">
      <c r="A234" s="9">
        <v>45704.0</v>
      </c>
      <c r="B234" s="7">
        <v>1446.0</v>
      </c>
      <c r="C234" s="12"/>
      <c r="D234" s="13"/>
      <c r="E234" s="12"/>
      <c r="F234" s="13"/>
    </row>
    <row r="235">
      <c r="A235" s="9">
        <v>45705.0</v>
      </c>
      <c r="B235" s="7">
        <v>623.0</v>
      </c>
      <c r="C235" s="12"/>
      <c r="D235" s="13"/>
      <c r="E235" s="12"/>
      <c r="F235" s="13"/>
    </row>
    <row r="236">
      <c r="A236" s="9">
        <v>45706.0</v>
      </c>
      <c r="B236" s="7">
        <v>307.0</v>
      </c>
      <c r="C236" s="12"/>
      <c r="D236" s="13"/>
      <c r="E236" s="12"/>
      <c r="F236" s="13"/>
    </row>
    <row r="237">
      <c r="A237" s="9">
        <v>45707.0</v>
      </c>
      <c r="B237" s="7">
        <v>559.0</v>
      </c>
      <c r="C237" s="12"/>
      <c r="D237" s="13"/>
      <c r="E237" s="12"/>
      <c r="F237" s="13"/>
    </row>
    <row r="238">
      <c r="A238" s="9">
        <v>45708.0</v>
      </c>
      <c r="B238" s="7">
        <v>1090.0</v>
      </c>
      <c r="C238" s="12"/>
      <c r="D238" s="13"/>
      <c r="E238" s="12"/>
      <c r="F238" s="13"/>
    </row>
    <row r="239">
      <c r="A239" s="9">
        <v>45709.0</v>
      </c>
      <c r="B239" s="7">
        <v>672.0</v>
      </c>
      <c r="C239" s="12"/>
      <c r="D239" s="13"/>
      <c r="E239" s="12"/>
      <c r="F239" s="13"/>
    </row>
    <row r="240">
      <c r="A240" s="9">
        <v>45710.0</v>
      </c>
      <c r="B240" s="7">
        <v>470.0</v>
      </c>
      <c r="C240" s="12"/>
      <c r="D240" s="13"/>
      <c r="E240" s="12"/>
      <c r="F240" s="13"/>
    </row>
    <row r="241">
      <c r="A241" s="9">
        <v>45711.0</v>
      </c>
      <c r="B241" s="7">
        <v>354.0</v>
      </c>
      <c r="C241" s="12"/>
      <c r="D241" s="13"/>
      <c r="E241" s="12"/>
      <c r="F241" s="13"/>
    </row>
    <row r="242">
      <c r="A242" s="9">
        <v>45712.0</v>
      </c>
      <c r="B242" s="7">
        <v>2369.0</v>
      </c>
      <c r="C242" s="12"/>
      <c r="D242" s="13"/>
      <c r="E242" s="12"/>
      <c r="F242" s="13"/>
    </row>
    <row r="243">
      <c r="A243" s="9">
        <v>45713.0</v>
      </c>
      <c r="B243" s="7">
        <v>915.0</v>
      </c>
      <c r="C243" s="12"/>
      <c r="D243" s="13"/>
      <c r="E243" s="12"/>
      <c r="F243" s="13"/>
    </row>
    <row r="244">
      <c r="A244" s="9">
        <v>45714.0</v>
      </c>
      <c r="B244" s="7">
        <v>1187.0</v>
      </c>
      <c r="C244" s="12"/>
      <c r="D244" s="13"/>
      <c r="E244" s="12"/>
      <c r="F244" s="13"/>
    </row>
    <row r="245">
      <c r="A245" s="9">
        <v>45715.0</v>
      </c>
      <c r="B245" s="7">
        <v>469.0</v>
      </c>
      <c r="C245" s="12"/>
      <c r="D245" s="13"/>
      <c r="E245" s="12"/>
      <c r="F245" s="13"/>
    </row>
    <row r="246">
      <c r="A246" s="9">
        <v>45716.0</v>
      </c>
      <c r="B246" s="7">
        <v>733.0</v>
      </c>
      <c r="C246" s="12"/>
      <c r="D246" s="13"/>
      <c r="E246" s="12"/>
      <c r="F246" s="13"/>
    </row>
    <row r="247">
      <c r="A247" s="9">
        <v>45717.0</v>
      </c>
      <c r="B247" s="7">
        <v>704.0</v>
      </c>
      <c r="C247" s="12"/>
      <c r="D247" s="13"/>
      <c r="E247" s="12"/>
      <c r="F247" s="13"/>
    </row>
    <row r="248">
      <c r="A248" s="9">
        <v>45718.0</v>
      </c>
      <c r="B248" s="7">
        <v>343.0</v>
      </c>
      <c r="C248" s="12"/>
      <c r="D248" s="13"/>
      <c r="E248" s="12"/>
      <c r="F248" s="13"/>
    </row>
    <row r="249">
      <c r="A249" s="9">
        <v>45719.0</v>
      </c>
      <c r="B249" s="7">
        <v>1721.0</v>
      </c>
      <c r="C249" s="12"/>
      <c r="D249" s="13"/>
      <c r="E249" s="12"/>
      <c r="F249" s="13"/>
    </row>
    <row r="250">
      <c r="A250" s="9">
        <v>45720.0</v>
      </c>
      <c r="B250" s="7">
        <v>1036.0</v>
      </c>
      <c r="C250" s="12"/>
      <c r="D250" s="13"/>
      <c r="E250" s="12"/>
      <c r="F250" s="13"/>
    </row>
    <row r="251">
      <c r="A251" s="9">
        <v>45721.0</v>
      </c>
      <c r="B251" s="7">
        <v>863.0</v>
      </c>
      <c r="C251" s="12"/>
      <c r="D251" s="13"/>
      <c r="E251" s="12"/>
      <c r="F251" s="13"/>
    </row>
    <row r="252">
      <c r="A252" s="9">
        <v>45722.0</v>
      </c>
      <c r="B252" s="7">
        <v>864.0</v>
      </c>
      <c r="C252" s="12"/>
      <c r="D252" s="13"/>
      <c r="E252" s="12"/>
      <c r="F252" s="13"/>
    </row>
    <row r="253">
      <c r="A253" s="9">
        <v>45723.0</v>
      </c>
      <c r="B253" s="7">
        <v>538.0</v>
      </c>
      <c r="C253" s="12"/>
      <c r="D253" s="13"/>
      <c r="E253" s="12"/>
      <c r="F253" s="13"/>
    </row>
    <row r="254">
      <c r="A254" s="9">
        <v>45724.0</v>
      </c>
      <c r="B254" s="7">
        <v>197.0</v>
      </c>
      <c r="C254" s="12"/>
      <c r="D254" s="13"/>
      <c r="E254" s="12"/>
      <c r="F254" s="13"/>
    </row>
    <row r="255">
      <c r="A255" s="9">
        <v>45725.0</v>
      </c>
      <c r="B255" s="7">
        <v>333.0</v>
      </c>
      <c r="C255" s="12"/>
      <c r="D255" s="13"/>
      <c r="E255" s="12"/>
      <c r="F255" s="13"/>
    </row>
    <row r="256">
      <c r="A256" s="9">
        <v>45726.0</v>
      </c>
      <c r="B256" s="7">
        <v>584.0</v>
      </c>
      <c r="C256" s="12"/>
      <c r="D256" s="13"/>
      <c r="E256" s="12"/>
      <c r="F256" s="13"/>
    </row>
    <row r="257">
      <c r="A257" s="9">
        <v>45727.0</v>
      </c>
      <c r="B257" s="7">
        <v>415.0</v>
      </c>
      <c r="C257" s="12"/>
      <c r="D257" s="13"/>
      <c r="E257" s="12"/>
      <c r="F257" s="13"/>
    </row>
    <row r="258">
      <c r="A258" s="9">
        <v>45728.0</v>
      </c>
      <c r="B258" s="7">
        <v>539.0</v>
      </c>
      <c r="C258" s="12"/>
      <c r="D258" s="13"/>
      <c r="E258" s="12"/>
      <c r="F258" s="13"/>
    </row>
    <row r="259">
      <c r="A259" s="9">
        <v>45729.0</v>
      </c>
      <c r="B259" s="7">
        <v>201.0</v>
      </c>
      <c r="C259" s="12"/>
      <c r="D259" s="13"/>
      <c r="E259" s="12"/>
      <c r="F259" s="13"/>
    </row>
    <row r="260">
      <c r="A260" s="9">
        <v>45730.0</v>
      </c>
      <c r="B260" s="7">
        <v>738.0</v>
      </c>
      <c r="C260" s="12"/>
      <c r="D260" s="13"/>
      <c r="E260" s="12"/>
      <c r="F260" s="13"/>
    </row>
    <row r="261">
      <c r="A261" s="9">
        <v>45731.0</v>
      </c>
      <c r="B261" s="7">
        <v>766.0</v>
      </c>
      <c r="C261" s="12"/>
      <c r="D261" s="13"/>
      <c r="E261" s="12"/>
      <c r="F261" s="13"/>
    </row>
    <row r="262">
      <c r="A262" s="9">
        <v>45732.0</v>
      </c>
      <c r="B262" s="7">
        <v>588.0</v>
      </c>
      <c r="C262" s="12"/>
      <c r="D262" s="13"/>
      <c r="E262" s="12"/>
      <c r="F262" s="13"/>
    </row>
    <row r="263">
      <c r="A263" s="9">
        <v>45733.0</v>
      </c>
      <c r="B263" s="7">
        <v>381.0</v>
      </c>
      <c r="C263" s="12"/>
      <c r="D263" s="13"/>
      <c r="E263" s="12"/>
      <c r="F263" s="13"/>
    </row>
    <row r="264">
      <c r="A264" s="9">
        <v>45734.0</v>
      </c>
      <c r="B264" s="7">
        <v>443.0</v>
      </c>
      <c r="C264" s="12"/>
      <c r="D264" s="13"/>
      <c r="E264" s="12"/>
      <c r="F264" s="13"/>
    </row>
    <row r="265">
      <c r="A265" s="9">
        <v>45735.0</v>
      </c>
      <c r="B265" s="7">
        <v>185.0</v>
      </c>
      <c r="C265" s="12"/>
      <c r="D265" s="13"/>
      <c r="E265" s="12"/>
      <c r="F265" s="13"/>
    </row>
    <row r="266">
      <c r="A266" s="9">
        <v>45736.0</v>
      </c>
      <c r="B266" s="7">
        <v>5321.0</v>
      </c>
      <c r="C266" s="12"/>
      <c r="D266" s="13"/>
      <c r="E266" s="12"/>
      <c r="F266" s="13"/>
    </row>
    <row r="267">
      <c r="A267" s="9">
        <v>45737.0</v>
      </c>
      <c r="B267" s="7">
        <v>2376.0</v>
      </c>
      <c r="C267" s="12"/>
      <c r="D267" s="13"/>
      <c r="E267" s="12"/>
      <c r="F267" s="13"/>
    </row>
    <row r="268">
      <c r="A268" s="9">
        <v>45738.0</v>
      </c>
      <c r="B268" s="7">
        <v>1372.0</v>
      </c>
      <c r="C268" s="12"/>
      <c r="D268" s="13"/>
      <c r="E268" s="12"/>
      <c r="F268" s="13"/>
    </row>
    <row r="269">
      <c r="A269" s="9">
        <v>45739.0</v>
      </c>
      <c r="B269" s="7">
        <v>772.0</v>
      </c>
      <c r="C269" s="12"/>
      <c r="D269" s="13"/>
      <c r="E269" s="12"/>
      <c r="F269" s="13"/>
    </row>
    <row r="270">
      <c r="A270" s="9">
        <v>45740.0</v>
      </c>
      <c r="B270" s="7">
        <v>1185.0</v>
      </c>
      <c r="C270" s="12"/>
      <c r="D270" s="13"/>
      <c r="E270" s="12"/>
      <c r="F270" s="13"/>
    </row>
    <row r="271">
      <c r="A271" s="9">
        <v>45741.0</v>
      </c>
      <c r="B271" s="7">
        <v>2467.0</v>
      </c>
      <c r="C271" s="12"/>
      <c r="D271" s="13"/>
      <c r="E271" s="12"/>
      <c r="F271" s="13"/>
    </row>
    <row r="272">
      <c r="A272" s="9">
        <v>45742.0</v>
      </c>
      <c r="B272" s="7">
        <v>3054.0</v>
      </c>
      <c r="C272" s="12"/>
      <c r="D272" s="13"/>
      <c r="E272" s="12"/>
      <c r="F272" s="13"/>
    </row>
    <row r="273">
      <c r="A273" s="9">
        <v>45743.0</v>
      </c>
      <c r="B273" s="7">
        <v>1370.0</v>
      </c>
      <c r="C273" s="12"/>
      <c r="D273" s="13"/>
      <c r="E273" s="12"/>
      <c r="F273" s="13"/>
    </row>
    <row r="274">
      <c r="A274" s="9">
        <v>45744.0</v>
      </c>
      <c r="B274" s="7">
        <v>19260.0</v>
      </c>
      <c r="C274" s="12"/>
      <c r="D274" s="13"/>
      <c r="E274" s="12"/>
      <c r="F274" s="13"/>
    </row>
    <row r="275">
      <c r="A275" s="9">
        <v>45745.0</v>
      </c>
      <c r="B275" s="7">
        <v>9007.0</v>
      </c>
      <c r="C275" s="12"/>
      <c r="D275" s="13"/>
      <c r="E275" s="12"/>
      <c r="F275" s="13"/>
    </row>
    <row r="276">
      <c r="A276" s="9">
        <v>45746.0</v>
      </c>
      <c r="B276" s="7">
        <v>3764.0</v>
      </c>
      <c r="C276" s="12"/>
      <c r="D276" s="13"/>
      <c r="E276" s="12"/>
      <c r="F276" s="13"/>
    </row>
    <row r="277">
      <c r="A277" s="9">
        <v>45747.0</v>
      </c>
      <c r="B277" s="7">
        <v>1520.0</v>
      </c>
      <c r="C277" s="12"/>
      <c r="D277" s="13"/>
      <c r="E277" s="12"/>
      <c r="F277" s="13"/>
    </row>
    <row r="278">
      <c r="A278" s="9">
        <v>45748.0</v>
      </c>
      <c r="B278" s="7">
        <v>1008.0</v>
      </c>
    </row>
    <row r="279">
      <c r="A279" s="9">
        <v>45749.0</v>
      </c>
      <c r="B279" s="7">
        <v>1061.0</v>
      </c>
    </row>
    <row r="280">
      <c r="A280" s="9">
        <v>45750.0</v>
      </c>
      <c r="B280" s="7">
        <v>1650.0</v>
      </c>
    </row>
    <row r="281">
      <c r="A281" s="9">
        <v>45751.0</v>
      </c>
      <c r="B281" s="7">
        <v>1847.0</v>
      </c>
    </row>
    <row r="282">
      <c r="A282" s="9">
        <v>45752.0</v>
      </c>
      <c r="B282" s="7">
        <v>1382.0</v>
      </c>
    </row>
    <row r="283">
      <c r="A283" s="9">
        <v>45753.0</v>
      </c>
      <c r="B283" s="7">
        <v>939.0</v>
      </c>
    </row>
    <row r="284">
      <c r="A284" s="9">
        <v>45754.0</v>
      </c>
      <c r="B284" s="7">
        <v>795.0</v>
      </c>
    </row>
    <row r="285">
      <c r="A285" s="9">
        <v>45755.0</v>
      </c>
      <c r="B285" s="7">
        <v>1039.0</v>
      </c>
    </row>
    <row r="286">
      <c r="A286" s="9">
        <v>45756.0</v>
      </c>
      <c r="B286" s="7">
        <v>863.0</v>
      </c>
    </row>
    <row r="287">
      <c r="A287" s="9">
        <v>45757.0</v>
      </c>
      <c r="B287" s="7">
        <v>786.0</v>
      </c>
    </row>
    <row r="288">
      <c r="A288" s="9">
        <v>45758.0</v>
      </c>
      <c r="B288" s="7">
        <v>753.0</v>
      </c>
    </row>
    <row r="289">
      <c r="A289" s="9">
        <v>45759.0</v>
      </c>
      <c r="B289" s="7">
        <v>438.0</v>
      </c>
    </row>
    <row r="290">
      <c r="A290" s="9">
        <v>45760.0</v>
      </c>
      <c r="B290" s="7">
        <v>269.0</v>
      </c>
    </row>
    <row r="291">
      <c r="A291" s="9">
        <v>45761.0</v>
      </c>
      <c r="B291" s="7">
        <v>363.0</v>
      </c>
    </row>
    <row r="292">
      <c r="A292" s="9">
        <v>45762.0</v>
      </c>
      <c r="B292" s="7">
        <v>814.0</v>
      </c>
    </row>
    <row r="293">
      <c r="A293" s="9">
        <v>45763.0</v>
      </c>
      <c r="B293" s="7">
        <v>690.0</v>
      </c>
    </row>
    <row r="294">
      <c r="A294" s="9">
        <v>45764.0</v>
      </c>
      <c r="B294" s="7">
        <v>335.0</v>
      </c>
    </row>
    <row r="295">
      <c r="A295" s="9">
        <v>45765.0</v>
      </c>
      <c r="B295" s="7">
        <v>139.0</v>
      </c>
    </row>
    <row r="296">
      <c r="A296" s="9">
        <v>45766.0</v>
      </c>
      <c r="B296" s="7">
        <v>524.0</v>
      </c>
    </row>
    <row r="297">
      <c r="A297" s="9">
        <v>45767.0</v>
      </c>
      <c r="B297" s="7">
        <v>576.0</v>
      </c>
    </row>
    <row r="298">
      <c r="A298" s="9">
        <v>45768.0</v>
      </c>
      <c r="B298" s="7">
        <v>413.0</v>
      </c>
    </row>
    <row r="299">
      <c r="A299" s="9">
        <v>45769.0</v>
      </c>
      <c r="B299" s="7">
        <v>605.0</v>
      </c>
    </row>
    <row r="300">
      <c r="A300" s="9">
        <v>45770.0</v>
      </c>
      <c r="B300" s="7">
        <v>239.0</v>
      </c>
    </row>
    <row r="301">
      <c r="A301" s="9">
        <v>45771.0</v>
      </c>
      <c r="B301" s="7">
        <v>601.0</v>
      </c>
    </row>
    <row r="302">
      <c r="A302" s="9">
        <v>45772.0</v>
      </c>
      <c r="B302" s="7">
        <v>773.0</v>
      </c>
    </row>
    <row r="303">
      <c r="A303" s="9">
        <v>45773.0</v>
      </c>
      <c r="B303" s="7">
        <v>593.0</v>
      </c>
    </row>
    <row r="304">
      <c r="A304" s="9">
        <v>45774.0</v>
      </c>
      <c r="B304" s="7">
        <v>434.0</v>
      </c>
    </row>
    <row r="305">
      <c r="A305" s="9">
        <v>45775.0</v>
      </c>
      <c r="B305" s="7">
        <v>348.0</v>
      </c>
    </row>
    <row r="306">
      <c r="A306" s="9">
        <v>45776.0</v>
      </c>
      <c r="B306" s="7">
        <v>295.0</v>
      </c>
    </row>
    <row r="307">
      <c r="A307" s="9">
        <v>45777.0</v>
      </c>
      <c r="B307" s="7">
        <v>287.0</v>
      </c>
    </row>
  </sheetData>
  <mergeCells count="2">
    <mergeCell ref="C2:D2"/>
    <mergeCell ref="E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3"/>
      <c r="F1" s="4"/>
    </row>
    <row r="2">
      <c r="A2" s="5" t="s">
        <v>6</v>
      </c>
      <c r="B2" s="15"/>
      <c r="C2" s="3"/>
      <c r="E2" s="3"/>
    </row>
    <row r="3">
      <c r="A3" s="5" t="s">
        <v>2</v>
      </c>
      <c r="B3" s="7" t="s">
        <v>3</v>
      </c>
      <c r="C3" s="3"/>
      <c r="D3" s="8"/>
      <c r="E3" s="3"/>
      <c r="F3" s="8"/>
    </row>
    <row r="4">
      <c r="A4" s="9">
        <v>45474.0</v>
      </c>
      <c r="B4" s="7">
        <v>16.0</v>
      </c>
      <c r="C4" s="10"/>
      <c r="D4" s="11"/>
      <c r="E4" s="10"/>
      <c r="F4" s="11"/>
    </row>
    <row r="5">
      <c r="A5" s="9">
        <v>45475.0</v>
      </c>
      <c r="B5" s="7">
        <v>19.0</v>
      </c>
      <c r="C5" s="10"/>
      <c r="D5" s="11"/>
      <c r="E5" s="10"/>
      <c r="F5" s="11"/>
    </row>
    <row r="6">
      <c r="A6" s="9">
        <v>45476.0</v>
      </c>
      <c r="B6" s="7">
        <v>13.0</v>
      </c>
      <c r="C6" s="10"/>
      <c r="D6" s="11"/>
      <c r="E6" s="10"/>
      <c r="F6" s="11"/>
    </row>
    <row r="7">
      <c r="A7" s="9">
        <v>45477.0</v>
      </c>
      <c r="B7" s="7">
        <v>11.0</v>
      </c>
      <c r="C7" s="10"/>
      <c r="D7" s="11"/>
      <c r="E7" s="10"/>
      <c r="F7" s="11"/>
    </row>
    <row r="8">
      <c r="A8" s="9">
        <v>45478.0</v>
      </c>
      <c r="B8" s="7">
        <v>3.0</v>
      </c>
      <c r="C8" s="10"/>
      <c r="D8" s="11"/>
      <c r="E8" s="10"/>
      <c r="F8" s="11"/>
    </row>
    <row r="9">
      <c r="A9" s="9">
        <v>45479.0</v>
      </c>
      <c r="B9" s="7">
        <v>5.0</v>
      </c>
      <c r="C9" s="10"/>
      <c r="D9" s="11"/>
      <c r="E9" s="10"/>
      <c r="F9" s="11"/>
    </row>
    <row r="10">
      <c r="A10" s="9">
        <v>45480.0</v>
      </c>
      <c r="B10" s="7">
        <v>2.0</v>
      </c>
      <c r="C10" s="10"/>
      <c r="D10" s="11"/>
      <c r="E10" s="10"/>
      <c r="F10" s="11"/>
    </row>
    <row r="11">
      <c r="A11" s="9">
        <v>45481.0</v>
      </c>
      <c r="B11" s="7">
        <v>3.0</v>
      </c>
      <c r="C11" s="10"/>
      <c r="D11" s="11"/>
      <c r="E11" s="10"/>
      <c r="F11" s="11"/>
    </row>
    <row r="12">
      <c r="A12" s="9">
        <v>45482.0</v>
      </c>
      <c r="B12" s="7">
        <v>2.0</v>
      </c>
      <c r="C12" s="10"/>
      <c r="D12" s="11"/>
      <c r="E12" s="10"/>
      <c r="F12" s="11"/>
    </row>
    <row r="13">
      <c r="A13" s="9">
        <v>45483.0</v>
      </c>
      <c r="B13" s="7">
        <v>2.0</v>
      </c>
      <c r="C13" s="10"/>
      <c r="D13" s="11"/>
      <c r="E13" s="10"/>
      <c r="F13" s="11"/>
    </row>
    <row r="14">
      <c r="A14" s="9">
        <v>45484.0</v>
      </c>
      <c r="B14" s="7">
        <v>2.0</v>
      </c>
      <c r="C14" s="10"/>
      <c r="D14" s="11"/>
      <c r="E14" s="10"/>
      <c r="F14" s="11"/>
    </row>
    <row r="15">
      <c r="A15" s="9">
        <v>45485.0</v>
      </c>
      <c r="B15" s="7">
        <v>0.0</v>
      </c>
      <c r="C15" s="10"/>
      <c r="D15" s="11"/>
      <c r="E15" s="10"/>
      <c r="F15" s="11"/>
    </row>
    <row r="16">
      <c r="A16" s="9">
        <v>45486.0</v>
      </c>
      <c r="B16" s="7">
        <v>4.0</v>
      </c>
      <c r="C16" s="10"/>
      <c r="D16" s="11"/>
      <c r="E16" s="10"/>
      <c r="F16" s="11"/>
    </row>
    <row r="17">
      <c r="A17" s="9">
        <v>45487.0</v>
      </c>
      <c r="B17" s="7">
        <v>4.0</v>
      </c>
      <c r="C17" s="10"/>
      <c r="D17" s="11"/>
      <c r="E17" s="10"/>
      <c r="F17" s="11"/>
    </row>
    <row r="18">
      <c r="A18" s="9">
        <v>45488.0</v>
      </c>
      <c r="B18" s="7">
        <v>3.0</v>
      </c>
      <c r="C18" s="10"/>
      <c r="D18" s="11"/>
      <c r="E18" s="10"/>
      <c r="F18" s="11"/>
    </row>
    <row r="19">
      <c r="A19" s="9">
        <v>45489.0</v>
      </c>
      <c r="B19" s="7">
        <v>2.0</v>
      </c>
      <c r="C19" s="10"/>
      <c r="D19" s="11"/>
      <c r="E19" s="10"/>
      <c r="F19" s="11"/>
    </row>
    <row r="20">
      <c r="A20" s="9">
        <v>45490.0</v>
      </c>
      <c r="B20" s="7">
        <v>4.0</v>
      </c>
      <c r="C20" s="10"/>
      <c r="D20" s="11"/>
      <c r="E20" s="10"/>
      <c r="F20" s="11"/>
    </row>
    <row r="21">
      <c r="A21" s="9">
        <v>45491.0</v>
      </c>
      <c r="B21" s="7">
        <v>3.0</v>
      </c>
      <c r="C21" s="10"/>
      <c r="D21" s="11"/>
      <c r="E21" s="10"/>
      <c r="F21" s="11"/>
    </row>
    <row r="22">
      <c r="A22" s="9">
        <v>45492.0</v>
      </c>
      <c r="B22" s="7">
        <v>7.0</v>
      </c>
      <c r="C22" s="10"/>
      <c r="D22" s="11"/>
      <c r="E22" s="10"/>
      <c r="F22" s="11"/>
    </row>
    <row r="23">
      <c r="A23" s="9">
        <v>45493.0</v>
      </c>
      <c r="B23" s="7">
        <v>6.0</v>
      </c>
      <c r="C23" s="10"/>
      <c r="D23" s="11"/>
      <c r="E23" s="10"/>
      <c r="F23" s="11"/>
    </row>
    <row r="24">
      <c r="A24" s="9">
        <v>45494.0</v>
      </c>
      <c r="B24" s="7">
        <v>1.0</v>
      </c>
      <c r="C24" s="10"/>
      <c r="D24" s="11"/>
      <c r="E24" s="10"/>
      <c r="F24" s="11"/>
    </row>
    <row r="25">
      <c r="A25" s="9">
        <v>45495.0</v>
      </c>
      <c r="B25" s="7">
        <v>4.0</v>
      </c>
      <c r="C25" s="10"/>
      <c r="D25" s="11"/>
      <c r="E25" s="10"/>
      <c r="F25" s="11"/>
    </row>
    <row r="26">
      <c r="A26" s="9">
        <v>45496.0</v>
      </c>
      <c r="B26" s="7">
        <v>2.0</v>
      </c>
      <c r="C26" s="10"/>
      <c r="D26" s="11"/>
      <c r="E26" s="10"/>
      <c r="F26" s="11"/>
    </row>
    <row r="27">
      <c r="A27" s="9">
        <v>45497.0</v>
      </c>
      <c r="B27" s="7">
        <v>2.0</v>
      </c>
      <c r="C27" s="10"/>
      <c r="D27" s="11"/>
      <c r="E27" s="10"/>
      <c r="F27" s="11"/>
    </row>
    <row r="28">
      <c r="A28" s="9">
        <v>45498.0</v>
      </c>
      <c r="B28" s="7">
        <v>5.0</v>
      </c>
      <c r="C28" s="10"/>
      <c r="D28" s="11"/>
      <c r="E28" s="10"/>
      <c r="F28" s="11"/>
    </row>
    <row r="29">
      <c r="A29" s="9">
        <v>45499.0</v>
      </c>
      <c r="B29" s="7">
        <v>1.0</v>
      </c>
      <c r="C29" s="10"/>
      <c r="D29" s="11"/>
      <c r="E29" s="10"/>
      <c r="F29" s="11"/>
    </row>
    <row r="30">
      <c r="A30" s="9">
        <v>45500.0</v>
      </c>
      <c r="B30" s="7">
        <v>2.0</v>
      </c>
      <c r="C30" s="10"/>
      <c r="D30" s="11"/>
      <c r="E30" s="10"/>
      <c r="F30" s="11"/>
    </row>
    <row r="31">
      <c r="A31" s="9">
        <v>45501.0</v>
      </c>
      <c r="B31" s="7">
        <v>1.0</v>
      </c>
      <c r="C31" s="10"/>
      <c r="D31" s="11"/>
      <c r="E31" s="10"/>
      <c r="F31" s="11"/>
    </row>
    <row r="32">
      <c r="A32" s="9">
        <v>45502.0</v>
      </c>
      <c r="B32" s="7">
        <v>2.0</v>
      </c>
      <c r="C32" s="10"/>
      <c r="D32" s="11"/>
      <c r="E32" s="10"/>
      <c r="F32" s="11"/>
    </row>
    <row r="33">
      <c r="A33" s="9">
        <v>45503.0</v>
      </c>
      <c r="B33" s="7">
        <v>3.0</v>
      </c>
      <c r="C33" s="10"/>
      <c r="D33" s="11"/>
      <c r="E33" s="10"/>
      <c r="F33" s="11"/>
    </row>
    <row r="34">
      <c r="A34" s="9">
        <v>45504.0</v>
      </c>
      <c r="B34" s="7">
        <v>1.0</v>
      </c>
      <c r="C34" s="10"/>
      <c r="D34" s="11"/>
      <c r="E34" s="10"/>
      <c r="F34" s="11"/>
    </row>
    <row r="35">
      <c r="A35" s="9">
        <v>45505.0</v>
      </c>
      <c r="B35" s="7">
        <v>1.0</v>
      </c>
      <c r="C35" s="10"/>
      <c r="D35" s="11"/>
      <c r="E35" s="10"/>
      <c r="F35" s="11"/>
    </row>
    <row r="36">
      <c r="A36" s="9">
        <v>45506.0</v>
      </c>
      <c r="B36" s="7">
        <v>1.0</v>
      </c>
      <c r="C36" s="10"/>
      <c r="D36" s="11"/>
      <c r="E36" s="10"/>
      <c r="F36" s="11"/>
    </row>
    <row r="37">
      <c r="A37" s="9">
        <v>45507.0</v>
      </c>
      <c r="B37" s="7">
        <v>0.0</v>
      </c>
      <c r="C37" s="10"/>
      <c r="D37" s="11"/>
      <c r="E37" s="10"/>
      <c r="F37" s="11"/>
    </row>
    <row r="38">
      <c r="A38" s="9">
        <v>45508.0</v>
      </c>
      <c r="B38" s="7">
        <v>1.0</v>
      </c>
      <c r="C38" s="10"/>
      <c r="D38" s="11"/>
      <c r="E38" s="10"/>
      <c r="F38" s="11"/>
    </row>
    <row r="39">
      <c r="A39" s="9">
        <v>45509.0</v>
      </c>
      <c r="B39" s="7">
        <v>3.0</v>
      </c>
      <c r="C39" s="10"/>
      <c r="D39" s="11"/>
      <c r="E39" s="10"/>
      <c r="F39" s="11"/>
    </row>
    <row r="40">
      <c r="A40" s="9">
        <v>45510.0</v>
      </c>
      <c r="B40" s="7">
        <v>3.0</v>
      </c>
      <c r="C40" s="10"/>
      <c r="D40" s="11"/>
      <c r="E40" s="10"/>
      <c r="F40" s="11"/>
    </row>
    <row r="41">
      <c r="A41" s="9">
        <v>45511.0</v>
      </c>
      <c r="B41" s="7">
        <v>2.0</v>
      </c>
      <c r="C41" s="10"/>
      <c r="D41" s="11"/>
      <c r="E41" s="10"/>
      <c r="F41" s="11"/>
    </row>
    <row r="42">
      <c r="A42" s="9">
        <v>45512.0</v>
      </c>
      <c r="B42" s="7">
        <v>26.0</v>
      </c>
      <c r="C42" s="10"/>
      <c r="D42" s="11"/>
      <c r="E42" s="10"/>
      <c r="F42" s="11"/>
    </row>
    <row r="43">
      <c r="A43" s="9">
        <v>45513.0</v>
      </c>
      <c r="B43" s="7">
        <v>3.0</v>
      </c>
      <c r="C43" s="10"/>
      <c r="D43" s="11"/>
      <c r="E43" s="10"/>
      <c r="F43" s="11"/>
    </row>
    <row r="44">
      <c r="A44" s="9">
        <v>45514.0</v>
      </c>
      <c r="B44" s="7">
        <v>3.0</v>
      </c>
      <c r="C44" s="10"/>
      <c r="D44" s="11"/>
      <c r="E44" s="10"/>
      <c r="F44" s="11"/>
    </row>
    <row r="45">
      <c r="A45" s="9">
        <v>45515.0</v>
      </c>
      <c r="B45" s="7">
        <v>0.0</v>
      </c>
      <c r="C45" s="10"/>
      <c r="D45" s="11"/>
      <c r="E45" s="10"/>
      <c r="F45" s="11"/>
    </row>
    <row r="46">
      <c r="A46" s="9">
        <v>45516.0</v>
      </c>
      <c r="B46" s="7">
        <v>1.0</v>
      </c>
      <c r="C46" s="10"/>
      <c r="D46" s="11"/>
      <c r="E46" s="10"/>
      <c r="F46" s="11"/>
    </row>
    <row r="47">
      <c r="A47" s="9">
        <v>45517.0</v>
      </c>
      <c r="B47" s="7">
        <v>2.0</v>
      </c>
      <c r="C47" s="10"/>
      <c r="D47" s="11"/>
      <c r="E47" s="10"/>
      <c r="F47" s="11"/>
    </row>
    <row r="48">
      <c r="A48" s="9">
        <v>45518.0</v>
      </c>
      <c r="B48" s="7">
        <v>0.0</v>
      </c>
      <c r="C48" s="10"/>
      <c r="D48" s="11"/>
      <c r="E48" s="10"/>
      <c r="F48" s="11"/>
    </row>
    <row r="49">
      <c r="A49" s="9">
        <v>45519.0</v>
      </c>
      <c r="B49" s="7">
        <v>2.0</v>
      </c>
      <c r="C49" s="10"/>
      <c r="D49" s="11"/>
      <c r="E49" s="10"/>
      <c r="F49" s="11"/>
    </row>
    <row r="50">
      <c r="A50" s="9">
        <v>45520.0</v>
      </c>
      <c r="B50" s="7">
        <v>2.0</v>
      </c>
      <c r="C50" s="10"/>
      <c r="D50" s="11"/>
      <c r="E50" s="10"/>
      <c r="F50" s="11"/>
    </row>
    <row r="51">
      <c r="A51" s="9">
        <v>45521.0</v>
      </c>
      <c r="B51" s="7">
        <v>8.0</v>
      </c>
      <c r="C51" s="10"/>
      <c r="D51" s="11"/>
      <c r="E51" s="10"/>
      <c r="F51" s="11"/>
    </row>
    <row r="52">
      <c r="A52" s="9">
        <v>45522.0</v>
      </c>
      <c r="B52" s="7">
        <v>2.0</v>
      </c>
      <c r="C52" s="10"/>
      <c r="D52" s="11"/>
      <c r="E52" s="10"/>
      <c r="F52" s="11"/>
    </row>
    <row r="53">
      <c r="A53" s="9">
        <v>45523.0</v>
      </c>
      <c r="B53" s="7">
        <v>4.0</v>
      </c>
      <c r="C53" s="10"/>
      <c r="D53" s="11"/>
      <c r="E53" s="10"/>
      <c r="F53" s="11"/>
    </row>
    <row r="54">
      <c r="A54" s="9">
        <v>45524.0</v>
      </c>
      <c r="B54" s="7">
        <v>2.0</v>
      </c>
      <c r="C54" s="10"/>
      <c r="D54" s="11"/>
      <c r="E54" s="10"/>
      <c r="F54" s="11"/>
    </row>
    <row r="55">
      <c r="A55" s="9">
        <v>45525.0</v>
      </c>
      <c r="B55" s="7">
        <v>1.0</v>
      </c>
      <c r="C55" s="10"/>
      <c r="D55" s="11"/>
      <c r="E55" s="10"/>
      <c r="F55" s="11"/>
    </row>
    <row r="56">
      <c r="A56" s="9">
        <v>45526.0</v>
      </c>
      <c r="B56" s="7">
        <v>1.0</v>
      </c>
      <c r="C56" s="10"/>
      <c r="D56" s="11"/>
      <c r="E56" s="10"/>
      <c r="F56" s="11"/>
    </row>
    <row r="57">
      <c r="A57" s="9">
        <v>45527.0</v>
      </c>
      <c r="B57" s="7">
        <v>4.0</v>
      </c>
      <c r="C57" s="10"/>
      <c r="D57" s="11"/>
      <c r="E57" s="10"/>
      <c r="F57" s="11"/>
    </row>
    <row r="58">
      <c r="A58" s="9">
        <v>45528.0</v>
      </c>
      <c r="B58" s="7">
        <v>8.0</v>
      </c>
      <c r="C58" s="10"/>
      <c r="D58" s="11"/>
      <c r="E58" s="10"/>
      <c r="F58" s="11"/>
    </row>
    <row r="59">
      <c r="A59" s="9">
        <v>45529.0</v>
      </c>
      <c r="B59" s="7">
        <v>3.0</v>
      </c>
      <c r="C59" s="10"/>
      <c r="D59" s="11"/>
      <c r="E59" s="10"/>
      <c r="F59" s="11"/>
    </row>
    <row r="60">
      <c r="A60" s="9">
        <v>45530.0</v>
      </c>
      <c r="B60" s="7">
        <v>1.0</v>
      </c>
      <c r="C60" s="10"/>
      <c r="D60" s="11"/>
      <c r="E60" s="10"/>
      <c r="F60" s="11"/>
    </row>
    <row r="61">
      <c r="A61" s="9">
        <v>45531.0</v>
      </c>
      <c r="B61" s="7">
        <v>2.0</v>
      </c>
      <c r="C61" s="10"/>
      <c r="D61" s="11"/>
      <c r="E61" s="10"/>
      <c r="F61" s="11"/>
    </row>
    <row r="62">
      <c r="A62" s="9">
        <v>45532.0</v>
      </c>
      <c r="B62" s="7">
        <v>1.0</v>
      </c>
      <c r="C62" s="10"/>
      <c r="D62" s="11"/>
      <c r="E62" s="10"/>
      <c r="F62" s="11"/>
    </row>
    <row r="63">
      <c r="A63" s="9">
        <v>45533.0</v>
      </c>
      <c r="B63" s="7">
        <v>3.0</v>
      </c>
      <c r="C63" s="10"/>
      <c r="D63" s="11"/>
      <c r="E63" s="10"/>
      <c r="F63" s="11"/>
    </row>
    <row r="64">
      <c r="A64" s="9">
        <v>45534.0</v>
      </c>
      <c r="B64" s="7">
        <v>1.0</v>
      </c>
      <c r="C64" s="10"/>
      <c r="D64" s="11"/>
      <c r="E64" s="10"/>
      <c r="F64" s="11"/>
    </row>
    <row r="65">
      <c r="A65" s="9">
        <v>45535.0</v>
      </c>
      <c r="B65" s="7">
        <v>3.0</v>
      </c>
      <c r="C65" s="10"/>
      <c r="D65" s="11"/>
      <c r="E65" s="10"/>
      <c r="F65" s="11"/>
    </row>
    <row r="66">
      <c r="A66" s="9">
        <v>45536.0</v>
      </c>
      <c r="B66" s="7">
        <v>3.0</v>
      </c>
      <c r="C66" s="10"/>
      <c r="D66" s="11"/>
      <c r="E66" s="10"/>
      <c r="F66" s="11"/>
    </row>
    <row r="67">
      <c r="A67" s="9">
        <v>45537.0</v>
      </c>
      <c r="B67" s="7">
        <v>2.0</v>
      </c>
      <c r="C67" s="10"/>
      <c r="D67" s="11"/>
      <c r="E67" s="10"/>
      <c r="F67" s="11"/>
    </row>
    <row r="68">
      <c r="A68" s="9">
        <v>45538.0</v>
      </c>
      <c r="B68" s="7">
        <v>3.0</v>
      </c>
      <c r="C68" s="10"/>
      <c r="D68" s="11"/>
      <c r="E68" s="10"/>
      <c r="F68" s="11"/>
    </row>
    <row r="69">
      <c r="A69" s="9">
        <v>45539.0</v>
      </c>
      <c r="B69" s="7">
        <v>4.0</v>
      </c>
      <c r="C69" s="10"/>
      <c r="D69" s="11"/>
      <c r="E69" s="10"/>
      <c r="F69" s="11"/>
    </row>
    <row r="70">
      <c r="A70" s="9">
        <v>45540.0</v>
      </c>
      <c r="B70" s="7">
        <v>2.0</v>
      </c>
      <c r="C70" s="10"/>
      <c r="D70" s="11"/>
      <c r="E70" s="10"/>
      <c r="F70" s="11"/>
    </row>
    <row r="71">
      <c r="A71" s="9">
        <v>45541.0</v>
      </c>
      <c r="B71" s="7">
        <v>8.0</v>
      </c>
      <c r="C71" s="10"/>
      <c r="D71" s="11"/>
      <c r="E71" s="10"/>
      <c r="F71" s="11"/>
    </row>
    <row r="72">
      <c r="A72" s="9">
        <v>45542.0</v>
      </c>
      <c r="B72" s="7">
        <v>23.0</v>
      </c>
      <c r="C72" s="10"/>
      <c r="D72" s="11"/>
      <c r="E72" s="10"/>
      <c r="F72" s="11"/>
    </row>
    <row r="73">
      <c r="A73" s="9">
        <v>45543.0</v>
      </c>
      <c r="B73" s="7">
        <v>21.0</v>
      </c>
      <c r="C73" s="10"/>
      <c r="D73" s="11"/>
      <c r="E73" s="10"/>
      <c r="F73" s="11"/>
    </row>
    <row r="74">
      <c r="A74" s="9">
        <v>45544.0</v>
      </c>
      <c r="B74" s="7">
        <v>48.0</v>
      </c>
      <c r="C74" s="10"/>
      <c r="D74" s="11"/>
      <c r="E74" s="10"/>
      <c r="F74" s="11"/>
    </row>
    <row r="75">
      <c r="A75" s="9">
        <v>45545.0</v>
      </c>
      <c r="B75" s="7">
        <v>29.0</v>
      </c>
      <c r="C75" s="10"/>
      <c r="D75" s="11"/>
      <c r="E75" s="10"/>
      <c r="F75" s="11"/>
    </row>
    <row r="76">
      <c r="A76" s="9">
        <v>45546.0</v>
      </c>
      <c r="B76" s="7">
        <v>27.0</v>
      </c>
      <c r="C76" s="10"/>
      <c r="D76" s="11"/>
      <c r="E76" s="10"/>
      <c r="F76" s="11"/>
    </row>
    <row r="77">
      <c r="A77" s="9">
        <v>45547.0</v>
      </c>
      <c r="B77" s="7">
        <v>33.0</v>
      </c>
      <c r="C77" s="10"/>
      <c r="D77" s="11"/>
      <c r="E77" s="10"/>
      <c r="F77" s="11"/>
    </row>
    <row r="78">
      <c r="A78" s="9">
        <v>45548.0</v>
      </c>
      <c r="B78" s="7">
        <v>32.0</v>
      </c>
      <c r="C78" s="10"/>
      <c r="D78" s="11"/>
      <c r="E78" s="10"/>
      <c r="F78" s="11"/>
    </row>
    <row r="79">
      <c r="A79" s="9">
        <v>45549.0</v>
      </c>
      <c r="B79" s="7">
        <v>30.0</v>
      </c>
      <c r="C79" s="10"/>
      <c r="D79" s="11"/>
      <c r="E79" s="10"/>
      <c r="F79" s="11"/>
    </row>
    <row r="80">
      <c r="A80" s="9">
        <v>45550.0</v>
      </c>
      <c r="B80" s="7">
        <v>26.0</v>
      </c>
      <c r="C80" s="10"/>
      <c r="D80" s="11"/>
      <c r="E80" s="10"/>
      <c r="F80" s="11"/>
    </row>
    <row r="81">
      <c r="A81" s="9">
        <v>45551.0</v>
      </c>
      <c r="B81" s="7">
        <v>23.0</v>
      </c>
      <c r="C81" s="10"/>
      <c r="D81" s="11"/>
      <c r="E81" s="10"/>
      <c r="F81" s="11"/>
    </row>
    <row r="82">
      <c r="A82" s="9">
        <v>45552.0</v>
      </c>
      <c r="B82" s="7">
        <v>35.0</v>
      </c>
      <c r="C82" s="10"/>
      <c r="D82" s="11"/>
      <c r="E82" s="10"/>
      <c r="F82" s="11"/>
    </row>
    <row r="83">
      <c r="A83" s="9">
        <v>45553.0</v>
      </c>
      <c r="B83" s="7">
        <v>24.0</v>
      </c>
      <c r="C83" s="10"/>
      <c r="D83" s="11"/>
      <c r="E83" s="10"/>
      <c r="F83" s="11"/>
    </row>
    <row r="84">
      <c r="A84" s="9">
        <v>45554.0</v>
      </c>
      <c r="B84" s="7">
        <v>19.0</v>
      </c>
      <c r="C84" s="10"/>
      <c r="D84" s="11"/>
      <c r="E84" s="10"/>
      <c r="F84" s="11"/>
    </row>
    <row r="85">
      <c r="A85" s="9">
        <v>45555.0</v>
      </c>
      <c r="B85" s="7">
        <v>17.0</v>
      </c>
      <c r="C85" s="10"/>
      <c r="D85" s="11"/>
      <c r="E85" s="10"/>
      <c r="F85" s="11"/>
    </row>
    <row r="86">
      <c r="A86" s="9">
        <v>45556.0</v>
      </c>
      <c r="B86" s="7">
        <v>11.0</v>
      </c>
      <c r="C86" s="10"/>
      <c r="D86" s="11"/>
      <c r="E86" s="10"/>
      <c r="F86" s="11"/>
    </row>
    <row r="87">
      <c r="A87" s="9">
        <v>45557.0</v>
      </c>
      <c r="B87" s="7">
        <v>4.0</v>
      </c>
      <c r="C87" s="10"/>
      <c r="D87" s="11"/>
      <c r="E87" s="10"/>
      <c r="F87" s="11"/>
    </row>
    <row r="88">
      <c r="A88" s="9">
        <v>45558.0</v>
      </c>
      <c r="B88" s="7">
        <v>8.0</v>
      </c>
      <c r="C88" s="10"/>
      <c r="D88" s="11"/>
      <c r="E88" s="10"/>
      <c r="F88" s="11"/>
    </row>
    <row r="89">
      <c r="A89" s="9">
        <v>45559.0</v>
      </c>
      <c r="B89" s="7">
        <v>11.0</v>
      </c>
      <c r="C89" s="10"/>
      <c r="D89" s="11"/>
      <c r="E89" s="10"/>
      <c r="F89" s="11"/>
    </row>
    <row r="90">
      <c r="A90" s="9">
        <v>45560.0</v>
      </c>
      <c r="B90" s="7">
        <v>3.0</v>
      </c>
      <c r="C90" s="10"/>
      <c r="D90" s="11"/>
      <c r="E90" s="10"/>
      <c r="F90" s="11"/>
    </row>
    <row r="91">
      <c r="A91" s="9">
        <v>45561.0</v>
      </c>
      <c r="B91" s="7">
        <v>4.0</v>
      </c>
      <c r="C91" s="10"/>
      <c r="D91" s="11"/>
      <c r="E91" s="10"/>
      <c r="F91" s="11"/>
    </row>
    <row r="92">
      <c r="A92" s="9">
        <v>45562.0</v>
      </c>
      <c r="B92" s="7">
        <v>4.0</v>
      </c>
      <c r="C92" s="10"/>
      <c r="D92" s="11"/>
      <c r="E92" s="10"/>
      <c r="F92" s="11"/>
    </row>
    <row r="93">
      <c r="A93" s="9">
        <v>45563.0</v>
      </c>
      <c r="B93" s="7">
        <v>2.0</v>
      </c>
      <c r="C93" s="10"/>
      <c r="D93" s="11"/>
      <c r="E93" s="10"/>
      <c r="F93" s="11"/>
    </row>
    <row r="94">
      <c r="A94" s="9">
        <v>45564.0</v>
      </c>
      <c r="B94" s="7">
        <v>3.0</v>
      </c>
      <c r="C94" s="10"/>
      <c r="D94" s="11"/>
      <c r="E94" s="10"/>
      <c r="F94" s="11"/>
    </row>
    <row r="95">
      <c r="A95" s="9">
        <v>45565.0</v>
      </c>
      <c r="B95" s="7">
        <v>5.0</v>
      </c>
      <c r="C95" s="10"/>
      <c r="D95" s="11"/>
      <c r="E95" s="10"/>
      <c r="F95" s="11"/>
    </row>
    <row r="96">
      <c r="A96" s="9">
        <v>45566.0</v>
      </c>
      <c r="B96" s="7">
        <v>1.0</v>
      </c>
      <c r="C96" s="10"/>
      <c r="D96" s="11"/>
      <c r="E96" s="10"/>
      <c r="F96" s="11"/>
    </row>
    <row r="97">
      <c r="A97" s="9">
        <v>45567.0</v>
      </c>
      <c r="B97" s="7">
        <v>2.0</v>
      </c>
      <c r="C97" s="10"/>
      <c r="D97" s="11"/>
      <c r="E97" s="10"/>
      <c r="F97" s="11"/>
    </row>
    <row r="98">
      <c r="A98" s="9">
        <v>45568.0</v>
      </c>
      <c r="B98" s="7">
        <v>3.0</v>
      </c>
      <c r="C98" s="10"/>
      <c r="D98" s="11"/>
      <c r="E98" s="10"/>
      <c r="F98" s="11"/>
    </row>
    <row r="99">
      <c r="A99" s="9">
        <v>45569.0</v>
      </c>
      <c r="B99" s="7">
        <v>8.0</v>
      </c>
      <c r="C99" s="10"/>
      <c r="D99" s="11"/>
      <c r="E99" s="10"/>
      <c r="F99" s="11"/>
    </row>
    <row r="100">
      <c r="A100" s="9">
        <v>45570.0</v>
      </c>
      <c r="B100" s="7">
        <v>4.0</v>
      </c>
      <c r="C100" s="10"/>
      <c r="D100" s="11"/>
      <c r="E100" s="10"/>
      <c r="F100" s="11"/>
    </row>
    <row r="101">
      <c r="A101" s="9">
        <v>45571.0</v>
      </c>
      <c r="B101" s="7">
        <v>2.0</v>
      </c>
      <c r="C101" s="10"/>
      <c r="D101" s="11"/>
      <c r="E101" s="10"/>
      <c r="F101" s="11"/>
    </row>
    <row r="102">
      <c r="A102" s="9">
        <v>45572.0</v>
      </c>
      <c r="B102" s="7">
        <v>3.0</v>
      </c>
      <c r="C102" s="10"/>
      <c r="D102" s="11"/>
      <c r="E102" s="10"/>
      <c r="F102" s="11"/>
    </row>
    <row r="103">
      <c r="A103" s="9">
        <v>45573.0</v>
      </c>
      <c r="B103" s="7">
        <v>3.0</v>
      </c>
      <c r="C103" s="10"/>
      <c r="D103" s="11"/>
      <c r="E103" s="10"/>
      <c r="F103" s="11"/>
    </row>
    <row r="104">
      <c r="A104" s="9">
        <v>45574.0</v>
      </c>
      <c r="B104" s="7">
        <v>2.0</v>
      </c>
      <c r="C104" s="10"/>
      <c r="D104" s="11"/>
      <c r="E104" s="10"/>
      <c r="F104" s="11"/>
    </row>
    <row r="105">
      <c r="A105" s="9">
        <v>45575.0</v>
      </c>
      <c r="B105" s="7">
        <v>4.0</v>
      </c>
      <c r="C105" s="10"/>
      <c r="D105" s="11"/>
      <c r="E105" s="10"/>
      <c r="F105" s="11"/>
    </row>
    <row r="106">
      <c r="A106" s="9">
        <v>45576.0</v>
      </c>
      <c r="B106" s="7">
        <v>5.0</v>
      </c>
      <c r="C106" s="10"/>
      <c r="D106" s="11"/>
      <c r="E106" s="10"/>
      <c r="F106" s="11"/>
    </row>
    <row r="107">
      <c r="A107" s="9">
        <v>45577.0</v>
      </c>
      <c r="B107" s="7">
        <v>4.0</v>
      </c>
      <c r="C107" s="10"/>
      <c r="D107" s="11"/>
      <c r="E107" s="10"/>
      <c r="F107" s="11"/>
    </row>
    <row r="108">
      <c r="A108" s="9">
        <v>45578.0</v>
      </c>
      <c r="B108" s="7">
        <v>2.0</v>
      </c>
      <c r="C108" s="10"/>
      <c r="D108" s="11"/>
      <c r="E108" s="10"/>
      <c r="F108" s="11"/>
    </row>
    <row r="109">
      <c r="A109" s="9">
        <v>45579.0</v>
      </c>
      <c r="B109" s="7">
        <v>0.0</v>
      </c>
      <c r="C109" s="10"/>
      <c r="D109" s="11"/>
      <c r="E109" s="10"/>
      <c r="F109" s="11"/>
    </row>
    <row r="110">
      <c r="A110" s="9">
        <v>45580.0</v>
      </c>
      <c r="B110" s="7">
        <v>0.0</v>
      </c>
      <c r="C110" s="10"/>
      <c r="D110" s="11"/>
      <c r="E110" s="10"/>
      <c r="F110" s="11"/>
    </row>
    <row r="111">
      <c r="A111" s="9">
        <v>45581.0</v>
      </c>
      <c r="B111" s="7">
        <v>1.0</v>
      </c>
      <c r="C111" s="10"/>
      <c r="D111" s="11"/>
      <c r="E111" s="10"/>
      <c r="F111" s="11"/>
    </row>
    <row r="112">
      <c r="A112" s="9">
        <v>45582.0</v>
      </c>
      <c r="B112" s="7">
        <v>1.0</v>
      </c>
      <c r="C112" s="10"/>
      <c r="D112" s="11"/>
      <c r="E112" s="10"/>
      <c r="F112" s="11"/>
    </row>
    <row r="113">
      <c r="A113" s="9">
        <v>45583.0</v>
      </c>
      <c r="B113" s="7">
        <v>1.0</v>
      </c>
      <c r="C113" s="10"/>
      <c r="D113" s="11"/>
      <c r="E113" s="10"/>
      <c r="F113" s="11"/>
    </row>
    <row r="114">
      <c r="A114" s="9">
        <v>45584.0</v>
      </c>
      <c r="B114" s="7">
        <v>2.0</v>
      </c>
      <c r="C114" s="10"/>
      <c r="D114" s="11"/>
      <c r="E114" s="10"/>
      <c r="F114" s="11"/>
    </row>
    <row r="115">
      <c r="A115" s="9">
        <v>45585.0</v>
      </c>
      <c r="B115" s="7">
        <v>1.0</v>
      </c>
      <c r="C115" s="10"/>
      <c r="D115" s="11"/>
      <c r="E115" s="10"/>
      <c r="F115" s="11"/>
    </row>
    <row r="116">
      <c r="A116" s="9">
        <v>45586.0</v>
      </c>
      <c r="B116" s="7">
        <v>0.0</v>
      </c>
      <c r="C116" s="10"/>
      <c r="D116" s="11"/>
      <c r="E116" s="10"/>
      <c r="F116" s="11"/>
    </row>
    <row r="117">
      <c r="A117" s="9">
        <v>45587.0</v>
      </c>
      <c r="B117" s="7">
        <v>5.0</v>
      </c>
      <c r="C117" s="10"/>
      <c r="D117" s="11"/>
      <c r="E117" s="10"/>
      <c r="F117" s="11"/>
    </row>
    <row r="118">
      <c r="A118" s="9">
        <v>45588.0</v>
      </c>
      <c r="B118" s="7">
        <v>2.0</v>
      </c>
      <c r="C118" s="10"/>
      <c r="D118" s="11"/>
      <c r="E118" s="10"/>
      <c r="F118" s="11"/>
    </row>
    <row r="119">
      <c r="A119" s="9">
        <v>45589.0</v>
      </c>
      <c r="B119" s="7">
        <v>8.0</v>
      </c>
      <c r="C119" s="10"/>
      <c r="D119" s="11"/>
      <c r="E119" s="10"/>
      <c r="F119" s="11"/>
    </row>
    <row r="120">
      <c r="A120" s="9">
        <v>45590.0</v>
      </c>
      <c r="B120" s="7">
        <v>2.0</v>
      </c>
      <c r="C120" s="10"/>
      <c r="D120" s="11"/>
      <c r="E120" s="10"/>
      <c r="F120" s="11"/>
    </row>
    <row r="121">
      <c r="A121" s="9">
        <v>45591.0</v>
      </c>
      <c r="B121" s="7">
        <v>1.0</v>
      </c>
      <c r="C121" s="10"/>
      <c r="D121" s="11"/>
      <c r="E121" s="10"/>
      <c r="F121" s="11"/>
    </row>
    <row r="122">
      <c r="A122" s="9">
        <v>45592.0</v>
      </c>
      <c r="B122" s="7">
        <v>3.0</v>
      </c>
      <c r="C122" s="10"/>
      <c r="D122" s="11"/>
      <c r="E122" s="10"/>
      <c r="F122" s="11"/>
    </row>
    <row r="123">
      <c r="A123" s="9">
        <v>45593.0</v>
      </c>
      <c r="B123" s="7">
        <v>3.0</v>
      </c>
      <c r="C123" s="10"/>
      <c r="D123" s="11"/>
      <c r="E123" s="10"/>
      <c r="F123" s="11"/>
    </row>
    <row r="124">
      <c r="A124" s="9">
        <v>45594.0</v>
      </c>
      <c r="B124" s="7">
        <v>1.0</v>
      </c>
      <c r="C124" s="10"/>
      <c r="D124" s="11"/>
      <c r="E124" s="10"/>
      <c r="F124" s="11"/>
    </row>
    <row r="125">
      <c r="A125" s="9">
        <v>45595.0</v>
      </c>
      <c r="B125" s="7">
        <v>7.0</v>
      </c>
      <c r="C125" s="10"/>
      <c r="D125" s="11"/>
      <c r="E125" s="10"/>
      <c r="F125" s="11"/>
    </row>
    <row r="126">
      <c r="A126" s="9">
        <v>45596.0</v>
      </c>
      <c r="B126" s="7">
        <v>2.0</v>
      </c>
      <c r="C126" s="10"/>
      <c r="D126" s="11"/>
      <c r="E126" s="10"/>
      <c r="F126" s="11"/>
    </row>
    <row r="127">
      <c r="A127" s="9">
        <v>45597.0</v>
      </c>
      <c r="B127" s="7">
        <v>5.0</v>
      </c>
      <c r="C127" s="10"/>
      <c r="D127" s="11"/>
      <c r="E127" s="10"/>
      <c r="F127" s="11"/>
    </row>
    <row r="128">
      <c r="A128" s="9">
        <v>45598.0</v>
      </c>
      <c r="B128" s="7">
        <v>2.0</v>
      </c>
      <c r="C128" s="10"/>
      <c r="D128" s="11"/>
      <c r="E128" s="10"/>
      <c r="F128" s="11"/>
    </row>
    <row r="129">
      <c r="A129" s="9">
        <v>45599.0</v>
      </c>
      <c r="B129" s="7">
        <v>6.0</v>
      </c>
      <c r="C129" s="10"/>
      <c r="D129" s="11"/>
      <c r="E129" s="10"/>
      <c r="F129" s="11"/>
    </row>
    <row r="130">
      <c r="A130" s="9">
        <v>45600.0</v>
      </c>
      <c r="B130" s="7">
        <v>3.0</v>
      </c>
      <c r="C130" s="10"/>
      <c r="D130" s="11"/>
      <c r="E130" s="10"/>
      <c r="F130" s="11"/>
    </row>
    <row r="131">
      <c r="A131" s="9">
        <v>45601.0</v>
      </c>
      <c r="B131" s="7">
        <v>3.0</v>
      </c>
      <c r="C131" s="10"/>
      <c r="D131" s="11"/>
      <c r="E131" s="10"/>
      <c r="F131" s="11"/>
    </row>
    <row r="132">
      <c r="A132" s="9">
        <v>45602.0</v>
      </c>
      <c r="B132" s="7">
        <v>3.0</v>
      </c>
      <c r="C132" s="10"/>
      <c r="D132" s="11"/>
      <c r="E132" s="10"/>
      <c r="F132" s="11"/>
    </row>
    <row r="133">
      <c r="A133" s="9">
        <v>45603.0</v>
      </c>
      <c r="B133" s="7">
        <v>4.0</v>
      </c>
      <c r="C133" s="10"/>
      <c r="D133" s="11"/>
      <c r="E133" s="10"/>
      <c r="F133" s="11"/>
    </row>
    <row r="134">
      <c r="A134" s="9">
        <v>45604.0</v>
      </c>
      <c r="B134" s="7">
        <v>0.0</v>
      </c>
      <c r="C134" s="10"/>
      <c r="D134" s="11"/>
      <c r="E134" s="10"/>
      <c r="F134" s="11"/>
    </row>
    <row r="135">
      <c r="A135" s="9">
        <v>45605.0</v>
      </c>
      <c r="B135" s="7">
        <v>2.0</v>
      </c>
      <c r="C135" s="10"/>
      <c r="D135" s="11"/>
      <c r="E135" s="10"/>
      <c r="F135" s="11"/>
    </row>
    <row r="136">
      <c r="A136" s="9">
        <v>45606.0</v>
      </c>
      <c r="B136" s="7">
        <v>1.0</v>
      </c>
      <c r="C136" s="10"/>
      <c r="D136" s="11"/>
      <c r="E136" s="10"/>
      <c r="F136" s="11"/>
    </row>
    <row r="137">
      <c r="A137" s="9">
        <v>45607.0</v>
      </c>
      <c r="B137" s="7">
        <v>1.0</v>
      </c>
      <c r="C137" s="10"/>
      <c r="D137" s="11"/>
      <c r="E137" s="10"/>
      <c r="F137" s="11"/>
    </row>
    <row r="138">
      <c r="A138" s="9">
        <v>45608.0</v>
      </c>
      <c r="B138" s="7">
        <v>3.0</v>
      </c>
      <c r="C138" s="10"/>
      <c r="D138" s="11"/>
      <c r="E138" s="10"/>
      <c r="F138" s="11"/>
    </row>
    <row r="139">
      <c r="A139" s="9">
        <v>45609.0</v>
      </c>
      <c r="B139" s="7">
        <v>1.0</v>
      </c>
      <c r="C139" s="10"/>
      <c r="D139" s="11"/>
      <c r="E139" s="10"/>
      <c r="F139" s="11"/>
    </row>
    <row r="140">
      <c r="A140" s="9">
        <v>45610.0</v>
      </c>
      <c r="B140" s="7">
        <v>2.0</v>
      </c>
      <c r="C140" s="10"/>
      <c r="D140" s="11"/>
      <c r="E140" s="10"/>
      <c r="F140" s="11"/>
    </row>
    <row r="141">
      <c r="A141" s="9">
        <v>45611.0</v>
      </c>
      <c r="B141" s="7">
        <v>2.0</v>
      </c>
      <c r="C141" s="10"/>
      <c r="D141" s="11"/>
      <c r="E141" s="10"/>
      <c r="F141" s="11"/>
    </row>
    <row r="142">
      <c r="A142" s="9">
        <v>45612.0</v>
      </c>
      <c r="B142" s="7">
        <v>0.0</v>
      </c>
      <c r="C142" s="10"/>
      <c r="D142" s="11"/>
      <c r="E142" s="10"/>
      <c r="F142" s="11"/>
    </row>
    <row r="143">
      <c r="A143" s="9">
        <v>45613.0</v>
      </c>
      <c r="B143" s="7">
        <v>3.0</v>
      </c>
      <c r="C143" s="10"/>
      <c r="D143" s="11"/>
      <c r="E143" s="10"/>
      <c r="F143" s="11"/>
    </row>
    <row r="144">
      <c r="A144" s="9">
        <v>45614.0</v>
      </c>
      <c r="B144" s="7">
        <v>2.0</v>
      </c>
      <c r="C144" s="10"/>
      <c r="D144" s="11"/>
      <c r="E144" s="10"/>
      <c r="F144" s="11"/>
    </row>
    <row r="145">
      <c r="A145" s="9">
        <v>45615.0</v>
      </c>
      <c r="B145" s="7">
        <v>4.0</v>
      </c>
      <c r="C145" s="10"/>
      <c r="D145" s="11"/>
      <c r="E145" s="10"/>
      <c r="F145" s="11"/>
    </row>
    <row r="146">
      <c r="A146" s="9">
        <v>45616.0</v>
      </c>
      <c r="B146" s="7">
        <v>2.0</v>
      </c>
      <c r="C146" s="10"/>
      <c r="D146" s="11"/>
      <c r="E146" s="10"/>
      <c r="F146" s="11"/>
    </row>
    <row r="147">
      <c r="A147" s="9">
        <v>45617.0</v>
      </c>
      <c r="B147" s="7">
        <v>2.0</v>
      </c>
      <c r="C147" s="10"/>
      <c r="D147" s="11"/>
      <c r="E147" s="10"/>
      <c r="F147" s="11"/>
    </row>
    <row r="148">
      <c r="A148" s="9">
        <v>45618.0</v>
      </c>
      <c r="B148" s="7">
        <v>6.0</v>
      </c>
      <c r="C148" s="10"/>
      <c r="D148" s="11"/>
      <c r="E148" s="10"/>
      <c r="F148" s="11"/>
    </row>
    <row r="149">
      <c r="A149" s="9">
        <v>45619.0</v>
      </c>
      <c r="B149" s="7">
        <v>5.0</v>
      </c>
      <c r="C149" s="10"/>
      <c r="D149" s="11"/>
      <c r="E149" s="10"/>
      <c r="F149" s="11"/>
    </row>
    <row r="150">
      <c r="A150" s="9">
        <v>45620.0</v>
      </c>
      <c r="B150" s="7">
        <v>7.0</v>
      </c>
      <c r="C150" s="10"/>
      <c r="D150" s="11"/>
      <c r="E150" s="10"/>
      <c r="F150" s="11"/>
    </row>
    <row r="151">
      <c r="A151" s="9">
        <v>45621.0</v>
      </c>
      <c r="B151" s="7">
        <v>2.0</v>
      </c>
      <c r="C151" s="10"/>
      <c r="D151" s="11"/>
      <c r="E151" s="10"/>
      <c r="F151" s="11"/>
    </row>
    <row r="152">
      <c r="A152" s="9">
        <v>45622.0</v>
      </c>
      <c r="B152" s="7">
        <v>4.0</v>
      </c>
      <c r="C152" s="10"/>
      <c r="D152" s="11"/>
      <c r="E152" s="10"/>
      <c r="F152" s="11"/>
    </row>
    <row r="153">
      <c r="A153" s="9">
        <v>45623.0</v>
      </c>
      <c r="B153" s="7">
        <v>1.0</v>
      </c>
      <c r="C153" s="10"/>
      <c r="D153" s="11"/>
      <c r="E153" s="10"/>
      <c r="F153" s="11"/>
    </row>
    <row r="154">
      <c r="A154" s="9">
        <v>45624.0</v>
      </c>
      <c r="B154" s="7">
        <v>1.0</v>
      </c>
      <c r="C154" s="10"/>
      <c r="D154" s="11"/>
      <c r="E154" s="10"/>
      <c r="F154" s="11"/>
    </row>
    <row r="155">
      <c r="A155" s="9">
        <v>45625.0</v>
      </c>
      <c r="B155" s="7">
        <v>2.0</v>
      </c>
      <c r="C155" s="10"/>
      <c r="D155" s="11"/>
      <c r="E155" s="10"/>
      <c r="F155" s="11"/>
    </row>
    <row r="156">
      <c r="A156" s="9">
        <v>45626.0</v>
      </c>
      <c r="B156" s="7">
        <v>2.0</v>
      </c>
      <c r="C156" s="10"/>
      <c r="D156" s="11"/>
      <c r="E156" s="10"/>
      <c r="F156" s="11"/>
    </row>
    <row r="157">
      <c r="A157" s="9">
        <v>45627.0</v>
      </c>
      <c r="B157" s="7">
        <v>0.0</v>
      </c>
      <c r="C157" s="10"/>
      <c r="D157" s="11"/>
      <c r="E157" s="10"/>
      <c r="F157" s="11"/>
    </row>
    <row r="158">
      <c r="A158" s="9">
        <v>45628.0</v>
      </c>
      <c r="B158" s="7">
        <v>1.0</v>
      </c>
      <c r="C158" s="10"/>
      <c r="D158" s="11"/>
      <c r="E158" s="10"/>
      <c r="F158" s="11"/>
    </row>
    <row r="159">
      <c r="A159" s="9">
        <v>45629.0</v>
      </c>
      <c r="B159" s="7">
        <v>3.0</v>
      </c>
      <c r="C159" s="10"/>
      <c r="D159" s="11"/>
      <c r="E159" s="10"/>
      <c r="F159" s="11"/>
    </row>
    <row r="160">
      <c r="A160" s="9">
        <v>45630.0</v>
      </c>
      <c r="B160" s="7">
        <v>5.0</v>
      </c>
      <c r="C160" s="10"/>
      <c r="D160" s="11"/>
      <c r="E160" s="10"/>
      <c r="F160" s="11"/>
    </row>
    <row r="161">
      <c r="A161" s="9">
        <v>45631.0</v>
      </c>
      <c r="B161" s="7">
        <v>1.0</v>
      </c>
      <c r="C161" s="10"/>
      <c r="D161" s="11"/>
      <c r="E161" s="10"/>
      <c r="F161" s="11"/>
    </row>
    <row r="162">
      <c r="A162" s="9">
        <v>45632.0</v>
      </c>
      <c r="B162" s="7">
        <v>3.0</v>
      </c>
      <c r="C162" s="10"/>
      <c r="D162" s="11"/>
      <c r="E162" s="10"/>
      <c r="F162" s="11"/>
    </row>
    <row r="163">
      <c r="A163" s="9">
        <v>45633.0</v>
      </c>
      <c r="B163" s="7">
        <v>3.0</v>
      </c>
      <c r="C163" s="10"/>
      <c r="D163" s="11"/>
      <c r="E163" s="10"/>
      <c r="F163" s="11"/>
    </row>
    <row r="164">
      <c r="A164" s="9">
        <v>45634.0</v>
      </c>
      <c r="B164" s="7">
        <v>1.0</v>
      </c>
      <c r="C164" s="10"/>
      <c r="D164" s="11"/>
      <c r="E164" s="10"/>
      <c r="F164" s="11"/>
    </row>
    <row r="165">
      <c r="A165" s="9">
        <v>45635.0</v>
      </c>
      <c r="B165" s="7">
        <v>1.0</v>
      </c>
      <c r="C165" s="10"/>
      <c r="D165" s="11"/>
      <c r="E165" s="10"/>
      <c r="F165" s="11"/>
    </row>
    <row r="166">
      <c r="A166" s="9">
        <v>45636.0</v>
      </c>
      <c r="B166" s="7">
        <v>0.0</v>
      </c>
      <c r="C166" s="10"/>
      <c r="D166" s="11"/>
      <c r="E166" s="10"/>
      <c r="F166" s="11"/>
    </row>
    <row r="167">
      <c r="A167" s="9">
        <v>45637.0</v>
      </c>
      <c r="B167" s="7">
        <v>2.0</v>
      </c>
      <c r="C167" s="10"/>
      <c r="D167" s="11"/>
      <c r="E167" s="10"/>
      <c r="F167" s="11"/>
    </row>
    <row r="168">
      <c r="A168" s="9">
        <v>45638.0</v>
      </c>
      <c r="B168" s="7">
        <v>3.0</v>
      </c>
      <c r="C168" s="10"/>
      <c r="D168" s="11"/>
      <c r="E168" s="10"/>
      <c r="F168" s="11"/>
    </row>
    <row r="169">
      <c r="A169" s="9">
        <v>45639.0</v>
      </c>
      <c r="B169" s="7">
        <v>0.0</v>
      </c>
      <c r="C169" s="10"/>
      <c r="D169" s="11"/>
      <c r="E169" s="10"/>
      <c r="F169" s="11"/>
    </row>
    <row r="170">
      <c r="A170" s="9">
        <v>45640.0</v>
      </c>
      <c r="B170" s="7">
        <v>2.0</v>
      </c>
      <c r="C170" s="10"/>
      <c r="D170" s="11"/>
      <c r="E170" s="10"/>
      <c r="F170" s="11"/>
    </row>
    <row r="171">
      <c r="A171" s="9">
        <v>45641.0</v>
      </c>
      <c r="B171" s="7">
        <v>2.0</v>
      </c>
      <c r="C171" s="10"/>
      <c r="D171" s="11"/>
      <c r="E171" s="10"/>
      <c r="F171" s="11"/>
    </row>
    <row r="172">
      <c r="A172" s="9">
        <v>45642.0</v>
      </c>
      <c r="B172" s="7">
        <v>2.0</v>
      </c>
      <c r="C172" s="10"/>
      <c r="D172" s="11"/>
      <c r="E172" s="10"/>
      <c r="F172" s="11"/>
    </row>
    <row r="173">
      <c r="A173" s="9">
        <v>45643.0</v>
      </c>
      <c r="B173" s="7">
        <v>1.0</v>
      </c>
      <c r="C173" s="10"/>
      <c r="D173" s="11"/>
      <c r="E173" s="10"/>
      <c r="F173" s="11"/>
    </row>
    <row r="174">
      <c r="A174" s="9">
        <v>45644.0</v>
      </c>
      <c r="B174" s="7">
        <v>1.0</v>
      </c>
      <c r="C174" s="10"/>
      <c r="D174" s="11"/>
      <c r="E174" s="10"/>
      <c r="F174" s="11"/>
    </row>
    <row r="175">
      <c r="A175" s="9">
        <v>45645.0</v>
      </c>
      <c r="B175" s="7">
        <v>4.0</v>
      </c>
      <c r="C175" s="10"/>
      <c r="D175" s="11"/>
      <c r="E175" s="10"/>
      <c r="F175" s="11"/>
    </row>
    <row r="176">
      <c r="A176" s="9">
        <v>45646.0</v>
      </c>
      <c r="B176" s="7">
        <v>1.0</v>
      </c>
      <c r="C176" s="10"/>
      <c r="D176" s="11"/>
      <c r="E176" s="10"/>
      <c r="F176" s="11"/>
    </row>
    <row r="177">
      <c r="A177" s="9">
        <v>45647.0</v>
      </c>
      <c r="B177" s="7">
        <v>0.0</v>
      </c>
      <c r="C177" s="10"/>
      <c r="D177" s="11"/>
      <c r="E177" s="10"/>
      <c r="F177" s="11"/>
    </row>
    <row r="178">
      <c r="A178" s="9">
        <v>45648.0</v>
      </c>
      <c r="B178" s="7">
        <v>1.0</v>
      </c>
      <c r="C178" s="10"/>
      <c r="D178" s="11"/>
      <c r="E178" s="10"/>
      <c r="F178" s="11"/>
    </row>
    <row r="179">
      <c r="A179" s="9">
        <v>45649.0</v>
      </c>
      <c r="B179" s="7">
        <v>0.0</v>
      </c>
      <c r="C179" s="10"/>
      <c r="D179" s="11"/>
      <c r="E179" s="10"/>
      <c r="F179" s="11"/>
    </row>
    <row r="180">
      <c r="A180" s="9">
        <v>45650.0</v>
      </c>
      <c r="B180" s="7">
        <v>1.0</v>
      </c>
      <c r="C180" s="10"/>
      <c r="D180" s="11"/>
      <c r="E180" s="10"/>
      <c r="F180" s="11"/>
    </row>
    <row r="181">
      <c r="A181" s="9">
        <v>45651.0</v>
      </c>
      <c r="B181" s="7">
        <v>1.0</v>
      </c>
      <c r="C181" s="10"/>
      <c r="D181" s="11"/>
      <c r="E181" s="10"/>
      <c r="F181" s="11"/>
    </row>
    <row r="182">
      <c r="A182" s="9">
        <v>45652.0</v>
      </c>
      <c r="B182" s="7">
        <v>2.0</v>
      </c>
      <c r="C182" s="10"/>
      <c r="D182" s="11"/>
      <c r="E182" s="10"/>
      <c r="F182" s="11"/>
    </row>
    <row r="183">
      <c r="A183" s="9">
        <v>45653.0</v>
      </c>
      <c r="B183" s="7">
        <v>0.0</v>
      </c>
      <c r="C183" s="10"/>
      <c r="D183" s="11"/>
      <c r="E183" s="10"/>
      <c r="F183" s="11"/>
    </row>
    <row r="184">
      <c r="A184" s="9">
        <v>45654.0</v>
      </c>
      <c r="B184" s="7">
        <v>0.0</v>
      </c>
      <c r="C184" s="10"/>
      <c r="D184" s="11"/>
      <c r="E184" s="10"/>
      <c r="F184" s="11"/>
    </row>
    <row r="185">
      <c r="A185" s="9">
        <v>45655.0</v>
      </c>
      <c r="B185" s="7">
        <v>3.0</v>
      </c>
      <c r="C185" s="10"/>
      <c r="D185" s="11"/>
      <c r="E185" s="10"/>
      <c r="F185" s="11"/>
    </row>
    <row r="186">
      <c r="A186" s="9">
        <v>45656.0</v>
      </c>
      <c r="B186" s="7">
        <v>2.0</v>
      </c>
      <c r="C186" s="10"/>
      <c r="D186" s="11"/>
      <c r="E186" s="10"/>
      <c r="F186" s="11"/>
    </row>
    <row r="187">
      <c r="A187" s="9">
        <v>45657.0</v>
      </c>
      <c r="B187" s="7">
        <v>5.0</v>
      </c>
      <c r="C187" s="10"/>
      <c r="D187" s="11"/>
      <c r="E187" s="10"/>
      <c r="F187" s="11"/>
    </row>
    <row r="188">
      <c r="A188" s="9">
        <v>45658.0</v>
      </c>
      <c r="B188" s="7">
        <v>2.0</v>
      </c>
      <c r="C188" s="10"/>
      <c r="D188" s="11"/>
      <c r="E188" s="10"/>
      <c r="F188" s="11"/>
    </row>
    <row r="189">
      <c r="A189" s="9">
        <v>45659.0</v>
      </c>
      <c r="B189" s="7">
        <v>2.0</v>
      </c>
      <c r="C189" s="10"/>
      <c r="D189" s="11"/>
      <c r="E189" s="10"/>
      <c r="F189" s="11"/>
    </row>
    <row r="190">
      <c r="A190" s="9">
        <v>45660.0</v>
      </c>
      <c r="B190" s="7">
        <v>2.0</v>
      </c>
      <c r="C190" s="10"/>
      <c r="D190" s="11"/>
      <c r="E190" s="10"/>
      <c r="F190" s="11"/>
    </row>
    <row r="191">
      <c r="A191" s="9">
        <v>45661.0</v>
      </c>
      <c r="B191" s="7">
        <v>2.0</v>
      </c>
      <c r="C191" s="10"/>
      <c r="D191" s="11"/>
      <c r="E191" s="10"/>
      <c r="F191" s="11"/>
    </row>
    <row r="192">
      <c r="A192" s="9">
        <v>45662.0</v>
      </c>
      <c r="B192" s="7">
        <v>1.0</v>
      </c>
      <c r="C192" s="10"/>
      <c r="D192" s="11"/>
      <c r="E192" s="10"/>
      <c r="F192" s="11"/>
    </row>
    <row r="193">
      <c r="A193" s="9">
        <v>45663.0</v>
      </c>
      <c r="B193" s="7">
        <v>3.0</v>
      </c>
      <c r="C193" s="10"/>
      <c r="D193" s="11"/>
      <c r="E193" s="10"/>
      <c r="F193" s="11"/>
    </row>
    <row r="194">
      <c r="A194" s="9">
        <v>45664.0</v>
      </c>
      <c r="B194" s="7">
        <v>4.0</v>
      </c>
      <c r="C194" s="10"/>
      <c r="D194" s="11"/>
      <c r="E194" s="10"/>
      <c r="F194" s="11"/>
    </row>
    <row r="195">
      <c r="A195" s="9">
        <v>45665.0</v>
      </c>
      <c r="B195" s="7">
        <v>1.0</v>
      </c>
      <c r="C195" s="10"/>
      <c r="D195" s="11"/>
      <c r="E195" s="10"/>
      <c r="F195" s="11"/>
    </row>
    <row r="196">
      <c r="A196" s="9">
        <v>45666.0</v>
      </c>
      <c r="B196" s="7">
        <v>2.0</v>
      </c>
      <c r="C196" s="10"/>
      <c r="D196" s="11"/>
      <c r="E196" s="10"/>
      <c r="F196" s="11"/>
    </row>
    <row r="197">
      <c r="A197" s="9">
        <v>45667.0</v>
      </c>
      <c r="B197" s="7">
        <v>2.0</v>
      </c>
      <c r="C197" s="10"/>
      <c r="D197" s="11"/>
      <c r="E197" s="10"/>
      <c r="F197" s="11"/>
    </row>
    <row r="198">
      <c r="A198" s="9">
        <v>45668.0</v>
      </c>
      <c r="B198" s="7">
        <v>2.0</v>
      </c>
      <c r="C198" s="10"/>
      <c r="D198" s="11"/>
      <c r="E198" s="10"/>
      <c r="F198" s="11"/>
    </row>
    <row r="199">
      <c r="A199" s="9">
        <v>45669.0</v>
      </c>
      <c r="B199" s="7">
        <v>3.0</v>
      </c>
      <c r="C199" s="10"/>
      <c r="D199" s="11"/>
      <c r="E199" s="10"/>
      <c r="F199" s="11"/>
    </row>
    <row r="200">
      <c r="A200" s="9">
        <v>45670.0</v>
      </c>
      <c r="B200" s="7">
        <v>1.0</v>
      </c>
      <c r="C200" s="10"/>
      <c r="D200" s="11"/>
      <c r="E200" s="10"/>
      <c r="F200" s="11"/>
    </row>
    <row r="201">
      <c r="A201" s="9">
        <v>45671.0</v>
      </c>
      <c r="B201" s="7">
        <v>3.0</v>
      </c>
      <c r="C201" s="10"/>
      <c r="D201" s="11"/>
      <c r="E201" s="10"/>
      <c r="F201" s="11"/>
    </row>
    <row r="202">
      <c r="A202" s="9">
        <v>45672.0</v>
      </c>
      <c r="B202" s="7">
        <v>2.0</v>
      </c>
      <c r="C202" s="10"/>
      <c r="D202" s="11"/>
      <c r="E202" s="10"/>
      <c r="F202" s="11"/>
    </row>
    <row r="203">
      <c r="A203" s="9">
        <v>45673.0</v>
      </c>
      <c r="B203" s="7">
        <v>1.0</v>
      </c>
      <c r="C203" s="10"/>
      <c r="D203" s="11"/>
      <c r="E203" s="10"/>
      <c r="F203" s="11"/>
    </row>
    <row r="204">
      <c r="A204" s="9">
        <v>45674.0</v>
      </c>
      <c r="B204" s="7">
        <v>4.0</v>
      </c>
      <c r="C204" s="10"/>
      <c r="D204" s="11"/>
      <c r="E204" s="10"/>
      <c r="F204" s="11"/>
    </row>
    <row r="205">
      <c r="A205" s="9">
        <v>45675.0</v>
      </c>
      <c r="B205" s="7">
        <v>1.0</v>
      </c>
      <c r="C205" s="10"/>
      <c r="D205" s="11"/>
      <c r="E205" s="10"/>
      <c r="F205" s="11"/>
    </row>
    <row r="206">
      <c r="A206" s="9">
        <v>45676.0</v>
      </c>
      <c r="B206" s="7">
        <v>1.0</v>
      </c>
      <c r="C206" s="10"/>
      <c r="D206" s="11"/>
      <c r="E206" s="10"/>
      <c r="F206" s="11"/>
    </row>
    <row r="207">
      <c r="A207" s="9">
        <v>45677.0</v>
      </c>
      <c r="B207" s="7">
        <v>2.0</v>
      </c>
      <c r="C207" s="10"/>
      <c r="D207" s="11"/>
      <c r="E207" s="10"/>
      <c r="F207" s="11"/>
    </row>
    <row r="208">
      <c r="A208" s="9">
        <v>45678.0</v>
      </c>
      <c r="B208" s="7">
        <v>2.0</v>
      </c>
      <c r="C208" s="10"/>
      <c r="D208" s="11"/>
      <c r="E208" s="10"/>
      <c r="F208" s="11"/>
    </row>
    <row r="209">
      <c r="A209" s="9">
        <v>45679.0</v>
      </c>
      <c r="B209" s="7">
        <v>1.0</v>
      </c>
      <c r="C209" s="10"/>
      <c r="D209" s="11"/>
      <c r="E209" s="10"/>
      <c r="F209" s="11"/>
    </row>
    <row r="210">
      <c r="A210" s="9">
        <v>45680.0</v>
      </c>
      <c r="B210" s="7">
        <v>1.0</v>
      </c>
      <c r="C210" s="10"/>
      <c r="D210" s="11"/>
      <c r="E210" s="10"/>
      <c r="F210" s="11"/>
    </row>
    <row r="211">
      <c r="A211" s="9">
        <v>45681.0</v>
      </c>
      <c r="B211" s="7">
        <v>1.0</v>
      </c>
      <c r="C211" s="10"/>
      <c r="D211" s="11"/>
      <c r="E211" s="10"/>
      <c r="F211" s="11"/>
    </row>
    <row r="212">
      <c r="A212" s="9">
        <v>45682.0</v>
      </c>
      <c r="B212" s="7">
        <v>1.0</v>
      </c>
      <c r="C212" s="10"/>
      <c r="D212" s="11"/>
      <c r="E212" s="10"/>
      <c r="F212" s="11"/>
    </row>
    <row r="213">
      <c r="A213" s="9">
        <v>45683.0</v>
      </c>
      <c r="B213" s="7">
        <v>4.0</v>
      </c>
      <c r="C213" s="10"/>
      <c r="D213" s="11"/>
      <c r="E213" s="10"/>
      <c r="F213" s="11"/>
    </row>
    <row r="214">
      <c r="A214" s="9">
        <v>45684.0</v>
      </c>
      <c r="B214" s="7">
        <v>2.0</v>
      </c>
      <c r="C214" s="10"/>
      <c r="D214" s="11"/>
      <c r="E214" s="10"/>
      <c r="F214" s="11"/>
    </row>
    <row r="215">
      <c r="A215" s="9">
        <v>45685.0</v>
      </c>
      <c r="B215" s="7">
        <v>1.0</v>
      </c>
      <c r="C215" s="10"/>
      <c r="D215" s="11"/>
      <c r="E215" s="10"/>
      <c r="F215" s="11"/>
    </row>
    <row r="216">
      <c r="A216" s="9">
        <v>45686.0</v>
      </c>
      <c r="B216" s="7">
        <v>0.0</v>
      </c>
      <c r="C216" s="10"/>
      <c r="D216" s="11"/>
      <c r="E216" s="10"/>
      <c r="F216" s="11"/>
    </row>
    <row r="217">
      <c r="A217" s="9">
        <v>45687.0</v>
      </c>
      <c r="B217" s="7">
        <v>3.0</v>
      </c>
      <c r="C217" s="10"/>
      <c r="D217" s="11"/>
      <c r="E217" s="10"/>
      <c r="F217" s="11"/>
    </row>
    <row r="218">
      <c r="A218" s="9">
        <v>45688.0</v>
      </c>
      <c r="B218" s="7">
        <v>3.0</v>
      </c>
      <c r="C218" s="10"/>
      <c r="D218" s="11"/>
      <c r="E218" s="10"/>
      <c r="F218" s="11"/>
    </row>
    <row r="219">
      <c r="A219" s="9">
        <v>45689.0</v>
      </c>
      <c r="B219" s="7">
        <v>0.0</v>
      </c>
      <c r="C219" s="10"/>
      <c r="D219" s="11"/>
      <c r="E219" s="10"/>
      <c r="F219" s="11"/>
    </row>
    <row r="220">
      <c r="A220" s="9">
        <v>45690.0</v>
      </c>
      <c r="B220" s="7">
        <v>3.0</v>
      </c>
      <c r="C220" s="10"/>
      <c r="D220" s="11"/>
      <c r="E220" s="10"/>
      <c r="F220" s="11"/>
    </row>
    <row r="221">
      <c r="A221" s="9">
        <v>45691.0</v>
      </c>
      <c r="B221" s="7">
        <v>0.0</v>
      </c>
      <c r="C221" s="10"/>
      <c r="D221" s="11"/>
      <c r="E221" s="10"/>
      <c r="F221" s="11"/>
    </row>
    <row r="222">
      <c r="A222" s="9">
        <v>45692.0</v>
      </c>
      <c r="B222" s="7">
        <v>3.0</v>
      </c>
      <c r="C222" s="10"/>
      <c r="D222" s="11"/>
      <c r="E222" s="10"/>
      <c r="F222" s="11"/>
    </row>
    <row r="223">
      <c r="A223" s="9">
        <v>45693.0</v>
      </c>
      <c r="B223" s="7">
        <v>2.0</v>
      </c>
      <c r="C223" s="10"/>
      <c r="D223" s="11"/>
      <c r="E223" s="10"/>
      <c r="F223" s="11"/>
    </row>
    <row r="224">
      <c r="A224" s="9">
        <v>45694.0</v>
      </c>
      <c r="B224" s="7">
        <v>6.0</v>
      </c>
      <c r="C224" s="10"/>
      <c r="D224" s="11"/>
      <c r="E224" s="10"/>
      <c r="F224" s="11"/>
    </row>
    <row r="225">
      <c r="A225" s="9">
        <v>45695.0</v>
      </c>
      <c r="B225" s="7">
        <v>2.0</v>
      </c>
      <c r="C225" s="10"/>
      <c r="D225" s="11"/>
      <c r="E225" s="10"/>
      <c r="F225" s="11"/>
    </row>
    <row r="226">
      <c r="A226" s="9">
        <v>45696.0</v>
      </c>
      <c r="B226" s="7">
        <v>5.0</v>
      </c>
      <c r="C226" s="10"/>
      <c r="D226" s="11"/>
      <c r="E226" s="10"/>
      <c r="F226" s="11"/>
    </row>
    <row r="227">
      <c r="A227" s="9">
        <v>45697.0</v>
      </c>
      <c r="B227" s="7">
        <v>2.0</v>
      </c>
      <c r="C227" s="10"/>
      <c r="D227" s="11"/>
      <c r="E227" s="10"/>
      <c r="F227" s="11"/>
    </row>
    <row r="228">
      <c r="A228" s="9">
        <v>45698.0</v>
      </c>
      <c r="B228" s="7">
        <v>4.0</v>
      </c>
      <c r="C228" s="10"/>
      <c r="D228" s="11"/>
      <c r="E228" s="10"/>
      <c r="F228" s="11"/>
    </row>
    <row r="229">
      <c r="A229" s="9">
        <v>45699.0</v>
      </c>
      <c r="B229" s="7">
        <v>2.0</v>
      </c>
      <c r="C229" s="10"/>
      <c r="D229" s="11"/>
      <c r="E229" s="10"/>
      <c r="F229" s="11"/>
    </row>
    <row r="230">
      <c r="A230" s="9">
        <v>45700.0</v>
      </c>
      <c r="B230" s="7">
        <v>3.0</v>
      </c>
      <c r="C230" s="10"/>
      <c r="D230" s="11"/>
      <c r="E230" s="10"/>
      <c r="F230" s="11"/>
    </row>
    <row r="231">
      <c r="A231" s="9">
        <v>45701.0</v>
      </c>
      <c r="B231" s="7">
        <v>3.0</v>
      </c>
      <c r="C231" s="10"/>
      <c r="D231" s="11"/>
      <c r="E231" s="10"/>
      <c r="F231" s="11"/>
    </row>
    <row r="232">
      <c r="A232" s="9">
        <v>45702.0</v>
      </c>
      <c r="B232" s="7">
        <v>7.0</v>
      </c>
      <c r="C232" s="10"/>
      <c r="D232" s="11"/>
      <c r="E232" s="10"/>
      <c r="F232" s="11"/>
    </row>
    <row r="233">
      <c r="A233" s="9">
        <v>45703.0</v>
      </c>
      <c r="B233" s="7">
        <v>10.0</v>
      </c>
      <c r="C233" s="10"/>
      <c r="D233" s="11"/>
      <c r="E233" s="10"/>
      <c r="F233" s="11"/>
    </row>
    <row r="234">
      <c r="A234" s="9">
        <v>45704.0</v>
      </c>
      <c r="B234" s="7">
        <v>1.0</v>
      </c>
      <c r="C234" s="10"/>
      <c r="D234" s="11"/>
      <c r="E234" s="10"/>
      <c r="F234" s="11"/>
    </row>
    <row r="235">
      <c r="A235" s="9">
        <v>45705.0</v>
      </c>
      <c r="B235" s="7">
        <v>4.0</v>
      </c>
      <c r="C235" s="10"/>
      <c r="D235" s="11"/>
      <c r="E235" s="10"/>
      <c r="F235" s="11"/>
    </row>
    <row r="236">
      <c r="A236" s="9">
        <v>45706.0</v>
      </c>
      <c r="B236" s="7">
        <v>3.0</v>
      </c>
      <c r="C236" s="10"/>
      <c r="D236" s="11"/>
      <c r="E236" s="10"/>
      <c r="F236" s="11"/>
    </row>
    <row r="237">
      <c r="A237" s="9">
        <v>45707.0</v>
      </c>
      <c r="B237" s="7">
        <v>5.0</v>
      </c>
      <c r="C237" s="10"/>
      <c r="D237" s="11"/>
      <c r="E237" s="10"/>
      <c r="F237" s="11"/>
    </row>
    <row r="238">
      <c r="A238" s="9">
        <v>45708.0</v>
      </c>
      <c r="B238" s="7">
        <v>1.0</v>
      </c>
      <c r="C238" s="10"/>
      <c r="D238" s="11"/>
      <c r="E238" s="10"/>
      <c r="F238" s="11"/>
    </row>
    <row r="239">
      <c r="A239" s="9">
        <v>45709.0</v>
      </c>
      <c r="B239" s="7">
        <v>1.0</v>
      </c>
      <c r="C239" s="10"/>
      <c r="D239" s="11"/>
      <c r="E239" s="10"/>
      <c r="F239" s="11"/>
    </row>
    <row r="240">
      <c r="A240" s="9">
        <v>45710.0</v>
      </c>
      <c r="B240" s="7">
        <v>2.0</v>
      </c>
      <c r="C240" s="10"/>
      <c r="D240" s="11"/>
      <c r="E240" s="10"/>
      <c r="F240" s="11"/>
    </row>
    <row r="241">
      <c r="A241" s="9">
        <v>45711.0</v>
      </c>
      <c r="B241" s="7">
        <v>2.0</v>
      </c>
      <c r="C241" s="10"/>
      <c r="D241" s="11"/>
      <c r="E241" s="10"/>
      <c r="F241" s="11"/>
    </row>
    <row r="242">
      <c r="A242" s="9">
        <v>45712.0</v>
      </c>
      <c r="B242" s="7">
        <v>4.0</v>
      </c>
      <c r="C242" s="10"/>
      <c r="D242" s="11"/>
      <c r="E242" s="10"/>
      <c r="F242" s="11"/>
    </row>
    <row r="243">
      <c r="A243" s="9">
        <v>45713.0</v>
      </c>
      <c r="B243" s="7">
        <v>5.0</v>
      </c>
      <c r="C243" s="10"/>
      <c r="D243" s="11"/>
      <c r="E243" s="10"/>
      <c r="F243" s="11"/>
    </row>
    <row r="244">
      <c r="A244" s="9">
        <v>45714.0</v>
      </c>
      <c r="B244" s="7">
        <v>7.0</v>
      </c>
      <c r="C244" s="10"/>
      <c r="D244" s="11"/>
      <c r="E244" s="10"/>
      <c r="F244" s="11"/>
    </row>
    <row r="245">
      <c r="A245" s="9">
        <v>45715.0</v>
      </c>
      <c r="B245" s="7">
        <v>4.0</v>
      </c>
      <c r="C245" s="10"/>
      <c r="D245" s="11"/>
      <c r="E245" s="10"/>
      <c r="F245" s="11"/>
    </row>
    <row r="246">
      <c r="A246" s="9">
        <v>45716.0</v>
      </c>
      <c r="B246" s="7">
        <v>5.0</v>
      </c>
      <c r="C246" s="10"/>
      <c r="D246" s="11"/>
      <c r="E246" s="10"/>
      <c r="F246" s="11"/>
    </row>
    <row r="247">
      <c r="A247" s="9">
        <v>45717.0</v>
      </c>
      <c r="B247" s="7">
        <v>4.0</v>
      </c>
      <c r="C247" s="12"/>
      <c r="D247" s="13"/>
      <c r="E247" s="12"/>
      <c r="F247" s="13"/>
    </row>
    <row r="248">
      <c r="A248" s="9">
        <v>45718.0</v>
      </c>
      <c r="B248" s="7">
        <v>2.0</v>
      </c>
      <c r="C248" s="12"/>
      <c r="D248" s="13"/>
      <c r="E248" s="12"/>
      <c r="F248" s="13"/>
    </row>
    <row r="249">
      <c r="A249" s="9">
        <v>45719.0</v>
      </c>
      <c r="B249" s="7">
        <v>2.0</v>
      </c>
      <c r="C249" s="12"/>
      <c r="D249" s="13"/>
      <c r="E249" s="12"/>
      <c r="F249" s="13"/>
    </row>
    <row r="250">
      <c r="A250" s="9">
        <v>45720.0</v>
      </c>
      <c r="B250" s="7">
        <v>2.0</v>
      </c>
      <c r="C250" s="12"/>
      <c r="D250" s="13"/>
      <c r="E250" s="12"/>
      <c r="F250" s="13"/>
    </row>
    <row r="251">
      <c r="A251" s="9">
        <v>45721.0</v>
      </c>
      <c r="B251" s="7">
        <v>5.0</v>
      </c>
      <c r="C251" s="12"/>
      <c r="D251" s="13"/>
      <c r="E251" s="12"/>
      <c r="F251" s="13"/>
    </row>
    <row r="252">
      <c r="A252" s="9">
        <v>45722.0</v>
      </c>
      <c r="B252" s="7">
        <v>6.0</v>
      </c>
      <c r="C252" s="12"/>
      <c r="D252" s="13"/>
      <c r="E252" s="12"/>
      <c r="F252" s="13"/>
    </row>
    <row r="253">
      <c r="A253" s="9">
        <v>45723.0</v>
      </c>
      <c r="B253" s="7">
        <v>5.0</v>
      </c>
      <c r="C253" s="12"/>
      <c r="D253" s="13"/>
      <c r="E253" s="12"/>
      <c r="F253" s="13"/>
    </row>
    <row r="254">
      <c r="A254" s="9">
        <v>45724.0</v>
      </c>
      <c r="B254" s="7">
        <v>3.0</v>
      </c>
      <c r="C254" s="12"/>
      <c r="D254" s="13"/>
      <c r="E254" s="12"/>
      <c r="F254" s="13"/>
    </row>
    <row r="255">
      <c r="A255" s="9">
        <v>45725.0</v>
      </c>
      <c r="B255" s="7">
        <v>4.0</v>
      </c>
      <c r="C255" s="12"/>
      <c r="D255" s="13"/>
      <c r="E255" s="12"/>
      <c r="F255" s="13"/>
    </row>
    <row r="256">
      <c r="A256" s="9">
        <v>45726.0</v>
      </c>
      <c r="B256" s="7">
        <v>3.0</v>
      </c>
      <c r="C256" s="12"/>
      <c r="D256" s="13"/>
      <c r="E256" s="12"/>
      <c r="F256" s="13"/>
    </row>
    <row r="257">
      <c r="A257" s="9">
        <v>45727.0</v>
      </c>
      <c r="B257" s="7">
        <v>4.0</v>
      </c>
      <c r="C257" s="12"/>
      <c r="D257" s="13"/>
      <c r="E257" s="12"/>
      <c r="F257" s="13"/>
    </row>
    <row r="258">
      <c r="A258" s="9">
        <v>45728.0</v>
      </c>
      <c r="B258" s="7">
        <v>1.0</v>
      </c>
      <c r="C258" s="12"/>
      <c r="D258" s="13"/>
      <c r="E258" s="12"/>
      <c r="F258" s="13"/>
    </row>
    <row r="259">
      <c r="A259" s="9">
        <v>45729.0</v>
      </c>
      <c r="B259" s="7">
        <v>6.0</v>
      </c>
      <c r="C259" s="12"/>
      <c r="D259" s="13"/>
      <c r="E259" s="12"/>
      <c r="F259" s="13"/>
    </row>
    <row r="260">
      <c r="A260" s="9">
        <v>45730.0</v>
      </c>
      <c r="B260" s="7">
        <v>1.0</v>
      </c>
      <c r="C260" s="12"/>
      <c r="D260" s="13"/>
      <c r="E260" s="12"/>
      <c r="F260" s="13"/>
    </row>
    <row r="261">
      <c r="A261" s="9">
        <v>45731.0</v>
      </c>
      <c r="B261" s="7">
        <v>6.0</v>
      </c>
      <c r="C261" s="12"/>
      <c r="D261" s="13"/>
      <c r="E261" s="12"/>
      <c r="F261" s="13"/>
    </row>
    <row r="262">
      <c r="A262" s="9">
        <v>45732.0</v>
      </c>
      <c r="B262" s="7">
        <v>2.0</v>
      </c>
      <c r="C262" s="12"/>
      <c r="D262" s="13"/>
      <c r="E262" s="12"/>
      <c r="F262" s="13"/>
    </row>
    <row r="263">
      <c r="A263" s="9">
        <v>45733.0</v>
      </c>
      <c r="B263" s="7">
        <v>4.0</v>
      </c>
      <c r="C263" s="12"/>
      <c r="D263" s="13"/>
      <c r="E263" s="12"/>
      <c r="F263" s="13"/>
    </row>
    <row r="264">
      <c r="A264" s="9">
        <v>45734.0</v>
      </c>
      <c r="B264" s="7">
        <v>2.0</v>
      </c>
      <c r="C264" s="12"/>
      <c r="D264" s="13"/>
      <c r="E264" s="12"/>
      <c r="F264" s="13"/>
    </row>
    <row r="265">
      <c r="A265" s="9">
        <v>45735.0</v>
      </c>
      <c r="B265" s="7">
        <v>2.0</v>
      </c>
      <c r="C265" s="12"/>
      <c r="D265" s="13"/>
      <c r="E265" s="12"/>
      <c r="F265" s="13"/>
    </row>
    <row r="266">
      <c r="A266" s="9">
        <v>45736.0</v>
      </c>
      <c r="B266" s="7">
        <v>1.0</v>
      </c>
      <c r="C266" s="12"/>
      <c r="D266" s="13"/>
      <c r="E266" s="12"/>
      <c r="F266" s="13"/>
    </row>
    <row r="267">
      <c r="A267" s="9">
        <v>45737.0</v>
      </c>
      <c r="B267" s="7">
        <v>3.0</v>
      </c>
      <c r="C267" s="12"/>
      <c r="D267" s="13"/>
      <c r="E267" s="12"/>
      <c r="F267" s="13"/>
    </row>
    <row r="268">
      <c r="A268" s="9">
        <v>45738.0</v>
      </c>
      <c r="B268" s="7">
        <v>5.0</v>
      </c>
      <c r="C268" s="12"/>
      <c r="D268" s="13"/>
      <c r="E268" s="12"/>
      <c r="F268" s="13"/>
    </row>
    <row r="269">
      <c r="A269" s="9">
        <v>45739.0</v>
      </c>
      <c r="B269" s="7">
        <v>5.0</v>
      </c>
      <c r="C269" s="12"/>
      <c r="D269" s="13"/>
      <c r="E269" s="12"/>
      <c r="F269" s="13"/>
    </row>
    <row r="270">
      <c r="A270" s="9">
        <v>45740.0</v>
      </c>
      <c r="B270" s="7">
        <v>1.0</v>
      </c>
      <c r="C270" s="12"/>
      <c r="D270" s="13"/>
      <c r="E270" s="12"/>
      <c r="F270" s="13"/>
    </row>
    <row r="271">
      <c r="A271" s="9">
        <v>45741.0</v>
      </c>
      <c r="B271" s="7">
        <v>4.0</v>
      </c>
      <c r="C271" s="12"/>
      <c r="D271" s="13"/>
      <c r="E271" s="12"/>
      <c r="F271" s="13"/>
    </row>
    <row r="272">
      <c r="A272" s="9">
        <v>45742.0</v>
      </c>
      <c r="B272" s="7">
        <v>2.0</v>
      </c>
      <c r="C272" s="12"/>
      <c r="D272" s="13"/>
      <c r="E272" s="12"/>
      <c r="F272" s="13"/>
    </row>
    <row r="273">
      <c r="A273" s="9">
        <v>45743.0</v>
      </c>
      <c r="B273" s="7">
        <v>5.0</v>
      </c>
      <c r="C273" s="12"/>
      <c r="D273" s="13"/>
      <c r="E273" s="12"/>
      <c r="F273" s="13"/>
    </row>
    <row r="274">
      <c r="A274" s="9">
        <v>45744.0</v>
      </c>
      <c r="B274" s="7">
        <v>6.0</v>
      </c>
      <c r="C274" s="12"/>
      <c r="D274" s="13"/>
      <c r="E274" s="12"/>
      <c r="F274" s="13"/>
    </row>
    <row r="275">
      <c r="A275" s="9">
        <v>45745.0</v>
      </c>
      <c r="B275" s="7">
        <v>3.0</v>
      </c>
      <c r="C275" s="12"/>
      <c r="D275" s="13"/>
      <c r="E275" s="12"/>
      <c r="F275" s="13"/>
    </row>
    <row r="276">
      <c r="A276" s="9">
        <v>45746.0</v>
      </c>
      <c r="B276" s="7">
        <v>4.0</v>
      </c>
      <c r="C276" s="12"/>
      <c r="D276" s="13"/>
      <c r="E276" s="12"/>
      <c r="F276" s="13"/>
    </row>
    <row r="277">
      <c r="A277" s="9">
        <v>45747.0</v>
      </c>
      <c r="B277" s="7">
        <v>1.0</v>
      </c>
      <c r="C277" s="12"/>
      <c r="D277" s="13"/>
      <c r="E277" s="12"/>
      <c r="F277" s="13"/>
    </row>
    <row r="278">
      <c r="A278" s="9">
        <v>45748.0</v>
      </c>
      <c r="B278" s="7">
        <v>2.0</v>
      </c>
    </row>
    <row r="279">
      <c r="A279" s="9">
        <v>45749.0</v>
      </c>
      <c r="B279" s="7">
        <v>1.0</v>
      </c>
    </row>
    <row r="280">
      <c r="A280" s="9">
        <v>45750.0</v>
      </c>
      <c r="B280" s="7">
        <v>4.0</v>
      </c>
    </row>
    <row r="281">
      <c r="A281" s="9">
        <v>45751.0</v>
      </c>
      <c r="B281" s="7">
        <v>2.0</v>
      </c>
    </row>
    <row r="282">
      <c r="A282" s="9">
        <v>45752.0</v>
      </c>
      <c r="B282" s="7">
        <v>7.0</v>
      </c>
    </row>
    <row r="283">
      <c r="A283" s="9">
        <v>45753.0</v>
      </c>
      <c r="B283" s="7">
        <v>1.0</v>
      </c>
    </row>
    <row r="284">
      <c r="A284" s="9">
        <v>45754.0</v>
      </c>
      <c r="B284" s="7">
        <v>4.0</v>
      </c>
    </row>
    <row r="285">
      <c r="A285" s="9">
        <v>45755.0</v>
      </c>
      <c r="B285" s="7">
        <v>0.0</v>
      </c>
    </row>
    <row r="286">
      <c r="A286" s="9">
        <v>45756.0</v>
      </c>
      <c r="B286" s="7">
        <v>2.0</v>
      </c>
    </row>
    <row r="287">
      <c r="A287" s="9">
        <v>45757.0</v>
      </c>
      <c r="B287" s="7">
        <v>2.0</v>
      </c>
    </row>
    <row r="288">
      <c r="A288" s="9">
        <v>45758.0</v>
      </c>
      <c r="B288" s="7">
        <v>3.0</v>
      </c>
    </row>
    <row r="289">
      <c r="A289" s="9">
        <v>45759.0</v>
      </c>
      <c r="B289" s="7">
        <v>3.0</v>
      </c>
    </row>
    <row r="290">
      <c r="A290" s="9">
        <v>45760.0</v>
      </c>
      <c r="B290" s="7">
        <v>3.0</v>
      </c>
    </row>
    <row r="291">
      <c r="A291" s="9">
        <v>45761.0</v>
      </c>
      <c r="B291" s="7">
        <v>1.0</v>
      </c>
    </row>
    <row r="292">
      <c r="A292" s="9">
        <v>45762.0</v>
      </c>
      <c r="B292" s="7">
        <v>4.0</v>
      </c>
    </row>
    <row r="293">
      <c r="A293" s="9">
        <v>45763.0</v>
      </c>
      <c r="B293" s="7">
        <v>4.0</v>
      </c>
    </row>
    <row r="294">
      <c r="A294" s="9">
        <v>45764.0</v>
      </c>
      <c r="B294" s="7">
        <v>6.0</v>
      </c>
    </row>
    <row r="295">
      <c r="A295" s="9">
        <v>45765.0</v>
      </c>
      <c r="B295" s="7">
        <v>4.0</v>
      </c>
    </row>
    <row r="296">
      <c r="A296" s="9">
        <v>45766.0</v>
      </c>
      <c r="B296" s="7">
        <v>3.0</v>
      </c>
    </row>
    <row r="297">
      <c r="A297" s="9">
        <v>45767.0</v>
      </c>
      <c r="B297" s="7">
        <v>0.0</v>
      </c>
    </row>
    <row r="298">
      <c r="A298" s="9">
        <v>45768.0</v>
      </c>
      <c r="B298" s="7">
        <v>2.0</v>
      </c>
    </row>
    <row r="299">
      <c r="A299" s="9">
        <v>45769.0</v>
      </c>
      <c r="B299" s="7">
        <v>2.0</v>
      </c>
    </row>
    <row r="300">
      <c r="A300" s="9">
        <v>45770.0</v>
      </c>
      <c r="B300" s="7">
        <v>6.0</v>
      </c>
    </row>
    <row r="301">
      <c r="A301" s="9">
        <v>45771.0</v>
      </c>
      <c r="B301" s="7">
        <v>3.0</v>
      </c>
    </row>
    <row r="302">
      <c r="A302" s="9">
        <v>45772.0</v>
      </c>
      <c r="B302" s="7">
        <v>4.0</v>
      </c>
    </row>
    <row r="303">
      <c r="A303" s="9">
        <v>45773.0</v>
      </c>
      <c r="B303" s="7">
        <v>3.0</v>
      </c>
    </row>
    <row r="304">
      <c r="A304" s="9">
        <v>45774.0</v>
      </c>
      <c r="B304" s="7">
        <v>40.0</v>
      </c>
    </row>
    <row r="305">
      <c r="A305" s="9">
        <v>45775.0</v>
      </c>
      <c r="B305" s="7">
        <v>9.0</v>
      </c>
    </row>
    <row r="306">
      <c r="A306" s="9">
        <v>45776.0</v>
      </c>
      <c r="B306" s="7">
        <v>5.0</v>
      </c>
    </row>
    <row r="307">
      <c r="A307" s="9">
        <v>45777.0</v>
      </c>
      <c r="B307" s="7">
        <v>5.0</v>
      </c>
    </row>
  </sheetData>
  <mergeCells count="2">
    <mergeCell ref="C2:D2"/>
    <mergeCell ref="E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5" t="s">
        <v>4</v>
      </c>
      <c r="B2" s="6"/>
    </row>
    <row r="3">
      <c r="A3" s="5" t="s">
        <v>2</v>
      </c>
      <c r="B3" s="7" t="s">
        <v>3</v>
      </c>
    </row>
    <row r="4">
      <c r="A4" s="9">
        <v>45474.0</v>
      </c>
      <c r="B4" s="7">
        <v>1132.0</v>
      </c>
    </row>
    <row r="5">
      <c r="A5" s="9">
        <v>45475.0</v>
      </c>
      <c r="B5" s="7">
        <v>584.0</v>
      </c>
    </row>
    <row r="6">
      <c r="A6" s="9">
        <v>45476.0</v>
      </c>
      <c r="B6" s="7">
        <v>512.0</v>
      </c>
    </row>
    <row r="7">
      <c r="A7" s="9">
        <v>45477.0</v>
      </c>
      <c r="B7" s="7">
        <v>273.0</v>
      </c>
    </row>
    <row r="8">
      <c r="A8" s="9">
        <v>45478.0</v>
      </c>
      <c r="B8" s="7">
        <v>126.0</v>
      </c>
    </row>
    <row r="9">
      <c r="A9" s="9">
        <v>45479.0</v>
      </c>
      <c r="B9" s="7">
        <v>85.0</v>
      </c>
    </row>
    <row r="10">
      <c r="A10" s="9">
        <v>45480.0</v>
      </c>
      <c r="B10" s="7">
        <v>94.0</v>
      </c>
    </row>
    <row r="11">
      <c r="A11" s="9">
        <v>45481.0</v>
      </c>
      <c r="B11" s="7">
        <v>39.0</v>
      </c>
    </row>
    <row r="12">
      <c r="A12" s="9">
        <v>45482.0</v>
      </c>
      <c r="B12" s="7">
        <v>48.0</v>
      </c>
    </row>
    <row r="13">
      <c r="A13" s="9">
        <v>45483.0</v>
      </c>
      <c r="B13" s="7">
        <v>59.0</v>
      </c>
    </row>
    <row r="14">
      <c r="A14" s="9">
        <v>45484.0</v>
      </c>
      <c r="B14" s="7">
        <v>121.0</v>
      </c>
    </row>
    <row r="15">
      <c r="A15" s="9">
        <v>45485.0</v>
      </c>
      <c r="B15" s="7">
        <v>175.0</v>
      </c>
    </row>
    <row r="16">
      <c r="A16" s="9">
        <v>45486.0</v>
      </c>
      <c r="B16" s="7">
        <v>178.0</v>
      </c>
    </row>
    <row r="17">
      <c r="A17" s="9">
        <v>45487.0</v>
      </c>
      <c r="B17" s="7">
        <v>91.0</v>
      </c>
    </row>
    <row r="18">
      <c r="A18" s="9">
        <v>45488.0</v>
      </c>
      <c r="B18" s="7">
        <v>76.0</v>
      </c>
    </row>
    <row r="19">
      <c r="A19" s="9">
        <v>45489.0</v>
      </c>
      <c r="B19" s="7">
        <v>84.0</v>
      </c>
    </row>
    <row r="20">
      <c r="A20" s="9">
        <v>45490.0</v>
      </c>
      <c r="B20" s="7">
        <v>90.0</v>
      </c>
    </row>
    <row r="21">
      <c r="A21" s="9">
        <v>45491.0</v>
      </c>
      <c r="B21" s="7">
        <v>358.0</v>
      </c>
    </row>
    <row r="22">
      <c r="A22" s="9">
        <v>45492.0</v>
      </c>
      <c r="B22" s="7">
        <v>116.0</v>
      </c>
    </row>
    <row r="23">
      <c r="A23" s="9">
        <v>45493.0</v>
      </c>
      <c r="B23" s="7">
        <v>73.0</v>
      </c>
    </row>
    <row r="24">
      <c r="A24" s="9">
        <v>45494.0</v>
      </c>
      <c r="B24" s="7">
        <v>71.0</v>
      </c>
    </row>
    <row r="25">
      <c r="A25" s="9">
        <v>45495.0</v>
      </c>
      <c r="B25" s="7">
        <v>63.0</v>
      </c>
    </row>
    <row r="26">
      <c r="A26" s="9">
        <v>45496.0</v>
      </c>
      <c r="B26" s="7">
        <v>72.0</v>
      </c>
    </row>
    <row r="27">
      <c r="A27" s="9">
        <v>45497.0</v>
      </c>
      <c r="B27" s="7">
        <v>80.0</v>
      </c>
    </row>
    <row r="28">
      <c r="A28" s="9">
        <v>45498.0</v>
      </c>
      <c r="B28" s="7">
        <v>157.0</v>
      </c>
    </row>
    <row r="29">
      <c r="A29" s="9">
        <v>45499.0</v>
      </c>
      <c r="B29" s="7">
        <v>84.0</v>
      </c>
    </row>
    <row r="30">
      <c r="A30" s="9">
        <v>45500.0</v>
      </c>
      <c r="B30" s="7">
        <v>55.0</v>
      </c>
    </row>
    <row r="31">
      <c r="A31" s="9">
        <v>45501.0</v>
      </c>
      <c r="B31" s="7">
        <v>61.0</v>
      </c>
    </row>
    <row r="32">
      <c r="A32" s="9">
        <v>45502.0</v>
      </c>
      <c r="B32" s="7">
        <v>61.0</v>
      </c>
    </row>
    <row r="33">
      <c r="A33" s="9">
        <v>45503.0</v>
      </c>
      <c r="B33" s="7">
        <v>118.0</v>
      </c>
    </row>
    <row r="34">
      <c r="A34" s="9">
        <v>45504.0</v>
      </c>
      <c r="B34" s="7">
        <v>110.0</v>
      </c>
    </row>
    <row r="35">
      <c r="A35" s="9">
        <v>45505.0</v>
      </c>
      <c r="B35" s="7">
        <v>44.0</v>
      </c>
    </row>
    <row r="36">
      <c r="A36" s="9">
        <v>45506.0</v>
      </c>
      <c r="B36" s="7">
        <v>38.0</v>
      </c>
    </row>
    <row r="37">
      <c r="A37" s="9">
        <v>45507.0</v>
      </c>
      <c r="B37" s="7">
        <v>25.0</v>
      </c>
    </row>
    <row r="38">
      <c r="A38" s="9">
        <v>45508.0</v>
      </c>
      <c r="B38" s="7">
        <v>19.0</v>
      </c>
    </row>
    <row r="39">
      <c r="A39" s="9">
        <v>45509.0</v>
      </c>
      <c r="B39" s="7">
        <v>8.0</v>
      </c>
    </row>
    <row r="40">
      <c r="A40" s="9">
        <v>45510.0</v>
      </c>
      <c r="B40" s="7">
        <v>85.0</v>
      </c>
    </row>
    <row r="41">
      <c r="A41" s="9">
        <v>45511.0</v>
      </c>
      <c r="B41" s="7">
        <v>28.0</v>
      </c>
    </row>
    <row r="42">
      <c r="A42" s="9">
        <v>45512.0</v>
      </c>
      <c r="B42" s="7">
        <v>80.0</v>
      </c>
    </row>
    <row r="43">
      <c r="A43" s="9">
        <v>45513.0</v>
      </c>
      <c r="B43" s="7">
        <v>56.0</v>
      </c>
    </row>
    <row r="44">
      <c r="A44" s="9">
        <v>45514.0</v>
      </c>
      <c r="B44" s="7">
        <v>19.0</v>
      </c>
    </row>
    <row r="45">
      <c r="A45" s="9">
        <v>45515.0</v>
      </c>
      <c r="B45" s="7">
        <v>20.0</v>
      </c>
    </row>
    <row r="46">
      <c r="A46" s="9">
        <v>45516.0</v>
      </c>
      <c r="B46" s="7">
        <v>44.0</v>
      </c>
    </row>
    <row r="47">
      <c r="A47" s="9">
        <v>45517.0</v>
      </c>
      <c r="B47" s="7">
        <v>18.0</v>
      </c>
    </row>
    <row r="48">
      <c r="A48" s="9">
        <v>45518.0</v>
      </c>
      <c r="B48" s="7">
        <v>25.0</v>
      </c>
    </row>
    <row r="49">
      <c r="A49" s="9">
        <v>45519.0</v>
      </c>
      <c r="B49" s="7">
        <v>62.0</v>
      </c>
    </row>
    <row r="50">
      <c r="A50" s="9">
        <v>45520.0</v>
      </c>
      <c r="B50" s="7">
        <v>165.0</v>
      </c>
    </row>
    <row r="51">
      <c r="A51" s="9">
        <v>45521.0</v>
      </c>
      <c r="B51" s="7">
        <v>212.0</v>
      </c>
    </row>
    <row r="52">
      <c r="A52" s="9">
        <v>45522.0</v>
      </c>
      <c r="B52" s="7">
        <v>45.0</v>
      </c>
    </row>
    <row r="53">
      <c r="A53" s="9">
        <v>45523.0</v>
      </c>
      <c r="B53" s="7">
        <v>50.0</v>
      </c>
    </row>
    <row r="54">
      <c r="A54" s="9">
        <v>45524.0</v>
      </c>
      <c r="B54" s="7">
        <v>54.0</v>
      </c>
    </row>
    <row r="55">
      <c r="A55" s="9">
        <v>45525.0</v>
      </c>
      <c r="B55" s="7">
        <v>46.0</v>
      </c>
    </row>
    <row r="56">
      <c r="A56" s="9">
        <v>45526.0</v>
      </c>
      <c r="B56" s="7">
        <v>101.0</v>
      </c>
    </row>
    <row r="57">
      <c r="A57" s="9">
        <v>45527.0</v>
      </c>
      <c r="B57" s="7">
        <v>97.0</v>
      </c>
    </row>
    <row r="58">
      <c r="A58" s="9">
        <v>45528.0</v>
      </c>
      <c r="B58" s="7">
        <v>72.0</v>
      </c>
    </row>
    <row r="59">
      <c r="A59" s="9">
        <v>45529.0</v>
      </c>
      <c r="B59" s="7">
        <v>32.0</v>
      </c>
    </row>
    <row r="60">
      <c r="A60" s="9">
        <v>45530.0</v>
      </c>
      <c r="B60" s="7">
        <v>20.0</v>
      </c>
    </row>
    <row r="61">
      <c r="A61" s="9">
        <v>45531.0</v>
      </c>
      <c r="B61" s="7">
        <v>67.0</v>
      </c>
    </row>
    <row r="62">
      <c r="A62" s="9">
        <v>45532.0</v>
      </c>
      <c r="B62" s="7">
        <v>66.0</v>
      </c>
    </row>
    <row r="63">
      <c r="A63" s="9">
        <v>45533.0</v>
      </c>
      <c r="B63" s="7">
        <v>53.0</v>
      </c>
    </row>
    <row r="64">
      <c r="A64" s="9">
        <v>45534.0</v>
      </c>
      <c r="B64" s="7">
        <v>103.0</v>
      </c>
    </row>
    <row r="65">
      <c r="A65" s="9">
        <v>45535.0</v>
      </c>
      <c r="B65" s="7">
        <v>51.0</v>
      </c>
    </row>
    <row r="66">
      <c r="A66" s="9">
        <v>45536.0</v>
      </c>
      <c r="B66" s="7">
        <v>17.0</v>
      </c>
    </row>
    <row r="67">
      <c r="A67" s="9">
        <v>45537.0</v>
      </c>
      <c r="B67" s="7">
        <v>49.0</v>
      </c>
    </row>
    <row r="68">
      <c r="A68" s="9">
        <v>45538.0</v>
      </c>
      <c r="B68" s="7">
        <v>49.0</v>
      </c>
    </row>
    <row r="69">
      <c r="A69" s="9">
        <v>45539.0</v>
      </c>
      <c r="B69" s="7">
        <v>22.0</v>
      </c>
    </row>
    <row r="70">
      <c r="A70" s="9">
        <v>45540.0</v>
      </c>
      <c r="B70" s="7">
        <v>23.0</v>
      </c>
    </row>
    <row r="71">
      <c r="A71" s="9">
        <v>45541.0</v>
      </c>
      <c r="B71" s="7">
        <v>43.0</v>
      </c>
    </row>
    <row r="72">
      <c r="A72" s="9">
        <v>45542.0</v>
      </c>
      <c r="B72" s="7">
        <v>173.0</v>
      </c>
    </row>
    <row r="73">
      <c r="A73" s="9">
        <v>45543.0</v>
      </c>
      <c r="B73" s="7">
        <v>189.0</v>
      </c>
    </row>
    <row r="74">
      <c r="A74" s="9">
        <v>45544.0</v>
      </c>
      <c r="B74" s="7">
        <v>216.0</v>
      </c>
    </row>
    <row r="75">
      <c r="A75" s="9">
        <v>45545.0</v>
      </c>
      <c r="B75" s="7">
        <v>192.0</v>
      </c>
    </row>
    <row r="76">
      <c r="A76" s="9">
        <v>45546.0</v>
      </c>
      <c r="B76" s="7">
        <v>255.0</v>
      </c>
    </row>
    <row r="77">
      <c r="A77" s="9">
        <v>45547.0</v>
      </c>
      <c r="B77" s="7">
        <v>213.0</v>
      </c>
    </row>
    <row r="78">
      <c r="A78" s="9">
        <v>45548.0</v>
      </c>
      <c r="B78" s="7">
        <v>239.0</v>
      </c>
    </row>
    <row r="79">
      <c r="A79" s="9">
        <v>45549.0</v>
      </c>
      <c r="B79" s="7">
        <v>208.0</v>
      </c>
    </row>
    <row r="80">
      <c r="A80" s="9">
        <v>45550.0</v>
      </c>
      <c r="B80" s="7">
        <v>154.0</v>
      </c>
    </row>
    <row r="81">
      <c r="A81" s="9">
        <v>45551.0</v>
      </c>
      <c r="B81" s="7">
        <v>134.0</v>
      </c>
    </row>
    <row r="82">
      <c r="A82" s="9">
        <v>45552.0</v>
      </c>
      <c r="B82" s="7">
        <v>294.0</v>
      </c>
    </row>
    <row r="83">
      <c r="A83" s="9">
        <v>45553.0</v>
      </c>
      <c r="B83" s="7">
        <v>233.0</v>
      </c>
    </row>
    <row r="84">
      <c r="A84" s="9">
        <v>45554.0</v>
      </c>
      <c r="B84" s="7">
        <v>180.0</v>
      </c>
    </row>
    <row r="85">
      <c r="A85" s="9">
        <v>45555.0</v>
      </c>
      <c r="B85" s="7">
        <v>152.0</v>
      </c>
    </row>
    <row r="86">
      <c r="A86" s="9">
        <v>45556.0</v>
      </c>
      <c r="B86" s="7">
        <v>77.0</v>
      </c>
    </row>
    <row r="87">
      <c r="A87" s="9">
        <v>45557.0</v>
      </c>
      <c r="B87" s="7">
        <v>61.0</v>
      </c>
    </row>
    <row r="88">
      <c r="A88" s="9">
        <v>45558.0</v>
      </c>
      <c r="B88" s="7">
        <v>184.0</v>
      </c>
    </row>
    <row r="89">
      <c r="A89" s="9">
        <v>45559.0</v>
      </c>
      <c r="B89" s="7">
        <v>316.0</v>
      </c>
    </row>
    <row r="90">
      <c r="A90" s="9">
        <v>45560.0</v>
      </c>
      <c r="B90" s="7">
        <v>67.0</v>
      </c>
    </row>
    <row r="91">
      <c r="A91" s="9">
        <v>45561.0</v>
      </c>
      <c r="B91" s="7">
        <v>54.0</v>
      </c>
    </row>
    <row r="92">
      <c r="A92" s="9">
        <v>45562.0</v>
      </c>
      <c r="B92" s="7">
        <v>64.0</v>
      </c>
    </row>
    <row r="93">
      <c r="A93" s="9">
        <v>45563.0</v>
      </c>
      <c r="B93" s="7">
        <v>52.0</v>
      </c>
    </row>
    <row r="94">
      <c r="A94" s="9">
        <v>45564.0</v>
      </c>
      <c r="B94" s="7">
        <v>34.0</v>
      </c>
    </row>
    <row r="95">
      <c r="A95" s="9">
        <v>45565.0</v>
      </c>
      <c r="B95" s="7">
        <v>40.0</v>
      </c>
    </row>
    <row r="96">
      <c r="A96" s="9">
        <v>45566.0</v>
      </c>
      <c r="B96" s="7">
        <v>97.0</v>
      </c>
    </row>
    <row r="97">
      <c r="A97" s="9">
        <v>45567.0</v>
      </c>
      <c r="B97" s="7">
        <v>75.0</v>
      </c>
    </row>
    <row r="98">
      <c r="A98" s="9">
        <v>45568.0</v>
      </c>
      <c r="B98" s="7">
        <v>172.0</v>
      </c>
    </row>
    <row r="99">
      <c r="A99" s="9">
        <v>45569.0</v>
      </c>
      <c r="B99" s="7">
        <v>193.0</v>
      </c>
    </row>
    <row r="100">
      <c r="A100" s="9">
        <v>45570.0</v>
      </c>
      <c r="B100" s="7">
        <v>300.0</v>
      </c>
    </row>
    <row r="101">
      <c r="A101" s="9">
        <v>45571.0</v>
      </c>
      <c r="B101" s="7">
        <v>145.0</v>
      </c>
    </row>
    <row r="102">
      <c r="A102" s="9">
        <v>45572.0</v>
      </c>
      <c r="B102" s="7">
        <v>131.0</v>
      </c>
    </row>
    <row r="103">
      <c r="A103" s="9">
        <v>45573.0</v>
      </c>
      <c r="B103" s="7">
        <v>125.0</v>
      </c>
    </row>
    <row r="104">
      <c r="A104" s="9">
        <v>45574.0</v>
      </c>
      <c r="B104" s="7">
        <v>168.0</v>
      </c>
    </row>
    <row r="105">
      <c r="A105" s="9">
        <v>45575.0</v>
      </c>
      <c r="B105" s="7">
        <v>159.0</v>
      </c>
    </row>
    <row r="106">
      <c r="A106" s="9">
        <v>45576.0</v>
      </c>
      <c r="B106" s="7">
        <v>122.0</v>
      </c>
    </row>
    <row r="107">
      <c r="A107" s="9">
        <v>45577.0</v>
      </c>
      <c r="B107" s="7">
        <v>53.0</v>
      </c>
    </row>
    <row r="108">
      <c r="A108" s="9">
        <v>45578.0</v>
      </c>
      <c r="B108" s="7">
        <v>25.0</v>
      </c>
    </row>
    <row r="109">
      <c r="A109" s="9">
        <v>45579.0</v>
      </c>
      <c r="B109" s="7">
        <v>10.0</v>
      </c>
    </row>
    <row r="110">
      <c r="A110" s="9">
        <v>45580.0</v>
      </c>
      <c r="B110" s="7">
        <v>53.0</v>
      </c>
    </row>
    <row r="111">
      <c r="A111" s="9">
        <v>45581.0</v>
      </c>
      <c r="B111" s="7">
        <v>78.0</v>
      </c>
    </row>
    <row r="112">
      <c r="A112" s="9">
        <v>45582.0</v>
      </c>
      <c r="B112" s="7">
        <v>85.0</v>
      </c>
    </row>
    <row r="113">
      <c r="A113" s="9">
        <v>45583.0</v>
      </c>
      <c r="B113" s="7">
        <v>45.0</v>
      </c>
    </row>
    <row r="114">
      <c r="A114" s="9">
        <v>45584.0</v>
      </c>
      <c r="B114" s="7">
        <v>14.0</v>
      </c>
    </row>
    <row r="115">
      <c r="A115" s="9">
        <v>45585.0</v>
      </c>
      <c r="B115" s="7">
        <v>13.0</v>
      </c>
    </row>
    <row r="116">
      <c r="A116" s="9">
        <v>45586.0</v>
      </c>
      <c r="B116" s="7">
        <v>23.0</v>
      </c>
    </row>
    <row r="117">
      <c r="A117" s="9">
        <v>45587.0</v>
      </c>
      <c r="B117" s="7">
        <v>11.0</v>
      </c>
    </row>
    <row r="118">
      <c r="A118" s="9">
        <v>45588.0</v>
      </c>
      <c r="B118" s="7">
        <v>12.0</v>
      </c>
    </row>
    <row r="119">
      <c r="A119" s="9">
        <v>45589.0</v>
      </c>
      <c r="B119" s="7">
        <v>440.0</v>
      </c>
    </row>
    <row r="120">
      <c r="A120" s="9">
        <v>45590.0</v>
      </c>
      <c r="B120" s="7">
        <v>165.0</v>
      </c>
    </row>
    <row r="121">
      <c r="A121" s="9">
        <v>45591.0</v>
      </c>
      <c r="B121" s="7">
        <v>46.0</v>
      </c>
    </row>
    <row r="122">
      <c r="A122" s="9">
        <v>45592.0</v>
      </c>
      <c r="B122" s="7">
        <v>39.0</v>
      </c>
    </row>
    <row r="123">
      <c r="A123" s="9">
        <v>45593.0</v>
      </c>
      <c r="B123" s="7">
        <v>34.0</v>
      </c>
    </row>
    <row r="124">
      <c r="A124" s="9">
        <v>45594.0</v>
      </c>
      <c r="B124" s="7">
        <v>43.0</v>
      </c>
    </row>
    <row r="125">
      <c r="A125" s="9">
        <v>45595.0</v>
      </c>
      <c r="B125" s="7">
        <v>127.0</v>
      </c>
    </row>
    <row r="126">
      <c r="A126" s="9">
        <v>45596.0</v>
      </c>
      <c r="B126" s="7">
        <v>253.0</v>
      </c>
    </row>
    <row r="127">
      <c r="A127" s="9">
        <v>45597.0</v>
      </c>
      <c r="B127" s="7">
        <v>196.0</v>
      </c>
    </row>
    <row r="128">
      <c r="A128" s="9">
        <v>45598.0</v>
      </c>
      <c r="B128" s="7">
        <v>124.0</v>
      </c>
    </row>
    <row r="129">
      <c r="A129" s="9">
        <v>45599.0</v>
      </c>
      <c r="B129" s="7">
        <v>94.0</v>
      </c>
    </row>
    <row r="130">
      <c r="A130" s="9">
        <v>45600.0</v>
      </c>
      <c r="B130" s="7">
        <v>139.0</v>
      </c>
    </row>
    <row r="131">
      <c r="A131" s="9">
        <v>45601.0</v>
      </c>
      <c r="B131" s="7">
        <v>86.0</v>
      </c>
    </row>
    <row r="132">
      <c r="A132" s="9">
        <v>45602.0</v>
      </c>
      <c r="B132" s="7">
        <v>110.0</v>
      </c>
    </row>
    <row r="133">
      <c r="A133" s="9">
        <v>45603.0</v>
      </c>
      <c r="B133" s="7">
        <v>109.0</v>
      </c>
    </row>
    <row r="134">
      <c r="A134" s="9">
        <v>45604.0</v>
      </c>
      <c r="B134" s="7">
        <v>28.0</v>
      </c>
    </row>
    <row r="135">
      <c r="A135" s="9">
        <v>45605.0</v>
      </c>
      <c r="B135" s="7">
        <v>250.0</v>
      </c>
    </row>
    <row r="136">
      <c r="A136" s="9">
        <v>45606.0</v>
      </c>
      <c r="B136" s="7">
        <v>99.0</v>
      </c>
    </row>
    <row r="137">
      <c r="A137" s="9">
        <v>45607.0</v>
      </c>
      <c r="B137" s="7">
        <v>39.0</v>
      </c>
    </row>
    <row r="138">
      <c r="A138" s="9">
        <v>45608.0</v>
      </c>
      <c r="B138" s="7">
        <v>76.0</v>
      </c>
    </row>
    <row r="139">
      <c r="A139" s="9">
        <v>45609.0</v>
      </c>
      <c r="B139" s="7">
        <v>87.0</v>
      </c>
    </row>
    <row r="140">
      <c r="A140" s="9">
        <v>45610.0</v>
      </c>
      <c r="B140" s="7">
        <v>168.0</v>
      </c>
    </row>
    <row r="141">
      <c r="A141" s="9">
        <v>45611.0</v>
      </c>
      <c r="B141" s="7">
        <v>167.0</v>
      </c>
    </row>
    <row r="142">
      <c r="A142" s="9">
        <v>45612.0</v>
      </c>
      <c r="B142" s="7">
        <v>117.0</v>
      </c>
    </row>
    <row r="143">
      <c r="A143" s="9">
        <v>45613.0</v>
      </c>
      <c r="B143" s="7">
        <v>80.0</v>
      </c>
    </row>
    <row r="144">
      <c r="A144" s="9">
        <v>45614.0</v>
      </c>
      <c r="B144" s="7">
        <v>43.0</v>
      </c>
    </row>
    <row r="145">
      <c r="A145" s="9">
        <v>45615.0</v>
      </c>
      <c r="B145" s="7">
        <v>17.0</v>
      </c>
    </row>
    <row r="146">
      <c r="A146" s="9">
        <v>45616.0</v>
      </c>
      <c r="B146" s="7">
        <v>73.0</v>
      </c>
    </row>
    <row r="147">
      <c r="A147" s="9">
        <v>45617.0</v>
      </c>
      <c r="B147" s="7">
        <v>113.0</v>
      </c>
    </row>
    <row r="148">
      <c r="A148" s="9">
        <v>45618.0</v>
      </c>
      <c r="B148" s="7">
        <v>143.0</v>
      </c>
    </row>
    <row r="149">
      <c r="A149" s="9">
        <v>45619.0</v>
      </c>
      <c r="B149" s="7">
        <v>253.0</v>
      </c>
    </row>
    <row r="150">
      <c r="A150" s="9">
        <v>45620.0</v>
      </c>
      <c r="B150" s="7">
        <v>126.0</v>
      </c>
    </row>
    <row r="151">
      <c r="A151" s="9">
        <v>45621.0</v>
      </c>
      <c r="B151" s="7">
        <v>243.0</v>
      </c>
    </row>
    <row r="152">
      <c r="A152" s="9">
        <v>45622.0</v>
      </c>
      <c r="B152" s="7">
        <v>46.0</v>
      </c>
    </row>
    <row r="153">
      <c r="A153" s="9">
        <v>45623.0</v>
      </c>
      <c r="B153" s="7">
        <v>42.0</v>
      </c>
    </row>
    <row r="154">
      <c r="A154" s="9">
        <v>45624.0</v>
      </c>
      <c r="B154" s="7">
        <v>132.0</v>
      </c>
    </row>
    <row r="155">
      <c r="A155" s="9">
        <v>45625.0</v>
      </c>
      <c r="B155" s="7">
        <v>68.0</v>
      </c>
    </row>
    <row r="156">
      <c r="A156" s="9">
        <v>45626.0</v>
      </c>
      <c r="B156" s="7">
        <v>16.0</v>
      </c>
    </row>
    <row r="157">
      <c r="A157" s="9">
        <v>45627.0</v>
      </c>
      <c r="B157" s="7">
        <v>10.0</v>
      </c>
    </row>
    <row r="158">
      <c r="A158" s="9">
        <v>45628.0</v>
      </c>
      <c r="B158" s="7">
        <v>50.0</v>
      </c>
    </row>
    <row r="159">
      <c r="A159" s="9">
        <v>45629.0</v>
      </c>
      <c r="B159" s="7">
        <v>72.0</v>
      </c>
    </row>
    <row r="160">
      <c r="A160" s="9">
        <v>45630.0</v>
      </c>
      <c r="B160" s="7">
        <v>65.0</v>
      </c>
    </row>
    <row r="161">
      <c r="A161" s="9">
        <v>45631.0</v>
      </c>
      <c r="B161" s="7">
        <v>138.0</v>
      </c>
    </row>
    <row r="162">
      <c r="A162" s="9">
        <v>45632.0</v>
      </c>
      <c r="B162" s="7">
        <v>182.0</v>
      </c>
    </row>
    <row r="163">
      <c r="A163" s="9">
        <v>45633.0</v>
      </c>
      <c r="B163" s="7">
        <v>81.0</v>
      </c>
    </row>
    <row r="164">
      <c r="A164" s="9">
        <v>45634.0</v>
      </c>
      <c r="B164" s="7">
        <v>34.0</v>
      </c>
    </row>
    <row r="165">
      <c r="A165" s="9">
        <v>45635.0</v>
      </c>
      <c r="B165" s="7">
        <v>25.0</v>
      </c>
    </row>
    <row r="166">
      <c r="A166" s="9">
        <v>45636.0</v>
      </c>
      <c r="B166" s="7">
        <v>92.0</v>
      </c>
    </row>
    <row r="167">
      <c r="A167" s="9">
        <v>45637.0</v>
      </c>
      <c r="B167" s="7">
        <v>49.0</v>
      </c>
    </row>
    <row r="168">
      <c r="A168" s="9">
        <v>45638.0</v>
      </c>
      <c r="B168" s="7">
        <v>86.0</v>
      </c>
    </row>
    <row r="169">
      <c r="A169" s="9">
        <v>45639.0</v>
      </c>
      <c r="B169" s="7">
        <v>65.0</v>
      </c>
    </row>
    <row r="170">
      <c r="A170" s="9">
        <v>45640.0</v>
      </c>
      <c r="B170" s="7">
        <v>42.0</v>
      </c>
    </row>
    <row r="171">
      <c r="A171" s="9">
        <v>45641.0</v>
      </c>
      <c r="B171" s="7">
        <v>36.0</v>
      </c>
    </row>
    <row r="172">
      <c r="A172" s="9">
        <v>45642.0</v>
      </c>
      <c r="B172" s="7">
        <v>19.0</v>
      </c>
    </row>
    <row r="173">
      <c r="A173" s="9">
        <v>45643.0</v>
      </c>
      <c r="B173" s="7">
        <v>51.0</v>
      </c>
    </row>
    <row r="174">
      <c r="A174" s="9">
        <v>45644.0</v>
      </c>
      <c r="B174" s="7">
        <v>86.0</v>
      </c>
    </row>
    <row r="175">
      <c r="A175" s="9">
        <v>45645.0</v>
      </c>
      <c r="B175" s="7">
        <v>30.0</v>
      </c>
    </row>
    <row r="176">
      <c r="A176" s="9">
        <v>45646.0</v>
      </c>
      <c r="B176" s="7">
        <v>56.0</v>
      </c>
    </row>
    <row r="177">
      <c r="A177" s="9">
        <v>45647.0</v>
      </c>
      <c r="B177" s="7">
        <v>128.0</v>
      </c>
    </row>
    <row r="178">
      <c r="A178" s="9">
        <v>45648.0</v>
      </c>
      <c r="B178" s="7">
        <v>32.0</v>
      </c>
    </row>
    <row r="179">
      <c r="A179" s="9">
        <v>45649.0</v>
      </c>
      <c r="B179" s="7">
        <v>31.0</v>
      </c>
    </row>
    <row r="180">
      <c r="A180" s="9">
        <v>45650.0</v>
      </c>
      <c r="B180" s="7">
        <v>17.0</v>
      </c>
    </row>
    <row r="181">
      <c r="A181" s="9">
        <v>45651.0</v>
      </c>
      <c r="B181" s="7">
        <v>5.0</v>
      </c>
    </row>
    <row r="182">
      <c r="A182" s="9">
        <v>45652.0</v>
      </c>
      <c r="B182" s="7">
        <v>8.0</v>
      </c>
    </row>
    <row r="183">
      <c r="A183" s="9">
        <v>45653.0</v>
      </c>
      <c r="B183" s="7">
        <v>2.0</v>
      </c>
    </row>
    <row r="184">
      <c r="A184" s="9">
        <v>45654.0</v>
      </c>
      <c r="B184" s="7">
        <v>11.0</v>
      </c>
    </row>
    <row r="185">
      <c r="A185" s="9">
        <v>45655.0</v>
      </c>
      <c r="B185" s="7">
        <v>14.0</v>
      </c>
    </row>
    <row r="186">
      <c r="A186" s="9">
        <v>45656.0</v>
      </c>
      <c r="B186" s="7">
        <v>142.0</v>
      </c>
    </row>
    <row r="187">
      <c r="A187" s="9">
        <v>45657.0</v>
      </c>
      <c r="B187" s="7">
        <v>244.0</v>
      </c>
    </row>
    <row r="188">
      <c r="A188" s="9">
        <v>45658.0</v>
      </c>
      <c r="B188" s="7">
        <v>72.0</v>
      </c>
    </row>
    <row r="189">
      <c r="A189" s="9">
        <v>45659.0</v>
      </c>
      <c r="B189" s="7">
        <v>68.0</v>
      </c>
    </row>
    <row r="190">
      <c r="A190" s="9">
        <v>45660.0</v>
      </c>
      <c r="B190" s="7">
        <v>22.0</v>
      </c>
    </row>
    <row r="191">
      <c r="A191" s="9">
        <v>45661.0</v>
      </c>
      <c r="B191" s="7">
        <v>26.0</v>
      </c>
    </row>
    <row r="192">
      <c r="A192" s="9">
        <v>45662.0</v>
      </c>
      <c r="B192" s="7">
        <v>11.0</v>
      </c>
    </row>
    <row r="193">
      <c r="A193" s="9">
        <v>45663.0</v>
      </c>
      <c r="B193" s="7">
        <v>70.0</v>
      </c>
    </row>
    <row r="194">
      <c r="A194" s="9">
        <v>45664.0</v>
      </c>
      <c r="B194" s="7">
        <v>22.0</v>
      </c>
    </row>
    <row r="195">
      <c r="A195" s="9">
        <v>45665.0</v>
      </c>
      <c r="B195" s="7">
        <v>8.0</v>
      </c>
    </row>
    <row r="196">
      <c r="A196" s="9">
        <v>45666.0</v>
      </c>
      <c r="B196" s="7">
        <v>46.0</v>
      </c>
    </row>
    <row r="197">
      <c r="A197" s="9">
        <v>45667.0</v>
      </c>
      <c r="B197" s="7">
        <v>36.0</v>
      </c>
    </row>
    <row r="198">
      <c r="A198" s="9">
        <v>45668.0</v>
      </c>
      <c r="B198" s="7">
        <v>12.0</v>
      </c>
    </row>
    <row r="199">
      <c r="A199" s="9">
        <v>45669.0</v>
      </c>
      <c r="B199" s="7">
        <v>13.0</v>
      </c>
    </row>
    <row r="200">
      <c r="A200" s="9">
        <v>45670.0</v>
      </c>
      <c r="B200" s="7">
        <v>15.0</v>
      </c>
    </row>
    <row r="201">
      <c r="A201" s="9">
        <v>45671.0</v>
      </c>
      <c r="B201" s="7">
        <v>18.0</v>
      </c>
    </row>
    <row r="202">
      <c r="A202" s="9">
        <v>45672.0</v>
      </c>
      <c r="B202" s="7">
        <v>20.0</v>
      </c>
    </row>
    <row r="203">
      <c r="A203" s="9">
        <v>45673.0</v>
      </c>
      <c r="B203" s="7">
        <v>67.0</v>
      </c>
    </row>
    <row r="204">
      <c r="A204" s="9">
        <v>45674.0</v>
      </c>
      <c r="B204" s="7">
        <v>34.0</v>
      </c>
    </row>
    <row r="205">
      <c r="A205" s="9">
        <v>45675.0</v>
      </c>
      <c r="B205" s="7">
        <v>12.0</v>
      </c>
    </row>
    <row r="206">
      <c r="A206" s="9">
        <v>45676.0</v>
      </c>
      <c r="B206" s="7">
        <v>10.0</v>
      </c>
    </row>
    <row r="207">
      <c r="A207" s="9">
        <v>45677.0</v>
      </c>
      <c r="B207" s="7">
        <v>9.0</v>
      </c>
    </row>
    <row r="208">
      <c r="A208" s="9">
        <v>45678.0</v>
      </c>
      <c r="B208" s="7">
        <v>31.0</v>
      </c>
    </row>
    <row r="209">
      <c r="A209" s="9">
        <v>45679.0</v>
      </c>
      <c r="B209" s="7">
        <v>42.0</v>
      </c>
    </row>
    <row r="210">
      <c r="A210" s="9">
        <v>45680.0</v>
      </c>
      <c r="B210" s="7">
        <v>41.0</v>
      </c>
    </row>
    <row r="211">
      <c r="A211" s="9">
        <v>45681.0</v>
      </c>
      <c r="B211" s="7">
        <v>23.0</v>
      </c>
    </row>
    <row r="212">
      <c r="A212" s="9">
        <v>45682.0</v>
      </c>
      <c r="B212" s="7">
        <v>21.0</v>
      </c>
    </row>
    <row r="213">
      <c r="A213" s="9">
        <v>45683.0</v>
      </c>
      <c r="B213" s="7">
        <v>31.0</v>
      </c>
    </row>
    <row r="214">
      <c r="A214" s="9">
        <v>45684.0</v>
      </c>
      <c r="B214" s="7">
        <v>96.0</v>
      </c>
    </row>
    <row r="215">
      <c r="A215" s="9">
        <v>45685.0</v>
      </c>
      <c r="B215" s="7">
        <v>60.0</v>
      </c>
    </row>
    <row r="216">
      <c r="A216" s="9">
        <v>45686.0</v>
      </c>
      <c r="B216" s="7">
        <v>40.0</v>
      </c>
    </row>
    <row r="217">
      <c r="A217" s="9">
        <v>45687.0</v>
      </c>
      <c r="B217" s="7">
        <v>73.0</v>
      </c>
    </row>
    <row r="218">
      <c r="A218" s="9">
        <v>45688.0</v>
      </c>
      <c r="B218" s="7">
        <v>72.0</v>
      </c>
    </row>
    <row r="219">
      <c r="A219" s="9">
        <v>45689.0</v>
      </c>
      <c r="B219" s="7">
        <v>50.0</v>
      </c>
    </row>
    <row r="220">
      <c r="A220" s="9">
        <v>45690.0</v>
      </c>
      <c r="B220" s="7">
        <v>34.0</v>
      </c>
    </row>
    <row r="221">
      <c r="A221" s="9">
        <v>45691.0</v>
      </c>
      <c r="B221" s="7">
        <v>52.0</v>
      </c>
    </row>
    <row r="222">
      <c r="A222" s="9">
        <v>45692.0</v>
      </c>
      <c r="B222" s="7">
        <v>147.0</v>
      </c>
    </row>
    <row r="223">
      <c r="A223" s="9">
        <v>45693.0</v>
      </c>
      <c r="B223" s="7">
        <v>208.0</v>
      </c>
    </row>
    <row r="224">
      <c r="A224" s="9">
        <v>45694.0</v>
      </c>
      <c r="B224" s="7">
        <v>198.0</v>
      </c>
    </row>
    <row r="225">
      <c r="A225" s="9">
        <v>45695.0</v>
      </c>
      <c r="B225" s="7">
        <v>98.0</v>
      </c>
    </row>
    <row r="226">
      <c r="A226" s="9">
        <v>45696.0</v>
      </c>
      <c r="B226" s="7">
        <v>103.0</v>
      </c>
    </row>
    <row r="227">
      <c r="A227" s="9">
        <v>45697.0</v>
      </c>
      <c r="B227" s="7">
        <v>47.0</v>
      </c>
    </row>
    <row r="228">
      <c r="A228" s="9">
        <v>45698.0</v>
      </c>
      <c r="B228" s="7">
        <v>60.0</v>
      </c>
    </row>
    <row r="229">
      <c r="A229" s="9">
        <v>45699.0</v>
      </c>
      <c r="B229" s="7">
        <v>72.0</v>
      </c>
    </row>
    <row r="230">
      <c r="A230" s="9">
        <v>45700.0</v>
      </c>
      <c r="B230" s="7">
        <v>50.0</v>
      </c>
    </row>
    <row r="231">
      <c r="A231" s="9">
        <v>45701.0</v>
      </c>
      <c r="B231" s="7">
        <v>75.0</v>
      </c>
    </row>
    <row r="232">
      <c r="A232" s="9">
        <v>45702.0</v>
      </c>
      <c r="B232" s="7">
        <v>51.0</v>
      </c>
    </row>
    <row r="233">
      <c r="A233" s="9">
        <v>45703.0</v>
      </c>
      <c r="B233" s="7">
        <v>42.0</v>
      </c>
    </row>
    <row r="234">
      <c r="A234" s="9">
        <v>45704.0</v>
      </c>
      <c r="B234" s="7">
        <v>85.0</v>
      </c>
    </row>
    <row r="235">
      <c r="A235" s="9">
        <v>45705.0</v>
      </c>
      <c r="B235" s="7">
        <v>42.0</v>
      </c>
    </row>
    <row r="236">
      <c r="A236" s="9">
        <v>45706.0</v>
      </c>
      <c r="B236" s="7">
        <v>34.0</v>
      </c>
    </row>
    <row r="237">
      <c r="A237" s="9">
        <v>45707.0</v>
      </c>
      <c r="B237" s="7">
        <v>63.0</v>
      </c>
    </row>
    <row r="238">
      <c r="A238" s="9">
        <v>45708.0</v>
      </c>
      <c r="B238" s="7">
        <v>47.0</v>
      </c>
    </row>
    <row r="239">
      <c r="A239" s="9">
        <v>45709.0</v>
      </c>
      <c r="B239" s="7">
        <v>38.0</v>
      </c>
    </row>
    <row r="240">
      <c r="A240" s="9">
        <v>45710.0</v>
      </c>
      <c r="B240" s="7">
        <v>34.0</v>
      </c>
    </row>
    <row r="241">
      <c r="A241" s="9">
        <v>45711.0</v>
      </c>
      <c r="B241" s="7">
        <v>19.0</v>
      </c>
    </row>
    <row r="242">
      <c r="A242" s="9">
        <v>45712.0</v>
      </c>
      <c r="B242" s="7">
        <v>121.0</v>
      </c>
    </row>
    <row r="243">
      <c r="A243" s="9">
        <v>45713.0</v>
      </c>
      <c r="B243" s="7">
        <v>79.0</v>
      </c>
    </row>
    <row r="244">
      <c r="A244" s="9">
        <v>45714.0</v>
      </c>
      <c r="B244" s="7">
        <v>78.0</v>
      </c>
    </row>
    <row r="245">
      <c r="A245" s="9">
        <v>45715.0</v>
      </c>
      <c r="B245" s="7">
        <v>45.0</v>
      </c>
    </row>
    <row r="246">
      <c r="A246" s="9">
        <v>45716.0</v>
      </c>
      <c r="B246" s="7">
        <v>79.0</v>
      </c>
    </row>
    <row r="247">
      <c r="A247" s="9">
        <v>45717.0</v>
      </c>
      <c r="B247" s="7">
        <v>120.0</v>
      </c>
    </row>
    <row r="248">
      <c r="A248" s="9">
        <v>45718.0</v>
      </c>
      <c r="B248" s="7">
        <v>96.0</v>
      </c>
    </row>
    <row r="249">
      <c r="A249" s="9">
        <v>45719.0</v>
      </c>
      <c r="B249" s="7">
        <v>112.0</v>
      </c>
    </row>
    <row r="250">
      <c r="A250" s="9">
        <v>45720.0</v>
      </c>
      <c r="B250" s="7">
        <v>110.0</v>
      </c>
    </row>
    <row r="251">
      <c r="A251" s="9">
        <v>45721.0</v>
      </c>
      <c r="B251" s="7">
        <v>52.0</v>
      </c>
    </row>
    <row r="252">
      <c r="A252" s="9">
        <v>45722.0</v>
      </c>
      <c r="B252" s="7">
        <v>111.0</v>
      </c>
    </row>
    <row r="253">
      <c r="A253" s="9">
        <v>45723.0</v>
      </c>
      <c r="B253" s="7">
        <v>71.0</v>
      </c>
    </row>
    <row r="254">
      <c r="A254" s="9">
        <v>45724.0</v>
      </c>
      <c r="B254" s="7">
        <v>46.0</v>
      </c>
    </row>
    <row r="255">
      <c r="A255" s="9">
        <v>45725.0</v>
      </c>
      <c r="B255" s="7">
        <v>16.0</v>
      </c>
    </row>
    <row r="256">
      <c r="A256" s="9">
        <v>45726.0</v>
      </c>
      <c r="B256" s="7">
        <v>125.0</v>
      </c>
    </row>
    <row r="257">
      <c r="A257" s="9">
        <v>45727.0</v>
      </c>
      <c r="B257" s="7">
        <v>50.0</v>
      </c>
    </row>
    <row r="258">
      <c r="A258" s="9">
        <v>45728.0</v>
      </c>
      <c r="B258" s="7">
        <v>40.0</v>
      </c>
    </row>
    <row r="259">
      <c r="A259" s="9">
        <v>45729.0</v>
      </c>
      <c r="B259" s="7">
        <v>41.0</v>
      </c>
    </row>
    <row r="260">
      <c r="A260" s="9">
        <v>45730.0</v>
      </c>
      <c r="B260" s="7">
        <v>72.0</v>
      </c>
    </row>
    <row r="261">
      <c r="A261" s="9">
        <v>45731.0</v>
      </c>
      <c r="B261" s="7">
        <v>63.0</v>
      </c>
    </row>
    <row r="262">
      <c r="A262" s="9">
        <v>45732.0</v>
      </c>
      <c r="B262" s="7">
        <v>115.0</v>
      </c>
    </row>
    <row r="263">
      <c r="A263" s="9">
        <v>45733.0</v>
      </c>
      <c r="B263" s="7">
        <v>84.0</v>
      </c>
    </row>
    <row r="264">
      <c r="A264" s="9">
        <v>45734.0</v>
      </c>
      <c r="B264" s="7">
        <v>55.0</v>
      </c>
    </row>
    <row r="265">
      <c r="A265" s="9">
        <v>45735.0</v>
      </c>
      <c r="B265" s="7">
        <v>59.0</v>
      </c>
    </row>
    <row r="266">
      <c r="A266" s="9">
        <v>45736.0</v>
      </c>
      <c r="B266" s="7">
        <v>179.0</v>
      </c>
    </row>
    <row r="267">
      <c r="A267" s="9">
        <v>45737.0</v>
      </c>
      <c r="B267" s="7">
        <v>125.0</v>
      </c>
    </row>
    <row r="268">
      <c r="A268" s="9">
        <v>45738.0</v>
      </c>
      <c r="B268" s="7">
        <v>55.0</v>
      </c>
    </row>
    <row r="269">
      <c r="A269" s="9">
        <v>45739.0</v>
      </c>
      <c r="B269" s="7">
        <v>45.0</v>
      </c>
    </row>
    <row r="270">
      <c r="A270" s="9">
        <v>45740.0</v>
      </c>
      <c r="B270" s="7">
        <v>95.0</v>
      </c>
    </row>
    <row r="271">
      <c r="A271" s="9">
        <v>45741.0</v>
      </c>
      <c r="B271" s="7">
        <v>394.0</v>
      </c>
    </row>
    <row r="272">
      <c r="A272" s="9">
        <v>45742.0</v>
      </c>
      <c r="B272" s="7">
        <v>355.0</v>
      </c>
    </row>
    <row r="273">
      <c r="A273" s="9">
        <v>45743.0</v>
      </c>
      <c r="B273" s="7">
        <v>174.0</v>
      </c>
    </row>
    <row r="274">
      <c r="A274" s="9">
        <v>45744.0</v>
      </c>
      <c r="B274" s="7">
        <v>206.0</v>
      </c>
    </row>
    <row r="275">
      <c r="A275" s="9">
        <v>45745.0</v>
      </c>
      <c r="B275" s="7">
        <v>73.0</v>
      </c>
    </row>
    <row r="276">
      <c r="A276" s="9">
        <v>45746.0</v>
      </c>
      <c r="B276" s="7">
        <v>49.0</v>
      </c>
    </row>
    <row r="277">
      <c r="A277" s="9">
        <v>45747.0</v>
      </c>
      <c r="B277" s="7">
        <v>17.0</v>
      </c>
    </row>
    <row r="278">
      <c r="A278" s="9">
        <v>45748.0</v>
      </c>
      <c r="B278" s="7">
        <v>36.0</v>
      </c>
    </row>
    <row r="279">
      <c r="A279" s="9">
        <v>45749.0</v>
      </c>
      <c r="B279" s="7">
        <v>87.0</v>
      </c>
    </row>
    <row r="280">
      <c r="A280" s="9">
        <v>45750.0</v>
      </c>
      <c r="B280" s="7">
        <v>123.0</v>
      </c>
    </row>
    <row r="281">
      <c r="A281" s="9">
        <v>45751.0</v>
      </c>
      <c r="B281" s="7">
        <v>225.0</v>
      </c>
    </row>
    <row r="282">
      <c r="A282" s="9">
        <v>45752.0</v>
      </c>
      <c r="B282" s="7">
        <v>100.0</v>
      </c>
    </row>
    <row r="283">
      <c r="A283" s="9">
        <v>45753.0</v>
      </c>
      <c r="B283" s="7">
        <v>82.0</v>
      </c>
    </row>
    <row r="284">
      <c r="A284" s="9">
        <v>45754.0</v>
      </c>
      <c r="B284" s="7">
        <v>165.0</v>
      </c>
    </row>
    <row r="285">
      <c r="A285" s="9">
        <v>45755.0</v>
      </c>
      <c r="B285" s="7">
        <v>78.0</v>
      </c>
    </row>
    <row r="286">
      <c r="A286" s="9">
        <v>45756.0</v>
      </c>
      <c r="B286" s="7">
        <v>40.0</v>
      </c>
    </row>
    <row r="287">
      <c r="A287" s="9">
        <v>45757.0</v>
      </c>
      <c r="B287" s="7">
        <v>71.0</v>
      </c>
    </row>
    <row r="288">
      <c r="A288" s="9">
        <v>45758.0</v>
      </c>
      <c r="B288" s="7">
        <v>46.0</v>
      </c>
    </row>
    <row r="289">
      <c r="A289" s="9">
        <v>45759.0</v>
      </c>
      <c r="B289" s="7">
        <v>80.0</v>
      </c>
    </row>
    <row r="290">
      <c r="A290" s="9">
        <v>45760.0</v>
      </c>
      <c r="B290" s="7">
        <v>57.0</v>
      </c>
    </row>
    <row r="291">
      <c r="A291" s="9">
        <v>45761.0</v>
      </c>
      <c r="B291" s="7">
        <v>32.0</v>
      </c>
    </row>
    <row r="292">
      <c r="A292" s="9">
        <v>45762.0</v>
      </c>
      <c r="B292" s="7">
        <v>46.0</v>
      </c>
    </row>
    <row r="293">
      <c r="A293" s="9">
        <v>45763.0</v>
      </c>
      <c r="B293" s="7">
        <v>61.0</v>
      </c>
    </row>
    <row r="294">
      <c r="A294" s="9">
        <v>45764.0</v>
      </c>
      <c r="B294" s="7">
        <v>33.0</v>
      </c>
    </row>
    <row r="295">
      <c r="A295" s="9">
        <v>45765.0</v>
      </c>
      <c r="B295" s="7">
        <v>16.0</v>
      </c>
    </row>
    <row r="296">
      <c r="A296" s="9">
        <v>45766.0</v>
      </c>
      <c r="B296" s="7">
        <v>23.0</v>
      </c>
    </row>
    <row r="297">
      <c r="A297" s="9">
        <v>45767.0</v>
      </c>
      <c r="B297" s="7">
        <v>11.0</v>
      </c>
    </row>
    <row r="298">
      <c r="A298" s="9">
        <v>45768.0</v>
      </c>
      <c r="B298" s="7">
        <v>30.0</v>
      </c>
    </row>
    <row r="299">
      <c r="A299" s="9">
        <v>45769.0</v>
      </c>
      <c r="B299" s="7">
        <v>71.0</v>
      </c>
    </row>
    <row r="300">
      <c r="A300" s="9">
        <v>45770.0</v>
      </c>
      <c r="B300" s="7">
        <v>125.0</v>
      </c>
    </row>
    <row r="301">
      <c r="A301" s="9">
        <v>45771.0</v>
      </c>
      <c r="B301" s="7">
        <v>89.0</v>
      </c>
    </row>
    <row r="302">
      <c r="A302" s="9">
        <v>45772.0</v>
      </c>
      <c r="B302" s="7">
        <v>86.0</v>
      </c>
    </row>
    <row r="303">
      <c r="A303" s="9">
        <v>45773.0</v>
      </c>
      <c r="B303" s="7">
        <v>190.0</v>
      </c>
    </row>
    <row r="304">
      <c r="A304" s="9">
        <v>45774.0</v>
      </c>
      <c r="B304" s="7">
        <v>75.0</v>
      </c>
    </row>
    <row r="305">
      <c r="A305" s="9">
        <v>45775.0</v>
      </c>
      <c r="B305" s="7">
        <v>73.0</v>
      </c>
    </row>
    <row r="306">
      <c r="A306" s="9">
        <v>45776.0</v>
      </c>
      <c r="B306" s="7">
        <v>125.0</v>
      </c>
    </row>
    <row r="307">
      <c r="A307" s="9">
        <v>45777.0</v>
      </c>
      <c r="B307" s="7">
        <v>132.0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5" t="s">
        <v>7</v>
      </c>
      <c r="B2" s="6"/>
    </row>
    <row r="3">
      <c r="A3" s="5" t="s">
        <v>2</v>
      </c>
      <c r="B3" s="7" t="s">
        <v>3</v>
      </c>
    </row>
    <row r="4">
      <c r="A4" s="9">
        <v>45474.0</v>
      </c>
      <c r="B4" s="7">
        <v>29842.0</v>
      </c>
    </row>
    <row r="5">
      <c r="A5" s="9">
        <v>45475.0</v>
      </c>
      <c r="B5" s="7">
        <v>27521.0</v>
      </c>
    </row>
    <row r="6">
      <c r="A6" s="9">
        <v>45476.0</v>
      </c>
      <c r="B6" s="7">
        <v>15442.0</v>
      </c>
    </row>
    <row r="7">
      <c r="A7" s="9">
        <v>45477.0</v>
      </c>
      <c r="B7" s="7">
        <v>7680.0</v>
      </c>
    </row>
    <row r="8">
      <c r="A8" s="9">
        <v>45478.0</v>
      </c>
      <c r="B8" s="7">
        <v>3595.0</v>
      </c>
    </row>
    <row r="9">
      <c r="A9" s="9">
        <v>45479.0</v>
      </c>
      <c r="B9" s="7">
        <v>3154.0</v>
      </c>
    </row>
    <row r="10">
      <c r="A10" s="9">
        <v>45480.0</v>
      </c>
      <c r="B10" s="7">
        <v>2285.0</v>
      </c>
    </row>
    <row r="11">
      <c r="A11" s="9">
        <v>45481.0</v>
      </c>
      <c r="B11" s="7">
        <v>2079.0</v>
      </c>
    </row>
    <row r="12">
      <c r="A12" s="9">
        <v>45482.0</v>
      </c>
      <c r="B12" s="7">
        <v>1200.0</v>
      </c>
    </row>
    <row r="13">
      <c r="A13" s="9">
        <v>45483.0</v>
      </c>
      <c r="B13" s="7">
        <v>1518.0</v>
      </c>
    </row>
    <row r="14">
      <c r="A14" s="9">
        <v>45484.0</v>
      </c>
      <c r="B14" s="7">
        <v>12172.0</v>
      </c>
    </row>
    <row r="15">
      <c r="A15" s="9">
        <v>45485.0</v>
      </c>
      <c r="B15" s="7">
        <v>19145.0</v>
      </c>
    </row>
    <row r="16">
      <c r="A16" s="9">
        <v>45486.0</v>
      </c>
      <c r="B16" s="7">
        <v>27749.0</v>
      </c>
    </row>
    <row r="17">
      <c r="A17" s="9">
        <v>45487.0</v>
      </c>
      <c r="B17" s="7">
        <v>36329.0</v>
      </c>
    </row>
    <row r="18">
      <c r="A18" s="9">
        <v>45488.0</v>
      </c>
      <c r="B18" s="7">
        <v>37314.0</v>
      </c>
    </row>
    <row r="19">
      <c r="A19" s="9">
        <v>45489.0</v>
      </c>
      <c r="B19" s="7">
        <v>33543.0</v>
      </c>
    </row>
    <row r="20">
      <c r="A20" s="9">
        <v>45490.0</v>
      </c>
      <c r="B20" s="7">
        <v>32981.0</v>
      </c>
    </row>
    <row r="21">
      <c r="A21" s="9">
        <v>45491.0</v>
      </c>
      <c r="B21" s="7">
        <v>38416.0</v>
      </c>
    </row>
    <row r="22">
      <c r="A22" s="9">
        <v>45492.0</v>
      </c>
      <c r="B22" s="7">
        <v>34482.0</v>
      </c>
    </row>
    <row r="23">
      <c r="A23" s="9">
        <v>45493.0</v>
      </c>
      <c r="B23" s="7">
        <v>34223.0</v>
      </c>
    </row>
    <row r="24">
      <c r="A24" s="9">
        <v>45494.0</v>
      </c>
      <c r="B24" s="7">
        <v>41772.0</v>
      </c>
    </row>
    <row r="25">
      <c r="A25" s="9">
        <v>45495.0</v>
      </c>
      <c r="B25" s="7">
        <v>39764.0</v>
      </c>
    </row>
    <row r="26">
      <c r="A26" s="9">
        <v>45496.0</v>
      </c>
      <c r="B26" s="7">
        <v>38113.0</v>
      </c>
    </row>
    <row r="27">
      <c r="A27" s="9">
        <v>45497.0</v>
      </c>
      <c r="B27" s="7">
        <v>37509.0</v>
      </c>
    </row>
    <row r="28">
      <c r="A28" s="9">
        <v>45498.0</v>
      </c>
      <c r="B28" s="7">
        <v>35106.0</v>
      </c>
    </row>
    <row r="29">
      <c r="A29" s="9">
        <v>45499.0</v>
      </c>
      <c r="B29" s="7">
        <v>32792.0</v>
      </c>
    </row>
    <row r="30">
      <c r="A30" s="9">
        <v>45500.0</v>
      </c>
      <c r="B30" s="7">
        <v>31435.0</v>
      </c>
    </row>
    <row r="31">
      <c r="A31" s="9">
        <v>45501.0</v>
      </c>
      <c r="B31" s="7">
        <v>35705.0</v>
      </c>
    </row>
    <row r="32">
      <c r="A32" s="9">
        <v>45502.0</v>
      </c>
      <c r="B32" s="7">
        <v>33536.0</v>
      </c>
    </row>
    <row r="33">
      <c r="A33" s="9">
        <v>45503.0</v>
      </c>
      <c r="B33" s="7">
        <v>34210.0</v>
      </c>
    </row>
    <row r="34">
      <c r="A34" s="9">
        <v>45504.0</v>
      </c>
      <c r="B34" s="7">
        <v>33345.0</v>
      </c>
    </row>
    <row r="35">
      <c r="A35" s="9">
        <v>45505.0</v>
      </c>
      <c r="B35" s="7">
        <v>9163.0</v>
      </c>
    </row>
    <row r="36">
      <c r="A36" s="9">
        <v>45506.0</v>
      </c>
      <c r="B36" s="7">
        <v>926.0</v>
      </c>
    </row>
    <row r="37">
      <c r="A37" s="9">
        <v>45507.0</v>
      </c>
      <c r="B37" s="7">
        <v>593.0</v>
      </c>
    </row>
    <row r="38">
      <c r="A38" s="9">
        <v>45508.0</v>
      </c>
      <c r="B38" s="7">
        <v>398.0</v>
      </c>
    </row>
    <row r="39">
      <c r="A39" s="9">
        <v>45509.0</v>
      </c>
      <c r="B39" s="7">
        <v>283.0</v>
      </c>
    </row>
    <row r="40">
      <c r="A40" s="9">
        <v>45510.0</v>
      </c>
      <c r="B40" s="7">
        <v>996.0</v>
      </c>
    </row>
    <row r="41">
      <c r="A41" s="9">
        <v>45511.0</v>
      </c>
      <c r="B41" s="7">
        <v>889.0</v>
      </c>
    </row>
    <row r="42">
      <c r="A42" s="9">
        <v>45512.0</v>
      </c>
      <c r="B42" s="7">
        <v>1023.0</v>
      </c>
    </row>
    <row r="43">
      <c r="A43" s="9">
        <v>45513.0</v>
      </c>
      <c r="B43" s="7">
        <v>914.0</v>
      </c>
    </row>
    <row r="44">
      <c r="A44" s="9">
        <v>45514.0</v>
      </c>
      <c r="B44" s="7">
        <v>404.0</v>
      </c>
    </row>
    <row r="45">
      <c r="A45" s="9">
        <v>45515.0</v>
      </c>
      <c r="B45" s="7">
        <v>486.0</v>
      </c>
    </row>
    <row r="46">
      <c r="A46" s="9">
        <v>45516.0</v>
      </c>
      <c r="B46" s="7">
        <v>866.0</v>
      </c>
    </row>
    <row r="47">
      <c r="A47" s="9">
        <v>45517.0</v>
      </c>
      <c r="B47" s="7">
        <v>331.0</v>
      </c>
    </row>
    <row r="48">
      <c r="A48" s="9">
        <v>45518.0</v>
      </c>
      <c r="B48" s="7">
        <v>5265.0</v>
      </c>
    </row>
    <row r="49">
      <c r="A49" s="9">
        <v>45519.0</v>
      </c>
      <c r="B49" s="7">
        <v>17852.0</v>
      </c>
    </row>
    <row r="50">
      <c r="A50" s="9">
        <v>45520.0</v>
      </c>
      <c r="B50" s="7">
        <v>25906.0</v>
      </c>
    </row>
    <row r="51">
      <c r="A51" s="9">
        <v>45521.0</v>
      </c>
      <c r="B51" s="7">
        <v>29574.0</v>
      </c>
    </row>
    <row r="52">
      <c r="A52" s="9">
        <v>45522.0</v>
      </c>
      <c r="B52" s="7">
        <v>23289.0</v>
      </c>
    </row>
    <row r="53">
      <c r="A53" s="9">
        <v>45523.0</v>
      </c>
      <c r="B53" s="7">
        <v>22596.0</v>
      </c>
    </row>
    <row r="54">
      <c r="A54" s="9">
        <v>45524.0</v>
      </c>
      <c r="B54" s="7">
        <v>23301.0</v>
      </c>
    </row>
    <row r="55">
      <c r="A55" s="9">
        <v>45525.0</v>
      </c>
      <c r="B55" s="7">
        <v>22524.0</v>
      </c>
    </row>
    <row r="56">
      <c r="A56" s="9">
        <v>45526.0</v>
      </c>
      <c r="B56" s="7">
        <v>20924.0</v>
      </c>
    </row>
    <row r="57">
      <c r="A57" s="9">
        <v>45527.0</v>
      </c>
      <c r="B57" s="7">
        <v>20732.0</v>
      </c>
    </row>
    <row r="58">
      <c r="A58" s="9">
        <v>45528.0</v>
      </c>
      <c r="B58" s="7">
        <v>21406.0</v>
      </c>
    </row>
    <row r="59">
      <c r="A59" s="9">
        <v>45529.0</v>
      </c>
      <c r="B59" s="7">
        <v>27279.0</v>
      </c>
    </row>
    <row r="60">
      <c r="A60" s="9">
        <v>45530.0</v>
      </c>
      <c r="B60" s="7">
        <v>34893.0</v>
      </c>
    </row>
    <row r="61">
      <c r="A61" s="9">
        <v>45531.0</v>
      </c>
      <c r="B61" s="7">
        <v>38908.0</v>
      </c>
    </row>
    <row r="62">
      <c r="A62" s="9">
        <v>45532.0</v>
      </c>
      <c r="B62" s="7">
        <v>36291.0</v>
      </c>
    </row>
    <row r="63">
      <c r="A63" s="9">
        <v>45533.0</v>
      </c>
      <c r="B63" s="7">
        <v>37549.0</v>
      </c>
    </row>
    <row r="64">
      <c r="A64" s="9">
        <v>45534.0</v>
      </c>
      <c r="B64" s="7">
        <v>36374.0</v>
      </c>
    </row>
    <row r="65">
      <c r="A65" s="9">
        <v>45535.0</v>
      </c>
      <c r="B65" s="7">
        <v>18885.0</v>
      </c>
    </row>
    <row r="66">
      <c r="A66" s="9">
        <v>45536.0</v>
      </c>
      <c r="B66" s="7">
        <v>465.0</v>
      </c>
    </row>
    <row r="67">
      <c r="A67" s="9">
        <v>45537.0</v>
      </c>
      <c r="B67" s="7">
        <v>831.0</v>
      </c>
    </row>
    <row r="68">
      <c r="A68" s="9">
        <v>45538.0</v>
      </c>
      <c r="B68" s="7">
        <v>959.0</v>
      </c>
    </row>
    <row r="69">
      <c r="A69" s="9">
        <v>45539.0</v>
      </c>
      <c r="B69" s="7">
        <v>596.0</v>
      </c>
    </row>
    <row r="70">
      <c r="A70" s="9">
        <v>45540.0</v>
      </c>
      <c r="B70" s="7">
        <v>548.0</v>
      </c>
    </row>
    <row r="71">
      <c r="A71" s="9">
        <v>45541.0</v>
      </c>
      <c r="B71" s="7">
        <v>3221.0</v>
      </c>
    </row>
    <row r="72">
      <c r="A72" s="9">
        <v>45542.0</v>
      </c>
      <c r="B72" s="7">
        <v>9007.0</v>
      </c>
    </row>
    <row r="73">
      <c r="A73" s="9">
        <v>45543.0</v>
      </c>
      <c r="B73" s="7">
        <v>11709.0</v>
      </c>
    </row>
    <row r="74">
      <c r="A74" s="9">
        <v>45544.0</v>
      </c>
      <c r="B74" s="7">
        <v>13679.0</v>
      </c>
    </row>
    <row r="75">
      <c r="A75" s="9">
        <v>45545.0</v>
      </c>
      <c r="B75" s="7">
        <v>10666.0</v>
      </c>
    </row>
    <row r="76">
      <c r="A76" s="9">
        <v>45546.0</v>
      </c>
      <c r="B76" s="7">
        <v>8028.0</v>
      </c>
    </row>
    <row r="77">
      <c r="A77" s="9">
        <v>45547.0</v>
      </c>
      <c r="B77" s="7">
        <v>7954.0</v>
      </c>
    </row>
    <row r="78">
      <c r="A78" s="9">
        <v>45548.0</v>
      </c>
      <c r="B78" s="7">
        <v>10131.0</v>
      </c>
    </row>
    <row r="79">
      <c r="A79" s="9">
        <v>45549.0</v>
      </c>
      <c r="B79" s="7">
        <v>7704.0</v>
      </c>
    </row>
    <row r="80">
      <c r="A80" s="9">
        <v>45550.0</v>
      </c>
      <c r="B80" s="7">
        <v>8202.0</v>
      </c>
    </row>
    <row r="81">
      <c r="A81" s="9">
        <v>45551.0</v>
      </c>
      <c r="B81" s="7">
        <v>13288.0</v>
      </c>
    </row>
    <row r="82">
      <c r="A82" s="9">
        <v>45552.0</v>
      </c>
      <c r="B82" s="7">
        <v>16452.0</v>
      </c>
    </row>
    <row r="83">
      <c r="A83" s="9">
        <v>45553.0</v>
      </c>
      <c r="B83" s="7">
        <v>15340.0</v>
      </c>
    </row>
    <row r="84">
      <c r="A84" s="9">
        <v>45554.0</v>
      </c>
      <c r="B84" s="7">
        <v>16011.0</v>
      </c>
    </row>
    <row r="85">
      <c r="A85" s="9">
        <v>45555.0</v>
      </c>
      <c r="B85" s="7">
        <v>13168.0</v>
      </c>
    </row>
    <row r="86">
      <c r="A86" s="9">
        <v>45556.0</v>
      </c>
      <c r="B86" s="7">
        <v>9663.0</v>
      </c>
    </row>
    <row r="87">
      <c r="A87" s="9">
        <v>45557.0</v>
      </c>
      <c r="B87" s="7">
        <v>7098.0</v>
      </c>
    </row>
    <row r="88">
      <c r="A88" s="9">
        <v>45558.0</v>
      </c>
      <c r="B88" s="7">
        <v>7755.0</v>
      </c>
    </row>
    <row r="89">
      <c r="A89" s="9">
        <v>45559.0</v>
      </c>
      <c r="B89" s="7">
        <v>10386.0</v>
      </c>
    </row>
    <row r="90">
      <c r="A90" s="9">
        <v>45560.0</v>
      </c>
      <c r="B90" s="7">
        <v>1923.0</v>
      </c>
    </row>
    <row r="91">
      <c r="A91" s="9">
        <v>45561.0</v>
      </c>
      <c r="B91" s="7">
        <v>1366.0</v>
      </c>
    </row>
    <row r="92">
      <c r="A92" s="9">
        <v>45562.0</v>
      </c>
      <c r="B92" s="7">
        <v>1702.0</v>
      </c>
    </row>
    <row r="93">
      <c r="A93" s="9">
        <v>45563.0</v>
      </c>
      <c r="B93" s="7">
        <v>1028.0</v>
      </c>
    </row>
    <row r="94">
      <c r="A94" s="9">
        <v>45564.0</v>
      </c>
      <c r="B94" s="7">
        <v>766.0</v>
      </c>
    </row>
    <row r="95">
      <c r="A95" s="9">
        <v>45565.0</v>
      </c>
      <c r="B95" s="7">
        <v>918.0</v>
      </c>
    </row>
    <row r="96">
      <c r="A96" s="9">
        <v>45566.0</v>
      </c>
      <c r="B96" s="7">
        <v>1207.0</v>
      </c>
    </row>
    <row r="97">
      <c r="A97" s="9">
        <v>45567.0</v>
      </c>
      <c r="B97" s="7">
        <v>7622.0</v>
      </c>
    </row>
    <row r="98">
      <c r="A98" s="9">
        <v>45568.0</v>
      </c>
      <c r="B98" s="7">
        <v>38503.0</v>
      </c>
    </row>
    <row r="99">
      <c r="A99" s="9">
        <v>45569.0</v>
      </c>
      <c r="B99" s="7">
        <v>78789.0</v>
      </c>
    </row>
    <row r="100">
      <c r="A100" s="9">
        <v>45570.0</v>
      </c>
      <c r="B100" s="7">
        <v>52684.0</v>
      </c>
    </row>
    <row r="101">
      <c r="A101" s="9">
        <v>45571.0</v>
      </c>
      <c r="B101" s="7">
        <v>52045.0</v>
      </c>
    </row>
    <row r="102">
      <c r="A102" s="9">
        <v>45572.0</v>
      </c>
      <c r="B102" s="7">
        <v>51489.0</v>
      </c>
    </row>
    <row r="103">
      <c r="A103" s="9">
        <v>45573.0</v>
      </c>
      <c r="B103" s="7">
        <v>44772.0</v>
      </c>
    </row>
    <row r="104">
      <c r="A104" s="9">
        <v>45574.0</v>
      </c>
      <c r="B104" s="7">
        <v>43280.0</v>
      </c>
    </row>
    <row r="105">
      <c r="A105" s="9">
        <v>45575.0</v>
      </c>
      <c r="B105" s="7">
        <v>44686.0</v>
      </c>
    </row>
    <row r="106">
      <c r="A106" s="9">
        <v>45576.0</v>
      </c>
      <c r="B106" s="7">
        <v>41973.0</v>
      </c>
    </row>
    <row r="107">
      <c r="A107" s="9">
        <v>45577.0</v>
      </c>
      <c r="B107" s="7">
        <v>40391.0</v>
      </c>
    </row>
    <row r="108">
      <c r="A108" s="9">
        <v>45578.0</v>
      </c>
      <c r="B108" s="7">
        <v>617.0</v>
      </c>
    </row>
    <row r="109">
      <c r="A109" s="9">
        <v>45579.0</v>
      </c>
      <c r="B109" s="7">
        <v>575.0</v>
      </c>
    </row>
    <row r="110">
      <c r="A110" s="9">
        <v>45580.0</v>
      </c>
      <c r="B110" s="7">
        <v>950.0</v>
      </c>
    </row>
    <row r="111">
      <c r="A111" s="9">
        <v>45581.0</v>
      </c>
      <c r="B111" s="7">
        <v>896.0</v>
      </c>
    </row>
    <row r="112">
      <c r="A112" s="9">
        <v>45582.0</v>
      </c>
      <c r="B112" s="7">
        <v>1198.0</v>
      </c>
    </row>
    <row r="113">
      <c r="A113" s="9">
        <v>45583.0</v>
      </c>
      <c r="B113" s="7">
        <v>1343.0</v>
      </c>
    </row>
    <row r="114">
      <c r="A114" s="9">
        <v>45584.0</v>
      </c>
      <c r="B114" s="7">
        <v>682.0</v>
      </c>
    </row>
    <row r="115">
      <c r="A115" s="9">
        <v>45585.0</v>
      </c>
      <c r="B115" s="7">
        <v>524.0</v>
      </c>
    </row>
    <row r="116">
      <c r="A116" s="9">
        <v>45586.0</v>
      </c>
      <c r="B116" s="7">
        <v>716.0</v>
      </c>
    </row>
    <row r="117">
      <c r="A117" s="9">
        <v>45587.0</v>
      </c>
      <c r="B117" s="7">
        <v>461.0</v>
      </c>
    </row>
    <row r="118">
      <c r="A118" s="9">
        <v>45588.0</v>
      </c>
      <c r="B118" s="7">
        <v>2641.0</v>
      </c>
    </row>
    <row r="119">
      <c r="A119" s="9">
        <v>45589.0</v>
      </c>
      <c r="B119" s="7">
        <v>8644.0</v>
      </c>
    </row>
    <row r="120">
      <c r="A120" s="9">
        <v>45590.0</v>
      </c>
      <c r="B120" s="7">
        <v>7999.0</v>
      </c>
    </row>
    <row r="121">
      <c r="A121" s="9">
        <v>45591.0</v>
      </c>
      <c r="B121" s="7">
        <v>7314.0</v>
      </c>
    </row>
    <row r="122">
      <c r="A122" s="9">
        <v>45592.0</v>
      </c>
      <c r="B122" s="7">
        <v>7749.0</v>
      </c>
    </row>
    <row r="123">
      <c r="A123" s="9">
        <v>45593.0</v>
      </c>
      <c r="B123" s="7">
        <v>6732.0</v>
      </c>
    </row>
    <row r="124">
      <c r="A124" s="9">
        <v>45594.0</v>
      </c>
      <c r="B124" s="7">
        <v>7608.0</v>
      </c>
    </row>
    <row r="125">
      <c r="A125" s="9">
        <v>45595.0</v>
      </c>
      <c r="B125" s="7">
        <v>10101.0</v>
      </c>
    </row>
    <row r="126">
      <c r="A126" s="9">
        <v>45596.0</v>
      </c>
      <c r="B126" s="7">
        <v>20256.0</v>
      </c>
    </row>
    <row r="127">
      <c r="A127" s="9">
        <v>45597.0</v>
      </c>
      <c r="B127" s="7">
        <v>25726.0</v>
      </c>
    </row>
    <row r="128">
      <c r="A128" s="9">
        <v>45598.0</v>
      </c>
      <c r="B128" s="7">
        <v>20094.0</v>
      </c>
    </row>
    <row r="129">
      <c r="A129" s="9">
        <v>45599.0</v>
      </c>
      <c r="B129" s="7">
        <v>14765.0</v>
      </c>
    </row>
    <row r="130">
      <c r="A130" s="9">
        <v>45600.0</v>
      </c>
      <c r="B130" s="7">
        <v>23872.0</v>
      </c>
    </row>
    <row r="131">
      <c r="A131" s="9">
        <v>45601.0</v>
      </c>
      <c r="B131" s="7">
        <v>24234.0</v>
      </c>
    </row>
    <row r="132">
      <c r="A132" s="9">
        <v>45602.0</v>
      </c>
      <c r="B132" s="7">
        <v>25574.0</v>
      </c>
    </row>
    <row r="133">
      <c r="A133" s="9">
        <v>45603.0</v>
      </c>
      <c r="B133" s="7">
        <v>24231.0</v>
      </c>
    </row>
    <row r="134">
      <c r="A134" s="9">
        <v>45604.0</v>
      </c>
      <c r="B134" s="7">
        <v>13768.0</v>
      </c>
    </row>
    <row r="135">
      <c r="A135" s="9">
        <v>45605.0</v>
      </c>
      <c r="B135" s="7">
        <v>16493.0</v>
      </c>
    </row>
    <row r="136">
      <c r="A136" s="9">
        <v>45606.0</v>
      </c>
      <c r="B136" s="7">
        <v>13815.0</v>
      </c>
    </row>
    <row r="137">
      <c r="A137" s="9">
        <v>45607.0</v>
      </c>
      <c r="B137" s="7">
        <v>10665.0</v>
      </c>
    </row>
    <row r="138">
      <c r="A138" s="9">
        <v>45608.0</v>
      </c>
      <c r="B138" s="7">
        <v>11680.0</v>
      </c>
    </row>
    <row r="139">
      <c r="A139" s="9">
        <v>45609.0</v>
      </c>
      <c r="B139" s="7">
        <v>9570.0</v>
      </c>
    </row>
    <row r="140">
      <c r="A140" s="9">
        <v>45610.0</v>
      </c>
      <c r="B140" s="7">
        <v>11360.0</v>
      </c>
    </row>
    <row r="141">
      <c r="A141" s="9">
        <v>45611.0</v>
      </c>
      <c r="B141" s="7">
        <v>14481.0</v>
      </c>
    </row>
    <row r="142">
      <c r="A142" s="9">
        <v>45612.0</v>
      </c>
      <c r="B142" s="7">
        <v>16649.0</v>
      </c>
    </row>
    <row r="143">
      <c r="A143" s="9">
        <v>45613.0</v>
      </c>
      <c r="B143" s="7">
        <v>19724.0</v>
      </c>
    </row>
    <row r="144">
      <c r="A144" s="9">
        <v>45614.0</v>
      </c>
      <c r="B144" s="7">
        <v>14492.0</v>
      </c>
    </row>
    <row r="145">
      <c r="A145" s="9">
        <v>45615.0</v>
      </c>
      <c r="B145" s="7">
        <v>12983.0</v>
      </c>
    </row>
    <row r="146">
      <c r="A146" s="9">
        <v>45616.0</v>
      </c>
      <c r="B146" s="7">
        <v>14963.0</v>
      </c>
    </row>
    <row r="147">
      <c r="A147" s="9">
        <v>45617.0</v>
      </c>
      <c r="B147" s="7">
        <v>12789.0</v>
      </c>
    </row>
    <row r="148">
      <c r="A148" s="9">
        <v>45618.0</v>
      </c>
      <c r="B148" s="7">
        <v>12708.0</v>
      </c>
    </row>
    <row r="149">
      <c r="A149" s="9">
        <v>45619.0</v>
      </c>
      <c r="B149" s="7">
        <v>12579.0</v>
      </c>
    </row>
    <row r="150">
      <c r="A150" s="9">
        <v>45620.0</v>
      </c>
      <c r="B150" s="7">
        <v>13867.0</v>
      </c>
    </row>
    <row r="151">
      <c r="A151" s="9">
        <v>45621.0</v>
      </c>
      <c r="B151" s="7">
        <v>17856.0</v>
      </c>
    </row>
    <row r="152">
      <c r="A152" s="9">
        <v>45622.0</v>
      </c>
      <c r="B152" s="7">
        <v>19430.0</v>
      </c>
    </row>
    <row r="153">
      <c r="A153" s="9">
        <v>45623.0</v>
      </c>
      <c r="B153" s="7">
        <v>16898.0</v>
      </c>
    </row>
    <row r="154">
      <c r="A154" s="9">
        <v>45624.0</v>
      </c>
      <c r="B154" s="7">
        <v>5300.0</v>
      </c>
    </row>
    <row r="155">
      <c r="A155" s="9">
        <v>45625.0</v>
      </c>
      <c r="B155" s="7">
        <v>4408.0</v>
      </c>
    </row>
    <row r="156">
      <c r="A156" s="9">
        <v>45626.0</v>
      </c>
      <c r="B156" s="7">
        <v>2398.0</v>
      </c>
    </row>
    <row r="157">
      <c r="A157" s="9">
        <v>45627.0</v>
      </c>
      <c r="B157" s="7">
        <v>360.0</v>
      </c>
    </row>
    <row r="158">
      <c r="A158" s="9">
        <v>45628.0</v>
      </c>
      <c r="B158" s="7">
        <v>11299.0</v>
      </c>
    </row>
    <row r="159">
      <c r="A159" s="9">
        <v>45629.0</v>
      </c>
      <c r="B159" s="7">
        <v>17595.0</v>
      </c>
    </row>
    <row r="160">
      <c r="A160" s="9">
        <v>45630.0</v>
      </c>
      <c r="B160" s="7">
        <v>10981.0</v>
      </c>
    </row>
    <row r="161">
      <c r="A161" s="9">
        <v>45631.0</v>
      </c>
      <c r="B161" s="7">
        <v>8596.0</v>
      </c>
    </row>
    <row r="162">
      <c r="A162" s="9">
        <v>45632.0</v>
      </c>
      <c r="B162" s="7">
        <v>6550.0</v>
      </c>
    </row>
    <row r="163">
      <c r="A163" s="9">
        <v>45633.0</v>
      </c>
      <c r="B163" s="7">
        <v>6263.0</v>
      </c>
    </row>
    <row r="164">
      <c r="A164" s="9">
        <v>45634.0</v>
      </c>
      <c r="B164" s="7">
        <v>5999.0</v>
      </c>
    </row>
    <row r="165">
      <c r="A165" s="9">
        <v>45635.0</v>
      </c>
      <c r="B165" s="7">
        <v>5640.0</v>
      </c>
    </row>
    <row r="166">
      <c r="A166" s="9">
        <v>45636.0</v>
      </c>
      <c r="B166" s="7">
        <v>6395.0</v>
      </c>
    </row>
    <row r="167">
      <c r="A167" s="9">
        <v>45637.0</v>
      </c>
      <c r="B167" s="7">
        <v>5692.0</v>
      </c>
    </row>
    <row r="168">
      <c r="A168" s="9">
        <v>45638.0</v>
      </c>
      <c r="B168" s="7">
        <v>6173.0</v>
      </c>
    </row>
    <row r="169">
      <c r="A169" s="9">
        <v>45639.0</v>
      </c>
      <c r="B169" s="7">
        <v>5500.0</v>
      </c>
    </row>
    <row r="170">
      <c r="A170" s="9">
        <v>45640.0</v>
      </c>
      <c r="B170" s="7">
        <v>5236.0</v>
      </c>
    </row>
    <row r="171">
      <c r="A171" s="9">
        <v>45641.0</v>
      </c>
      <c r="B171" s="7">
        <v>4891.0</v>
      </c>
    </row>
    <row r="172">
      <c r="A172" s="9">
        <v>45642.0</v>
      </c>
      <c r="B172" s="7">
        <v>4523.0</v>
      </c>
    </row>
    <row r="173">
      <c r="A173" s="9">
        <v>45643.0</v>
      </c>
      <c r="B173" s="7">
        <v>5134.0</v>
      </c>
    </row>
    <row r="174">
      <c r="A174" s="9">
        <v>45644.0</v>
      </c>
      <c r="B174" s="7">
        <v>4913.0</v>
      </c>
    </row>
    <row r="175">
      <c r="A175" s="9">
        <v>45645.0</v>
      </c>
      <c r="B175" s="7">
        <v>4674.0</v>
      </c>
    </row>
    <row r="176">
      <c r="A176" s="9">
        <v>45646.0</v>
      </c>
      <c r="B176" s="7">
        <v>5342.0</v>
      </c>
    </row>
    <row r="177">
      <c r="A177" s="9">
        <v>45647.0</v>
      </c>
      <c r="B177" s="7">
        <v>5833.0</v>
      </c>
    </row>
    <row r="178">
      <c r="A178" s="9">
        <v>45648.0</v>
      </c>
      <c r="B178" s="7">
        <v>6310.0</v>
      </c>
    </row>
    <row r="179">
      <c r="A179" s="9">
        <v>45649.0</v>
      </c>
      <c r="B179" s="7">
        <v>5944.0</v>
      </c>
    </row>
    <row r="180">
      <c r="A180" s="9">
        <v>45650.0</v>
      </c>
      <c r="B180" s="7">
        <v>6945.0</v>
      </c>
    </row>
    <row r="181">
      <c r="A181" s="9">
        <v>45651.0</v>
      </c>
      <c r="B181" s="7">
        <v>6548.0</v>
      </c>
    </row>
    <row r="182">
      <c r="A182" s="9">
        <v>45652.0</v>
      </c>
      <c r="B182" s="7">
        <v>6158.0</v>
      </c>
    </row>
    <row r="183">
      <c r="A183" s="9">
        <v>45653.0</v>
      </c>
      <c r="B183" s="7">
        <v>6160.0</v>
      </c>
    </row>
    <row r="184">
      <c r="A184" s="9">
        <v>45654.0</v>
      </c>
      <c r="B184" s="7">
        <v>6191.0</v>
      </c>
    </row>
    <row r="185">
      <c r="A185" s="9">
        <v>45655.0</v>
      </c>
      <c r="B185" s="7">
        <v>6363.0</v>
      </c>
    </row>
    <row r="186">
      <c r="A186" s="9">
        <v>45656.0</v>
      </c>
      <c r="B186" s="7">
        <v>7362.0</v>
      </c>
    </row>
    <row r="187">
      <c r="A187" s="9">
        <v>45657.0</v>
      </c>
      <c r="B187" s="7">
        <v>5544.0</v>
      </c>
    </row>
    <row r="188">
      <c r="A188" s="9">
        <v>45658.0</v>
      </c>
      <c r="B188" s="7">
        <v>3566.0</v>
      </c>
    </row>
    <row r="189">
      <c r="A189" s="9">
        <v>45659.0</v>
      </c>
      <c r="B189" s="7">
        <v>3418.0</v>
      </c>
    </row>
    <row r="190">
      <c r="A190" s="9">
        <v>45660.0</v>
      </c>
      <c r="B190" s="7">
        <v>2921.0</v>
      </c>
    </row>
    <row r="191">
      <c r="A191" s="9">
        <v>45661.0</v>
      </c>
      <c r="B191" s="7">
        <v>2768.0</v>
      </c>
    </row>
    <row r="192">
      <c r="A192" s="9">
        <v>45662.0</v>
      </c>
      <c r="B192" s="7">
        <v>3103.0</v>
      </c>
    </row>
    <row r="193">
      <c r="A193" s="9">
        <v>45663.0</v>
      </c>
      <c r="B193" s="7">
        <v>2674.0</v>
      </c>
    </row>
    <row r="194">
      <c r="A194" s="9">
        <v>45664.0</v>
      </c>
      <c r="B194" s="7">
        <v>1420.0</v>
      </c>
    </row>
    <row r="195">
      <c r="A195" s="9">
        <v>45665.0</v>
      </c>
      <c r="B195" s="7">
        <v>333.0</v>
      </c>
    </row>
    <row r="196">
      <c r="A196" s="9">
        <v>45666.0</v>
      </c>
      <c r="B196" s="7">
        <v>379.0</v>
      </c>
    </row>
    <row r="197">
      <c r="A197" s="9">
        <v>45667.0</v>
      </c>
      <c r="B197" s="7">
        <v>522.0</v>
      </c>
    </row>
    <row r="198">
      <c r="A198" s="9">
        <v>45668.0</v>
      </c>
      <c r="B198" s="7">
        <v>613.0</v>
      </c>
    </row>
    <row r="199">
      <c r="A199" s="9">
        <v>45669.0</v>
      </c>
      <c r="B199" s="7">
        <v>377.0</v>
      </c>
    </row>
    <row r="200">
      <c r="A200" s="9">
        <v>45670.0</v>
      </c>
      <c r="B200" s="7">
        <v>279.0</v>
      </c>
    </row>
    <row r="201">
      <c r="A201" s="9">
        <v>45671.0</v>
      </c>
      <c r="B201" s="7">
        <v>675.0</v>
      </c>
    </row>
    <row r="202">
      <c r="A202" s="9">
        <v>45672.0</v>
      </c>
      <c r="B202" s="7">
        <v>335.0</v>
      </c>
    </row>
    <row r="203">
      <c r="A203" s="9">
        <v>45673.0</v>
      </c>
      <c r="B203" s="7">
        <v>759.0</v>
      </c>
    </row>
    <row r="204">
      <c r="A204" s="9">
        <v>45674.0</v>
      </c>
      <c r="B204" s="7">
        <v>579.0</v>
      </c>
    </row>
    <row r="205">
      <c r="A205" s="9">
        <v>45675.0</v>
      </c>
      <c r="B205" s="7">
        <v>407.0</v>
      </c>
    </row>
    <row r="206">
      <c r="A206" s="9">
        <v>45676.0</v>
      </c>
      <c r="B206" s="7">
        <v>287.0</v>
      </c>
    </row>
    <row r="207">
      <c r="A207" s="9">
        <v>45677.0</v>
      </c>
      <c r="B207" s="7">
        <v>265.0</v>
      </c>
    </row>
    <row r="208">
      <c r="A208" s="9">
        <v>45678.0</v>
      </c>
      <c r="B208" s="7">
        <v>1011.0</v>
      </c>
    </row>
    <row r="209">
      <c r="A209" s="9">
        <v>45679.0</v>
      </c>
      <c r="B209" s="7">
        <v>884.0</v>
      </c>
    </row>
    <row r="210">
      <c r="A210" s="9">
        <v>45680.0</v>
      </c>
      <c r="B210" s="7">
        <v>1006.0</v>
      </c>
    </row>
    <row r="211">
      <c r="A211" s="9">
        <v>45681.0</v>
      </c>
      <c r="B211" s="7">
        <v>511.0</v>
      </c>
    </row>
    <row r="212">
      <c r="A212" s="9">
        <v>45682.0</v>
      </c>
      <c r="B212" s="7">
        <v>423.0</v>
      </c>
    </row>
    <row r="213">
      <c r="A213" s="9">
        <v>45683.0</v>
      </c>
      <c r="B213" s="7">
        <v>480.0</v>
      </c>
    </row>
    <row r="214">
      <c r="A214" s="9">
        <v>45684.0</v>
      </c>
      <c r="B214" s="7">
        <v>12695.0</v>
      </c>
    </row>
    <row r="215">
      <c r="A215" s="9">
        <v>45685.0</v>
      </c>
      <c r="B215" s="7">
        <v>9988.0</v>
      </c>
    </row>
    <row r="216">
      <c r="A216" s="9">
        <v>45686.0</v>
      </c>
      <c r="B216" s="7">
        <v>41226.0</v>
      </c>
    </row>
    <row r="217">
      <c r="A217" s="9">
        <v>45687.0</v>
      </c>
      <c r="B217" s="7">
        <v>57873.0</v>
      </c>
    </row>
    <row r="218">
      <c r="A218" s="9">
        <v>45688.0</v>
      </c>
      <c r="B218" s="7">
        <v>62803.0</v>
      </c>
    </row>
    <row r="219">
      <c r="A219" s="9">
        <v>45689.0</v>
      </c>
      <c r="B219" s="7">
        <v>82337.0</v>
      </c>
    </row>
    <row r="220">
      <c r="A220" s="9">
        <v>45690.0</v>
      </c>
      <c r="B220" s="7">
        <v>92740.0</v>
      </c>
    </row>
    <row r="221">
      <c r="A221" s="9">
        <v>45691.0</v>
      </c>
      <c r="B221" s="7">
        <v>33876.0</v>
      </c>
    </row>
    <row r="222">
      <c r="A222" s="9">
        <v>45692.0</v>
      </c>
      <c r="B222" s="7">
        <v>1505.0</v>
      </c>
    </row>
    <row r="223">
      <c r="A223" s="9">
        <v>45693.0</v>
      </c>
      <c r="B223" s="7">
        <v>1925.0</v>
      </c>
    </row>
    <row r="224">
      <c r="A224" s="9">
        <v>45694.0</v>
      </c>
      <c r="B224" s="7">
        <v>1867.0</v>
      </c>
    </row>
    <row r="225">
      <c r="A225" s="9">
        <v>45695.0</v>
      </c>
      <c r="B225" s="7">
        <v>1184.0</v>
      </c>
    </row>
    <row r="226">
      <c r="A226" s="9">
        <v>45696.0</v>
      </c>
      <c r="B226" s="7">
        <v>1301.0</v>
      </c>
    </row>
    <row r="227">
      <c r="A227" s="9">
        <v>45697.0</v>
      </c>
      <c r="B227" s="7">
        <v>1074.0</v>
      </c>
    </row>
    <row r="228">
      <c r="A228" s="9">
        <v>45698.0</v>
      </c>
      <c r="B228" s="7">
        <v>12859.0</v>
      </c>
    </row>
    <row r="229">
      <c r="A229" s="9">
        <v>45699.0</v>
      </c>
      <c r="B229" s="7">
        <v>14272.0</v>
      </c>
    </row>
    <row r="230">
      <c r="A230" s="9">
        <v>45700.0</v>
      </c>
      <c r="B230" s="7">
        <v>14985.0</v>
      </c>
    </row>
    <row r="231">
      <c r="A231" s="9">
        <v>45701.0</v>
      </c>
      <c r="B231" s="7">
        <v>17703.0</v>
      </c>
    </row>
    <row r="232">
      <c r="A232" s="9">
        <v>45702.0</v>
      </c>
      <c r="B232" s="7">
        <v>16594.0</v>
      </c>
    </row>
    <row r="233">
      <c r="A233" s="9">
        <v>45703.0</v>
      </c>
      <c r="B233" s="7">
        <v>17895.0</v>
      </c>
    </row>
    <row r="234">
      <c r="A234" s="9">
        <v>45704.0</v>
      </c>
      <c r="B234" s="7">
        <v>25409.0</v>
      </c>
    </row>
    <row r="235">
      <c r="A235" s="9">
        <v>45705.0</v>
      </c>
      <c r="B235" s="7">
        <v>29039.0</v>
      </c>
    </row>
    <row r="236">
      <c r="A236" s="9">
        <v>45706.0</v>
      </c>
      <c r="B236" s="7">
        <v>26411.0</v>
      </c>
    </row>
    <row r="237">
      <c r="A237" s="9">
        <v>45707.0</v>
      </c>
      <c r="B237" s="7">
        <v>25605.0</v>
      </c>
    </row>
    <row r="238">
      <c r="A238" s="9">
        <v>45708.0</v>
      </c>
      <c r="B238" s="7">
        <v>26041.0</v>
      </c>
    </row>
    <row r="239">
      <c r="A239" s="9">
        <v>45709.0</v>
      </c>
      <c r="B239" s="7">
        <v>28366.0</v>
      </c>
    </row>
    <row r="240">
      <c r="A240" s="9">
        <v>45710.0</v>
      </c>
      <c r="B240" s="7">
        <v>27041.0</v>
      </c>
    </row>
    <row r="241">
      <c r="A241" s="9">
        <v>45711.0</v>
      </c>
      <c r="B241" s="7">
        <v>28732.0</v>
      </c>
    </row>
    <row r="242">
      <c r="A242" s="9">
        <v>45712.0</v>
      </c>
      <c r="B242" s="7">
        <v>26989.0</v>
      </c>
    </row>
    <row r="243">
      <c r="A243" s="9">
        <v>45713.0</v>
      </c>
      <c r="B243" s="7">
        <v>27975.0</v>
      </c>
    </row>
    <row r="244">
      <c r="A244" s="9">
        <v>45714.0</v>
      </c>
      <c r="B244" s="7">
        <v>23156.0</v>
      </c>
    </row>
    <row r="245">
      <c r="A245" s="9">
        <v>45715.0</v>
      </c>
      <c r="B245" s="7">
        <v>22952.0</v>
      </c>
    </row>
    <row r="246">
      <c r="A246" s="9">
        <v>45716.0</v>
      </c>
      <c r="B246" s="7">
        <v>22866.0</v>
      </c>
    </row>
    <row r="247">
      <c r="A247" s="9">
        <v>45717.0</v>
      </c>
      <c r="B247" s="7">
        <v>2363.0</v>
      </c>
    </row>
    <row r="248">
      <c r="A248" s="9">
        <v>45718.0</v>
      </c>
      <c r="B248" s="7">
        <v>1995.0</v>
      </c>
    </row>
    <row r="249">
      <c r="A249" s="9">
        <v>45719.0</v>
      </c>
      <c r="B249" s="7">
        <v>1912.0</v>
      </c>
    </row>
    <row r="250">
      <c r="A250" s="9">
        <v>45720.0</v>
      </c>
      <c r="B250" s="7">
        <v>1756.0</v>
      </c>
    </row>
    <row r="251">
      <c r="A251" s="9">
        <v>45721.0</v>
      </c>
      <c r="B251" s="7">
        <v>1184.0</v>
      </c>
    </row>
    <row r="252">
      <c r="A252" s="9">
        <v>45722.0</v>
      </c>
      <c r="B252" s="7">
        <v>4061.0</v>
      </c>
    </row>
    <row r="253">
      <c r="A253" s="9">
        <v>45723.0</v>
      </c>
      <c r="B253" s="7">
        <v>8924.0</v>
      </c>
    </row>
    <row r="254">
      <c r="A254" s="9">
        <v>45724.0</v>
      </c>
      <c r="B254" s="7">
        <v>5655.0</v>
      </c>
    </row>
    <row r="255">
      <c r="A255" s="9">
        <v>45725.0</v>
      </c>
      <c r="B255" s="7">
        <v>5157.0</v>
      </c>
    </row>
    <row r="256">
      <c r="A256" s="9">
        <v>45726.0</v>
      </c>
      <c r="B256" s="7">
        <v>6508.0</v>
      </c>
    </row>
    <row r="257">
      <c r="A257" s="9">
        <v>45727.0</v>
      </c>
      <c r="B257" s="7">
        <v>5145.0</v>
      </c>
    </row>
    <row r="258">
      <c r="A258" s="9">
        <v>45728.0</v>
      </c>
      <c r="B258" s="7">
        <v>4283.0</v>
      </c>
    </row>
    <row r="259">
      <c r="A259" s="9">
        <v>45729.0</v>
      </c>
      <c r="B259" s="7">
        <v>4569.0</v>
      </c>
    </row>
    <row r="260">
      <c r="A260" s="9">
        <v>45730.0</v>
      </c>
      <c r="B260" s="7">
        <v>5248.0</v>
      </c>
    </row>
    <row r="261">
      <c r="A261" s="9">
        <v>45731.0</v>
      </c>
      <c r="B261" s="7">
        <v>5408.0</v>
      </c>
    </row>
    <row r="262">
      <c r="A262" s="9">
        <v>45732.0</v>
      </c>
      <c r="B262" s="7">
        <v>6021.0</v>
      </c>
    </row>
    <row r="263">
      <c r="A263" s="9">
        <v>45733.0</v>
      </c>
      <c r="B263" s="7">
        <v>8122.0</v>
      </c>
    </row>
    <row r="264">
      <c r="A264" s="9">
        <v>45734.0</v>
      </c>
      <c r="B264" s="7">
        <v>6738.0</v>
      </c>
    </row>
    <row r="265">
      <c r="A265" s="9">
        <v>45735.0</v>
      </c>
      <c r="B265" s="7">
        <v>7691.0</v>
      </c>
    </row>
    <row r="266">
      <c r="A266" s="9">
        <v>45736.0</v>
      </c>
      <c r="B266" s="7">
        <v>9510.0</v>
      </c>
    </row>
    <row r="267">
      <c r="A267" s="9">
        <v>45737.0</v>
      </c>
      <c r="B267" s="7">
        <v>8415.0</v>
      </c>
    </row>
    <row r="268">
      <c r="A268" s="9">
        <v>45738.0</v>
      </c>
      <c r="B268" s="7">
        <v>1335.0</v>
      </c>
    </row>
    <row r="269">
      <c r="A269" s="9">
        <v>45739.0</v>
      </c>
      <c r="B269" s="7">
        <v>1155.0</v>
      </c>
    </row>
    <row r="270">
      <c r="A270" s="9">
        <v>45740.0</v>
      </c>
      <c r="B270" s="7">
        <v>13335.0</v>
      </c>
    </row>
    <row r="271">
      <c r="A271" s="9">
        <v>45741.0</v>
      </c>
      <c r="B271" s="7">
        <v>28991.0</v>
      </c>
    </row>
    <row r="272">
      <c r="A272" s="9">
        <v>45742.0</v>
      </c>
      <c r="B272" s="7">
        <v>20512.0</v>
      </c>
    </row>
    <row r="273">
      <c r="A273" s="9">
        <v>45743.0</v>
      </c>
      <c r="B273" s="7">
        <v>1998.0</v>
      </c>
    </row>
    <row r="274">
      <c r="A274" s="9">
        <v>45744.0</v>
      </c>
      <c r="B274" s="7">
        <v>1801.0</v>
      </c>
    </row>
    <row r="275">
      <c r="A275" s="9">
        <v>45745.0</v>
      </c>
      <c r="B275" s="7">
        <v>1242.0</v>
      </c>
    </row>
    <row r="276">
      <c r="A276" s="9">
        <v>45746.0</v>
      </c>
      <c r="B276" s="7">
        <v>870.0</v>
      </c>
    </row>
    <row r="277">
      <c r="A277" s="9">
        <v>45747.0</v>
      </c>
      <c r="B277" s="7">
        <v>767.0</v>
      </c>
    </row>
    <row r="278">
      <c r="A278" s="9">
        <v>45748.0</v>
      </c>
      <c r="B278" s="7">
        <v>690.0</v>
      </c>
    </row>
    <row r="279">
      <c r="A279" s="9">
        <v>45749.0</v>
      </c>
      <c r="B279" s="7">
        <v>1194.0</v>
      </c>
    </row>
    <row r="280">
      <c r="A280" s="9">
        <v>45750.0</v>
      </c>
      <c r="B280" s="7">
        <v>1277.0</v>
      </c>
    </row>
    <row r="281">
      <c r="A281" s="9">
        <v>45751.0</v>
      </c>
      <c r="B281" s="7">
        <v>1650.0</v>
      </c>
    </row>
    <row r="282">
      <c r="A282" s="9">
        <v>45752.0</v>
      </c>
      <c r="B282" s="7">
        <v>1299.0</v>
      </c>
    </row>
    <row r="283">
      <c r="A283" s="9">
        <v>45753.0</v>
      </c>
      <c r="B283" s="7">
        <v>1311.0</v>
      </c>
    </row>
    <row r="284">
      <c r="A284" s="9">
        <v>45754.0</v>
      </c>
      <c r="B284" s="7">
        <v>2421.0</v>
      </c>
    </row>
    <row r="285">
      <c r="A285" s="9">
        <v>45755.0</v>
      </c>
      <c r="B285" s="7">
        <v>1345.0</v>
      </c>
    </row>
    <row r="286">
      <c r="A286" s="9">
        <v>45756.0</v>
      </c>
      <c r="B286" s="7">
        <v>1058.0</v>
      </c>
    </row>
    <row r="287">
      <c r="A287" s="9">
        <v>45757.0</v>
      </c>
      <c r="B287" s="7">
        <v>1200.0</v>
      </c>
    </row>
    <row r="288">
      <c r="A288" s="9">
        <v>45758.0</v>
      </c>
      <c r="B288" s="7">
        <v>1110.0</v>
      </c>
    </row>
    <row r="289">
      <c r="A289" s="9">
        <v>45759.0</v>
      </c>
      <c r="B289" s="7">
        <v>1180.0</v>
      </c>
    </row>
    <row r="290">
      <c r="A290" s="9">
        <v>45760.0</v>
      </c>
      <c r="B290" s="7">
        <v>1024.0</v>
      </c>
    </row>
    <row r="291">
      <c r="A291" s="9">
        <v>45761.0</v>
      </c>
      <c r="B291" s="7">
        <v>992.0</v>
      </c>
    </row>
    <row r="292">
      <c r="A292" s="9">
        <v>45762.0</v>
      </c>
      <c r="B292" s="7">
        <v>907.0</v>
      </c>
    </row>
    <row r="293">
      <c r="A293" s="9">
        <v>45763.0</v>
      </c>
      <c r="B293" s="7">
        <v>803.0</v>
      </c>
    </row>
    <row r="294">
      <c r="A294" s="9">
        <v>45764.0</v>
      </c>
      <c r="B294" s="7">
        <v>763.0</v>
      </c>
    </row>
    <row r="295">
      <c r="A295" s="9">
        <v>45765.0</v>
      </c>
      <c r="B295" s="7">
        <v>27615.0</v>
      </c>
    </row>
    <row r="296">
      <c r="A296" s="9">
        <v>45766.0</v>
      </c>
      <c r="B296" s="7">
        <v>18250.0</v>
      </c>
    </row>
    <row r="297">
      <c r="A297" s="9">
        <v>45767.0</v>
      </c>
      <c r="B297" s="7">
        <v>34941.0</v>
      </c>
    </row>
    <row r="298">
      <c r="A298" s="9">
        <v>45768.0</v>
      </c>
      <c r="B298" s="7">
        <v>34606.0</v>
      </c>
    </row>
    <row r="299">
      <c r="A299" s="9">
        <v>45769.0</v>
      </c>
      <c r="B299" s="7">
        <v>36117.0</v>
      </c>
    </row>
    <row r="300">
      <c r="A300" s="9">
        <v>45770.0</v>
      </c>
      <c r="B300" s="7">
        <v>36054.0</v>
      </c>
    </row>
    <row r="301">
      <c r="A301" s="9">
        <v>45771.0</v>
      </c>
      <c r="B301" s="7">
        <v>38973.0</v>
      </c>
    </row>
    <row r="302">
      <c r="A302" s="9">
        <v>45772.0</v>
      </c>
      <c r="B302" s="7">
        <v>13095.0</v>
      </c>
    </row>
    <row r="303">
      <c r="A303" s="9">
        <v>45773.0</v>
      </c>
      <c r="B303" s="7">
        <v>1384.0</v>
      </c>
    </row>
    <row r="304">
      <c r="A304" s="9">
        <v>45774.0</v>
      </c>
      <c r="B304" s="7">
        <v>1777.0</v>
      </c>
    </row>
    <row r="305">
      <c r="A305" s="9">
        <v>45775.0</v>
      </c>
      <c r="B305" s="7">
        <v>1357.0</v>
      </c>
    </row>
    <row r="306">
      <c r="A306" s="9">
        <v>45776.0</v>
      </c>
      <c r="B306" s="7">
        <v>1558.0</v>
      </c>
    </row>
    <row r="307">
      <c r="A307" s="9">
        <v>45777.0</v>
      </c>
      <c r="B307" s="7">
        <v>11204.0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</v>
      </c>
      <c r="B1" s="16" t="s">
        <v>8</v>
      </c>
      <c r="C1" s="16" t="s">
        <v>9</v>
      </c>
      <c r="D1" s="16" t="s">
        <v>10</v>
      </c>
      <c r="E1" s="16" t="s">
        <v>11</v>
      </c>
    </row>
    <row r="2">
      <c r="A2" s="17">
        <v>45474.0</v>
      </c>
      <c r="B2" s="18">
        <v>0.0</v>
      </c>
      <c r="C2" s="18">
        <v>1.0</v>
      </c>
      <c r="D2" s="18">
        <v>0.0</v>
      </c>
      <c r="E2" s="18">
        <v>1.0</v>
      </c>
    </row>
    <row r="3">
      <c r="A3" s="17">
        <v>45475.0</v>
      </c>
      <c r="B3" s="18">
        <v>0.0</v>
      </c>
      <c r="C3" s="18">
        <v>1.0</v>
      </c>
      <c r="D3" s="18">
        <v>0.0</v>
      </c>
      <c r="E3" s="18">
        <v>1.0</v>
      </c>
    </row>
    <row r="4">
      <c r="A4" s="17">
        <v>45476.0</v>
      </c>
      <c r="B4" s="18">
        <v>0.0</v>
      </c>
      <c r="C4" s="18">
        <v>4.0</v>
      </c>
      <c r="D4" s="18">
        <v>0.0</v>
      </c>
      <c r="E4" s="18">
        <v>4.0</v>
      </c>
    </row>
    <row r="5">
      <c r="A5" s="17">
        <v>45477.0</v>
      </c>
      <c r="B5" s="18">
        <v>0.0</v>
      </c>
      <c r="C5" s="18">
        <v>2.0</v>
      </c>
      <c r="D5" s="18">
        <v>0.0</v>
      </c>
      <c r="E5" s="18">
        <v>2.0</v>
      </c>
    </row>
    <row r="6">
      <c r="A6" s="17">
        <v>45478.0</v>
      </c>
      <c r="B6" s="18">
        <v>0.0</v>
      </c>
      <c r="C6" s="18">
        <v>2.0</v>
      </c>
      <c r="D6" s="18">
        <v>0.0</v>
      </c>
      <c r="E6" s="18">
        <v>2.0</v>
      </c>
    </row>
    <row r="7">
      <c r="A7" s="17">
        <v>45479.0</v>
      </c>
      <c r="B7" s="18">
        <v>0.0</v>
      </c>
      <c r="C7" s="18">
        <v>0.0</v>
      </c>
      <c r="D7" s="18">
        <v>0.0</v>
      </c>
      <c r="E7" s="18">
        <v>0.0</v>
      </c>
    </row>
    <row r="8">
      <c r="A8" s="17">
        <v>45480.0</v>
      </c>
      <c r="B8" s="18">
        <v>0.0</v>
      </c>
      <c r="C8" s="18">
        <v>0.0</v>
      </c>
      <c r="D8" s="18">
        <v>0.0</v>
      </c>
      <c r="E8" s="18">
        <v>0.0</v>
      </c>
    </row>
    <row r="9">
      <c r="A9" s="17">
        <v>45481.0</v>
      </c>
      <c r="B9" s="18">
        <v>0.0</v>
      </c>
      <c r="C9" s="18">
        <v>1.0</v>
      </c>
      <c r="D9" s="18">
        <v>0.0</v>
      </c>
      <c r="E9" s="18">
        <v>1.0</v>
      </c>
    </row>
    <row r="10">
      <c r="A10" s="17">
        <v>45482.0</v>
      </c>
      <c r="B10" s="18">
        <v>0.0</v>
      </c>
      <c r="C10" s="18">
        <v>1.0</v>
      </c>
      <c r="D10" s="18">
        <v>0.0</v>
      </c>
      <c r="E10" s="18">
        <v>1.0</v>
      </c>
    </row>
    <row r="11">
      <c r="A11" s="17">
        <v>45483.0</v>
      </c>
      <c r="B11" s="18">
        <v>0.0</v>
      </c>
      <c r="C11" s="18">
        <v>0.0</v>
      </c>
      <c r="D11" s="18">
        <v>0.0</v>
      </c>
      <c r="E11" s="18">
        <v>0.0</v>
      </c>
    </row>
    <row r="12">
      <c r="A12" s="17">
        <v>45484.0</v>
      </c>
      <c r="B12" s="18">
        <v>0.0</v>
      </c>
      <c r="C12" s="18">
        <v>2.0</v>
      </c>
      <c r="D12" s="18">
        <v>0.0</v>
      </c>
      <c r="E12" s="18">
        <v>2.0</v>
      </c>
    </row>
    <row r="13">
      <c r="A13" s="17">
        <v>45485.0</v>
      </c>
      <c r="B13" s="18">
        <v>0.0</v>
      </c>
      <c r="C13" s="18">
        <v>0.0</v>
      </c>
      <c r="D13" s="18">
        <v>0.0</v>
      </c>
      <c r="E13" s="18">
        <v>0.0</v>
      </c>
    </row>
    <row r="14">
      <c r="A14" s="17">
        <v>45486.0</v>
      </c>
      <c r="B14" s="18">
        <v>0.0</v>
      </c>
      <c r="C14" s="18">
        <v>3.0</v>
      </c>
      <c r="D14" s="18">
        <v>0.0</v>
      </c>
      <c r="E14" s="18">
        <v>3.0</v>
      </c>
    </row>
    <row r="15">
      <c r="A15" s="17">
        <v>45487.0</v>
      </c>
      <c r="B15" s="18">
        <v>0.0</v>
      </c>
      <c r="C15" s="18">
        <v>1.0</v>
      </c>
      <c r="D15" s="18">
        <v>0.0</v>
      </c>
      <c r="E15" s="18">
        <v>1.0</v>
      </c>
    </row>
    <row r="16">
      <c r="A16" s="17">
        <v>45488.0</v>
      </c>
      <c r="B16" s="18">
        <v>0.0</v>
      </c>
      <c r="C16" s="18">
        <v>0.0</v>
      </c>
      <c r="D16" s="18">
        <v>0.0</v>
      </c>
      <c r="E16" s="18">
        <v>0.0</v>
      </c>
    </row>
    <row r="17">
      <c r="A17" s="17">
        <v>45489.0</v>
      </c>
      <c r="B17" s="18">
        <v>0.0</v>
      </c>
      <c r="C17" s="18">
        <v>2.0</v>
      </c>
      <c r="D17" s="18">
        <v>0.0</v>
      </c>
      <c r="E17" s="18">
        <v>2.0</v>
      </c>
    </row>
    <row r="18">
      <c r="A18" s="17">
        <v>45490.0</v>
      </c>
      <c r="B18" s="18">
        <v>0.0</v>
      </c>
      <c r="C18" s="18">
        <v>1.0</v>
      </c>
      <c r="D18" s="18">
        <v>0.0</v>
      </c>
      <c r="E18" s="18">
        <v>1.0</v>
      </c>
    </row>
    <row r="19">
      <c r="A19" s="17">
        <v>45491.0</v>
      </c>
      <c r="B19" s="18">
        <v>0.0</v>
      </c>
      <c r="C19" s="18">
        <v>4.0</v>
      </c>
      <c r="D19" s="18">
        <v>0.0</v>
      </c>
      <c r="E19" s="18">
        <v>4.0</v>
      </c>
    </row>
    <row r="20">
      <c r="A20" s="17">
        <v>45492.0</v>
      </c>
      <c r="B20" s="18">
        <v>0.0</v>
      </c>
      <c r="C20" s="18">
        <v>0.0</v>
      </c>
      <c r="D20" s="18">
        <v>0.0</v>
      </c>
      <c r="E20" s="18">
        <v>0.0</v>
      </c>
    </row>
    <row r="21">
      <c r="A21" s="17">
        <v>45493.0</v>
      </c>
      <c r="B21" s="18">
        <v>0.0</v>
      </c>
      <c r="C21" s="18">
        <v>1.0</v>
      </c>
      <c r="D21" s="18">
        <v>0.0</v>
      </c>
      <c r="E21" s="18">
        <v>1.0</v>
      </c>
    </row>
    <row r="22">
      <c r="A22" s="17">
        <v>45494.0</v>
      </c>
      <c r="B22" s="18">
        <v>0.0</v>
      </c>
      <c r="C22" s="18">
        <v>0.0</v>
      </c>
      <c r="D22" s="18">
        <v>0.0</v>
      </c>
      <c r="E22" s="18">
        <v>0.0</v>
      </c>
    </row>
    <row r="23">
      <c r="A23" s="17">
        <v>45495.0</v>
      </c>
      <c r="B23" s="18">
        <v>0.0</v>
      </c>
      <c r="C23" s="18">
        <v>2.0</v>
      </c>
      <c r="D23" s="18">
        <v>0.0</v>
      </c>
      <c r="E23" s="18">
        <v>2.0</v>
      </c>
    </row>
    <row r="24">
      <c r="A24" s="17">
        <v>45496.0</v>
      </c>
      <c r="B24" s="18">
        <v>0.0</v>
      </c>
      <c r="C24" s="18">
        <v>0.0</v>
      </c>
      <c r="D24" s="18">
        <v>0.0</v>
      </c>
      <c r="E24" s="18">
        <v>0.0</v>
      </c>
    </row>
    <row r="25">
      <c r="A25" s="17">
        <v>45497.0</v>
      </c>
      <c r="B25" s="18">
        <v>0.0</v>
      </c>
      <c r="C25" s="18">
        <v>2.0</v>
      </c>
      <c r="D25" s="18">
        <v>0.0</v>
      </c>
      <c r="E25" s="18">
        <v>2.0</v>
      </c>
    </row>
    <row r="26">
      <c r="A26" s="17">
        <v>45498.0</v>
      </c>
      <c r="B26" s="18">
        <v>0.0</v>
      </c>
      <c r="C26" s="18">
        <v>0.0</v>
      </c>
      <c r="D26" s="18">
        <v>0.0</v>
      </c>
      <c r="E26" s="18">
        <v>0.0</v>
      </c>
    </row>
    <row r="27">
      <c r="A27" s="17">
        <v>45499.0</v>
      </c>
      <c r="B27" s="18">
        <v>0.0</v>
      </c>
      <c r="C27" s="18">
        <v>0.0</v>
      </c>
      <c r="D27" s="18">
        <v>0.0</v>
      </c>
      <c r="E27" s="18">
        <v>0.0</v>
      </c>
    </row>
    <row r="28">
      <c r="A28" s="17">
        <v>45500.0</v>
      </c>
      <c r="B28" s="18">
        <v>0.0</v>
      </c>
      <c r="C28" s="18">
        <v>1.0</v>
      </c>
      <c r="D28" s="18">
        <v>0.0</v>
      </c>
      <c r="E28" s="18">
        <v>1.0</v>
      </c>
    </row>
    <row r="29">
      <c r="A29" s="17">
        <v>45501.0</v>
      </c>
      <c r="B29" s="18">
        <v>0.0</v>
      </c>
      <c r="C29" s="18">
        <v>0.0</v>
      </c>
      <c r="D29" s="18">
        <v>0.0</v>
      </c>
      <c r="E29" s="18">
        <v>0.0</v>
      </c>
    </row>
    <row r="30">
      <c r="A30" s="17">
        <v>45502.0</v>
      </c>
      <c r="B30" s="18">
        <v>0.0</v>
      </c>
      <c r="C30" s="18">
        <v>0.0</v>
      </c>
      <c r="D30" s="18">
        <v>0.0</v>
      </c>
      <c r="E30" s="18">
        <v>0.0</v>
      </c>
    </row>
    <row r="31">
      <c r="A31" s="17">
        <v>45503.0</v>
      </c>
      <c r="B31" s="18">
        <v>0.0</v>
      </c>
      <c r="C31" s="18">
        <v>3.0</v>
      </c>
      <c r="D31" s="18">
        <v>0.0</v>
      </c>
      <c r="E31" s="18">
        <v>3.0</v>
      </c>
    </row>
    <row r="32">
      <c r="A32" s="17">
        <v>45504.0</v>
      </c>
      <c r="B32" s="18">
        <v>0.0</v>
      </c>
      <c r="C32" s="18">
        <v>2.0</v>
      </c>
      <c r="D32" s="18">
        <v>0.0</v>
      </c>
      <c r="E32" s="18">
        <v>2.0</v>
      </c>
    </row>
    <row r="33">
      <c r="A33" s="17">
        <v>45505.0</v>
      </c>
      <c r="B33" s="18">
        <v>0.0</v>
      </c>
      <c r="C33" s="18">
        <v>1.0</v>
      </c>
      <c r="D33" s="18">
        <v>0.0</v>
      </c>
      <c r="E33" s="18">
        <v>1.0</v>
      </c>
    </row>
    <row r="34">
      <c r="A34" s="17">
        <v>45506.0</v>
      </c>
      <c r="B34" s="18">
        <v>0.0</v>
      </c>
      <c r="C34" s="18">
        <v>0.0</v>
      </c>
      <c r="D34" s="18">
        <v>0.0</v>
      </c>
      <c r="E34" s="18">
        <v>0.0</v>
      </c>
    </row>
    <row r="35">
      <c r="A35" s="17">
        <v>45507.0</v>
      </c>
      <c r="B35" s="18">
        <v>0.0</v>
      </c>
      <c r="C35" s="18">
        <v>0.0</v>
      </c>
      <c r="D35" s="18">
        <v>0.0</v>
      </c>
      <c r="E35" s="18">
        <v>0.0</v>
      </c>
    </row>
    <row r="36">
      <c r="A36" s="17">
        <v>45508.0</v>
      </c>
      <c r="B36" s="18">
        <v>0.0</v>
      </c>
      <c r="C36" s="18">
        <v>0.0</v>
      </c>
      <c r="D36" s="18">
        <v>0.0</v>
      </c>
      <c r="E36" s="18">
        <v>0.0</v>
      </c>
    </row>
    <row r="37">
      <c r="A37" s="17">
        <v>45509.0</v>
      </c>
      <c r="B37" s="18">
        <v>0.0</v>
      </c>
      <c r="C37" s="18">
        <v>1.0</v>
      </c>
      <c r="D37" s="18">
        <v>0.0</v>
      </c>
      <c r="E37" s="18">
        <v>1.0</v>
      </c>
    </row>
    <row r="38">
      <c r="A38" s="17">
        <v>45510.0</v>
      </c>
      <c r="B38" s="18">
        <v>0.0</v>
      </c>
      <c r="C38" s="18">
        <v>0.0</v>
      </c>
      <c r="D38" s="18">
        <v>0.0</v>
      </c>
      <c r="E38" s="18">
        <v>0.0</v>
      </c>
    </row>
    <row r="39">
      <c r="A39" s="17">
        <v>45511.0</v>
      </c>
      <c r="B39" s="18">
        <v>0.0</v>
      </c>
      <c r="C39" s="18">
        <v>2.0</v>
      </c>
      <c r="D39" s="18">
        <v>0.0</v>
      </c>
      <c r="E39" s="18">
        <v>2.0</v>
      </c>
    </row>
    <row r="40">
      <c r="A40" s="17">
        <v>45512.0</v>
      </c>
      <c r="B40" s="18">
        <v>0.0</v>
      </c>
      <c r="C40" s="18">
        <v>-1.0</v>
      </c>
      <c r="D40" s="18">
        <v>0.0</v>
      </c>
      <c r="E40" s="18">
        <v>-1.0</v>
      </c>
    </row>
    <row r="41">
      <c r="A41" s="17">
        <v>45513.0</v>
      </c>
      <c r="B41" s="18">
        <v>0.0</v>
      </c>
      <c r="C41" s="18">
        <v>3.0</v>
      </c>
      <c r="D41" s="18">
        <v>0.0</v>
      </c>
      <c r="E41" s="18">
        <v>3.0</v>
      </c>
    </row>
    <row r="42">
      <c r="A42" s="17">
        <v>45514.0</v>
      </c>
      <c r="B42" s="18">
        <v>0.0</v>
      </c>
      <c r="C42" s="18">
        <v>0.0</v>
      </c>
      <c r="D42" s="18">
        <v>0.0</v>
      </c>
      <c r="E42" s="18">
        <v>0.0</v>
      </c>
    </row>
    <row r="43">
      <c r="A43" s="17">
        <v>45515.0</v>
      </c>
      <c r="B43" s="18">
        <v>0.0</v>
      </c>
      <c r="C43" s="18">
        <v>-1.0</v>
      </c>
      <c r="D43" s="18">
        <v>0.0</v>
      </c>
      <c r="E43" s="18">
        <v>-1.0</v>
      </c>
    </row>
    <row r="44">
      <c r="A44" s="17">
        <v>45516.0</v>
      </c>
      <c r="B44" s="18">
        <v>0.0</v>
      </c>
      <c r="C44" s="18">
        <v>2.0</v>
      </c>
      <c r="D44" s="18">
        <v>0.0</v>
      </c>
      <c r="E44" s="18">
        <v>2.0</v>
      </c>
    </row>
    <row r="45">
      <c r="A45" s="17">
        <v>45517.0</v>
      </c>
      <c r="B45" s="18">
        <v>0.0</v>
      </c>
      <c r="C45" s="18">
        <v>0.0</v>
      </c>
      <c r="D45" s="18">
        <v>0.0</v>
      </c>
      <c r="E45" s="18">
        <v>0.0</v>
      </c>
    </row>
    <row r="46">
      <c r="A46" s="17">
        <v>45518.0</v>
      </c>
      <c r="B46" s="18">
        <v>0.0</v>
      </c>
      <c r="C46" s="18">
        <v>1.0</v>
      </c>
      <c r="D46" s="18">
        <v>0.0</v>
      </c>
      <c r="E46" s="18">
        <v>1.0</v>
      </c>
    </row>
    <row r="47">
      <c r="A47" s="17">
        <v>45519.0</v>
      </c>
      <c r="B47" s="18">
        <v>0.0</v>
      </c>
      <c r="C47" s="18">
        <v>0.0</v>
      </c>
      <c r="D47" s="18">
        <v>0.0</v>
      </c>
      <c r="E47" s="18">
        <v>0.0</v>
      </c>
    </row>
    <row r="48">
      <c r="A48" s="17">
        <v>45520.0</v>
      </c>
      <c r="B48" s="18">
        <v>0.0</v>
      </c>
      <c r="C48" s="18">
        <v>5.0</v>
      </c>
      <c r="D48" s="18">
        <v>0.0</v>
      </c>
      <c r="E48" s="18">
        <v>5.0</v>
      </c>
    </row>
    <row r="49">
      <c r="A49" s="17">
        <v>45521.0</v>
      </c>
      <c r="B49" s="18">
        <v>0.0</v>
      </c>
      <c r="C49" s="18">
        <v>0.0</v>
      </c>
      <c r="D49" s="18">
        <v>0.0</v>
      </c>
      <c r="E49" s="18">
        <v>0.0</v>
      </c>
    </row>
    <row r="50">
      <c r="A50" s="17">
        <v>45522.0</v>
      </c>
      <c r="B50" s="18">
        <v>0.0</v>
      </c>
      <c r="C50" s="18">
        <v>0.0</v>
      </c>
      <c r="D50" s="18">
        <v>0.0</v>
      </c>
      <c r="E50" s="18">
        <v>0.0</v>
      </c>
    </row>
    <row r="51">
      <c r="A51" s="17">
        <v>45523.0</v>
      </c>
      <c r="B51" s="18">
        <v>0.0</v>
      </c>
      <c r="C51" s="18">
        <v>3.0</v>
      </c>
      <c r="D51" s="18">
        <v>0.0</v>
      </c>
      <c r="E51" s="18">
        <v>3.0</v>
      </c>
    </row>
    <row r="52">
      <c r="A52" s="17">
        <v>45524.0</v>
      </c>
      <c r="B52" s="18">
        <v>0.0</v>
      </c>
      <c r="C52" s="18">
        <v>0.0</v>
      </c>
      <c r="D52" s="18">
        <v>0.0</v>
      </c>
      <c r="E52" s="18">
        <v>0.0</v>
      </c>
    </row>
    <row r="53">
      <c r="A53" s="17">
        <v>45525.0</v>
      </c>
      <c r="B53" s="18">
        <v>0.0</v>
      </c>
      <c r="C53" s="18">
        <v>3.0</v>
      </c>
      <c r="D53" s="18">
        <v>0.0</v>
      </c>
      <c r="E53" s="18">
        <v>3.0</v>
      </c>
    </row>
    <row r="54">
      <c r="A54" s="17">
        <v>45526.0</v>
      </c>
      <c r="B54" s="18">
        <v>0.0</v>
      </c>
      <c r="C54" s="18">
        <v>0.0</v>
      </c>
      <c r="D54" s="18">
        <v>0.0</v>
      </c>
      <c r="E54" s="18">
        <v>0.0</v>
      </c>
    </row>
    <row r="55">
      <c r="A55" s="17">
        <v>45527.0</v>
      </c>
      <c r="B55" s="18">
        <v>0.0</v>
      </c>
      <c r="C55" s="18">
        <v>-1.0</v>
      </c>
      <c r="D55" s="18">
        <v>0.0</v>
      </c>
      <c r="E55" s="18">
        <v>-1.0</v>
      </c>
    </row>
    <row r="56">
      <c r="A56" s="17">
        <v>45528.0</v>
      </c>
      <c r="B56" s="18">
        <v>0.0</v>
      </c>
      <c r="C56" s="18">
        <v>0.0</v>
      </c>
      <c r="D56" s="18">
        <v>0.0</v>
      </c>
      <c r="E56" s="18">
        <v>0.0</v>
      </c>
    </row>
    <row r="57">
      <c r="A57" s="17">
        <v>45529.0</v>
      </c>
      <c r="B57" s="18">
        <v>0.0</v>
      </c>
      <c r="C57" s="18">
        <v>2.0</v>
      </c>
      <c r="D57" s="18">
        <v>0.0</v>
      </c>
      <c r="E57" s="18">
        <v>2.0</v>
      </c>
    </row>
    <row r="58">
      <c r="A58" s="17">
        <v>45530.0</v>
      </c>
      <c r="B58" s="18">
        <v>0.0</v>
      </c>
      <c r="C58" s="18">
        <v>1.0</v>
      </c>
      <c r="D58" s="18">
        <v>0.0</v>
      </c>
      <c r="E58" s="18">
        <v>1.0</v>
      </c>
    </row>
    <row r="59">
      <c r="A59" s="17">
        <v>45531.0</v>
      </c>
      <c r="B59" s="18">
        <v>0.0</v>
      </c>
      <c r="C59" s="18">
        <v>1.0</v>
      </c>
      <c r="D59" s="18">
        <v>0.0</v>
      </c>
      <c r="E59" s="18">
        <v>1.0</v>
      </c>
    </row>
    <row r="60">
      <c r="A60" s="17">
        <v>45532.0</v>
      </c>
      <c r="B60" s="18">
        <v>0.0</v>
      </c>
      <c r="C60" s="18">
        <v>0.0</v>
      </c>
      <c r="D60" s="18">
        <v>0.0</v>
      </c>
      <c r="E60" s="18">
        <v>0.0</v>
      </c>
    </row>
    <row r="61">
      <c r="A61" s="17">
        <v>45533.0</v>
      </c>
      <c r="B61" s="18">
        <v>0.0</v>
      </c>
      <c r="C61" s="18">
        <v>0.0</v>
      </c>
      <c r="D61" s="18">
        <v>0.0</v>
      </c>
      <c r="E61" s="18">
        <v>0.0</v>
      </c>
    </row>
    <row r="62">
      <c r="A62" s="17">
        <v>45534.0</v>
      </c>
      <c r="B62" s="18">
        <v>0.0</v>
      </c>
      <c r="C62" s="18">
        <v>2.0</v>
      </c>
      <c r="D62" s="18">
        <v>0.0</v>
      </c>
      <c r="E62" s="18">
        <v>2.0</v>
      </c>
    </row>
    <row r="63">
      <c r="A63" s="17">
        <v>45535.0</v>
      </c>
      <c r="B63" s="18">
        <v>0.0</v>
      </c>
      <c r="C63" s="18">
        <v>0.0</v>
      </c>
      <c r="D63" s="18">
        <v>0.0</v>
      </c>
      <c r="E63" s="18">
        <v>0.0</v>
      </c>
    </row>
    <row r="64">
      <c r="A64" s="17">
        <v>45536.0</v>
      </c>
      <c r="B64" s="18">
        <v>0.0</v>
      </c>
      <c r="C64" s="18">
        <v>0.0</v>
      </c>
      <c r="D64" s="18">
        <v>0.0</v>
      </c>
      <c r="E64" s="18">
        <v>0.0</v>
      </c>
    </row>
    <row r="65">
      <c r="A65" s="17">
        <v>45537.0</v>
      </c>
      <c r="B65" s="18">
        <v>0.0</v>
      </c>
      <c r="C65" s="18">
        <v>1.0</v>
      </c>
      <c r="D65" s="18">
        <v>0.0</v>
      </c>
      <c r="E65" s="18">
        <v>1.0</v>
      </c>
    </row>
    <row r="66">
      <c r="A66" s="17">
        <v>45538.0</v>
      </c>
      <c r="B66" s="18">
        <v>0.0</v>
      </c>
      <c r="C66" s="18">
        <v>1.0</v>
      </c>
      <c r="D66" s="18">
        <v>0.0</v>
      </c>
      <c r="E66" s="18">
        <v>1.0</v>
      </c>
    </row>
    <row r="67">
      <c r="A67" s="17">
        <v>45539.0</v>
      </c>
      <c r="B67" s="18">
        <v>0.0</v>
      </c>
      <c r="C67" s="18">
        <v>-1.0</v>
      </c>
      <c r="D67" s="18">
        <v>0.0</v>
      </c>
      <c r="E67" s="18">
        <v>-1.0</v>
      </c>
    </row>
    <row r="68">
      <c r="A68" s="17">
        <v>45540.0</v>
      </c>
      <c r="B68" s="18">
        <v>0.0</v>
      </c>
      <c r="C68" s="18">
        <v>2.0</v>
      </c>
      <c r="D68" s="18">
        <v>0.0</v>
      </c>
      <c r="E68" s="18">
        <v>2.0</v>
      </c>
    </row>
    <row r="69">
      <c r="A69" s="17">
        <v>45541.0</v>
      </c>
      <c r="B69" s="18">
        <v>0.0</v>
      </c>
      <c r="C69" s="18">
        <v>0.0</v>
      </c>
      <c r="D69" s="18">
        <v>0.0</v>
      </c>
      <c r="E69" s="18">
        <v>0.0</v>
      </c>
    </row>
    <row r="70">
      <c r="A70" s="17">
        <v>45542.0</v>
      </c>
      <c r="B70" s="18">
        <v>0.0</v>
      </c>
      <c r="C70" s="18">
        <v>0.0</v>
      </c>
      <c r="D70" s="18">
        <v>0.0</v>
      </c>
      <c r="E70" s="18">
        <v>0.0</v>
      </c>
    </row>
    <row r="71">
      <c r="A71" s="17">
        <v>45543.0</v>
      </c>
      <c r="B71" s="18">
        <v>0.0</v>
      </c>
      <c r="C71" s="18">
        <v>0.0</v>
      </c>
      <c r="D71" s="18">
        <v>0.0</v>
      </c>
      <c r="E71" s="18">
        <v>0.0</v>
      </c>
    </row>
    <row r="72">
      <c r="A72" s="17">
        <v>45544.0</v>
      </c>
      <c r="B72" s="18">
        <v>0.0</v>
      </c>
      <c r="C72" s="18">
        <v>1.0</v>
      </c>
      <c r="D72" s="18">
        <v>0.0</v>
      </c>
      <c r="E72" s="18">
        <v>1.0</v>
      </c>
    </row>
    <row r="73">
      <c r="A73" s="17">
        <v>45545.0</v>
      </c>
      <c r="B73" s="18">
        <v>0.0</v>
      </c>
      <c r="C73" s="18">
        <v>0.0</v>
      </c>
      <c r="D73" s="18">
        <v>0.0</v>
      </c>
      <c r="E73" s="18">
        <v>0.0</v>
      </c>
    </row>
    <row r="74">
      <c r="A74" s="17">
        <v>45546.0</v>
      </c>
      <c r="B74" s="18">
        <v>0.0</v>
      </c>
      <c r="C74" s="18">
        <v>1.0</v>
      </c>
      <c r="D74" s="18">
        <v>0.0</v>
      </c>
      <c r="E74" s="18">
        <v>1.0</v>
      </c>
    </row>
    <row r="75">
      <c r="A75" s="17">
        <v>45547.0</v>
      </c>
      <c r="B75" s="18">
        <v>0.0</v>
      </c>
      <c r="C75" s="18">
        <v>4.0</v>
      </c>
      <c r="D75" s="18">
        <v>0.0</v>
      </c>
      <c r="E75" s="18">
        <v>4.0</v>
      </c>
    </row>
    <row r="76">
      <c r="A76" s="17">
        <v>45548.0</v>
      </c>
      <c r="B76" s="18">
        <v>0.0</v>
      </c>
      <c r="C76" s="18">
        <v>2.0</v>
      </c>
      <c r="D76" s="18">
        <v>0.0</v>
      </c>
      <c r="E76" s="18">
        <v>2.0</v>
      </c>
    </row>
    <row r="77">
      <c r="A77" s="17">
        <v>45549.0</v>
      </c>
      <c r="B77" s="18">
        <v>0.0</v>
      </c>
      <c r="C77" s="18">
        <v>1.0</v>
      </c>
      <c r="D77" s="18">
        <v>0.0</v>
      </c>
      <c r="E77" s="18">
        <v>1.0</v>
      </c>
    </row>
    <row r="78">
      <c r="A78" s="17">
        <v>45550.0</v>
      </c>
      <c r="B78" s="18">
        <v>0.0</v>
      </c>
      <c r="C78" s="18">
        <v>2.0</v>
      </c>
      <c r="D78" s="18">
        <v>0.0</v>
      </c>
      <c r="E78" s="18">
        <v>2.0</v>
      </c>
    </row>
    <row r="79">
      <c r="A79" s="17">
        <v>45551.0</v>
      </c>
      <c r="B79" s="18">
        <v>0.0</v>
      </c>
      <c r="C79" s="18">
        <v>1.0</v>
      </c>
      <c r="D79" s="18">
        <v>0.0</v>
      </c>
      <c r="E79" s="18">
        <v>1.0</v>
      </c>
    </row>
    <row r="80">
      <c r="A80" s="17">
        <v>45552.0</v>
      </c>
      <c r="B80" s="18">
        <v>0.0</v>
      </c>
      <c r="C80" s="18">
        <v>2.0</v>
      </c>
      <c r="D80" s="18">
        <v>0.0</v>
      </c>
      <c r="E80" s="18">
        <v>2.0</v>
      </c>
    </row>
    <row r="81">
      <c r="A81" s="17">
        <v>45553.0</v>
      </c>
      <c r="B81" s="18">
        <v>0.0</v>
      </c>
      <c r="C81" s="18">
        <v>1.0</v>
      </c>
      <c r="D81" s="18">
        <v>0.0</v>
      </c>
      <c r="E81" s="18">
        <v>1.0</v>
      </c>
    </row>
    <row r="82">
      <c r="A82" s="17">
        <v>45554.0</v>
      </c>
      <c r="B82" s="18">
        <v>0.0</v>
      </c>
      <c r="C82" s="18">
        <v>5.0</v>
      </c>
      <c r="D82" s="18">
        <v>0.0</v>
      </c>
      <c r="E82" s="18">
        <v>5.0</v>
      </c>
    </row>
    <row r="83">
      <c r="A83" s="17">
        <v>45555.0</v>
      </c>
      <c r="B83" s="18">
        <v>0.0</v>
      </c>
      <c r="C83" s="18">
        <v>0.0</v>
      </c>
      <c r="D83" s="18">
        <v>0.0</v>
      </c>
      <c r="E83" s="18">
        <v>0.0</v>
      </c>
    </row>
    <row r="84">
      <c r="A84" s="17">
        <v>45556.0</v>
      </c>
      <c r="B84" s="18">
        <v>0.0</v>
      </c>
      <c r="C84" s="18">
        <v>0.0</v>
      </c>
      <c r="D84" s="18">
        <v>0.0</v>
      </c>
      <c r="E84" s="18">
        <v>0.0</v>
      </c>
    </row>
    <row r="85">
      <c r="A85" s="17">
        <v>45557.0</v>
      </c>
      <c r="B85" s="18">
        <v>0.0</v>
      </c>
      <c r="C85" s="18">
        <v>0.0</v>
      </c>
      <c r="D85" s="18">
        <v>0.0</v>
      </c>
      <c r="E85" s="18">
        <v>0.0</v>
      </c>
    </row>
    <row r="86">
      <c r="A86" s="17">
        <v>45558.0</v>
      </c>
      <c r="B86" s="18">
        <v>0.0</v>
      </c>
      <c r="C86" s="18">
        <v>1.0</v>
      </c>
      <c r="D86" s="18">
        <v>0.0</v>
      </c>
      <c r="E86" s="18">
        <v>1.0</v>
      </c>
    </row>
    <row r="87">
      <c r="A87" s="17">
        <v>45559.0</v>
      </c>
      <c r="B87" s="18">
        <v>0.0</v>
      </c>
      <c r="C87" s="18">
        <v>0.0</v>
      </c>
      <c r="D87" s="18">
        <v>0.0</v>
      </c>
      <c r="E87" s="18">
        <v>0.0</v>
      </c>
    </row>
    <row r="88">
      <c r="A88" s="17">
        <v>45560.0</v>
      </c>
      <c r="B88" s="18">
        <v>1.0</v>
      </c>
      <c r="C88" s="18">
        <v>2.0</v>
      </c>
      <c r="D88" s="18">
        <v>0.0</v>
      </c>
      <c r="E88" s="18">
        <v>3.0</v>
      </c>
    </row>
    <row r="89">
      <c r="A89" s="17">
        <v>45561.0</v>
      </c>
      <c r="B89" s="18">
        <v>0.0</v>
      </c>
      <c r="C89" s="18">
        <v>1.0</v>
      </c>
      <c r="D89" s="18">
        <v>0.0</v>
      </c>
      <c r="E89" s="18">
        <v>1.0</v>
      </c>
    </row>
    <row r="90">
      <c r="A90" s="17">
        <v>45562.0</v>
      </c>
      <c r="B90" s="18">
        <v>1.0</v>
      </c>
      <c r="C90" s="18">
        <v>3.0</v>
      </c>
      <c r="D90" s="18">
        <v>0.0</v>
      </c>
      <c r="E90" s="18">
        <v>4.0</v>
      </c>
    </row>
    <row r="91">
      <c r="A91" s="17">
        <v>45563.0</v>
      </c>
      <c r="B91" s="18">
        <v>0.0</v>
      </c>
      <c r="C91" s="18">
        <v>3.0</v>
      </c>
      <c r="D91" s="18">
        <v>0.0</v>
      </c>
      <c r="E91" s="18">
        <v>3.0</v>
      </c>
    </row>
    <row r="92">
      <c r="A92" s="17">
        <v>45564.0</v>
      </c>
      <c r="B92" s="18">
        <v>0.0</v>
      </c>
      <c r="C92" s="18">
        <v>1.0</v>
      </c>
      <c r="D92" s="18">
        <v>0.0</v>
      </c>
      <c r="E92" s="18">
        <v>1.0</v>
      </c>
    </row>
    <row r="93">
      <c r="A93" s="17">
        <v>45565.0</v>
      </c>
      <c r="B93" s="18">
        <v>1.0</v>
      </c>
      <c r="C93" s="18">
        <v>1.0</v>
      </c>
      <c r="D93" s="18">
        <v>0.0</v>
      </c>
      <c r="E93" s="18">
        <v>2.0</v>
      </c>
    </row>
    <row r="94">
      <c r="A94" s="17">
        <v>45566.0</v>
      </c>
      <c r="B94" s="18">
        <v>1.0</v>
      </c>
      <c r="C94" s="18">
        <v>0.0</v>
      </c>
      <c r="D94" s="18">
        <v>0.0</v>
      </c>
      <c r="E94" s="18">
        <v>1.0</v>
      </c>
    </row>
    <row r="95">
      <c r="A95" s="17">
        <v>45567.0</v>
      </c>
      <c r="B95" s="18">
        <v>0.0</v>
      </c>
      <c r="C95" s="18">
        <v>1.0</v>
      </c>
      <c r="D95" s="18">
        <v>0.0</v>
      </c>
      <c r="E95" s="18">
        <v>1.0</v>
      </c>
    </row>
    <row r="96">
      <c r="A96" s="17">
        <v>45568.0</v>
      </c>
      <c r="B96" s="18">
        <v>0.0</v>
      </c>
      <c r="C96" s="18">
        <v>0.0</v>
      </c>
      <c r="D96" s="18">
        <v>0.0</v>
      </c>
      <c r="E96" s="18">
        <v>0.0</v>
      </c>
    </row>
    <row r="97">
      <c r="A97" s="17">
        <v>45569.0</v>
      </c>
      <c r="B97" s="18">
        <v>0.0</v>
      </c>
      <c r="C97" s="18">
        <v>0.0</v>
      </c>
      <c r="D97" s="18">
        <v>0.0</v>
      </c>
      <c r="E97" s="18">
        <v>0.0</v>
      </c>
    </row>
    <row r="98">
      <c r="A98" s="17">
        <v>45570.0</v>
      </c>
      <c r="B98" s="18">
        <v>0.0</v>
      </c>
      <c r="C98" s="18">
        <v>1.0</v>
      </c>
      <c r="D98" s="18">
        <v>0.0</v>
      </c>
      <c r="E98" s="18">
        <v>1.0</v>
      </c>
    </row>
    <row r="99">
      <c r="A99" s="17">
        <v>45571.0</v>
      </c>
      <c r="B99" s="18">
        <v>0.0</v>
      </c>
      <c r="C99" s="18">
        <v>1.0</v>
      </c>
      <c r="D99" s="18">
        <v>0.0</v>
      </c>
      <c r="E99" s="18">
        <v>1.0</v>
      </c>
    </row>
    <row r="100">
      <c r="A100" s="17">
        <v>45572.0</v>
      </c>
      <c r="B100" s="18">
        <v>0.0</v>
      </c>
      <c r="C100" s="18">
        <v>0.0</v>
      </c>
      <c r="D100" s="18">
        <v>0.0</v>
      </c>
      <c r="E100" s="18">
        <v>0.0</v>
      </c>
    </row>
    <row r="101">
      <c r="A101" s="17">
        <v>45573.0</v>
      </c>
      <c r="B101" s="18">
        <v>0.0</v>
      </c>
      <c r="C101" s="18">
        <v>1.0</v>
      </c>
      <c r="D101" s="18">
        <v>0.0</v>
      </c>
      <c r="E101" s="18">
        <v>1.0</v>
      </c>
    </row>
    <row r="102">
      <c r="A102" s="17">
        <v>45574.0</v>
      </c>
      <c r="B102" s="18">
        <v>0.0</v>
      </c>
      <c r="C102" s="18">
        <v>2.0</v>
      </c>
      <c r="D102" s="18">
        <v>0.0</v>
      </c>
      <c r="E102" s="18">
        <v>2.0</v>
      </c>
    </row>
    <row r="103">
      <c r="A103" s="19">
        <v>45575.0</v>
      </c>
      <c r="B103" s="18">
        <v>0.0</v>
      </c>
      <c r="C103" s="18">
        <v>1.0</v>
      </c>
      <c r="D103" s="18">
        <v>0.0</v>
      </c>
      <c r="E103" s="18">
        <v>1.0</v>
      </c>
    </row>
    <row r="104">
      <c r="A104" s="19">
        <v>45576.0</v>
      </c>
      <c r="B104" s="18">
        <v>0.0</v>
      </c>
      <c r="C104" s="18">
        <v>1.0</v>
      </c>
      <c r="D104" s="18">
        <v>0.0</v>
      </c>
      <c r="E104" s="18">
        <v>1.0</v>
      </c>
    </row>
    <row r="105">
      <c r="A105" s="19">
        <v>45577.0</v>
      </c>
      <c r="B105" s="18">
        <v>0.0</v>
      </c>
      <c r="C105" s="18">
        <v>0.0</v>
      </c>
      <c r="D105" s="18">
        <v>0.0</v>
      </c>
      <c r="E105" s="18">
        <v>0.0</v>
      </c>
    </row>
    <row r="106">
      <c r="A106" s="19">
        <v>45578.0</v>
      </c>
      <c r="B106" s="18">
        <v>0.0</v>
      </c>
      <c r="C106" s="18">
        <v>2.0</v>
      </c>
      <c r="D106" s="18">
        <v>0.0</v>
      </c>
      <c r="E106" s="18">
        <v>2.0</v>
      </c>
    </row>
    <row r="107">
      <c r="A107" s="19">
        <v>45579.0</v>
      </c>
      <c r="B107" s="18">
        <v>0.0</v>
      </c>
      <c r="C107" s="18">
        <v>3.0</v>
      </c>
      <c r="D107" s="18">
        <v>0.0</v>
      </c>
      <c r="E107" s="18">
        <v>3.0</v>
      </c>
    </row>
    <row r="108">
      <c r="A108" s="19">
        <v>45580.0</v>
      </c>
      <c r="B108" s="18">
        <v>0.0</v>
      </c>
      <c r="C108" s="18">
        <v>2.0</v>
      </c>
      <c r="D108" s="18">
        <v>0.0</v>
      </c>
      <c r="E108" s="18">
        <v>2.0</v>
      </c>
    </row>
    <row r="109">
      <c r="A109" s="19">
        <v>45581.0</v>
      </c>
      <c r="B109" s="18">
        <v>0.0</v>
      </c>
      <c r="C109" s="18">
        <v>0.0</v>
      </c>
      <c r="D109" s="18">
        <v>0.0</v>
      </c>
      <c r="E109" s="18">
        <v>0.0</v>
      </c>
    </row>
    <row r="110">
      <c r="A110" s="19">
        <v>45582.0</v>
      </c>
      <c r="B110" s="18">
        <v>0.0</v>
      </c>
      <c r="C110" s="18">
        <v>0.0</v>
      </c>
      <c r="D110" s="18">
        <v>0.0</v>
      </c>
      <c r="E110" s="18">
        <v>0.0</v>
      </c>
    </row>
    <row r="111">
      <c r="A111" s="19">
        <v>45583.0</v>
      </c>
      <c r="B111" s="18">
        <v>0.0</v>
      </c>
      <c r="C111" s="18">
        <v>0.0</v>
      </c>
      <c r="D111" s="18">
        <v>0.0</v>
      </c>
      <c r="E111" s="18">
        <v>0.0</v>
      </c>
    </row>
    <row r="112">
      <c r="A112" s="19">
        <v>45584.0</v>
      </c>
      <c r="B112" s="18">
        <v>0.0</v>
      </c>
      <c r="C112" s="18">
        <v>0.0</v>
      </c>
      <c r="D112" s="18">
        <v>0.0</v>
      </c>
      <c r="E112" s="18">
        <v>0.0</v>
      </c>
    </row>
    <row r="113">
      <c r="A113" s="19">
        <v>45585.0</v>
      </c>
      <c r="B113" s="18">
        <v>0.0</v>
      </c>
      <c r="C113" s="18">
        <v>1.0</v>
      </c>
      <c r="D113" s="18">
        <v>0.0</v>
      </c>
      <c r="E113" s="18">
        <v>1.0</v>
      </c>
    </row>
    <row r="114">
      <c r="A114" s="19">
        <v>45586.0</v>
      </c>
      <c r="B114" s="18">
        <v>0.0</v>
      </c>
      <c r="C114" s="18">
        <v>0.0</v>
      </c>
      <c r="D114" s="18">
        <v>0.0</v>
      </c>
      <c r="E114" s="18">
        <v>0.0</v>
      </c>
    </row>
    <row r="115">
      <c r="A115" s="19">
        <v>45587.0</v>
      </c>
      <c r="B115" s="18">
        <v>0.0</v>
      </c>
      <c r="C115" s="18">
        <v>1.0</v>
      </c>
      <c r="D115" s="18">
        <v>0.0</v>
      </c>
      <c r="E115" s="18">
        <v>1.0</v>
      </c>
    </row>
    <row r="116">
      <c r="A116" s="19">
        <v>45588.0</v>
      </c>
      <c r="B116" s="18">
        <v>0.0</v>
      </c>
      <c r="C116" s="18">
        <v>0.0</v>
      </c>
      <c r="D116" s="18">
        <v>0.0</v>
      </c>
      <c r="E116" s="18">
        <v>0.0</v>
      </c>
    </row>
    <row r="117">
      <c r="A117" s="19">
        <v>45589.0</v>
      </c>
      <c r="B117" s="18">
        <v>0.0</v>
      </c>
      <c r="C117" s="18">
        <v>0.0</v>
      </c>
      <c r="D117" s="18">
        <v>0.0</v>
      </c>
      <c r="E117" s="18">
        <v>0.0</v>
      </c>
    </row>
    <row r="118">
      <c r="A118" s="19">
        <v>45590.0</v>
      </c>
      <c r="B118" s="18">
        <v>0.0</v>
      </c>
      <c r="C118" s="18">
        <v>0.0</v>
      </c>
      <c r="D118" s="18">
        <v>0.0</v>
      </c>
      <c r="E118" s="18">
        <v>0.0</v>
      </c>
    </row>
    <row r="119">
      <c r="A119" s="19">
        <v>45591.0</v>
      </c>
      <c r="B119" s="18">
        <v>0.0</v>
      </c>
      <c r="C119" s="18">
        <v>1.0</v>
      </c>
      <c r="D119" s="18">
        <v>0.0</v>
      </c>
      <c r="E119" s="18">
        <v>1.0</v>
      </c>
    </row>
    <row r="120">
      <c r="A120" s="19">
        <v>45592.0</v>
      </c>
      <c r="B120" s="18">
        <v>0.0</v>
      </c>
      <c r="C120" s="18">
        <v>0.0</v>
      </c>
      <c r="D120" s="18">
        <v>0.0</v>
      </c>
      <c r="E120" s="18">
        <v>0.0</v>
      </c>
    </row>
    <row r="121">
      <c r="A121" s="19">
        <v>45593.0</v>
      </c>
      <c r="B121" s="18">
        <v>0.0</v>
      </c>
      <c r="C121" s="18">
        <v>1.0</v>
      </c>
      <c r="D121" s="18">
        <v>0.0</v>
      </c>
      <c r="E121" s="18">
        <v>1.0</v>
      </c>
    </row>
    <row r="122">
      <c r="A122" s="19">
        <v>45594.0</v>
      </c>
      <c r="B122" s="18">
        <v>0.0</v>
      </c>
      <c r="C122" s="18">
        <v>2.0</v>
      </c>
      <c r="D122" s="18">
        <v>0.0</v>
      </c>
      <c r="E122" s="18">
        <v>2.0</v>
      </c>
    </row>
    <row r="123">
      <c r="A123" s="19">
        <v>45595.0</v>
      </c>
      <c r="B123" s="18">
        <v>0.0</v>
      </c>
      <c r="C123" s="18">
        <v>0.0</v>
      </c>
      <c r="D123" s="18">
        <v>0.0</v>
      </c>
      <c r="E123" s="18">
        <v>0.0</v>
      </c>
    </row>
    <row r="124">
      <c r="A124" s="19">
        <v>45596.0</v>
      </c>
      <c r="B124" s="18">
        <v>0.0</v>
      </c>
      <c r="C124" s="18">
        <v>3.0</v>
      </c>
      <c r="D124" s="18">
        <v>0.0</v>
      </c>
      <c r="E124" s="18">
        <v>3.0</v>
      </c>
    </row>
    <row r="125">
      <c r="A125" s="17">
        <v>45597.0</v>
      </c>
      <c r="B125" s="18">
        <v>0.0</v>
      </c>
      <c r="C125" s="18">
        <v>0.0</v>
      </c>
      <c r="D125" s="18">
        <v>0.0</v>
      </c>
      <c r="E125" s="18">
        <v>0.0</v>
      </c>
    </row>
    <row r="126">
      <c r="A126" s="17">
        <v>45598.0</v>
      </c>
      <c r="B126" s="18">
        <v>0.0</v>
      </c>
      <c r="C126" s="18">
        <v>1.0</v>
      </c>
      <c r="D126" s="18">
        <v>0.0</v>
      </c>
      <c r="E126" s="18">
        <v>1.0</v>
      </c>
    </row>
    <row r="127">
      <c r="A127" s="17">
        <v>45599.0</v>
      </c>
      <c r="B127" s="18">
        <v>0.0</v>
      </c>
      <c r="C127" s="18">
        <v>0.0</v>
      </c>
      <c r="D127" s="18">
        <v>0.0</v>
      </c>
      <c r="E127" s="18">
        <v>0.0</v>
      </c>
    </row>
    <row r="128">
      <c r="A128" s="17">
        <v>45600.0</v>
      </c>
      <c r="B128" s="18">
        <v>0.0</v>
      </c>
      <c r="C128" s="18">
        <v>1.0</v>
      </c>
      <c r="D128" s="18">
        <v>0.0</v>
      </c>
      <c r="E128" s="18">
        <v>1.0</v>
      </c>
    </row>
    <row r="129">
      <c r="A129" s="17">
        <v>45601.0</v>
      </c>
      <c r="B129" s="18">
        <v>0.0</v>
      </c>
      <c r="C129" s="18">
        <v>0.0</v>
      </c>
      <c r="D129" s="18">
        <v>0.0</v>
      </c>
      <c r="E129" s="18">
        <v>0.0</v>
      </c>
    </row>
    <row r="130">
      <c r="A130" s="17">
        <v>45602.0</v>
      </c>
      <c r="B130" s="18">
        <v>0.0</v>
      </c>
      <c r="C130" s="18">
        <v>2.0</v>
      </c>
      <c r="D130" s="18">
        <v>0.0</v>
      </c>
      <c r="E130" s="18">
        <v>2.0</v>
      </c>
    </row>
    <row r="131">
      <c r="A131" s="17">
        <v>45603.0</v>
      </c>
      <c r="B131" s="18">
        <v>0.0</v>
      </c>
      <c r="C131" s="18">
        <v>0.0</v>
      </c>
      <c r="D131" s="18">
        <v>0.0</v>
      </c>
      <c r="E131" s="18">
        <v>0.0</v>
      </c>
    </row>
    <row r="132">
      <c r="A132" s="17">
        <v>45604.0</v>
      </c>
      <c r="B132" s="18">
        <v>0.0</v>
      </c>
      <c r="C132" s="18">
        <v>2.0</v>
      </c>
      <c r="D132" s="18">
        <v>0.0</v>
      </c>
      <c r="E132" s="18">
        <v>2.0</v>
      </c>
    </row>
    <row r="133">
      <c r="A133" s="17">
        <v>45605.0</v>
      </c>
      <c r="B133" s="18">
        <v>0.0</v>
      </c>
      <c r="C133" s="18">
        <v>0.0</v>
      </c>
      <c r="D133" s="18">
        <v>0.0</v>
      </c>
      <c r="E133" s="18">
        <v>0.0</v>
      </c>
    </row>
    <row r="134">
      <c r="A134" s="19">
        <v>45606.0</v>
      </c>
      <c r="B134" s="18">
        <v>0.0</v>
      </c>
      <c r="C134" s="18">
        <v>1.0</v>
      </c>
      <c r="D134" s="18">
        <v>0.0</v>
      </c>
      <c r="E134" s="18">
        <v>1.0</v>
      </c>
    </row>
    <row r="135">
      <c r="A135" s="19">
        <v>45607.0</v>
      </c>
      <c r="B135" s="18">
        <v>0.0</v>
      </c>
      <c r="C135" s="18">
        <v>1.0</v>
      </c>
      <c r="D135" s="18">
        <v>0.0</v>
      </c>
      <c r="E135" s="18">
        <v>1.0</v>
      </c>
    </row>
    <row r="136">
      <c r="A136" s="19">
        <v>45608.0</v>
      </c>
      <c r="B136" s="18">
        <v>0.0</v>
      </c>
      <c r="C136" s="18">
        <v>2.0</v>
      </c>
      <c r="D136" s="18">
        <v>0.0</v>
      </c>
      <c r="E136" s="18">
        <v>2.0</v>
      </c>
    </row>
    <row r="137">
      <c r="A137" s="19">
        <v>45609.0</v>
      </c>
      <c r="B137" s="18">
        <v>0.0</v>
      </c>
      <c r="C137" s="18">
        <v>1.0</v>
      </c>
      <c r="D137" s="18">
        <v>0.0</v>
      </c>
      <c r="E137" s="18">
        <v>1.0</v>
      </c>
    </row>
    <row r="138">
      <c r="A138" s="19">
        <v>45610.0</v>
      </c>
      <c r="B138" s="18">
        <v>0.0</v>
      </c>
      <c r="C138" s="18">
        <v>2.0</v>
      </c>
      <c r="D138" s="18">
        <v>0.0</v>
      </c>
      <c r="E138" s="18">
        <v>2.0</v>
      </c>
    </row>
    <row r="139">
      <c r="A139" s="19">
        <v>45611.0</v>
      </c>
      <c r="B139" s="18">
        <v>0.0</v>
      </c>
      <c r="C139" s="18">
        <v>2.0</v>
      </c>
      <c r="D139" s="18">
        <v>0.0</v>
      </c>
      <c r="E139" s="18">
        <v>2.0</v>
      </c>
    </row>
    <row r="140">
      <c r="A140" s="19">
        <v>45612.0</v>
      </c>
      <c r="B140" s="18">
        <v>0.0</v>
      </c>
      <c r="C140" s="18">
        <v>1.0</v>
      </c>
      <c r="D140" s="18">
        <v>0.0</v>
      </c>
      <c r="E140" s="18">
        <v>1.0</v>
      </c>
    </row>
    <row r="141">
      <c r="A141" s="19">
        <v>45613.0</v>
      </c>
      <c r="B141" s="18">
        <v>0.0</v>
      </c>
      <c r="C141" s="18">
        <v>0.0</v>
      </c>
      <c r="D141" s="18">
        <v>0.0</v>
      </c>
      <c r="E141" s="18">
        <v>0.0</v>
      </c>
    </row>
    <row r="142">
      <c r="A142" s="19">
        <v>45614.0</v>
      </c>
      <c r="B142" s="18">
        <v>0.0</v>
      </c>
      <c r="C142" s="18">
        <v>2.0</v>
      </c>
      <c r="D142" s="18">
        <v>0.0</v>
      </c>
      <c r="E142" s="18">
        <v>2.0</v>
      </c>
    </row>
    <row r="143">
      <c r="A143" s="19">
        <v>45615.0</v>
      </c>
      <c r="B143" s="18">
        <v>0.0</v>
      </c>
      <c r="C143" s="18">
        <v>1.0</v>
      </c>
      <c r="D143" s="18">
        <v>0.0</v>
      </c>
      <c r="E143" s="18">
        <v>1.0</v>
      </c>
    </row>
    <row r="144">
      <c r="A144" s="19">
        <v>45616.0</v>
      </c>
      <c r="B144" s="18">
        <v>0.0</v>
      </c>
      <c r="C144" s="18">
        <v>2.0</v>
      </c>
      <c r="D144" s="18">
        <v>0.0</v>
      </c>
      <c r="E144" s="18">
        <v>2.0</v>
      </c>
    </row>
    <row r="145">
      <c r="A145" s="19">
        <v>45617.0</v>
      </c>
      <c r="B145" s="18">
        <v>0.0</v>
      </c>
      <c r="C145" s="18">
        <v>6.0</v>
      </c>
      <c r="D145" s="18">
        <v>0.0</v>
      </c>
      <c r="E145" s="18">
        <v>6.0</v>
      </c>
    </row>
    <row r="146">
      <c r="A146" s="19">
        <v>45618.0</v>
      </c>
      <c r="B146" s="18">
        <v>0.0</v>
      </c>
      <c r="C146" s="18">
        <v>2.0</v>
      </c>
      <c r="D146" s="18">
        <v>0.0</v>
      </c>
      <c r="E146" s="18">
        <v>2.0</v>
      </c>
    </row>
    <row r="147">
      <c r="A147" s="19">
        <v>45619.0</v>
      </c>
      <c r="B147" s="18">
        <v>0.0</v>
      </c>
      <c r="C147" s="18">
        <v>1.0</v>
      </c>
      <c r="D147" s="18">
        <v>0.0</v>
      </c>
      <c r="E147" s="18">
        <v>1.0</v>
      </c>
    </row>
    <row r="148">
      <c r="A148" s="19">
        <v>45620.0</v>
      </c>
      <c r="B148" s="18">
        <v>0.0</v>
      </c>
      <c r="C148" s="18">
        <v>0.0</v>
      </c>
      <c r="D148" s="18">
        <v>0.0</v>
      </c>
      <c r="E148" s="18">
        <v>0.0</v>
      </c>
    </row>
    <row r="149">
      <c r="A149" s="19">
        <v>45621.0</v>
      </c>
      <c r="B149" s="18">
        <v>0.0</v>
      </c>
      <c r="C149" s="18">
        <v>1.0</v>
      </c>
      <c r="D149" s="18">
        <v>0.0</v>
      </c>
      <c r="E149" s="18">
        <v>1.0</v>
      </c>
    </row>
    <row r="150">
      <c r="A150" s="19">
        <v>45622.0</v>
      </c>
      <c r="B150" s="18">
        <v>0.0</v>
      </c>
      <c r="C150" s="18">
        <v>1.0</v>
      </c>
      <c r="D150" s="18">
        <v>0.0</v>
      </c>
      <c r="E150" s="18">
        <v>1.0</v>
      </c>
    </row>
    <row r="151">
      <c r="A151" s="19">
        <v>45623.0</v>
      </c>
      <c r="B151" s="18">
        <v>0.0</v>
      </c>
      <c r="C151" s="18">
        <v>0.0</v>
      </c>
      <c r="D151" s="18">
        <v>0.0</v>
      </c>
      <c r="E151" s="18">
        <v>0.0</v>
      </c>
    </row>
    <row r="152">
      <c r="A152" s="19">
        <v>45624.0</v>
      </c>
      <c r="B152" s="18">
        <v>0.0</v>
      </c>
      <c r="C152" s="18">
        <v>1.0</v>
      </c>
      <c r="D152" s="18">
        <v>0.0</v>
      </c>
      <c r="E152" s="18">
        <v>1.0</v>
      </c>
    </row>
    <row r="153">
      <c r="A153" s="19">
        <v>45625.0</v>
      </c>
      <c r="B153" s="18">
        <v>0.0</v>
      </c>
      <c r="C153" s="18">
        <v>0.0</v>
      </c>
      <c r="D153" s="18">
        <v>0.0</v>
      </c>
      <c r="E153" s="18">
        <v>0.0</v>
      </c>
    </row>
    <row r="154">
      <c r="A154" s="19">
        <v>45626.0</v>
      </c>
      <c r="B154" s="18">
        <v>0.0</v>
      </c>
      <c r="C154" s="18">
        <v>0.0</v>
      </c>
      <c r="D154" s="18">
        <v>0.0</v>
      </c>
      <c r="E154" s="18">
        <v>0.0</v>
      </c>
    </row>
    <row r="155">
      <c r="A155" s="17">
        <v>45627.0</v>
      </c>
      <c r="B155" s="18">
        <v>0.0</v>
      </c>
      <c r="C155" s="18">
        <v>-1.0</v>
      </c>
      <c r="D155" s="18">
        <v>0.0</v>
      </c>
      <c r="E155" s="18">
        <v>-1.0</v>
      </c>
    </row>
    <row r="156">
      <c r="A156" s="17">
        <v>45628.0</v>
      </c>
      <c r="B156" s="18">
        <v>0.0</v>
      </c>
      <c r="C156" s="18">
        <v>1.0</v>
      </c>
      <c r="D156" s="18">
        <v>0.0</v>
      </c>
      <c r="E156" s="18">
        <v>1.0</v>
      </c>
    </row>
    <row r="157">
      <c r="A157" s="17">
        <v>45629.0</v>
      </c>
      <c r="B157" s="18">
        <v>0.0</v>
      </c>
      <c r="C157" s="18">
        <v>0.0</v>
      </c>
      <c r="D157" s="18">
        <v>0.0</v>
      </c>
      <c r="E157" s="18">
        <v>0.0</v>
      </c>
    </row>
    <row r="158">
      <c r="A158" s="17">
        <v>45630.0</v>
      </c>
      <c r="B158" s="18">
        <v>0.0</v>
      </c>
      <c r="C158" s="18">
        <v>2.0</v>
      </c>
      <c r="D158" s="18">
        <v>0.0</v>
      </c>
      <c r="E158" s="18">
        <v>2.0</v>
      </c>
    </row>
    <row r="159">
      <c r="A159" s="17">
        <v>45631.0</v>
      </c>
      <c r="B159" s="18">
        <v>0.0</v>
      </c>
      <c r="C159" s="18">
        <v>0.0</v>
      </c>
      <c r="D159" s="18">
        <v>0.0</v>
      </c>
      <c r="E159" s="18">
        <v>0.0</v>
      </c>
    </row>
    <row r="160">
      <c r="A160" s="17">
        <v>45632.0</v>
      </c>
      <c r="B160" s="18">
        <v>0.0</v>
      </c>
      <c r="C160" s="18">
        <v>1.0</v>
      </c>
      <c r="D160" s="18">
        <v>0.0</v>
      </c>
      <c r="E160" s="18">
        <v>1.0</v>
      </c>
    </row>
    <row r="161">
      <c r="A161" s="17">
        <v>45633.0</v>
      </c>
      <c r="B161" s="18">
        <v>0.0</v>
      </c>
      <c r="C161" s="18">
        <v>-1.0</v>
      </c>
      <c r="D161" s="18">
        <v>0.0</v>
      </c>
      <c r="E161" s="18">
        <v>-1.0</v>
      </c>
    </row>
    <row r="162">
      <c r="A162" s="17">
        <v>45634.0</v>
      </c>
      <c r="B162" s="18">
        <v>0.0</v>
      </c>
      <c r="C162" s="18">
        <v>2.0</v>
      </c>
      <c r="D162" s="18">
        <v>0.0</v>
      </c>
      <c r="E162" s="18">
        <v>2.0</v>
      </c>
    </row>
    <row r="163">
      <c r="A163" s="17">
        <v>45635.0</v>
      </c>
      <c r="B163" s="18">
        <v>0.0</v>
      </c>
      <c r="C163" s="18">
        <v>1.0</v>
      </c>
      <c r="D163" s="18">
        <v>0.0</v>
      </c>
      <c r="E163" s="18">
        <v>1.0</v>
      </c>
    </row>
    <row r="164">
      <c r="A164" s="19">
        <v>45636.0</v>
      </c>
      <c r="B164" s="18">
        <v>0.0</v>
      </c>
      <c r="C164" s="18">
        <v>0.0</v>
      </c>
      <c r="D164" s="18">
        <v>0.0</v>
      </c>
      <c r="E164" s="18">
        <v>0.0</v>
      </c>
    </row>
    <row r="165">
      <c r="A165" s="19">
        <v>45637.0</v>
      </c>
      <c r="B165" s="18">
        <v>0.0</v>
      </c>
      <c r="C165" s="18">
        <v>0.0</v>
      </c>
      <c r="D165" s="18">
        <v>0.0</v>
      </c>
      <c r="E165" s="18">
        <v>0.0</v>
      </c>
    </row>
    <row r="166">
      <c r="A166" s="19">
        <v>45638.0</v>
      </c>
      <c r="B166" s="18">
        <v>0.0</v>
      </c>
      <c r="C166" s="18">
        <v>0.0</v>
      </c>
      <c r="D166" s="18">
        <v>0.0</v>
      </c>
      <c r="E166" s="18">
        <v>0.0</v>
      </c>
    </row>
    <row r="167">
      <c r="A167" s="19">
        <v>45639.0</v>
      </c>
      <c r="B167" s="18">
        <v>0.0</v>
      </c>
      <c r="C167" s="18">
        <v>2.0</v>
      </c>
      <c r="D167" s="18">
        <v>0.0</v>
      </c>
      <c r="E167" s="18">
        <v>2.0</v>
      </c>
    </row>
    <row r="168">
      <c r="A168" s="19">
        <v>45640.0</v>
      </c>
      <c r="B168" s="18">
        <v>0.0</v>
      </c>
      <c r="C168" s="18">
        <v>0.0</v>
      </c>
      <c r="D168" s="18">
        <v>0.0</v>
      </c>
      <c r="E168" s="18">
        <v>0.0</v>
      </c>
    </row>
    <row r="169">
      <c r="A169" s="19">
        <v>45641.0</v>
      </c>
      <c r="B169" s="18">
        <v>0.0</v>
      </c>
      <c r="C169" s="18">
        <v>0.0</v>
      </c>
      <c r="D169" s="18">
        <v>0.0</v>
      </c>
      <c r="E169" s="18">
        <v>0.0</v>
      </c>
    </row>
    <row r="170">
      <c r="A170" s="19">
        <v>45642.0</v>
      </c>
      <c r="B170" s="18">
        <v>0.0</v>
      </c>
      <c r="C170" s="18">
        <v>0.0</v>
      </c>
      <c r="D170" s="18">
        <v>0.0</v>
      </c>
      <c r="E170" s="18">
        <v>0.0</v>
      </c>
    </row>
    <row r="171">
      <c r="A171" s="19">
        <v>45643.0</v>
      </c>
      <c r="B171" s="18">
        <v>0.0</v>
      </c>
      <c r="C171" s="18">
        <v>0.0</v>
      </c>
      <c r="D171" s="18">
        <v>0.0</v>
      </c>
      <c r="E171" s="18">
        <v>0.0</v>
      </c>
    </row>
    <row r="172">
      <c r="A172" s="19">
        <v>45644.0</v>
      </c>
      <c r="B172" s="18">
        <v>0.0</v>
      </c>
      <c r="C172" s="18">
        <v>5.0</v>
      </c>
      <c r="D172" s="18">
        <v>0.0</v>
      </c>
      <c r="E172" s="18">
        <v>5.0</v>
      </c>
    </row>
    <row r="173">
      <c r="A173" s="19">
        <v>45645.0</v>
      </c>
      <c r="B173" s="18">
        <v>0.0</v>
      </c>
      <c r="C173" s="18">
        <v>0.0</v>
      </c>
      <c r="D173" s="18">
        <v>0.0</v>
      </c>
      <c r="E173" s="18">
        <v>0.0</v>
      </c>
    </row>
    <row r="174">
      <c r="A174" s="19">
        <v>45646.0</v>
      </c>
      <c r="B174" s="18">
        <v>0.0</v>
      </c>
      <c r="C174" s="18">
        <v>1.0</v>
      </c>
      <c r="D174" s="18">
        <v>0.0</v>
      </c>
      <c r="E174" s="18">
        <v>1.0</v>
      </c>
    </row>
    <row r="175">
      <c r="A175" s="19">
        <v>45647.0</v>
      </c>
      <c r="B175" s="18">
        <v>0.0</v>
      </c>
      <c r="C175" s="18">
        <v>1.0</v>
      </c>
      <c r="D175" s="18">
        <v>0.0</v>
      </c>
      <c r="E175" s="18">
        <v>1.0</v>
      </c>
    </row>
    <row r="176">
      <c r="A176" s="19">
        <v>45648.0</v>
      </c>
      <c r="B176" s="18">
        <v>0.0</v>
      </c>
      <c r="C176" s="18">
        <v>0.0</v>
      </c>
      <c r="D176" s="18">
        <v>0.0</v>
      </c>
      <c r="E176" s="18">
        <v>0.0</v>
      </c>
    </row>
    <row r="177">
      <c r="A177" s="19">
        <v>45649.0</v>
      </c>
      <c r="B177" s="18">
        <v>0.0</v>
      </c>
      <c r="C177" s="18">
        <v>0.0</v>
      </c>
      <c r="D177" s="18">
        <v>0.0</v>
      </c>
      <c r="E177" s="18">
        <v>0.0</v>
      </c>
    </row>
    <row r="178">
      <c r="A178" s="19">
        <v>45650.0</v>
      </c>
      <c r="B178" s="18">
        <v>0.0</v>
      </c>
      <c r="C178" s="18">
        <v>1.0</v>
      </c>
      <c r="D178" s="18">
        <v>0.0</v>
      </c>
      <c r="E178" s="18">
        <v>1.0</v>
      </c>
    </row>
    <row r="179">
      <c r="A179" s="19">
        <v>45651.0</v>
      </c>
      <c r="B179" s="18">
        <v>0.0</v>
      </c>
      <c r="C179" s="18">
        <v>1.0</v>
      </c>
      <c r="D179" s="18">
        <v>0.0</v>
      </c>
      <c r="E179" s="18">
        <v>1.0</v>
      </c>
    </row>
    <row r="180">
      <c r="A180" s="19">
        <v>45652.0</v>
      </c>
      <c r="B180" s="18">
        <v>0.0</v>
      </c>
      <c r="C180" s="18">
        <v>2.0</v>
      </c>
      <c r="D180" s="18">
        <v>0.0</v>
      </c>
      <c r="E180" s="18">
        <v>2.0</v>
      </c>
    </row>
    <row r="181">
      <c r="A181" s="19">
        <v>45653.0</v>
      </c>
      <c r="B181" s="18">
        <v>0.0</v>
      </c>
      <c r="C181" s="18">
        <v>1.0</v>
      </c>
      <c r="D181" s="18">
        <v>0.0</v>
      </c>
      <c r="E181" s="18">
        <v>1.0</v>
      </c>
    </row>
    <row r="182">
      <c r="A182" s="19">
        <v>45654.0</v>
      </c>
      <c r="B182" s="18">
        <v>0.0</v>
      </c>
      <c r="C182" s="18">
        <v>1.0</v>
      </c>
      <c r="D182" s="18">
        <v>0.0</v>
      </c>
      <c r="E182" s="18">
        <v>1.0</v>
      </c>
    </row>
    <row r="183">
      <c r="A183" s="19">
        <v>45655.0</v>
      </c>
      <c r="B183" s="18">
        <v>0.0</v>
      </c>
      <c r="C183" s="18">
        <v>0.0</v>
      </c>
      <c r="D183" s="18">
        <v>0.0</v>
      </c>
      <c r="E183" s="18">
        <v>0.0</v>
      </c>
    </row>
    <row r="184">
      <c r="A184" s="19">
        <v>45656.0</v>
      </c>
      <c r="B184" s="18">
        <v>0.0</v>
      </c>
      <c r="C184" s="18">
        <v>1.0</v>
      </c>
      <c r="D184" s="18">
        <v>0.0</v>
      </c>
      <c r="E184" s="18">
        <v>1.0</v>
      </c>
    </row>
    <row r="185">
      <c r="A185" s="19">
        <v>45657.0</v>
      </c>
      <c r="B185" s="18">
        <v>0.0</v>
      </c>
      <c r="C185" s="18">
        <v>1.0</v>
      </c>
      <c r="D185" s="18">
        <v>0.0</v>
      </c>
      <c r="E185" s="18">
        <v>1.0</v>
      </c>
    </row>
    <row r="186">
      <c r="A186" s="17">
        <v>45658.0</v>
      </c>
      <c r="B186" s="18">
        <v>0.0</v>
      </c>
      <c r="C186" s="18">
        <v>0.0</v>
      </c>
      <c r="D186" s="18">
        <v>0.0</v>
      </c>
      <c r="E186" s="18">
        <v>0.0</v>
      </c>
    </row>
    <row r="187">
      <c r="A187" s="17">
        <v>45659.0</v>
      </c>
      <c r="B187" s="18">
        <v>0.0</v>
      </c>
      <c r="C187" s="18">
        <v>0.0</v>
      </c>
      <c r="D187" s="18">
        <v>0.0</v>
      </c>
      <c r="E187" s="18">
        <v>0.0</v>
      </c>
    </row>
    <row r="188">
      <c r="A188" s="17">
        <v>45660.0</v>
      </c>
      <c r="B188" s="18">
        <v>0.0</v>
      </c>
      <c r="C188" s="18">
        <v>2.0</v>
      </c>
      <c r="D188" s="18">
        <v>0.0</v>
      </c>
      <c r="E188" s="18">
        <v>2.0</v>
      </c>
    </row>
    <row r="189">
      <c r="A189" s="17">
        <v>45661.0</v>
      </c>
      <c r="B189" s="18">
        <v>0.0</v>
      </c>
      <c r="C189" s="18">
        <v>1.0</v>
      </c>
      <c r="D189" s="18">
        <v>0.0</v>
      </c>
      <c r="E189" s="18">
        <v>1.0</v>
      </c>
    </row>
    <row r="190">
      <c r="A190" s="17">
        <v>45662.0</v>
      </c>
      <c r="B190" s="18">
        <v>0.0</v>
      </c>
      <c r="C190" s="18">
        <v>1.0</v>
      </c>
      <c r="D190" s="18">
        <v>0.0</v>
      </c>
      <c r="E190" s="18">
        <v>1.0</v>
      </c>
    </row>
    <row r="191">
      <c r="A191" s="17">
        <v>45663.0</v>
      </c>
      <c r="B191" s="18">
        <v>0.0</v>
      </c>
      <c r="C191" s="18">
        <v>3.0</v>
      </c>
      <c r="D191" s="18">
        <v>0.0</v>
      </c>
      <c r="E191" s="18">
        <v>3.0</v>
      </c>
    </row>
    <row r="192">
      <c r="A192" s="17">
        <v>45664.0</v>
      </c>
      <c r="B192" s="18">
        <v>0.0</v>
      </c>
      <c r="C192" s="18">
        <v>2.0</v>
      </c>
      <c r="D192" s="18">
        <v>0.0</v>
      </c>
      <c r="E192" s="18">
        <v>2.0</v>
      </c>
    </row>
    <row r="193">
      <c r="A193" s="17">
        <v>45665.0</v>
      </c>
      <c r="B193" s="18">
        <v>0.0</v>
      </c>
      <c r="C193" s="18">
        <v>10.0</v>
      </c>
      <c r="D193" s="18">
        <v>0.0</v>
      </c>
      <c r="E193" s="18">
        <v>10.0</v>
      </c>
    </row>
    <row r="194">
      <c r="A194" s="17">
        <v>45666.0</v>
      </c>
      <c r="B194" s="18">
        <v>0.0</v>
      </c>
      <c r="C194" s="18">
        <v>1.0</v>
      </c>
      <c r="D194" s="18">
        <v>0.0</v>
      </c>
      <c r="E194" s="18">
        <v>1.0</v>
      </c>
    </row>
    <row r="195">
      <c r="A195" s="17">
        <v>45667.0</v>
      </c>
      <c r="B195" s="18">
        <v>0.0</v>
      </c>
      <c r="C195" s="18">
        <v>2.0</v>
      </c>
      <c r="D195" s="18">
        <v>0.0</v>
      </c>
      <c r="E195" s="18">
        <v>2.0</v>
      </c>
    </row>
    <row r="196">
      <c r="A196" s="17">
        <v>45668.0</v>
      </c>
      <c r="B196" s="18">
        <v>0.0</v>
      </c>
      <c r="C196" s="18">
        <v>1.0</v>
      </c>
      <c r="D196" s="18">
        <v>0.0</v>
      </c>
      <c r="E196" s="18">
        <v>1.0</v>
      </c>
    </row>
    <row r="197">
      <c r="A197" s="17">
        <v>45669.0</v>
      </c>
      <c r="B197" s="18">
        <v>0.0</v>
      </c>
      <c r="C197" s="18">
        <v>1.0</v>
      </c>
      <c r="D197" s="18">
        <v>0.0</v>
      </c>
      <c r="E197" s="18">
        <v>1.0</v>
      </c>
    </row>
    <row r="198">
      <c r="A198" s="17">
        <v>45670.0</v>
      </c>
      <c r="B198" s="18">
        <v>0.0</v>
      </c>
      <c r="C198" s="18">
        <v>1.0</v>
      </c>
      <c r="D198" s="18">
        <v>0.0</v>
      </c>
      <c r="E198" s="18">
        <v>1.0</v>
      </c>
    </row>
    <row r="199">
      <c r="A199" s="17">
        <v>45671.0</v>
      </c>
      <c r="B199" s="18">
        <v>0.0</v>
      </c>
      <c r="C199" s="18">
        <v>-1.0</v>
      </c>
      <c r="D199" s="18">
        <v>0.0</v>
      </c>
      <c r="E199" s="18">
        <v>-1.0</v>
      </c>
    </row>
    <row r="200">
      <c r="A200" s="17">
        <v>45672.0</v>
      </c>
      <c r="B200" s="18">
        <v>0.0</v>
      </c>
      <c r="C200" s="18">
        <v>1.0</v>
      </c>
      <c r="D200" s="18">
        <v>0.0</v>
      </c>
      <c r="E200" s="18">
        <v>1.0</v>
      </c>
    </row>
    <row r="201">
      <c r="A201" s="17">
        <v>45673.0</v>
      </c>
      <c r="B201" s="18">
        <v>0.0</v>
      </c>
      <c r="C201" s="18">
        <v>0.0</v>
      </c>
      <c r="D201" s="18">
        <v>0.0</v>
      </c>
      <c r="E201" s="18">
        <v>0.0</v>
      </c>
    </row>
    <row r="202">
      <c r="A202" s="17">
        <v>45674.0</v>
      </c>
      <c r="B202" s="18">
        <v>0.0</v>
      </c>
      <c r="C202" s="18">
        <v>2.0</v>
      </c>
      <c r="D202" s="18">
        <v>0.0</v>
      </c>
      <c r="E202" s="18">
        <v>2.0</v>
      </c>
    </row>
    <row r="203">
      <c r="A203" s="17">
        <v>45675.0</v>
      </c>
      <c r="B203" s="18">
        <v>0.0</v>
      </c>
      <c r="C203" s="18">
        <v>0.0</v>
      </c>
      <c r="D203" s="18">
        <v>0.0</v>
      </c>
      <c r="E203" s="18">
        <v>0.0</v>
      </c>
    </row>
    <row r="204">
      <c r="A204" s="17">
        <v>45676.0</v>
      </c>
      <c r="B204" s="18">
        <v>0.0</v>
      </c>
      <c r="C204" s="18">
        <v>0.0</v>
      </c>
      <c r="D204" s="18">
        <v>0.0</v>
      </c>
      <c r="E204" s="18">
        <v>0.0</v>
      </c>
    </row>
    <row r="205">
      <c r="A205" s="17">
        <v>45677.0</v>
      </c>
      <c r="B205" s="18">
        <v>0.0</v>
      </c>
      <c r="C205" s="18">
        <v>1.0</v>
      </c>
      <c r="D205" s="18">
        <v>0.0</v>
      </c>
      <c r="E205" s="18">
        <v>1.0</v>
      </c>
    </row>
    <row r="206">
      <c r="A206" s="17">
        <v>45678.0</v>
      </c>
      <c r="B206" s="18">
        <v>0.0</v>
      </c>
      <c r="C206" s="18">
        <v>1.0</v>
      </c>
      <c r="D206" s="18">
        <v>0.0</v>
      </c>
      <c r="E206" s="18">
        <v>1.0</v>
      </c>
    </row>
    <row r="207">
      <c r="A207" s="17">
        <v>45679.0</v>
      </c>
      <c r="B207" s="18">
        <v>0.0</v>
      </c>
      <c r="C207" s="18">
        <v>1.0</v>
      </c>
      <c r="D207" s="18">
        <v>0.0</v>
      </c>
      <c r="E207" s="18">
        <v>1.0</v>
      </c>
    </row>
    <row r="208">
      <c r="A208" s="17">
        <v>45680.0</v>
      </c>
      <c r="B208" s="18">
        <v>0.0</v>
      </c>
      <c r="C208" s="18">
        <v>2.0</v>
      </c>
      <c r="D208" s="18">
        <v>0.0</v>
      </c>
      <c r="E208" s="18">
        <v>2.0</v>
      </c>
    </row>
    <row r="209">
      <c r="A209" s="17">
        <v>45681.0</v>
      </c>
      <c r="B209" s="18">
        <v>0.0</v>
      </c>
      <c r="C209" s="18">
        <v>0.0</v>
      </c>
      <c r="D209" s="18">
        <v>0.0</v>
      </c>
      <c r="E209" s="18">
        <v>0.0</v>
      </c>
    </row>
    <row r="210">
      <c r="A210" s="17">
        <v>45682.0</v>
      </c>
      <c r="B210" s="18">
        <v>0.0</v>
      </c>
      <c r="C210" s="18">
        <v>0.0</v>
      </c>
      <c r="D210" s="18">
        <v>0.0</v>
      </c>
      <c r="E210" s="18">
        <v>0.0</v>
      </c>
    </row>
    <row r="211">
      <c r="A211" s="17">
        <v>45683.0</v>
      </c>
      <c r="B211" s="18">
        <v>0.0</v>
      </c>
      <c r="C211" s="18">
        <v>1.0</v>
      </c>
      <c r="D211" s="18">
        <v>0.0</v>
      </c>
      <c r="E211" s="18">
        <v>1.0</v>
      </c>
    </row>
    <row r="212">
      <c r="A212" s="17">
        <v>45684.0</v>
      </c>
      <c r="B212" s="18">
        <v>0.0</v>
      </c>
      <c r="C212" s="18">
        <v>2.0</v>
      </c>
      <c r="D212" s="18">
        <v>0.0</v>
      </c>
      <c r="E212" s="18">
        <v>2.0</v>
      </c>
    </row>
    <row r="213">
      <c r="A213" s="17">
        <v>45685.0</v>
      </c>
      <c r="B213" s="18">
        <v>0.0</v>
      </c>
      <c r="C213" s="18">
        <v>0.0</v>
      </c>
      <c r="D213" s="18">
        <v>0.0</v>
      </c>
      <c r="E213" s="18">
        <v>0.0</v>
      </c>
    </row>
    <row r="214">
      <c r="A214" s="17">
        <v>45686.0</v>
      </c>
      <c r="B214" s="18">
        <v>0.0</v>
      </c>
      <c r="C214" s="18">
        <v>0.0</v>
      </c>
      <c r="D214" s="18">
        <v>0.0</v>
      </c>
      <c r="E214" s="18">
        <v>0.0</v>
      </c>
    </row>
    <row r="215">
      <c r="A215" s="17">
        <v>45687.0</v>
      </c>
      <c r="B215" s="18">
        <v>0.0</v>
      </c>
      <c r="C215" s="18">
        <v>2.0</v>
      </c>
      <c r="D215" s="18">
        <v>0.0</v>
      </c>
      <c r="E215" s="18">
        <v>2.0</v>
      </c>
    </row>
    <row r="216">
      <c r="A216" s="17">
        <v>45688.0</v>
      </c>
      <c r="B216" s="18">
        <v>0.0</v>
      </c>
      <c r="C216" s="18">
        <v>1.0</v>
      </c>
      <c r="D216" s="18">
        <v>0.0</v>
      </c>
      <c r="E216" s="18">
        <v>1.0</v>
      </c>
    </row>
    <row r="217">
      <c r="A217" s="17">
        <v>45689.0</v>
      </c>
      <c r="B217" s="18">
        <v>0.0</v>
      </c>
      <c r="C217" s="18">
        <v>0.0</v>
      </c>
      <c r="D217" s="18">
        <v>0.0</v>
      </c>
      <c r="E217" s="18">
        <v>0.0</v>
      </c>
    </row>
    <row r="218">
      <c r="A218" s="17">
        <v>45690.0</v>
      </c>
      <c r="B218" s="18">
        <v>0.0</v>
      </c>
      <c r="C218" s="18">
        <v>1.0</v>
      </c>
      <c r="D218" s="18">
        <v>0.0</v>
      </c>
      <c r="E218" s="18">
        <v>1.0</v>
      </c>
    </row>
    <row r="219">
      <c r="A219" s="17">
        <v>45691.0</v>
      </c>
      <c r="B219" s="18">
        <v>0.0</v>
      </c>
      <c r="C219" s="18">
        <v>0.0</v>
      </c>
      <c r="D219" s="18">
        <v>0.0</v>
      </c>
      <c r="E219" s="18">
        <v>0.0</v>
      </c>
    </row>
    <row r="220">
      <c r="A220" s="17">
        <v>45692.0</v>
      </c>
      <c r="B220" s="18">
        <v>0.0</v>
      </c>
      <c r="C220" s="18">
        <v>1.0</v>
      </c>
      <c r="D220" s="18">
        <v>0.0</v>
      </c>
      <c r="E220" s="18">
        <v>1.0</v>
      </c>
    </row>
    <row r="221">
      <c r="A221" s="17">
        <v>45693.0</v>
      </c>
      <c r="B221" s="18">
        <v>0.0</v>
      </c>
      <c r="C221" s="18">
        <v>1.0</v>
      </c>
      <c r="D221" s="18">
        <v>0.0</v>
      </c>
      <c r="E221" s="18">
        <v>1.0</v>
      </c>
    </row>
    <row r="222">
      <c r="A222" s="17">
        <v>45694.0</v>
      </c>
      <c r="B222" s="18">
        <v>0.0</v>
      </c>
      <c r="C222" s="18">
        <v>4.0</v>
      </c>
      <c r="D222" s="18">
        <v>0.0</v>
      </c>
      <c r="E222" s="18">
        <v>4.0</v>
      </c>
    </row>
    <row r="223">
      <c r="A223" s="17">
        <v>45695.0</v>
      </c>
      <c r="B223" s="18">
        <v>0.0</v>
      </c>
      <c r="C223" s="18">
        <v>6.0</v>
      </c>
      <c r="D223" s="18">
        <v>0.0</v>
      </c>
      <c r="E223" s="18">
        <v>6.0</v>
      </c>
    </row>
    <row r="224">
      <c r="A224" s="17">
        <v>45696.0</v>
      </c>
      <c r="B224" s="18">
        <v>0.0</v>
      </c>
      <c r="C224" s="18">
        <v>1.0</v>
      </c>
      <c r="D224" s="18">
        <v>0.0</v>
      </c>
      <c r="E224" s="18">
        <v>1.0</v>
      </c>
    </row>
    <row r="225">
      <c r="A225" s="17">
        <v>45697.0</v>
      </c>
      <c r="B225" s="18">
        <v>0.0</v>
      </c>
      <c r="C225" s="18">
        <v>2.0</v>
      </c>
      <c r="D225" s="18">
        <v>0.0</v>
      </c>
      <c r="E225" s="18">
        <v>2.0</v>
      </c>
    </row>
    <row r="226">
      <c r="A226" s="17">
        <v>45698.0</v>
      </c>
      <c r="B226" s="18">
        <v>0.0</v>
      </c>
      <c r="C226" s="18">
        <v>2.0</v>
      </c>
      <c r="D226" s="18">
        <v>0.0</v>
      </c>
      <c r="E226" s="18">
        <v>2.0</v>
      </c>
    </row>
    <row r="227">
      <c r="A227" s="17">
        <v>45699.0</v>
      </c>
      <c r="B227" s="18">
        <v>0.0</v>
      </c>
      <c r="C227" s="18">
        <v>1.0</v>
      </c>
      <c r="D227" s="18">
        <v>0.0</v>
      </c>
      <c r="E227" s="18">
        <v>1.0</v>
      </c>
    </row>
    <row r="228">
      <c r="A228" s="17">
        <v>45700.0</v>
      </c>
      <c r="B228" s="18">
        <v>0.0</v>
      </c>
      <c r="C228" s="18">
        <v>3.0</v>
      </c>
      <c r="D228" s="18">
        <v>0.0</v>
      </c>
      <c r="E228" s="18">
        <v>3.0</v>
      </c>
    </row>
    <row r="229">
      <c r="A229" s="17">
        <v>45701.0</v>
      </c>
      <c r="B229" s="18">
        <v>0.0</v>
      </c>
      <c r="C229" s="18">
        <v>2.0</v>
      </c>
      <c r="D229" s="18">
        <v>0.0</v>
      </c>
      <c r="E229" s="18">
        <v>2.0</v>
      </c>
    </row>
    <row r="230">
      <c r="A230" s="17">
        <v>45702.0</v>
      </c>
      <c r="B230" s="18">
        <v>0.0</v>
      </c>
      <c r="C230" s="18">
        <v>5.0</v>
      </c>
      <c r="D230" s="18">
        <v>0.0</v>
      </c>
      <c r="E230" s="18">
        <v>5.0</v>
      </c>
    </row>
    <row r="231">
      <c r="A231" s="17">
        <v>45703.0</v>
      </c>
      <c r="B231" s="18">
        <v>0.0</v>
      </c>
      <c r="C231" s="18">
        <v>0.0</v>
      </c>
      <c r="D231" s="18">
        <v>0.0</v>
      </c>
      <c r="E231" s="18">
        <v>0.0</v>
      </c>
    </row>
    <row r="232">
      <c r="A232" s="17">
        <v>45704.0</v>
      </c>
      <c r="B232" s="18">
        <v>0.0</v>
      </c>
      <c r="C232" s="18">
        <v>2.0</v>
      </c>
      <c r="D232" s="18">
        <v>0.0</v>
      </c>
      <c r="E232" s="18">
        <v>2.0</v>
      </c>
    </row>
    <row r="233">
      <c r="A233" s="17">
        <v>45705.0</v>
      </c>
      <c r="B233" s="18">
        <v>0.0</v>
      </c>
      <c r="C233" s="18">
        <v>0.0</v>
      </c>
      <c r="D233" s="18">
        <v>0.0</v>
      </c>
      <c r="E233" s="18">
        <v>0.0</v>
      </c>
    </row>
    <row r="234">
      <c r="A234" s="17">
        <v>45706.0</v>
      </c>
      <c r="B234" s="18">
        <v>0.0</v>
      </c>
      <c r="C234" s="18">
        <v>2.0</v>
      </c>
      <c r="D234" s="18">
        <v>0.0</v>
      </c>
      <c r="E234" s="18">
        <v>2.0</v>
      </c>
    </row>
    <row r="235">
      <c r="A235" s="17">
        <v>45707.0</v>
      </c>
      <c r="B235" s="18">
        <v>0.0</v>
      </c>
      <c r="C235" s="18">
        <v>2.0</v>
      </c>
      <c r="D235" s="18">
        <v>0.0</v>
      </c>
      <c r="E235" s="18">
        <v>2.0</v>
      </c>
    </row>
    <row r="236">
      <c r="A236" s="17">
        <v>45708.0</v>
      </c>
      <c r="B236" s="18">
        <v>0.0</v>
      </c>
      <c r="C236" s="18">
        <v>6.0</v>
      </c>
      <c r="D236" s="18">
        <v>0.0</v>
      </c>
      <c r="E236" s="18">
        <v>6.0</v>
      </c>
    </row>
    <row r="237">
      <c r="A237" s="17">
        <v>45709.0</v>
      </c>
      <c r="B237" s="18">
        <v>0.0</v>
      </c>
      <c r="C237" s="18">
        <v>6.0</v>
      </c>
      <c r="D237" s="18">
        <v>0.0</v>
      </c>
      <c r="E237" s="18">
        <v>6.0</v>
      </c>
    </row>
    <row r="238">
      <c r="A238" s="17">
        <v>45710.0</v>
      </c>
      <c r="B238" s="18">
        <v>0.0</v>
      </c>
      <c r="C238" s="18">
        <v>3.0</v>
      </c>
      <c r="D238" s="18">
        <v>0.0</v>
      </c>
      <c r="E238" s="18">
        <v>3.0</v>
      </c>
    </row>
    <row r="239">
      <c r="A239" s="17">
        <v>45711.0</v>
      </c>
      <c r="B239" s="18">
        <v>0.0</v>
      </c>
      <c r="C239" s="18">
        <v>3.0</v>
      </c>
      <c r="D239" s="18">
        <v>0.0</v>
      </c>
      <c r="E239" s="18">
        <v>3.0</v>
      </c>
    </row>
    <row r="240">
      <c r="A240" s="17">
        <v>45712.0</v>
      </c>
      <c r="B240" s="18">
        <v>0.0</v>
      </c>
      <c r="C240" s="18">
        <v>3.0</v>
      </c>
      <c r="D240" s="18">
        <v>0.0</v>
      </c>
      <c r="E240" s="18">
        <v>3.0</v>
      </c>
    </row>
    <row r="241">
      <c r="A241" s="17">
        <v>45713.0</v>
      </c>
      <c r="B241" s="18">
        <v>0.0</v>
      </c>
      <c r="C241" s="18">
        <v>3.0</v>
      </c>
      <c r="D241" s="18">
        <v>0.0</v>
      </c>
      <c r="E241" s="18">
        <v>3.0</v>
      </c>
    </row>
    <row r="242">
      <c r="A242" s="17">
        <v>45714.0</v>
      </c>
      <c r="B242" s="18">
        <v>0.0</v>
      </c>
      <c r="C242" s="18">
        <v>6.0</v>
      </c>
      <c r="D242" s="18">
        <v>0.0</v>
      </c>
      <c r="E242" s="18">
        <v>6.0</v>
      </c>
    </row>
    <row r="243">
      <c r="A243" s="17">
        <v>45715.0</v>
      </c>
      <c r="B243" s="18">
        <v>0.0</v>
      </c>
      <c r="C243" s="18">
        <v>2.0</v>
      </c>
      <c r="D243" s="18">
        <v>0.0</v>
      </c>
      <c r="E243" s="18">
        <v>2.0</v>
      </c>
    </row>
    <row r="244">
      <c r="A244" s="17">
        <v>45716.0</v>
      </c>
      <c r="B244" s="18">
        <v>0.0</v>
      </c>
      <c r="C244" s="18">
        <v>2.0</v>
      </c>
      <c r="D244" s="18">
        <v>0.0</v>
      </c>
      <c r="E244" s="18">
        <v>2.0</v>
      </c>
    </row>
    <row r="245">
      <c r="A245" s="17">
        <v>45717.0</v>
      </c>
      <c r="B245" s="18">
        <v>0.0</v>
      </c>
      <c r="C245" s="18">
        <v>3.0</v>
      </c>
      <c r="D245" s="18">
        <v>0.0</v>
      </c>
      <c r="E245" s="18">
        <v>3.0</v>
      </c>
    </row>
    <row r="246">
      <c r="A246" s="17">
        <v>45718.0</v>
      </c>
      <c r="B246" s="18">
        <v>0.0</v>
      </c>
      <c r="C246" s="18">
        <v>1.0</v>
      </c>
      <c r="D246" s="18">
        <v>0.0</v>
      </c>
      <c r="E246" s="18">
        <v>1.0</v>
      </c>
    </row>
    <row r="247">
      <c r="A247" s="17">
        <v>45719.0</v>
      </c>
      <c r="B247" s="18">
        <v>0.0</v>
      </c>
      <c r="C247" s="18">
        <v>5.0</v>
      </c>
      <c r="D247" s="18">
        <v>0.0</v>
      </c>
      <c r="E247" s="18">
        <v>5.0</v>
      </c>
    </row>
    <row r="248">
      <c r="A248" s="17">
        <v>45720.0</v>
      </c>
      <c r="B248" s="18">
        <v>0.0</v>
      </c>
      <c r="C248" s="18">
        <v>0.0</v>
      </c>
      <c r="D248" s="18">
        <v>0.0</v>
      </c>
      <c r="E248" s="18">
        <v>0.0</v>
      </c>
    </row>
    <row r="249">
      <c r="A249" s="17">
        <v>45721.0</v>
      </c>
      <c r="B249" s="18">
        <v>0.0</v>
      </c>
      <c r="C249" s="18">
        <v>0.0</v>
      </c>
      <c r="D249" s="18">
        <v>0.0</v>
      </c>
      <c r="E249" s="18">
        <v>0.0</v>
      </c>
    </row>
    <row r="250">
      <c r="A250" s="17">
        <v>45722.0</v>
      </c>
      <c r="B250" s="18">
        <v>0.0</v>
      </c>
      <c r="C250" s="18">
        <v>2.0</v>
      </c>
      <c r="D250" s="18">
        <v>0.0</v>
      </c>
      <c r="E250" s="18">
        <v>2.0</v>
      </c>
    </row>
    <row r="251">
      <c r="A251" s="17">
        <v>45723.0</v>
      </c>
      <c r="B251" s="18">
        <v>0.0</v>
      </c>
      <c r="C251" s="18">
        <v>3.0</v>
      </c>
      <c r="D251" s="18">
        <v>0.0</v>
      </c>
      <c r="E251" s="18">
        <v>3.0</v>
      </c>
    </row>
    <row r="252">
      <c r="A252" s="17">
        <v>45724.0</v>
      </c>
      <c r="B252" s="18">
        <v>0.0</v>
      </c>
      <c r="C252" s="18">
        <v>0.0</v>
      </c>
      <c r="D252" s="18">
        <v>0.0</v>
      </c>
      <c r="E252" s="18">
        <v>0.0</v>
      </c>
    </row>
    <row r="253">
      <c r="A253" s="17">
        <v>45725.0</v>
      </c>
      <c r="B253" s="18">
        <v>0.0</v>
      </c>
      <c r="C253" s="18">
        <v>1.0</v>
      </c>
      <c r="D253" s="18">
        <v>0.0</v>
      </c>
      <c r="E253" s="18">
        <v>1.0</v>
      </c>
    </row>
    <row r="254">
      <c r="A254" s="17">
        <v>45726.0</v>
      </c>
      <c r="B254" s="18">
        <v>0.0</v>
      </c>
      <c r="C254" s="18">
        <v>2.0</v>
      </c>
      <c r="D254" s="18">
        <v>0.0</v>
      </c>
      <c r="E254" s="18">
        <v>2.0</v>
      </c>
    </row>
    <row r="255">
      <c r="A255" s="17">
        <v>45727.0</v>
      </c>
      <c r="B255" s="18">
        <v>0.0</v>
      </c>
      <c r="C255" s="18">
        <v>1.0</v>
      </c>
      <c r="D255" s="18">
        <v>0.0</v>
      </c>
      <c r="E255" s="18">
        <v>1.0</v>
      </c>
    </row>
    <row r="256">
      <c r="A256" s="17">
        <v>45728.0</v>
      </c>
      <c r="B256" s="18">
        <v>0.0</v>
      </c>
      <c r="C256" s="18">
        <v>3.0</v>
      </c>
      <c r="D256" s="18">
        <v>0.0</v>
      </c>
      <c r="E256" s="18">
        <v>3.0</v>
      </c>
    </row>
    <row r="257">
      <c r="A257" s="17">
        <v>45729.0</v>
      </c>
      <c r="B257" s="18">
        <v>0.0</v>
      </c>
      <c r="C257" s="18">
        <v>5.0</v>
      </c>
      <c r="D257" s="18">
        <v>0.0</v>
      </c>
      <c r="E257" s="18">
        <v>5.0</v>
      </c>
    </row>
    <row r="258">
      <c r="A258" s="17">
        <v>45730.0</v>
      </c>
      <c r="B258" s="18">
        <v>0.0</v>
      </c>
      <c r="C258" s="18">
        <v>3.0</v>
      </c>
      <c r="D258" s="18">
        <v>0.0</v>
      </c>
      <c r="E258" s="18">
        <v>3.0</v>
      </c>
    </row>
    <row r="259">
      <c r="A259" s="17">
        <v>45731.0</v>
      </c>
      <c r="B259" s="18">
        <v>0.0</v>
      </c>
      <c r="C259" s="18">
        <v>1.0</v>
      </c>
      <c r="D259" s="18">
        <v>0.0</v>
      </c>
      <c r="E259" s="18">
        <v>1.0</v>
      </c>
    </row>
    <row r="260">
      <c r="A260" s="17">
        <v>45732.0</v>
      </c>
      <c r="B260" s="18">
        <v>0.0</v>
      </c>
      <c r="C260" s="18">
        <v>-1.0</v>
      </c>
      <c r="D260" s="18">
        <v>0.0</v>
      </c>
      <c r="E260" s="18">
        <v>-1.0</v>
      </c>
    </row>
    <row r="261">
      <c r="A261" s="17">
        <v>45733.0</v>
      </c>
      <c r="B261" s="18">
        <v>0.0</v>
      </c>
      <c r="C261" s="18">
        <v>2.0</v>
      </c>
      <c r="D261" s="18">
        <v>0.0</v>
      </c>
      <c r="E261" s="18">
        <v>2.0</v>
      </c>
    </row>
    <row r="262">
      <c r="A262" s="17">
        <v>45734.0</v>
      </c>
      <c r="B262" s="18">
        <v>0.0</v>
      </c>
      <c r="C262" s="18">
        <v>4.0</v>
      </c>
      <c r="D262" s="18">
        <v>0.0</v>
      </c>
      <c r="E262" s="18">
        <v>4.0</v>
      </c>
    </row>
    <row r="263">
      <c r="A263" s="17">
        <v>45735.0</v>
      </c>
      <c r="B263" s="18">
        <v>0.0</v>
      </c>
      <c r="C263" s="18">
        <v>3.0</v>
      </c>
      <c r="D263" s="18">
        <v>0.0</v>
      </c>
      <c r="E263" s="18">
        <v>3.0</v>
      </c>
    </row>
    <row r="264">
      <c r="A264" s="17">
        <v>45736.0</v>
      </c>
      <c r="B264" s="18">
        <v>0.0</v>
      </c>
      <c r="C264" s="18">
        <v>2.0</v>
      </c>
      <c r="D264" s="18">
        <v>0.0</v>
      </c>
      <c r="E264" s="18">
        <v>2.0</v>
      </c>
    </row>
    <row r="265">
      <c r="A265" s="17">
        <v>45737.0</v>
      </c>
      <c r="B265" s="18">
        <v>0.0</v>
      </c>
      <c r="C265" s="18">
        <v>0.0</v>
      </c>
      <c r="D265" s="18">
        <v>0.0</v>
      </c>
      <c r="E265" s="18">
        <v>0.0</v>
      </c>
    </row>
    <row r="266">
      <c r="A266" s="17">
        <v>45738.0</v>
      </c>
      <c r="B266" s="18">
        <v>0.0</v>
      </c>
      <c r="C266" s="18">
        <v>1.0</v>
      </c>
      <c r="D266" s="18">
        <v>0.0</v>
      </c>
      <c r="E266" s="18">
        <v>1.0</v>
      </c>
    </row>
    <row r="267">
      <c r="A267" s="17">
        <v>45739.0</v>
      </c>
      <c r="B267" s="18">
        <v>0.0</v>
      </c>
      <c r="C267" s="18">
        <v>0.0</v>
      </c>
      <c r="D267" s="18">
        <v>0.0</v>
      </c>
      <c r="E267" s="18">
        <v>0.0</v>
      </c>
    </row>
    <row r="268">
      <c r="A268" s="17">
        <v>45740.0</v>
      </c>
      <c r="B268" s="18">
        <v>0.0</v>
      </c>
      <c r="C268" s="18">
        <v>2.0</v>
      </c>
      <c r="D268" s="18">
        <v>0.0</v>
      </c>
      <c r="E268" s="18">
        <v>2.0</v>
      </c>
    </row>
    <row r="269">
      <c r="A269" s="17">
        <v>45741.0</v>
      </c>
      <c r="B269" s="18">
        <v>0.0</v>
      </c>
      <c r="C269" s="18">
        <v>3.0</v>
      </c>
      <c r="D269" s="18">
        <v>0.0</v>
      </c>
      <c r="E269" s="18">
        <v>3.0</v>
      </c>
    </row>
    <row r="270">
      <c r="A270" s="17">
        <v>45742.0</v>
      </c>
      <c r="B270" s="18">
        <v>0.0</v>
      </c>
      <c r="C270" s="18">
        <v>6.0</v>
      </c>
      <c r="D270" s="18">
        <v>0.0</v>
      </c>
      <c r="E270" s="18">
        <v>6.0</v>
      </c>
    </row>
    <row r="271">
      <c r="A271" s="17">
        <v>45743.0</v>
      </c>
      <c r="B271" s="18">
        <v>0.0</v>
      </c>
      <c r="C271" s="18">
        <v>2.0</v>
      </c>
      <c r="D271" s="18">
        <v>0.0</v>
      </c>
      <c r="E271" s="18">
        <v>2.0</v>
      </c>
    </row>
    <row r="272">
      <c r="A272" s="17">
        <v>45744.0</v>
      </c>
      <c r="B272" s="18">
        <v>0.0</v>
      </c>
      <c r="C272" s="18">
        <v>1.0</v>
      </c>
      <c r="D272" s="18">
        <v>0.0</v>
      </c>
      <c r="E272" s="18">
        <v>1.0</v>
      </c>
    </row>
    <row r="273">
      <c r="A273" s="17">
        <v>45745.0</v>
      </c>
      <c r="B273" s="18">
        <v>0.0</v>
      </c>
      <c r="C273" s="18">
        <v>1.0</v>
      </c>
      <c r="D273" s="18">
        <v>0.0</v>
      </c>
      <c r="E273" s="18">
        <v>1.0</v>
      </c>
    </row>
    <row r="274">
      <c r="A274" s="17">
        <v>45746.0</v>
      </c>
      <c r="B274" s="18">
        <v>0.0</v>
      </c>
      <c r="C274" s="18">
        <v>0.0</v>
      </c>
      <c r="D274" s="18">
        <v>0.0</v>
      </c>
      <c r="E274" s="18">
        <v>0.0</v>
      </c>
    </row>
    <row r="275">
      <c r="A275" s="17">
        <v>45747.0</v>
      </c>
      <c r="B275" s="18">
        <v>0.0</v>
      </c>
      <c r="C275" s="18">
        <v>0.0</v>
      </c>
      <c r="D275" s="18">
        <v>0.0</v>
      </c>
      <c r="E275" s="18">
        <v>0.0</v>
      </c>
    </row>
    <row r="276">
      <c r="A276" s="17">
        <v>45748.0</v>
      </c>
      <c r="B276" s="18">
        <v>0.0</v>
      </c>
      <c r="C276" s="18">
        <v>0.0</v>
      </c>
      <c r="D276" s="18">
        <v>0.0</v>
      </c>
      <c r="E276" s="18">
        <v>0.0</v>
      </c>
    </row>
    <row r="277">
      <c r="A277" s="17">
        <v>45749.0</v>
      </c>
      <c r="B277" s="18">
        <v>0.0</v>
      </c>
      <c r="C277" s="18">
        <v>2.0</v>
      </c>
      <c r="D277" s="18">
        <v>0.0</v>
      </c>
      <c r="E277" s="18">
        <v>2.0</v>
      </c>
    </row>
    <row r="278">
      <c r="A278" s="17">
        <v>45750.0</v>
      </c>
      <c r="B278" s="18">
        <v>0.0</v>
      </c>
      <c r="C278" s="18">
        <v>2.0</v>
      </c>
      <c r="D278" s="18">
        <v>0.0</v>
      </c>
      <c r="E278" s="18">
        <v>2.0</v>
      </c>
    </row>
    <row r="279">
      <c r="A279" s="17">
        <v>45751.0</v>
      </c>
      <c r="B279" s="18">
        <v>0.0</v>
      </c>
      <c r="C279" s="18">
        <v>2.0</v>
      </c>
      <c r="D279" s="18">
        <v>0.0</v>
      </c>
      <c r="E279" s="18">
        <v>2.0</v>
      </c>
    </row>
    <row r="280">
      <c r="A280" s="17">
        <v>45752.0</v>
      </c>
      <c r="B280" s="18">
        <v>0.0</v>
      </c>
      <c r="C280" s="18">
        <v>0.0</v>
      </c>
      <c r="D280" s="18">
        <v>0.0</v>
      </c>
      <c r="E280" s="18">
        <v>0.0</v>
      </c>
    </row>
    <row r="281">
      <c r="A281" s="17">
        <v>45753.0</v>
      </c>
      <c r="B281" s="18">
        <v>0.0</v>
      </c>
      <c r="C281" s="18">
        <v>0.0</v>
      </c>
      <c r="D281" s="18">
        <v>0.0</v>
      </c>
      <c r="E281" s="18">
        <v>0.0</v>
      </c>
    </row>
    <row r="282">
      <c r="A282" s="17">
        <v>45754.0</v>
      </c>
      <c r="B282" s="18">
        <v>0.0</v>
      </c>
      <c r="C282" s="18">
        <v>1.0</v>
      </c>
      <c r="D282" s="18">
        <v>0.0</v>
      </c>
      <c r="E282" s="18">
        <v>1.0</v>
      </c>
    </row>
    <row r="283">
      <c r="A283" s="17">
        <v>45755.0</v>
      </c>
      <c r="B283" s="18">
        <v>0.0</v>
      </c>
      <c r="C283" s="18">
        <v>0.0</v>
      </c>
      <c r="D283" s="18">
        <v>0.0</v>
      </c>
      <c r="E283" s="18">
        <v>0.0</v>
      </c>
    </row>
    <row r="284">
      <c r="A284" s="17">
        <v>45756.0</v>
      </c>
      <c r="B284" s="18">
        <v>0.0</v>
      </c>
      <c r="C284" s="18">
        <v>3.0</v>
      </c>
      <c r="D284" s="18">
        <v>0.0</v>
      </c>
      <c r="E284" s="18">
        <v>3.0</v>
      </c>
    </row>
    <row r="285">
      <c r="A285" s="17">
        <v>45757.0</v>
      </c>
      <c r="B285" s="18">
        <v>0.0</v>
      </c>
      <c r="C285" s="18">
        <v>2.0</v>
      </c>
      <c r="D285" s="18">
        <v>0.0</v>
      </c>
      <c r="E285" s="18">
        <v>2.0</v>
      </c>
    </row>
    <row r="286">
      <c r="A286" s="17">
        <v>45758.0</v>
      </c>
      <c r="B286" s="18">
        <v>0.0</v>
      </c>
      <c r="C286" s="18">
        <v>2.0</v>
      </c>
      <c r="D286" s="18">
        <v>0.0</v>
      </c>
      <c r="E286" s="18">
        <v>2.0</v>
      </c>
    </row>
    <row r="287">
      <c r="A287" s="17">
        <v>45759.0</v>
      </c>
      <c r="B287" s="18">
        <v>0.0</v>
      </c>
      <c r="C287" s="18">
        <v>0.0</v>
      </c>
      <c r="D287" s="18">
        <v>0.0</v>
      </c>
      <c r="E287" s="18">
        <v>0.0</v>
      </c>
    </row>
    <row r="288">
      <c r="A288" s="17">
        <v>45760.0</v>
      </c>
      <c r="B288" s="18">
        <v>0.0</v>
      </c>
      <c r="C288" s="18">
        <v>0.0</v>
      </c>
      <c r="D288" s="18">
        <v>0.0</v>
      </c>
      <c r="E288" s="18">
        <v>0.0</v>
      </c>
    </row>
    <row r="289">
      <c r="A289" s="17">
        <v>45761.0</v>
      </c>
      <c r="B289" s="18">
        <v>0.0</v>
      </c>
      <c r="C289" s="18">
        <v>0.0</v>
      </c>
      <c r="D289" s="18">
        <v>0.0</v>
      </c>
      <c r="E289" s="18">
        <v>0.0</v>
      </c>
    </row>
    <row r="290">
      <c r="A290" s="17">
        <v>45762.0</v>
      </c>
      <c r="B290" s="18">
        <v>0.0</v>
      </c>
      <c r="C290" s="18">
        <v>0.0</v>
      </c>
      <c r="D290" s="18">
        <v>0.0</v>
      </c>
      <c r="E290" s="18">
        <v>0.0</v>
      </c>
    </row>
    <row r="291">
      <c r="A291" s="17">
        <v>45763.0</v>
      </c>
      <c r="B291" s="18">
        <v>0.0</v>
      </c>
      <c r="C291" s="18">
        <v>3.0</v>
      </c>
      <c r="D291" s="18">
        <v>0.0</v>
      </c>
      <c r="E291" s="18">
        <v>3.0</v>
      </c>
    </row>
    <row r="292">
      <c r="A292" s="17">
        <v>45764.0</v>
      </c>
      <c r="B292" s="18">
        <v>0.0</v>
      </c>
      <c r="C292" s="18">
        <v>2.0</v>
      </c>
      <c r="D292" s="18">
        <v>0.0</v>
      </c>
      <c r="E292" s="18">
        <v>2.0</v>
      </c>
    </row>
    <row r="293">
      <c r="A293" s="17">
        <v>45765.0</v>
      </c>
      <c r="B293" s="18">
        <v>0.0</v>
      </c>
      <c r="C293" s="18">
        <v>0.0</v>
      </c>
      <c r="D293" s="18">
        <v>0.0</v>
      </c>
      <c r="E293" s="18">
        <v>0.0</v>
      </c>
    </row>
    <row r="294">
      <c r="A294" s="17">
        <v>45766.0</v>
      </c>
      <c r="B294" s="18">
        <v>0.0</v>
      </c>
      <c r="C294" s="18">
        <v>1.0</v>
      </c>
      <c r="D294" s="18">
        <v>0.0</v>
      </c>
      <c r="E294" s="18">
        <v>1.0</v>
      </c>
    </row>
    <row r="295">
      <c r="A295" s="17">
        <v>45767.0</v>
      </c>
      <c r="B295" s="18">
        <v>0.0</v>
      </c>
      <c r="C295" s="18">
        <v>1.0</v>
      </c>
      <c r="D295" s="18">
        <v>0.0</v>
      </c>
      <c r="E295" s="18">
        <v>1.0</v>
      </c>
    </row>
    <row r="296">
      <c r="A296" s="17">
        <v>45768.0</v>
      </c>
      <c r="B296" s="18">
        <v>0.0</v>
      </c>
      <c r="C296" s="18">
        <v>2.0</v>
      </c>
      <c r="D296" s="18">
        <v>0.0</v>
      </c>
      <c r="E296" s="18">
        <v>2.0</v>
      </c>
    </row>
    <row r="297">
      <c r="A297" s="17">
        <v>45769.0</v>
      </c>
      <c r="B297" s="18">
        <v>0.0</v>
      </c>
      <c r="C297" s="18">
        <v>-1.0</v>
      </c>
      <c r="D297" s="18">
        <v>0.0</v>
      </c>
      <c r="E297" s="18">
        <v>-1.0</v>
      </c>
    </row>
    <row r="298">
      <c r="A298" s="17">
        <v>45770.0</v>
      </c>
      <c r="B298" s="18">
        <v>0.0</v>
      </c>
      <c r="C298" s="18">
        <v>3.0</v>
      </c>
      <c r="D298" s="18">
        <v>0.0</v>
      </c>
      <c r="E298" s="18">
        <v>3.0</v>
      </c>
    </row>
    <row r="299">
      <c r="A299" s="17">
        <v>45771.0</v>
      </c>
      <c r="B299" s="18">
        <v>0.0</v>
      </c>
      <c r="C299" s="18">
        <v>1.0</v>
      </c>
      <c r="D299" s="18">
        <v>0.0</v>
      </c>
      <c r="E299" s="18">
        <v>1.0</v>
      </c>
    </row>
    <row r="300">
      <c r="A300" s="17">
        <v>45772.0</v>
      </c>
      <c r="B300" s="18">
        <v>0.0</v>
      </c>
      <c r="C300" s="18">
        <v>0.0</v>
      </c>
      <c r="D300" s="18">
        <v>0.0</v>
      </c>
      <c r="E300" s="18">
        <v>0.0</v>
      </c>
    </row>
    <row r="301">
      <c r="A301" s="17">
        <v>45773.0</v>
      </c>
      <c r="B301" s="18">
        <v>0.0</v>
      </c>
      <c r="C301" s="18">
        <v>1.0</v>
      </c>
      <c r="D301" s="18">
        <v>0.0</v>
      </c>
      <c r="E301" s="18">
        <v>1.0</v>
      </c>
    </row>
    <row r="302">
      <c r="A302" s="17">
        <v>45774.0</v>
      </c>
      <c r="B302" s="18">
        <v>0.0</v>
      </c>
      <c r="C302" s="18">
        <v>0.0</v>
      </c>
      <c r="D302" s="18">
        <v>0.0</v>
      </c>
      <c r="E302" s="18">
        <v>0.0</v>
      </c>
    </row>
    <row r="303">
      <c r="A303" s="17">
        <v>45775.0</v>
      </c>
      <c r="B303" s="18">
        <v>0.0</v>
      </c>
      <c r="C303" s="18">
        <v>3.0</v>
      </c>
      <c r="D303" s="18">
        <v>0.0</v>
      </c>
      <c r="E303" s="18">
        <v>3.0</v>
      </c>
    </row>
    <row r="304">
      <c r="A304" s="17">
        <v>45776.0</v>
      </c>
      <c r="B304" s="18">
        <v>0.0</v>
      </c>
      <c r="C304" s="18">
        <v>1.0</v>
      </c>
      <c r="D304" s="18">
        <v>0.0</v>
      </c>
      <c r="E304" s="18">
        <v>1.0</v>
      </c>
    </row>
    <row r="305">
      <c r="A305" s="17">
        <v>45777.0</v>
      </c>
      <c r="B305" s="18">
        <v>0.0</v>
      </c>
      <c r="C305" s="18">
        <v>5.0</v>
      </c>
      <c r="D305" s="18">
        <v>0.0</v>
      </c>
      <c r="E305" s="18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12</v>
      </c>
      <c r="B1" s="21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>
      <c r="A2" s="23" t="s">
        <v>2</v>
      </c>
      <c r="B2" s="23" t="s">
        <v>13</v>
      </c>
      <c r="C2" s="23" t="s">
        <v>14</v>
      </c>
      <c r="D2" s="23" t="s">
        <v>15</v>
      </c>
      <c r="E2" s="23" t="s">
        <v>16</v>
      </c>
      <c r="F2" s="23" t="s">
        <v>17</v>
      </c>
      <c r="G2" s="23" t="s">
        <v>18</v>
      </c>
      <c r="H2" s="23" t="s">
        <v>19</v>
      </c>
      <c r="I2" s="23" t="s">
        <v>20</v>
      </c>
      <c r="J2" s="23" t="s">
        <v>21</v>
      </c>
      <c r="K2" s="23" t="s">
        <v>22</v>
      </c>
      <c r="L2" s="23" t="s">
        <v>23</v>
      </c>
      <c r="M2" s="23" t="s">
        <v>24</v>
      </c>
      <c r="N2" s="23" t="s">
        <v>25</v>
      </c>
      <c r="O2" s="23" t="s">
        <v>26</v>
      </c>
      <c r="P2" s="23" t="s">
        <v>27</v>
      </c>
      <c r="Q2" s="23" t="s">
        <v>28</v>
      </c>
      <c r="R2" s="23" t="s">
        <v>29</v>
      </c>
      <c r="S2" s="23" t="s">
        <v>30</v>
      </c>
      <c r="T2" s="23" t="s">
        <v>31</v>
      </c>
    </row>
    <row r="3">
      <c r="A3" s="17">
        <v>45474.0</v>
      </c>
      <c r="B3" s="18">
        <v>120.0</v>
      </c>
      <c r="C3" s="18">
        <v>0.0</v>
      </c>
      <c r="D3" s="18">
        <v>120.0</v>
      </c>
      <c r="E3" s="18">
        <v>62.0</v>
      </c>
      <c r="F3" s="18">
        <v>1.0</v>
      </c>
      <c r="G3" s="18">
        <v>0.0</v>
      </c>
      <c r="H3" s="18">
        <v>1.0</v>
      </c>
      <c r="I3" s="18">
        <v>15.0</v>
      </c>
      <c r="J3" s="18">
        <v>0.0</v>
      </c>
      <c r="K3" s="18">
        <v>15.0</v>
      </c>
      <c r="L3" s="18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0.0</v>
      </c>
      <c r="R3" s="18">
        <v>0.133333333</v>
      </c>
      <c r="S3" s="18">
        <v>0.0</v>
      </c>
      <c r="T3" s="18">
        <v>0.133333333</v>
      </c>
    </row>
    <row r="4">
      <c r="A4" s="17">
        <v>45475.0</v>
      </c>
      <c r="B4" s="18">
        <v>109.0</v>
      </c>
      <c r="C4" s="18">
        <v>0.0</v>
      </c>
      <c r="D4" s="18">
        <v>109.0</v>
      </c>
      <c r="E4" s="18">
        <v>43.0</v>
      </c>
      <c r="F4" s="18">
        <v>11.0</v>
      </c>
      <c r="G4" s="18">
        <v>0.0</v>
      </c>
      <c r="H4" s="18">
        <v>11.0</v>
      </c>
      <c r="I4" s="18">
        <v>4.0</v>
      </c>
      <c r="J4" s="18">
        <v>0.0</v>
      </c>
      <c r="K4" s="18">
        <v>4.0</v>
      </c>
      <c r="L4" s="18">
        <v>0.0</v>
      </c>
      <c r="M4" s="18">
        <v>0.0</v>
      </c>
      <c r="N4" s="18">
        <v>0.0</v>
      </c>
      <c r="O4" s="18">
        <v>0.0</v>
      </c>
      <c r="P4" s="18">
        <v>0.0</v>
      </c>
      <c r="Q4" s="18">
        <v>0.0</v>
      </c>
      <c r="R4" s="18">
        <v>0.137614679</v>
      </c>
      <c r="S4" s="18">
        <v>0.0</v>
      </c>
      <c r="T4" s="18">
        <v>0.137614679</v>
      </c>
    </row>
    <row r="5">
      <c r="A5" s="17">
        <v>45476.0</v>
      </c>
      <c r="B5" s="18">
        <v>482.0</v>
      </c>
      <c r="C5" s="18">
        <v>0.0</v>
      </c>
      <c r="D5" s="18">
        <v>482.0</v>
      </c>
      <c r="E5" s="18">
        <v>228.0</v>
      </c>
      <c r="F5" s="18">
        <v>76.0</v>
      </c>
      <c r="G5" s="18">
        <v>0.0</v>
      </c>
      <c r="H5" s="18">
        <v>76.0</v>
      </c>
      <c r="I5" s="18">
        <v>34.0</v>
      </c>
      <c r="J5" s="18">
        <v>0.0</v>
      </c>
      <c r="K5" s="18">
        <v>34.0</v>
      </c>
      <c r="L5" s="18">
        <v>1.0</v>
      </c>
      <c r="M5" s="18">
        <v>0.0</v>
      </c>
      <c r="N5" s="18">
        <v>1.0</v>
      </c>
      <c r="O5" s="18">
        <v>0.0</v>
      </c>
      <c r="P5" s="18">
        <v>0.0</v>
      </c>
      <c r="Q5" s="18">
        <v>0.0</v>
      </c>
      <c r="R5" s="18">
        <v>0.230290456</v>
      </c>
      <c r="S5" s="18">
        <v>0.0</v>
      </c>
      <c r="T5" s="18">
        <v>0.230290456</v>
      </c>
    </row>
    <row r="6">
      <c r="A6" s="17">
        <v>45477.0</v>
      </c>
      <c r="B6" s="18">
        <v>185.0</v>
      </c>
      <c r="C6" s="18">
        <v>0.0</v>
      </c>
      <c r="D6" s="18">
        <v>185.0</v>
      </c>
      <c r="E6" s="18">
        <v>68.0</v>
      </c>
      <c r="F6" s="18">
        <v>7.0</v>
      </c>
      <c r="G6" s="18">
        <v>0.0</v>
      </c>
      <c r="H6" s="18">
        <v>7.0</v>
      </c>
      <c r="I6" s="18">
        <v>10.0</v>
      </c>
      <c r="J6" s="18">
        <v>0.0</v>
      </c>
      <c r="K6" s="18">
        <v>10.0</v>
      </c>
      <c r="L6" s="18">
        <v>0.0</v>
      </c>
      <c r="M6" s="18">
        <v>0.0</v>
      </c>
      <c r="N6" s="18">
        <v>0.0</v>
      </c>
      <c r="O6" s="18">
        <v>0.0</v>
      </c>
      <c r="P6" s="18">
        <v>0.0</v>
      </c>
      <c r="Q6" s="18">
        <v>0.0</v>
      </c>
      <c r="R6" s="18">
        <v>0.091891892</v>
      </c>
      <c r="S6" s="18">
        <v>0.0</v>
      </c>
      <c r="T6" s="18">
        <v>0.091891892</v>
      </c>
    </row>
    <row r="7">
      <c r="A7" s="17">
        <v>45478.0</v>
      </c>
      <c r="B7" s="18">
        <v>332.0</v>
      </c>
      <c r="C7" s="18">
        <v>0.0</v>
      </c>
      <c r="D7" s="18">
        <v>332.0</v>
      </c>
      <c r="E7" s="18">
        <v>140.0</v>
      </c>
      <c r="F7" s="18">
        <v>22.0</v>
      </c>
      <c r="G7" s="18">
        <v>0.0</v>
      </c>
      <c r="H7" s="18">
        <v>22.0</v>
      </c>
      <c r="I7" s="18">
        <v>22.0</v>
      </c>
      <c r="J7" s="18">
        <v>0.0</v>
      </c>
      <c r="K7" s="18">
        <v>22.0</v>
      </c>
      <c r="L7" s="18">
        <v>1.0</v>
      </c>
      <c r="M7" s="18">
        <v>0.0</v>
      </c>
      <c r="N7" s="18">
        <v>1.0</v>
      </c>
      <c r="O7" s="18">
        <v>0.0</v>
      </c>
      <c r="P7" s="18">
        <v>0.0</v>
      </c>
      <c r="Q7" s="18">
        <v>0.0</v>
      </c>
      <c r="R7" s="18">
        <v>0.135542169</v>
      </c>
      <c r="S7" s="18">
        <v>0.0</v>
      </c>
      <c r="T7" s="18">
        <v>0.135542169</v>
      </c>
    </row>
    <row r="8">
      <c r="A8" s="17">
        <v>45479.0</v>
      </c>
      <c r="B8" s="18">
        <v>193.0</v>
      </c>
      <c r="C8" s="18">
        <v>0.0</v>
      </c>
      <c r="D8" s="18">
        <v>193.0</v>
      </c>
      <c r="E8" s="18">
        <v>85.0</v>
      </c>
      <c r="F8" s="18">
        <v>4.0</v>
      </c>
      <c r="G8" s="18">
        <v>0.0</v>
      </c>
      <c r="H8" s="18">
        <v>4.0</v>
      </c>
      <c r="I8" s="18">
        <v>8.0</v>
      </c>
      <c r="J8" s="18">
        <v>0.0</v>
      </c>
      <c r="K8" s="18">
        <v>8.0</v>
      </c>
      <c r="L8" s="18">
        <v>0.0</v>
      </c>
      <c r="M8" s="18">
        <v>0.0</v>
      </c>
      <c r="N8" s="18">
        <v>0.0</v>
      </c>
      <c r="O8" s="18">
        <v>2.0</v>
      </c>
      <c r="P8" s="18">
        <v>0.0</v>
      </c>
      <c r="Q8" s="18">
        <v>2.0</v>
      </c>
      <c r="R8" s="18">
        <v>0.07253886</v>
      </c>
      <c r="S8" s="18">
        <v>0.0</v>
      </c>
      <c r="T8" s="18">
        <v>0.07253886</v>
      </c>
    </row>
    <row r="9">
      <c r="A9" s="17">
        <v>45480.0</v>
      </c>
      <c r="B9" s="18">
        <v>178.0</v>
      </c>
      <c r="C9" s="18">
        <v>0.0</v>
      </c>
      <c r="D9" s="18">
        <v>178.0</v>
      </c>
      <c r="E9" s="18">
        <v>83.0</v>
      </c>
      <c r="F9" s="18">
        <v>9.0</v>
      </c>
      <c r="G9" s="18">
        <v>0.0</v>
      </c>
      <c r="H9" s="18">
        <v>9.0</v>
      </c>
      <c r="I9" s="18">
        <v>13.0</v>
      </c>
      <c r="J9" s="18">
        <v>0.0</v>
      </c>
      <c r="K9" s="18">
        <v>13.0</v>
      </c>
      <c r="L9" s="18">
        <v>0.0</v>
      </c>
      <c r="M9" s="18">
        <v>0.0</v>
      </c>
      <c r="N9" s="18">
        <v>0.0</v>
      </c>
      <c r="O9" s="18">
        <v>1.0</v>
      </c>
      <c r="P9" s="18">
        <v>0.0</v>
      </c>
      <c r="Q9" s="18">
        <v>1.0</v>
      </c>
      <c r="R9" s="18">
        <v>0.129213483</v>
      </c>
      <c r="S9" s="18">
        <v>0.0</v>
      </c>
      <c r="T9" s="18">
        <v>0.129213483</v>
      </c>
    </row>
    <row r="10">
      <c r="A10" s="17">
        <v>45481.0</v>
      </c>
      <c r="B10" s="18">
        <v>147.0</v>
      </c>
      <c r="C10" s="18">
        <v>0.0</v>
      </c>
      <c r="D10" s="18">
        <v>147.0</v>
      </c>
      <c r="E10" s="18">
        <v>72.0</v>
      </c>
      <c r="F10" s="18">
        <v>1.0</v>
      </c>
      <c r="G10" s="18">
        <v>0.0</v>
      </c>
      <c r="H10" s="18">
        <v>1.0</v>
      </c>
      <c r="I10" s="18">
        <v>7.0</v>
      </c>
      <c r="J10" s="18">
        <v>0.0</v>
      </c>
      <c r="K10" s="18">
        <v>7.0</v>
      </c>
      <c r="L10" s="18">
        <v>0.0</v>
      </c>
      <c r="M10" s="18">
        <v>0.0</v>
      </c>
      <c r="N10" s="18">
        <v>0.0</v>
      </c>
      <c r="O10" s="18">
        <v>1.0</v>
      </c>
      <c r="P10" s="18">
        <v>0.0</v>
      </c>
      <c r="Q10" s="18">
        <v>1.0</v>
      </c>
      <c r="R10" s="18">
        <v>0.06122449</v>
      </c>
      <c r="S10" s="18">
        <v>0.0</v>
      </c>
      <c r="T10" s="18">
        <v>0.06122449</v>
      </c>
    </row>
    <row r="11">
      <c r="A11" s="17">
        <v>45482.0</v>
      </c>
      <c r="B11" s="18">
        <v>272.0</v>
      </c>
      <c r="C11" s="18">
        <v>0.0</v>
      </c>
      <c r="D11" s="18">
        <v>272.0</v>
      </c>
      <c r="E11" s="18">
        <v>100.0</v>
      </c>
      <c r="F11" s="18">
        <v>8.0</v>
      </c>
      <c r="G11" s="18">
        <v>0.0</v>
      </c>
      <c r="H11" s="18">
        <v>8.0</v>
      </c>
      <c r="I11" s="18">
        <v>30.0</v>
      </c>
      <c r="J11" s="18">
        <v>0.0</v>
      </c>
      <c r="K11" s="18">
        <v>30.0</v>
      </c>
      <c r="L11" s="18">
        <v>1.0</v>
      </c>
      <c r="M11" s="18">
        <v>0.0</v>
      </c>
      <c r="N11" s="18">
        <v>1.0</v>
      </c>
      <c r="O11" s="18">
        <v>1.0</v>
      </c>
      <c r="P11" s="18">
        <v>0.0</v>
      </c>
      <c r="Q11" s="18">
        <v>1.0</v>
      </c>
      <c r="R11" s="18">
        <v>0.147058824</v>
      </c>
      <c r="S11" s="18">
        <v>0.0</v>
      </c>
      <c r="T11" s="18">
        <v>0.147058824</v>
      </c>
    </row>
    <row r="12">
      <c r="A12" s="17">
        <v>45483.0</v>
      </c>
      <c r="B12" s="18">
        <v>286.0</v>
      </c>
      <c r="C12" s="18">
        <v>0.0</v>
      </c>
      <c r="D12" s="18">
        <v>286.0</v>
      </c>
      <c r="E12" s="18">
        <v>108.0</v>
      </c>
      <c r="F12" s="18">
        <v>7.0</v>
      </c>
      <c r="G12" s="18">
        <v>0.0</v>
      </c>
      <c r="H12" s="18">
        <v>7.0</v>
      </c>
      <c r="I12" s="18">
        <v>17.0</v>
      </c>
      <c r="J12" s="18">
        <v>0.0</v>
      </c>
      <c r="K12" s="18">
        <v>17.0</v>
      </c>
      <c r="L12" s="18">
        <v>2.0</v>
      </c>
      <c r="M12" s="18">
        <v>0.0</v>
      </c>
      <c r="N12" s="18">
        <v>2.0</v>
      </c>
      <c r="O12" s="18">
        <v>0.0</v>
      </c>
      <c r="P12" s="18">
        <v>0.0</v>
      </c>
      <c r="Q12" s="18">
        <v>0.0</v>
      </c>
      <c r="R12" s="18">
        <v>0.090909091</v>
      </c>
      <c r="S12" s="18">
        <v>0.0</v>
      </c>
      <c r="T12" s="18">
        <v>0.090909091</v>
      </c>
    </row>
    <row r="13">
      <c r="A13" s="17">
        <v>45484.0</v>
      </c>
      <c r="B13" s="18">
        <v>124.0</v>
      </c>
      <c r="C13" s="18">
        <v>0.0</v>
      </c>
      <c r="D13" s="18">
        <v>124.0</v>
      </c>
      <c r="E13" s="18">
        <v>57.0</v>
      </c>
      <c r="F13" s="18">
        <v>7.0</v>
      </c>
      <c r="G13" s="18">
        <v>0.0</v>
      </c>
      <c r="H13" s="18">
        <v>7.0</v>
      </c>
      <c r="I13" s="18">
        <v>15.0</v>
      </c>
      <c r="J13" s="18">
        <v>0.0</v>
      </c>
      <c r="K13" s="18">
        <v>15.0</v>
      </c>
      <c r="L13" s="18">
        <v>1.0</v>
      </c>
      <c r="M13" s="18">
        <v>0.0</v>
      </c>
      <c r="N13" s="18">
        <v>1.0</v>
      </c>
      <c r="O13" s="18">
        <v>0.0</v>
      </c>
      <c r="P13" s="18">
        <v>0.0</v>
      </c>
      <c r="Q13" s="18">
        <v>0.0</v>
      </c>
      <c r="R13" s="18">
        <v>0.185483871</v>
      </c>
      <c r="S13" s="18">
        <v>0.0</v>
      </c>
      <c r="T13" s="18">
        <v>0.185483871</v>
      </c>
    </row>
    <row r="14">
      <c r="A14" s="17">
        <v>45485.0</v>
      </c>
      <c r="B14" s="18">
        <v>264.0</v>
      </c>
      <c r="C14" s="18">
        <v>0.0</v>
      </c>
      <c r="D14" s="18">
        <v>264.0</v>
      </c>
      <c r="E14" s="18">
        <v>48.0</v>
      </c>
      <c r="F14" s="18">
        <v>4.0</v>
      </c>
      <c r="G14" s="18">
        <v>0.0</v>
      </c>
      <c r="H14" s="18">
        <v>4.0</v>
      </c>
      <c r="I14" s="18">
        <v>4.0</v>
      </c>
      <c r="J14" s="18">
        <v>0.0</v>
      </c>
      <c r="K14" s="18">
        <v>4.0</v>
      </c>
      <c r="L14" s="18">
        <v>0.0</v>
      </c>
      <c r="M14" s="18">
        <v>0.0</v>
      </c>
      <c r="N14" s="18">
        <v>0.0</v>
      </c>
      <c r="O14" s="18">
        <v>0.0</v>
      </c>
      <c r="P14" s="18">
        <v>0.0</v>
      </c>
      <c r="Q14" s="18">
        <v>0.0</v>
      </c>
      <c r="R14" s="18">
        <v>0.03030303</v>
      </c>
      <c r="S14" s="18">
        <v>0.0</v>
      </c>
      <c r="T14" s="18">
        <v>0.03030303</v>
      </c>
    </row>
    <row r="15">
      <c r="A15" s="17">
        <v>45486.0</v>
      </c>
      <c r="B15" s="18">
        <v>445.0</v>
      </c>
      <c r="C15" s="18">
        <v>0.0</v>
      </c>
      <c r="D15" s="18">
        <v>445.0</v>
      </c>
      <c r="E15" s="18">
        <v>179.0</v>
      </c>
      <c r="F15" s="18">
        <v>20.0</v>
      </c>
      <c r="G15" s="18">
        <v>0.0</v>
      </c>
      <c r="H15" s="18">
        <v>20.0</v>
      </c>
      <c r="I15" s="18">
        <v>56.0</v>
      </c>
      <c r="J15" s="18">
        <v>0.0</v>
      </c>
      <c r="K15" s="18">
        <v>56.0</v>
      </c>
      <c r="L15" s="18">
        <v>2.0</v>
      </c>
      <c r="M15" s="18">
        <v>0.0</v>
      </c>
      <c r="N15" s="18">
        <v>2.0</v>
      </c>
      <c r="O15" s="18">
        <v>1.0</v>
      </c>
      <c r="P15" s="18">
        <v>0.0</v>
      </c>
      <c r="Q15" s="18">
        <v>1.0</v>
      </c>
      <c r="R15" s="18">
        <v>0.17752809</v>
      </c>
      <c r="S15" s="18">
        <v>0.0</v>
      </c>
      <c r="T15" s="18">
        <v>0.17752809</v>
      </c>
    </row>
    <row r="16">
      <c r="A16" s="17">
        <v>45487.0</v>
      </c>
      <c r="B16" s="18">
        <v>274.0</v>
      </c>
      <c r="C16" s="18">
        <v>0.0</v>
      </c>
      <c r="D16" s="18">
        <v>274.0</v>
      </c>
      <c r="E16" s="18">
        <v>127.0</v>
      </c>
      <c r="F16" s="18">
        <v>11.0</v>
      </c>
      <c r="G16" s="18">
        <v>0.0</v>
      </c>
      <c r="H16" s="18">
        <v>11.0</v>
      </c>
      <c r="I16" s="18">
        <v>14.0</v>
      </c>
      <c r="J16" s="18">
        <v>0.0</v>
      </c>
      <c r="K16" s="18">
        <v>14.0</v>
      </c>
      <c r="L16" s="18">
        <v>2.0</v>
      </c>
      <c r="M16" s="18">
        <v>0.0</v>
      </c>
      <c r="N16" s="18">
        <v>2.0</v>
      </c>
      <c r="O16" s="18">
        <v>1.0</v>
      </c>
      <c r="P16" s="18">
        <v>0.0</v>
      </c>
      <c r="Q16" s="18">
        <v>1.0</v>
      </c>
      <c r="R16" s="18">
        <v>0.102189781</v>
      </c>
      <c r="S16" s="18">
        <v>0.0</v>
      </c>
      <c r="T16" s="18">
        <v>0.102189781</v>
      </c>
    </row>
    <row r="17">
      <c r="A17" s="17">
        <v>45488.0</v>
      </c>
      <c r="B17" s="18">
        <v>287.0</v>
      </c>
      <c r="C17" s="18">
        <v>0.0</v>
      </c>
      <c r="D17" s="18">
        <v>287.0</v>
      </c>
      <c r="E17" s="18">
        <v>93.0</v>
      </c>
      <c r="F17" s="18">
        <v>5.0</v>
      </c>
      <c r="G17" s="18">
        <v>0.0</v>
      </c>
      <c r="H17" s="18">
        <v>5.0</v>
      </c>
      <c r="I17" s="18">
        <v>4.0</v>
      </c>
      <c r="J17" s="18">
        <v>0.0</v>
      </c>
      <c r="K17" s="18">
        <v>4.0</v>
      </c>
      <c r="L17" s="18">
        <v>0.0</v>
      </c>
      <c r="M17" s="18">
        <v>0.0</v>
      </c>
      <c r="N17" s="18">
        <v>0.0</v>
      </c>
      <c r="O17" s="18">
        <v>1.0</v>
      </c>
      <c r="P17" s="18">
        <v>0.0</v>
      </c>
      <c r="Q17" s="18">
        <v>1.0</v>
      </c>
      <c r="R17" s="18">
        <v>0.034843206</v>
      </c>
      <c r="S17" s="18">
        <v>0.0</v>
      </c>
      <c r="T17" s="18">
        <v>0.034843206</v>
      </c>
    </row>
    <row r="18">
      <c r="A18" s="17">
        <v>45489.0</v>
      </c>
      <c r="B18" s="18">
        <v>64.0</v>
      </c>
      <c r="C18" s="18">
        <v>0.0</v>
      </c>
      <c r="D18" s="18">
        <v>64.0</v>
      </c>
      <c r="E18" s="18">
        <v>42.0</v>
      </c>
      <c r="F18" s="18">
        <v>4.0</v>
      </c>
      <c r="G18" s="18">
        <v>0.0</v>
      </c>
      <c r="H18" s="18">
        <v>4.0</v>
      </c>
      <c r="I18" s="18">
        <v>10.0</v>
      </c>
      <c r="J18" s="18">
        <v>0.0</v>
      </c>
      <c r="K18" s="18">
        <v>10.0</v>
      </c>
      <c r="L18" s="18">
        <v>3.0</v>
      </c>
      <c r="M18" s="18">
        <v>0.0</v>
      </c>
      <c r="N18" s="18">
        <v>3.0</v>
      </c>
      <c r="O18" s="18">
        <v>2.0</v>
      </c>
      <c r="P18" s="18">
        <v>0.0</v>
      </c>
      <c r="Q18" s="18">
        <v>2.0</v>
      </c>
      <c r="R18" s="18">
        <v>0.296875</v>
      </c>
      <c r="S18" s="18">
        <v>0.0</v>
      </c>
      <c r="T18" s="18">
        <v>0.296875</v>
      </c>
    </row>
    <row r="19">
      <c r="A19" s="17">
        <v>45490.0</v>
      </c>
      <c r="B19" s="18">
        <v>54.0</v>
      </c>
      <c r="C19" s="18">
        <v>0.0</v>
      </c>
      <c r="D19" s="18">
        <v>54.0</v>
      </c>
      <c r="E19" s="18">
        <v>37.0</v>
      </c>
      <c r="F19" s="18">
        <v>0.0</v>
      </c>
      <c r="G19" s="18">
        <v>0.0</v>
      </c>
      <c r="H19" s="18">
        <v>0.0</v>
      </c>
      <c r="I19" s="18">
        <v>2.0</v>
      </c>
      <c r="J19" s="18">
        <v>0.0</v>
      </c>
      <c r="K19" s="18">
        <v>2.0</v>
      </c>
      <c r="L19" s="18">
        <v>0.0</v>
      </c>
      <c r="M19" s="18">
        <v>0.0</v>
      </c>
      <c r="N19" s="18">
        <v>0.0</v>
      </c>
      <c r="O19" s="18">
        <v>0.0</v>
      </c>
      <c r="P19" s="18">
        <v>0.0</v>
      </c>
      <c r="Q19" s="18">
        <v>0.0</v>
      </c>
      <c r="R19" s="18">
        <v>0.037037037</v>
      </c>
      <c r="S19" s="18">
        <v>0.0</v>
      </c>
      <c r="T19" s="18">
        <v>0.037037037</v>
      </c>
    </row>
    <row r="20">
      <c r="A20" s="17">
        <v>45491.0</v>
      </c>
      <c r="B20" s="18">
        <v>88.0</v>
      </c>
      <c r="C20" s="18">
        <v>0.0</v>
      </c>
      <c r="D20" s="18">
        <v>88.0</v>
      </c>
      <c r="E20" s="18">
        <v>28.0</v>
      </c>
      <c r="F20" s="18">
        <v>5.0</v>
      </c>
      <c r="G20" s="18">
        <v>0.0</v>
      </c>
      <c r="H20" s="18">
        <v>5.0</v>
      </c>
      <c r="I20" s="18">
        <v>3.0</v>
      </c>
      <c r="J20" s="18">
        <v>0.0</v>
      </c>
      <c r="K20" s="18">
        <v>3.0</v>
      </c>
      <c r="L20" s="18">
        <v>0.0</v>
      </c>
      <c r="M20" s="18">
        <v>0.0</v>
      </c>
      <c r="N20" s="18">
        <v>0.0</v>
      </c>
      <c r="O20" s="18">
        <v>1.0</v>
      </c>
      <c r="P20" s="18">
        <v>0.0</v>
      </c>
      <c r="Q20" s="18">
        <v>1.0</v>
      </c>
      <c r="R20" s="18">
        <v>0.102272727</v>
      </c>
      <c r="S20" s="18">
        <v>0.0</v>
      </c>
      <c r="T20" s="18">
        <v>0.102272727</v>
      </c>
    </row>
    <row r="21">
      <c r="A21" s="17">
        <v>45492.0</v>
      </c>
      <c r="B21" s="18">
        <v>99.0</v>
      </c>
      <c r="C21" s="18">
        <v>0.0</v>
      </c>
      <c r="D21" s="18">
        <v>99.0</v>
      </c>
      <c r="E21" s="18">
        <v>44.0</v>
      </c>
      <c r="F21" s="18">
        <v>2.0</v>
      </c>
      <c r="G21" s="18">
        <v>0.0</v>
      </c>
      <c r="H21" s="18">
        <v>2.0</v>
      </c>
      <c r="I21" s="18">
        <v>2.0</v>
      </c>
      <c r="J21" s="18">
        <v>0.0</v>
      </c>
      <c r="K21" s="18">
        <v>2.0</v>
      </c>
      <c r="L21" s="18">
        <v>0.0</v>
      </c>
      <c r="M21" s="18">
        <v>0.0</v>
      </c>
      <c r="N21" s="18">
        <v>0.0</v>
      </c>
      <c r="O21" s="18">
        <v>0.0</v>
      </c>
      <c r="P21" s="18">
        <v>0.0</v>
      </c>
      <c r="Q21" s="18">
        <v>0.0</v>
      </c>
      <c r="R21" s="18">
        <v>0.04040404</v>
      </c>
      <c r="S21" s="18">
        <v>0.0</v>
      </c>
      <c r="T21" s="18">
        <v>0.04040404</v>
      </c>
    </row>
    <row r="22">
      <c r="A22" s="17">
        <v>45493.0</v>
      </c>
      <c r="B22" s="18">
        <v>140.0</v>
      </c>
      <c r="C22" s="18">
        <v>0.0</v>
      </c>
      <c r="D22" s="18">
        <v>140.0</v>
      </c>
      <c r="E22" s="18">
        <v>70.0</v>
      </c>
      <c r="F22" s="18">
        <v>7.0</v>
      </c>
      <c r="G22" s="18">
        <v>0.0</v>
      </c>
      <c r="H22" s="18">
        <v>7.0</v>
      </c>
      <c r="I22" s="18">
        <v>4.0</v>
      </c>
      <c r="J22" s="18">
        <v>0.0</v>
      </c>
      <c r="K22" s="18">
        <v>4.0</v>
      </c>
      <c r="L22" s="18">
        <v>0.0</v>
      </c>
      <c r="M22" s="18">
        <v>0.0</v>
      </c>
      <c r="N22" s="18">
        <v>0.0</v>
      </c>
      <c r="O22" s="18">
        <v>0.0</v>
      </c>
      <c r="P22" s="18">
        <v>0.0</v>
      </c>
      <c r="Q22" s="18">
        <v>0.0</v>
      </c>
      <c r="R22" s="18">
        <v>0.078571429</v>
      </c>
      <c r="S22" s="18">
        <v>0.0</v>
      </c>
      <c r="T22" s="18">
        <v>0.078571429</v>
      </c>
    </row>
    <row r="23">
      <c r="A23" s="17">
        <v>45494.0</v>
      </c>
      <c r="B23" s="18">
        <v>64.0</v>
      </c>
      <c r="C23" s="18">
        <v>0.0</v>
      </c>
      <c r="D23" s="18">
        <v>64.0</v>
      </c>
      <c r="E23" s="18">
        <v>33.0</v>
      </c>
      <c r="F23" s="18">
        <v>2.0</v>
      </c>
      <c r="G23" s="18">
        <v>0.0</v>
      </c>
      <c r="H23" s="18">
        <v>2.0</v>
      </c>
      <c r="I23" s="18">
        <v>0.0</v>
      </c>
      <c r="J23" s="18">
        <v>0.0</v>
      </c>
      <c r="K23" s="18">
        <v>0.0</v>
      </c>
      <c r="L23" s="18">
        <v>1.0</v>
      </c>
      <c r="M23" s="18">
        <v>0.0</v>
      </c>
      <c r="N23" s="18">
        <v>1.0</v>
      </c>
      <c r="O23" s="18">
        <v>0.0</v>
      </c>
      <c r="P23" s="18">
        <v>0.0</v>
      </c>
      <c r="Q23" s="18">
        <v>0.0</v>
      </c>
      <c r="R23" s="18">
        <v>0.046875</v>
      </c>
      <c r="S23" s="18">
        <v>0.0</v>
      </c>
      <c r="T23" s="18">
        <v>0.046875</v>
      </c>
    </row>
    <row r="24">
      <c r="A24" s="17">
        <v>45495.0</v>
      </c>
      <c r="B24" s="18">
        <v>166.0</v>
      </c>
      <c r="C24" s="18">
        <v>0.0</v>
      </c>
      <c r="D24" s="18">
        <v>166.0</v>
      </c>
      <c r="E24" s="18">
        <v>47.0</v>
      </c>
      <c r="F24" s="18">
        <v>26.0</v>
      </c>
      <c r="G24" s="18">
        <v>0.0</v>
      </c>
      <c r="H24" s="18">
        <v>26.0</v>
      </c>
      <c r="I24" s="18">
        <v>3.0</v>
      </c>
      <c r="J24" s="18">
        <v>0.0</v>
      </c>
      <c r="K24" s="18">
        <v>3.0</v>
      </c>
      <c r="L24" s="18">
        <v>0.0</v>
      </c>
      <c r="M24" s="18">
        <v>0.0</v>
      </c>
      <c r="N24" s="18">
        <v>0.0</v>
      </c>
      <c r="O24" s="18">
        <v>0.0</v>
      </c>
      <c r="P24" s="18">
        <v>0.0</v>
      </c>
      <c r="Q24" s="18">
        <v>0.0</v>
      </c>
      <c r="R24" s="18">
        <v>0.174698795</v>
      </c>
      <c r="S24" s="18">
        <v>0.0</v>
      </c>
      <c r="T24" s="18">
        <v>0.174698795</v>
      </c>
    </row>
    <row r="25">
      <c r="A25" s="17">
        <v>45496.0</v>
      </c>
      <c r="B25" s="18">
        <v>65.0</v>
      </c>
      <c r="C25" s="18">
        <v>0.0</v>
      </c>
      <c r="D25" s="18">
        <v>65.0</v>
      </c>
      <c r="E25" s="18">
        <v>36.0</v>
      </c>
      <c r="F25" s="18">
        <v>1.0</v>
      </c>
      <c r="G25" s="18">
        <v>0.0</v>
      </c>
      <c r="H25" s="18">
        <v>1.0</v>
      </c>
      <c r="I25" s="18">
        <v>3.0</v>
      </c>
      <c r="J25" s="18">
        <v>0.0</v>
      </c>
      <c r="K25" s="18">
        <v>3.0</v>
      </c>
      <c r="L25" s="18">
        <v>0.0</v>
      </c>
      <c r="M25" s="18">
        <v>0.0</v>
      </c>
      <c r="N25" s="18">
        <v>0.0</v>
      </c>
      <c r="O25" s="18">
        <v>0.0</v>
      </c>
      <c r="P25" s="18">
        <v>0.0</v>
      </c>
      <c r="Q25" s="18">
        <v>0.0</v>
      </c>
      <c r="R25" s="18">
        <v>0.061538462</v>
      </c>
      <c r="S25" s="18">
        <v>0.0</v>
      </c>
      <c r="T25" s="18">
        <v>0.061538462</v>
      </c>
    </row>
    <row r="26">
      <c r="A26" s="17">
        <v>45497.0</v>
      </c>
      <c r="B26" s="18">
        <v>180.0</v>
      </c>
      <c r="C26" s="18">
        <v>0.0</v>
      </c>
      <c r="D26" s="18">
        <v>180.0</v>
      </c>
      <c r="E26" s="18">
        <v>83.0</v>
      </c>
      <c r="F26" s="18">
        <v>8.0</v>
      </c>
      <c r="G26" s="18">
        <v>0.0</v>
      </c>
      <c r="H26" s="18">
        <v>8.0</v>
      </c>
      <c r="I26" s="18">
        <v>10.0</v>
      </c>
      <c r="J26" s="18">
        <v>0.0</v>
      </c>
      <c r="K26" s="18">
        <v>10.0</v>
      </c>
      <c r="L26" s="18">
        <v>0.0</v>
      </c>
      <c r="M26" s="18">
        <v>0.0</v>
      </c>
      <c r="N26" s="18">
        <v>0.0</v>
      </c>
      <c r="O26" s="18">
        <v>2.0</v>
      </c>
      <c r="P26" s="18">
        <v>0.0</v>
      </c>
      <c r="Q26" s="18">
        <v>2.0</v>
      </c>
      <c r="R26" s="18">
        <v>0.111111111</v>
      </c>
      <c r="S26" s="18">
        <v>0.0</v>
      </c>
      <c r="T26" s="18">
        <v>0.111111111</v>
      </c>
    </row>
    <row r="27">
      <c r="A27" s="17">
        <v>45498.0</v>
      </c>
      <c r="B27" s="18">
        <v>172.0</v>
      </c>
      <c r="C27" s="18">
        <v>0.0</v>
      </c>
      <c r="D27" s="18">
        <v>172.0</v>
      </c>
      <c r="E27" s="18">
        <v>68.0</v>
      </c>
      <c r="F27" s="18">
        <v>11.0</v>
      </c>
      <c r="G27" s="18">
        <v>0.0</v>
      </c>
      <c r="H27" s="18">
        <v>11.0</v>
      </c>
      <c r="I27" s="18">
        <v>3.0</v>
      </c>
      <c r="J27" s="18">
        <v>0.0</v>
      </c>
      <c r="K27" s="18">
        <v>3.0</v>
      </c>
      <c r="L27" s="18">
        <v>0.0</v>
      </c>
      <c r="M27" s="18">
        <v>0.0</v>
      </c>
      <c r="N27" s="18">
        <v>0.0</v>
      </c>
      <c r="O27" s="18">
        <v>0.0</v>
      </c>
      <c r="P27" s="18">
        <v>0.0</v>
      </c>
      <c r="Q27" s="18">
        <v>0.0</v>
      </c>
      <c r="R27" s="18">
        <v>0.081395349</v>
      </c>
      <c r="S27" s="18">
        <v>0.0</v>
      </c>
      <c r="T27" s="18">
        <v>0.081395349</v>
      </c>
    </row>
    <row r="28">
      <c r="A28" s="17">
        <v>45499.0</v>
      </c>
      <c r="B28" s="18">
        <v>93.0</v>
      </c>
      <c r="C28" s="18">
        <v>0.0</v>
      </c>
      <c r="D28" s="18">
        <v>93.0</v>
      </c>
      <c r="E28" s="18">
        <v>40.0</v>
      </c>
      <c r="F28" s="18">
        <v>2.0</v>
      </c>
      <c r="G28" s="18">
        <v>0.0</v>
      </c>
      <c r="H28" s="18">
        <v>2.0</v>
      </c>
      <c r="I28" s="18">
        <v>1.0</v>
      </c>
      <c r="J28" s="18">
        <v>0.0</v>
      </c>
      <c r="K28" s="18">
        <v>1.0</v>
      </c>
      <c r="L28" s="18">
        <v>0.0</v>
      </c>
      <c r="M28" s="18">
        <v>0.0</v>
      </c>
      <c r="N28" s="18">
        <v>0.0</v>
      </c>
      <c r="O28" s="18">
        <v>0.0</v>
      </c>
      <c r="P28" s="18">
        <v>0.0</v>
      </c>
      <c r="Q28" s="18">
        <v>0.0</v>
      </c>
      <c r="R28" s="18">
        <v>0.032258065</v>
      </c>
      <c r="S28" s="18">
        <v>0.0</v>
      </c>
      <c r="T28" s="18">
        <v>0.032258065</v>
      </c>
    </row>
    <row r="29">
      <c r="A29" s="17">
        <v>45500.0</v>
      </c>
      <c r="B29" s="18">
        <v>56.0</v>
      </c>
      <c r="C29" s="18">
        <v>0.0</v>
      </c>
      <c r="D29" s="18">
        <v>56.0</v>
      </c>
      <c r="E29" s="18">
        <v>36.0</v>
      </c>
      <c r="F29" s="18">
        <v>0.0</v>
      </c>
      <c r="G29" s="18">
        <v>0.0</v>
      </c>
      <c r="H29" s="18">
        <v>0.0</v>
      </c>
      <c r="I29" s="18">
        <v>0.0</v>
      </c>
      <c r="J29" s="18">
        <v>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8">
        <v>0.0</v>
      </c>
      <c r="Q29" s="18">
        <v>0.0</v>
      </c>
      <c r="R29" s="18">
        <v>0.0</v>
      </c>
      <c r="S29" s="18">
        <v>0.0</v>
      </c>
      <c r="T29" s="18">
        <v>0.0</v>
      </c>
    </row>
    <row r="30">
      <c r="A30" s="17">
        <v>45501.0</v>
      </c>
      <c r="B30" s="18">
        <v>35.0</v>
      </c>
      <c r="C30" s="18">
        <v>0.0</v>
      </c>
      <c r="D30" s="18">
        <v>35.0</v>
      </c>
      <c r="E30" s="18">
        <v>15.0</v>
      </c>
      <c r="F30" s="18">
        <v>0.0</v>
      </c>
      <c r="G30" s="18">
        <v>0.0</v>
      </c>
      <c r="H30" s="18">
        <v>0.0</v>
      </c>
      <c r="I30" s="18">
        <v>2.0</v>
      </c>
      <c r="J30" s="18">
        <v>0.0</v>
      </c>
      <c r="K30" s="18">
        <v>2.0</v>
      </c>
      <c r="L30" s="18">
        <v>0.0</v>
      </c>
      <c r="M30" s="18">
        <v>0.0</v>
      </c>
      <c r="N30" s="18">
        <v>0.0</v>
      </c>
      <c r="O30" s="18">
        <v>0.0</v>
      </c>
      <c r="P30" s="18">
        <v>0.0</v>
      </c>
      <c r="Q30" s="18">
        <v>0.0</v>
      </c>
      <c r="R30" s="18">
        <v>0.057142857</v>
      </c>
      <c r="S30" s="18">
        <v>0.0</v>
      </c>
      <c r="T30" s="18">
        <v>0.057142857</v>
      </c>
    </row>
    <row r="31">
      <c r="A31" s="17">
        <v>45502.0</v>
      </c>
      <c r="B31" s="18">
        <v>89.0</v>
      </c>
      <c r="C31" s="18">
        <v>0.0</v>
      </c>
      <c r="D31" s="18">
        <v>89.0</v>
      </c>
      <c r="E31" s="18">
        <v>28.0</v>
      </c>
      <c r="F31" s="18">
        <v>5.0</v>
      </c>
      <c r="G31" s="18">
        <v>0.0</v>
      </c>
      <c r="H31" s="18">
        <v>5.0</v>
      </c>
      <c r="I31" s="18">
        <v>2.0</v>
      </c>
      <c r="J31" s="18">
        <v>0.0</v>
      </c>
      <c r="K31" s="18">
        <v>2.0</v>
      </c>
      <c r="L31" s="18">
        <v>0.0</v>
      </c>
      <c r="M31" s="18">
        <v>0.0</v>
      </c>
      <c r="N31" s="18">
        <v>0.0</v>
      </c>
      <c r="O31" s="18">
        <v>0.0</v>
      </c>
      <c r="P31" s="18">
        <v>0.0</v>
      </c>
      <c r="Q31" s="18">
        <v>0.0</v>
      </c>
      <c r="R31" s="18">
        <v>0.078651685</v>
      </c>
      <c r="S31" s="18">
        <v>0.0</v>
      </c>
      <c r="T31" s="18">
        <v>0.078651685</v>
      </c>
    </row>
    <row r="32">
      <c r="A32" s="17">
        <v>45503.0</v>
      </c>
      <c r="B32" s="18">
        <v>73.0</v>
      </c>
      <c r="C32" s="18">
        <v>0.0</v>
      </c>
      <c r="D32" s="18">
        <v>73.0</v>
      </c>
      <c r="E32" s="18">
        <v>20.0</v>
      </c>
      <c r="F32" s="18">
        <v>2.0</v>
      </c>
      <c r="G32" s="18">
        <v>0.0</v>
      </c>
      <c r="H32" s="18">
        <v>2.0</v>
      </c>
      <c r="I32" s="18">
        <v>2.0</v>
      </c>
      <c r="J32" s="18">
        <v>0.0</v>
      </c>
      <c r="K32" s="18">
        <v>2.0</v>
      </c>
      <c r="L32" s="18">
        <v>0.0</v>
      </c>
      <c r="M32" s="18">
        <v>0.0</v>
      </c>
      <c r="N32" s="18">
        <v>0.0</v>
      </c>
      <c r="O32" s="18">
        <v>0.0</v>
      </c>
      <c r="P32" s="18">
        <v>0.0</v>
      </c>
      <c r="Q32" s="18">
        <v>0.0</v>
      </c>
      <c r="R32" s="18">
        <v>0.054794521</v>
      </c>
      <c r="S32" s="18">
        <v>0.0</v>
      </c>
      <c r="T32" s="18">
        <v>0.054794521</v>
      </c>
    </row>
    <row r="33">
      <c r="A33" s="17">
        <v>45504.0</v>
      </c>
      <c r="B33" s="18">
        <v>264.0</v>
      </c>
      <c r="C33" s="18">
        <v>0.0</v>
      </c>
      <c r="D33" s="18">
        <v>264.0</v>
      </c>
      <c r="E33" s="18">
        <v>156.0</v>
      </c>
      <c r="F33" s="18">
        <v>12.0</v>
      </c>
      <c r="G33" s="18">
        <v>0.0</v>
      </c>
      <c r="H33" s="18">
        <v>12.0</v>
      </c>
      <c r="I33" s="18">
        <v>12.0</v>
      </c>
      <c r="J33" s="18">
        <v>0.0</v>
      </c>
      <c r="K33" s="18">
        <v>12.0</v>
      </c>
      <c r="L33" s="18">
        <v>0.0</v>
      </c>
      <c r="M33" s="18">
        <v>0.0</v>
      </c>
      <c r="N33" s="18">
        <v>0.0</v>
      </c>
      <c r="O33" s="18">
        <v>0.0</v>
      </c>
      <c r="P33" s="18">
        <v>0.0</v>
      </c>
      <c r="Q33" s="18">
        <v>0.0</v>
      </c>
      <c r="R33" s="18">
        <v>0.090909091</v>
      </c>
      <c r="S33" s="18">
        <v>0.0</v>
      </c>
      <c r="T33" s="18">
        <v>0.090909091</v>
      </c>
    </row>
    <row r="34">
      <c r="A34" s="17">
        <v>45505.0</v>
      </c>
      <c r="B34" s="18">
        <v>62.0</v>
      </c>
      <c r="C34" s="18">
        <v>0.0</v>
      </c>
      <c r="D34" s="18">
        <v>62.0</v>
      </c>
      <c r="E34" s="18">
        <v>34.0</v>
      </c>
      <c r="F34" s="18">
        <v>3.0</v>
      </c>
      <c r="G34" s="18">
        <v>0.0</v>
      </c>
      <c r="H34" s="18">
        <v>3.0</v>
      </c>
      <c r="I34" s="18">
        <v>1.0</v>
      </c>
      <c r="J34" s="18">
        <v>0.0</v>
      </c>
      <c r="K34" s="18">
        <v>1.0</v>
      </c>
      <c r="L34" s="18">
        <v>0.0</v>
      </c>
      <c r="M34" s="18">
        <v>0.0</v>
      </c>
      <c r="N34" s="18">
        <v>0.0</v>
      </c>
      <c r="O34" s="18">
        <v>0.0</v>
      </c>
      <c r="P34" s="18">
        <v>0.0</v>
      </c>
      <c r="Q34" s="18">
        <v>0.0</v>
      </c>
      <c r="R34" s="18">
        <v>0.064516129</v>
      </c>
      <c r="S34" s="18">
        <v>0.0</v>
      </c>
      <c r="T34" s="18">
        <v>0.064516129</v>
      </c>
    </row>
    <row r="35">
      <c r="A35" s="17">
        <v>45506.0</v>
      </c>
      <c r="B35" s="18">
        <v>118.0</v>
      </c>
      <c r="C35" s="18">
        <v>0.0</v>
      </c>
      <c r="D35" s="18">
        <v>118.0</v>
      </c>
      <c r="E35" s="18">
        <v>42.0</v>
      </c>
      <c r="F35" s="18">
        <v>5.0</v>
      </c>
      <c r="G35" s="18">
        <v>0.0</v>
      </c>
      <c r="H35" s="18">
        <v>5.0</v>
      </c>
      <c r="I35" s="18">
        <v>6.0</v>
      </c>
      <c r="J35" s="18">
        <v>0.0</v>
      </c>
      <c r="K35" s="18">
        <v>6.0</v>
      </c>
      <c r="L35" s="18">
        <v>0.0</v>
      </c>
      <c r="M35" s="18">
        <v>0.0</v>
      </c>
      <c r="N35" s="18">
        <v>0.0</v>
      </c>
      <c r="O35" s="18">
        <v>1.0</v>
      </c>
      <c r="P35" s="18">
        <v>0.0</v>
      </c>
      <c r="Q35" s="18">
        <v>1.0</v>
      </c>
      <c r="R35" s="18">
        <v>0.101694915</v>
      </c>
      <c r="S35" s="18">
        <v>0.0</v>
      </c>
      <c r="T35" s="18">
        <v>0.101694915</v>
      </c>
    </row>
    <row r="36">
      <c r="A36" s="17">
        <v>45507.0</v>
      </c>
      <c r="B36" s="18">
        <v>66.0</v>
      </c>
      <c r="C36" s="18">
        <v>0.0</v>
      </c>
      <c r="D36" s="18">
        <v>66.0</v>
      </c>
      <c r="E36" s="18">
        <v>30.0</v>
      </c>
      <c r="F36" s="18">
        <v>3.0</v>
      </c>
      <c r="G36" s="18">
        <v>0.0</v>
      </c>
      <c r="H36" s="18">
        <v>3.0</v>
      </c>
      <c r="I36" s="18">
        <v>3.0</v>
      </c>
      <c r="J36" s="18">
        <v>0.0</v>
      </c>
      <c r="K36" s="18">
        <v>3.0</v>
      </c>
      <c r="L36" s="18">
        <v>0.0</v>
      </c>
      <c r="M36" s="18">
        <v>0.0</v>
      </c>
      <c r="N36" s="18">
        <v>0.0</v>
      </c>
      <c r="O36" s="18">
        <v>0.0</v>
      </c>
      <c r="P36" s="18">
        <v>0.0</v>
      </c>
      <c r="Q36" s="18">
        <v>0.0</v>
      </c>
      <c r="R36" s="18">
        <v>0.090909091</v>
      </c>
      <c r="S36" s="18">
        <v>0.0</v>
      </c>
      <c r="T36" s="18">
        <v>0.090909091</v>
      </c>
    </row>
    <row r="37">
      <c r="A37" s="17">
        <v>45508.0</v>
      </c>
      <c r="B37" s="18">
        <v>45.0</v>
      </c>
      <c r="C37" s="18">
        <v>0.0</v>
      </c>
      <c r="D37" s="18">
        <v>45.0</v>
      </c>
      <c r="E37" s="18">
        <v>19.0</v>
      </c>
      <c r="F37" s="18">
        <v>2.0</v>
      </c>
      <c r="G37" s="18">
        <v>0.0</v>
      </c>
      <c r="H37" s="18">
        <v>2.0</v>
      </c>
      <c r="I37" s="18">
        <v>2.0</v>
      </c>
      <c r="J37" s="18">
        <v>0.0</v>
      </c>
      <c r="K37" s="18">
        <v>2.0</v>
      </c>
      <c r="L37" s="18">
        <v>0.0</v>
      </c>
      <c r="M37" s="18">
        <v>0.0</v>
      </c>
      <c r="N37" s="18">
        <v>0.0</v>
      </c>
      <c r="O37" s="18">
        <v>1.0</v>
      </c>
      <c r="P37" s="18">
        <v>0.0</v>
      </c>
      <c r="Q37" s="18">
        <v>1.0</v>
      </c>
      <c r="R37" s="18">
        <v>0.111111111</v>
      </c>
      <c r="S37" s="18">
        <v>0.0</v>
      </c>
      <c r="T37" s="18">
        <v>0.111111111</v>
      </c>
    </row>
    <row r="38">
      <c r="A38" s="17">
        <v>45509.0</v>
      </c>
      <c r="B38" s="18">
        <v>98.0</v>
      </c>
      <c r="C38" s="18">
        <v>0.0</v>
      </c>
      <c r="D38" s="18">
        <v>98.0</v>
      </c>
      <c r="E38" s="18">
        <v>30.0</v>
      </c>
      <c r="F38" s="18">
        <v>1.0</v>
      </c>
      <c r="G38" s="18">
        <v>0.0</v>
      </c>
      <c r="H38" s="18">
        <v>1.0</v>
      </c>
      <c r="I38" s="18">
        <v>0.0</v>
      </c>
      <c r="J38" s="18">
        <v>0.0</v>
      </c>
      <c r="K38" s="18">
        <v>0.0</v>
      </c>
      <c r="L38" s="18">
        <v>0.0</v>
      </c>
      <c r="M38" s="18">
        <v>0.0</v>
      </c>
      <c r="N38" s="18">
        <v>0.0</v>
      </c>
      <c r="O38" s="18">
        <v>0.0</v>
      </c>
      <c r="P38" s="18">
        <v>0.0</v>
      </c>
      <c r="Q38" s="18">
        <v>0.0</v>
      </c>
      <c r="R38" s="18">
        <v>0.010204082</v>
      </c>
      <c r="S38" s="18">
        <v>0.0</v>
      </c>
      <c r="T38" s="18">
        <v>0.010204082</v>
      </c>
    </row>
    <row r="39">
      <c r="A39" s="17">
        <v>45510.0</v>
      </c>
      <c r="B39" s="18">
        <v>89.0</v>
      </c>
      <c r="C39" s="18">
        <v>0.0</v>
      </c>
      <c r="D39" s="18">
        <v>89.0</v>
      </c>
      <c r="E39" s="18">
        <v>18.0</v>
      </c>
      <c r="F39" s="18">
        <v>1.0</v>
      </c>
      <c r="G39" s="18">
        <v>0.0</v>
      </c>
      <c r="H39" s="18">
        <v>1.0</v>
      </c>
      <c r="I39" s="18">
        <v>3.0</v>
      </c>
      <c r="J39" s="18">
        <v>0.0</v>
      </c>
      <c r="K39" s="18">
        <v>3.0</v>
      </c>
      <c r="L39" s="18">
        <v>0.0</v>
      </c>
      <c r="M39" s="18">
        <v>0.0</v>
      </c>
      <c r="N39" s="18">
        <v>0.0</v>
      </c>
      <c r="O39" s="18">
        <v>0.0</v>
      </c>
      <c r="P39" s="18">
        <v>0.0</v>
      </c>
      <c r="Q39" s="18">
        <v>0.0</v>
      </c>
      <c r="R39" s="18">
        <v>0.04494382</v>
      </c>
      <c r="S39" s="18">
        <v>0.0</v>
      </c>
      <c r="T39" s="18">
        <v>0.04494382</v>
      </c>
    </row>
    <row r="40">
      <c r="A40" s="17">
        <v>45511.0</v>
      </c>
      <c r="B40" s="18">
        <v>191.0</v>
      </c>
      <c r="C40" s="18">
        <v>0.0</v>
      </c>
      <c r="D40" s="18">
        <v>191.0</v>
      </c>
      <c r="E40" s="18">
        <v>133.0</v>
      </c>
      <c r="F40" s="18">
        <v>6.0</v>
      </c>
      <c r="G40" s="18">
        <v>0.0</v>
      </c>
      <c r="H40" s="18">
        <v>6.0</v>
      </c>
      <c r="I40" s="18">
        <v>5.0</v>
      </c>
      <c r="J40" s="18">
        <v>0.0</v>
      </c>
      <c r="K40" s="18">
        <v>5.0</v>
      </c>
      <c r="L40" s="18">
        <v>0.0</v>
      </c>
      <c r="M40" s="18">
        <v>0.0</v>
      </c>
      <c r="N40" s="18">
        <v>0.0</v>
      </c>
      <c r="O40" s="18">
        <v>0.0</v>
      </c>
      <c r="P40" s="18">
        <v>0.0</v>
      </c>
      <c r="Q40" s="18">
        <v>0.0</v>
      </c>
      <c r="R40" s="18">
        <v>0.057591623</v>
      </c>
      <c r="S40" s="18">
        <v>0.0</v>
      </c>
      <c r="T40" s="18">
        <v>0.057591623</v>
      </c>
    </row>
    <row r="41">
      <c r="A41" s="17">
        <v>45512.0</v>
      </c>
      <c r="B41" s="18">
        <v>180.0</v>
      </c>
      <c r="C41" s="18">
        <v>0.0</v>
      </c>
      <c r="D41" s="18">
        <v>180.0</v>
      </c>
      <c r="E41" s="18">
        <v>49.0</v>
      </c>
      <c r="F41" s="18">
        <v>7.0</v>
      </c>
      <c r="G41" s="18">
        <v>0.0</v>
      </c>
      <c r="H41" s="18">
        <v>7.0</v>
      </c>
      <c r="I41" s="18">
        <v>5.0</v>
      </c>
      <c r="J41" s="18">
        <v>0.0</v>
      </c>
      <c r="K41" s="18">
        <v>5.0</v>
      </c>
      <c r="L41" s="18">
        <v>-1.0</v>
      </c>
      <c r="M41" s="18">
        <v>0.0</v>
      </c>
      <c r="N41" s="18">
        <v>-1.0</v>
      </c>
      <c r="O41" s="18">
        <v>0.0</v>
      </c>
      <c r="P41" s="18">
        <v>0.0</v>
      </c>
      <c r="Q41" s="18">
        <v>0.0</v>
      </c>
      <c r="R41" s="18">
        <v>0.061111111</v>
      </c>
      <c r="S41" s="18">
        <v>0.0</v>
      </c>
      <c r="T41" s="18">
        <v>0.061111111</v>
      </c>
    </row>
    <row r="42">
      <c r="A42" s="17">
        <v>45513.0</v>
      </c>
      <c r="B42" s="18">
        <v>79.0</v>
      </c>
      <c r="C42" s="18">
        <v>0.0</v>
      </c>
      <c r="D42" s="18">
        <v>79.0</v>
      </c>
      <c r="E42" s="18">
        <v>34.0</v>
      </c>
      <c r="F42" s="18">
        <v>9.0</v>
      </c>
      <c r="G42" s="18">
        <v>0.0</v>
      </c>
      <c r="H42" s="18">
        <v>9.0</v>
      </c>
      <c r="I42" s="18">
        <v>2.0</v>
      </c>
      <c r="J42" s="18">
        <v>0.0</v>
      </c>
      <c r="K42" s="18">
        <v>2.0</v>
      </c>
      <c r="L42" s="18">
        <v>1.0</v>
      </c>
      <c r="M42" s="18">
        <v>0.0</v>
      </c>
      <c r="N42" s="18">
        <v>1.0</v>
      </c>
      <c r="O42" s="18">
        <v>0.0</v>
      </c>
      <c r="P42" s="18">
        <v>0.0</v>
      </c>
      <c r="Q42" s="18">
        <v>0.0</v>
      </c>
      <c r="R42" s="18">
        <v>0.151898734</v>
      </c>
      <c r="S42" s="18">
        <v>0.0</v>
      </c>
      <c r="T42" s="18">
        <v>0.151898734</v>
      </c>
    </row>
    <row r="43">
      <c r="A43" s="17">
        <v>45514.0</v>
      </c>
      <c r="B43" s="18">
        <v>294.0</v>
      </c>
      <c r="C43" s="18">
        <v>0.0</v>
      </c>
      <c r="D43" s="18">
        <v>294.0</v>
      </c>
      <c r="E43" s="18">
        <v>182.0</v>
      </c>
      <c r="F43" s="18">
        <v>11.0</v>
      </c>
      <c r="G43" s="18">
        <v>0.0</v>
      </c>
      <c r="H43" s="18">
        <v>11.0</v>
      </c>
      <c r="I43" s="18">
        <v>13.0</v>
      </c>
      <c r="J43" s="18">
        <v>0.0</v>
      </c>
      <c r="K43" s="18">
        <v>13.0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8">
        <v>0.081632653</v>
      </c>
      <c r="S43" s="18">
        <v>0.0</v>
      </c>
      <c r="T43" s="18">
        <v>0.081632653</v>
      </c>
    </row>
    <row r="44">
      <c r="A44" s="17">
        <v>45515.0</v>
      </c>
      <c r="B44" s="18">
        <v>73.0</v>
      </c>
      <c r="C44" s="18">
        <v>0.0</v>
      </c>
      <c r="D44" s="18">
        <v>73.0</v>
      </c>
      <c r="E44" s="18">
        <v>44.0</v>
      </c>
      <c r="F44" s="18">
        <v>3.0</v>
      </c>
      <c r="G44" s="18">
        <v>0.0</v>
      </c>
      <c r="H44" s="18">
        <v>3.0</v>
      </c>
      <c r="I44" s="18">
        <v>4.0</v>
      </c>
      <c r="J44" s="18">
        <v>0.0</v>
      </c>
      <c r="K44" s="18">
        <v>4.0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8">
        <v>0.095890411</v>
      </c>
      <c r="S44" s="18">
        <v>0.0</v>
      </c>
      <c r="T44" s="18">
        <v>0.095890411</v>
      </c>
    </row>
    <row r="45">
      <c r="A45" s="17">
        <v>45516.0</v>
      </c>
      <c r="B45" s="18">
        <v>172.0</v>
      </c>
      <c r="C45" s="18">
        <v>0.0</v>
      </c>
      <c r="D45" s="18">
        <v>172.0</v>
      </c>
      <c r="E45" s="18">
        <v>67.0</v>
      </c>
      <c r="F45" s="18">
        <v>1.0</v>
      </c>
      <c r="G45" s="18">
        <v>0.0</v>
      </c>
      <c r="H45" s="18">
        <v>1.0</v>
      </c>
      <c r="I45" s="18">
        <v>7.0</v>
      </c>
      <c r="J45" s="18">
        <v>0.0</v>
      </c>
      <c r="K45" s="18">
        <v>7.0</v>
      </c>
      <c r="L45" s="18">
        <v>0.0</v>
      </c>
      <c r="M45" s="18">
        <v>0.0</v>
      </c>
      <c r="N45" s="18">
        <v>0.0</v>
      </c>
      <c r="O45" s="18">
        <v>0.0</v>
      </c>
      <c r="P45" s="18">
        <v>0.0</v>
      </c>
      <c r="Q45" s="18">
        <v>0.0</v>
      </c>
      <c r="R45" s="18">
        <v>0.046511628</v>
      </c>
      <c r="S45" s="18">
        <v>0.0</v>
      </c>
      <c r="T45" s="18">
        <v>0.046511628</v>
      </c>
    </row>
    <row r="46">
      <c r="A46" s="17">
        <v>45517.0</v>
      </c>
      <c r="B46" s="18">
        <v>233.0</v>
      </c>
      <c r="C46" s="18">
        <v>0.0</v>
      </c>
      <c r="D46" s="18">
        <v>233.0</v>
      </c>
      <c r="E46" s="18">
        <v>106.0</v>
      </c>
      <c r="F46" s="18">
        <v>8.0</v>
      </c>
      <c r="G46" s="18">
        <v>0.0</v>
      </c>
      <c r="H46" s="18">
        <v>8.0</v>
      </c>
      <c r="I46" s="18">
        <v>4.0</v>
      </c>
      <c r="J46" s="18">
        <v>0.0</v>
      </c>
      <c r="K46" s="18">
        <v>4.0</v>
      </c>
      <c r="L46" s="18">
        <v>0.0</v>
      </c>
      <c r="M46" s="18">
        <v>0.0</v>
      </c>
      <c r="N46" s="18">
        <v>0.0</v>
      </c>
      <c r="O46" s="18">
        <v>1.0</v>
      </c>
      <c r="P46" s="18">
        <v>0.0</v>
      </c>
      <c r="Q46" s="18">
        <v>1.0</v>
      </c>
      <c r="R46" s="18">
        <v>0.055793991</v>
      </c>
      <c r="S46" s="18">
        <v>0.0</v>
      </c>
      <c r="T46" s="18">
        <v>0.055793991</v>
      </c>
    </row>
    <row r="47">
      <c r="A47" s="17">
        <v>45518.0</v>
      </c>
      <c r="B47" s="18">
        <v>216.0</v>
      </c>
      <c r="C47" s="18">
        <v>0.0</v>
      </c>
      <c r="D47" s="18">
        <v>216.0</v>
      </c>
      <c r="E47" s="18">
        <v>89.0</v>
      </c>
      <c r="F47" s="18">
        <v>50.0</v>
      </c>
      <c r="G47" s="18">
        <v>0.0</v>
      </c>
      <c r="H47" s="18">
        <v>50.0</v>
      </c>
      <c r="I47" s="18">
        <v>6.0</v>
      </c>
      <c r="J47" s="18">
        <v>0.0</v>
      </c>
      <c r="K47" s="18">
        <v>6.0</v>
      </c>
      <c r="L47" s="18">
        <v>0.0</v>
      </c>
      <c r="M47" s="18">
        <v>0.0</v>
      </c>
      <c r="N47" s="18">
        <v>0.0</v>
      </c>
      <c r="O47" s="18">
        <v>0.0</v>
      </c>
      <c r="P47" s="18">
        <v>0.0</v>
      </c>
      <c r="Q47" s="18">
        <v>0.0</v>
      </c>
      <c r="R47" s="18">
        <v>0.259259259</v>
      </c>
      <c r="S47" s="18">
        <v>0.0</v>
      </c>
      <c r="T47" s="18">
        <v>0.259259259</v>
      </c>
    </row>
    <row r="48">
      <c r="A48" s="17">
        <v>45519.0</v>
      </c>
      <c r="B48" s="18">
        <v>246.0</v>
      </c>
      <c r="C48" s="18">
        <v>0.0</v>
      </c>
      <c r="D48" s="18">
        <v>246.0</v>
      </c>
      <c r="E48" s="18">
        <v>142.0</v>
      </c>
      <c r="F48" s="18">
        <v>16.0</v>
      </c>
      <c r="G48" s="18">
        <v>0.0</v>
      </c>
      <c r="H48" s="18">
        <v>16.0</v>
      </c>
      <c r="I48" s="18">
        <v>12.0</v>
      </c>
      <c r="J48" s="18">
        <v>0.0</v>
      </c>
      <c r="K48" s="18">
        <v>12.0</v>
      </c>
      <c r="L48" s="18">
        <v>0.0</v>
      </c>
      <c r="M48" s="18">
        <v>0.0</v>
      </c>
      <c r="N48" s="18">
        <v>0.0</v>
      </c>
      <c r="O48" s="18">
        <v>1.0</v>
      </c>
      <c r="P48" s="18">
        <v>0.0</v>
      </c>
      <c r="Q48" s="18">
        <v>1.0</v>
      </c>
      <c r="R48" s="18">
        <v>0.117886179</v>
      </c>
      <c r="S48" s="18">
        <v>0.0</v>
      </c>
      <c r="T48" s="18">
        <v>0.117886179</v>
      </c>
    </row>
    <row r="49">
      <c r="A49" s="17">
        <v>45520.0</v>
      </c>
      <c r="B49" s="18">
        <v>412.0</v>
      </c>
      <c r="C49" s="18">
        <v>0.0</v>
      </c>
      <c r="D49" s="18">
        <v>412.0</v>
      </c>
      <c r="E49" s="18">
        <v>181.0</v>
      </c>
      <c r="F49" s="18">
        <v>41.0</v>
      </c>
      <c r="G49" s="18">
        <v>0.0</v>
      </c>
      <c r="H49" s="18">
        <v>41.0</v>
      </c>
      <c r="I49" s="18">
        <v>19.0</v>
      </c>
      <c r="J49" s="18">
        <v>0.0</v>
      </c>
      <c r="K49" s="18">
        <v>19.0</v>
      </c>
      <c r="L49" s="18">
        <v>1.0</v>
      </c>
      <c r="M49" s="18">
        <v>0.0</v>
      </c>
      <c r="N49" s="18">
        <v>1.0</v>
      </c>
      <c r="O49" s="18">
        <v>1.0</v>
      </c>
      <c r="P49" s="18">
        <v>0.0</v>
      </c>
      <c r="Q49" s="18">
        <v>1.0</v>
      </c>
      <c r="R49" s="18">
        <v>0.150485437</v>
      </c>
      <c r="S49" s="18">
        <v>0.0</v>
      </c>
      <c r="T49" s="18">
        <v>0.150485437</v>
      </c>
    </row>
    <row r="50">
      <c r="A50" s="17">
        <v>45521.0</v>
      </c>
      <c r="B50" s="18">
        <v>166.0</v>
      </c>
      <c r="C50" s="18">
        <v>0.0</v>
      </c>
      <c r="D50" s="18">
        <v>166.0</v>
      </c>
      <c r="E50" s="18">
        <v>100.0</v>
      </c>
      <c r="F50" s="18">
        <v>19.0</v>
      </c>
      <c r="G50" s="18">
        <v>0.0</v>
      </c>
      <c r="H50" s="18">
        <v>19.0</v>
      </c>
      <c r="I50" s="18">
        <v>10.0</v>
      </c>
      <c r="J50" s="18">
        <v>0.0</v>
      </c>
      <c r="K50" s="18">
        <v>10.0</v>
      </c>
      <c r="L50" s="18">
        <v>1.0</v>
      </c>
      <c r="M50" s="18">
        <v>0.0</v>
      </c>
      <c r="N50" s="18">
        <v>1.0</v>
      </c>
      <c r="O50" s="18">
        <v>0.0</v>
      </c>
      <c r="P50" s="18">
        <v>0.0</v>
      </c>
      <c r="Q50" s="18">
        <v>0.0</v>
      </c>
      <c r="R50" s="18">
        <v>0.180722892</v>
      </c>
      <c r="S50" s="18">
        <v>0.0</v>
      </c>
      <c r="T50" s="18">
        <v>0.180722892</v>
      </c>
    </row>
    <row r="51">
      <c r="A51" s="17">
        <v>45522.0</v>
      </c>
      <c r="B51" s="18">
        <v>94.0</v>
      </c>
      <c r="C51" s="18">
        <v>0.0</v>
      </c>
      <c r="D51" s="18">
        <v>94.0</v>
      </c>
      <c r="E51" s="18">
        <v>40.0</v>
      </c>
      <c r="F51" s="18">
        <v>9.0</v>
      </c>
      <c r="G51" s="18">
        <v>0.0</v>
      </c>
      <c r="H51" s="18">
        <v>9.0</v>
      </c>
      <c r="I51" s="18">
        <v>6.0</v>
      </c>
      <c r="J51" s="18">
        <v>0.0</v>
      </c>
      <c r="K51" s="18">
        <v>6.0</v>
      </c>
      <c r="L51" s="18">
        <v>0.0</v>
      </c>
      <c r="M51" s="18">
        <v>0.0</v>
      </c>
      <c r="N51" s="18">
        <v>0.0</v>
      </c>
      <c r="O51" s="18">
        <v>1.0</v>
      </c>
      <c r="P51" s="18">
        <v>0.0</v>
      </c>
      <c r="Q51" s="18">
        <v>1.0</v>
      </c>
      <c r="R51" s="18">
        <v>0.170212766</v>
      </c>
      <c r="S51" s="18">
        <v>0.0</v>
      </c>
      <c r="T51" s="18">
        <v>0.170212766</v>
      </c>
    </row>
    <row r="52">
      <c r="A52" s="17">
        <v>45523.0</v>
      </c>
      <c r="B52" s="18">
        <v>119.0</v>
      </c>
      <c r="C52" s="18">
        <v>0.0</v>
      </c>
      <c r="D52" s="18">
        <v>119.0</v>
      </c>
      <c r="E52" s="18">
        <v>55.0</v>
      </c>
      <c r="F52" s="18">
        <v>14.0</v>
      </c>
      <c r="G52" s="18">
        <v>0.0</v>
      </c>
      <c r="H52" s="18">
        <v>14.0</v>
      </c>
      <c r="I52" s="18">
        <v>4.0</v>
      </c>
      <c r="J52" s="18">
        <v>0.0</v>
      </c>
      <c r="K52" s="18">
        <v>4.0</v>
      </c>
      <c r="L52" s="18">
        <v>0.0</v>
      </c>
      <c r="M52" s="18">
        <v>0.0</v>
      </c>
      <c r="N52" s="18">
        <v>0.0</v>
      </c>
      <c r="O52" s="18">
        <v>0.0</v>
      </c>
      <c r="P52" s="18">
        <v>0.0</v>
      </c>
      <c r="Q52" s="18">
        <v>0.0</v>
      </c>
      <c r="R52" s="18">
        <v>0.151260504</v>
      </c>
      <c r="S52" s="18">
        <v>0.0</v>
      </c>
      <c r="T52" s="18">
        <v>0.151260504</v>
      </c>
    </row>
    <row r="53">
      <c r="A53" s="17">
        <v>45524.0</v>
      </c>
      <c r="B53" s="18">
        <v>127.0</v>
      </c>
      <c r="C53" s="18">
        <v>0.0</v>
      </c>
      <c r="D53" s="18">
        <v>127.0</v>
      </c>
      <c r="E53" s="18">
        <v>72.0</v>
      </c>
      <c r="F53" s="18">
        <v>13.0</v>
      </c>
      <c r="G53" s="18">
        <v>0.0</v>
      </c>
      <c r="H53" s="18">
        <v>13.0</v>
      </c>
      <c r="I53" s="18">
        <v>11.0</v>
      </c>
      <c r="J53" s="18">
        <v>0.0</v>
      </c>
      <c r="K53" s="18">
        <v>11.0</v>
      </c>
      <c r="L53" s="18">
        <v>0.0</v>
      </c>
      <c r="M53" s="18">
        <v>0.0</v>
      </c>
      <c r="N53" s="18">
        <v>0.0</v>
      </c>
      <c r="O53" s="18">
        <v>0.0</v>
      </c>
      <c r="P53" s="18">
        <v>0.0</v>
      </c>
      <c r="Q53" s="18">
        <v>0.0</v>
      </c>
      <c r="R53" s="18">
        <v>0.188976378</v>
      </c>
      <c r="S53" s="18">
        <v>0.0</v>
      </c>
      <c r="T53" s="18">
        <v>0.188976378</v>
      </c>
    </row>
    <row r="54">
      <c r="A54" s="17">
        <v>45525.0</v>
      </c>
      <c r="B54" s="18">
        <v>286.0</v>
      </c>
      <c r="C54" s="18">
        <v>0.0</v>
      </c>
      <c r="D54" s="18">
        <v>286.0</v>
      </c>
      <c r="E54" s="18">
        <v>152.0</v>
      </c>
      <c r="F54" s="18">
        <v>18.0</v>
      </c>
      <c r="G54" s="18">
        <v>0.0</v>
      </c>
      <c r="H54" s="18">
        <v>18.0</v>
      </c>
      <c r="I54" s="18">
        <v>22.0</v>
      </c>
      <c r="J54" s="18">
        <v>0.0</v>
      </c>
      <c r="K54" s="18">
        <v>22.0</v>
      </c>
      <c r="L54" s="18">
        <v>5.0</v>
      </c>
      <c r="M54" s="18">
        <v>0.0</v>
      </c>
      <c r="N54" s="18">
        <v>5.0</v>
      </c>
      <c r="O54" s="18">
        <v>0.0</v>
      </c>
      <c r="P54" s="18">
        <v>0.0</v>
      </c>
      <c r="Q54" s="18">
        <v>0.0</v>
      </c>
      <c r="R54" s="18">
        <v>0.157342657</v>
      </c>
      <c r="S54" s="18">
        <v>0.0</v>
      </c>
      <c r="T54" s="18">
        <v>0.157342657</v>
      </c>
    </row>
    <row r="55">
      <c r="A55" s="17">
        <v>45526.0</v>
      </c>
      <c r="B55" s="18">
        <v>388.0</v>
      </c>
      <c r="C55" s="18">
        <v>0.0</v>
      </c>
      <c r="D55" s="18">
        <v>388.0</v>
      </c>
      <c r="E55" s="18">
        <v>125.0</v>
      </c>
      <c r="F55" s="18">
        <v>11.0</v>
      </c>
      <c r="G55" s="18">
        <v>0.0</v>
      </c>
      <c r="H55" s="18">
        <v>11.0</v>
      </c>
      <c r="I55" s="18">
        <v>15.0</v>
      </c>
      <c r="J55" s="18">
        <v>0.0</v>
      </c>
      <c r="K55" s="18">
        <v>15.0</v>
      </c>
      <c r="L55" s="18">
        <v>5.0</v>
      </c>
      <c r="M55" s="18">
        <v>0.0</v>
      </c>
      <c r="N55" s="18">
        <v>5.0</v>
      </c>
      <c r="O55" s="18">
        <v>0.0</v>
      </c>
      <c r="P55" s="18">
        <v>0.0</v>
      </c>
      <c r="Q55" s="18">
        <v>0.0</v>
      </c>
      <c r="R55" s="18">
        <v>0.079896907</v>
      </c>
      <c r="S55" s="18">
        <v>0.0</v>
      </c>
      <c r="T55" s="18">
        <v>0.079896907</v>
      </c>
    </row>
    <row r="56">
      <c r="A56" s="17">
        <v>45527.0</v>
      </c>
      <c r="B56" s="18">
        <v>542.0</v>
      </c>
      <c r="C56" s="18">
        <v>0.0</v>
      </c>
      <c r="D56" s="18">
        <v>542.0</v>
      </c>
      <c r="E56" s="18">
        <v>168.0</v>
      </c>
      <c r="F56" s="18">
        <v>24.0</v>
      </c>
      <c r="G56" s="18">
        <v>0.0</v>
      </c>
      <c r="H56" s="18">
        <v>24.0</v>
      </c>
      <c r="I56" s="18">
        <v>27.0</v>
      </c>
      <c r="J56" s="18">
        <v>0.0</v>
      </c>
      <c r="K56" s="18">
        <v>27.0</v>
      </c>
      <c r="L56" s="18">
        <v>1.0</v>
      </c>
      <c r="M56" s="18">
        <v>0.0</v>
      </c>
      <c r="N56" s="18">
        <v>1.0</v>
      </c>
      <c r="O56" s="18">
        <v>0.0</v>
      </c>
      <c r="P56" s="18">
        <v>0.0</v>
      </c>
      <c r="Q56" s="18">
        <v>0.0</v>
      </c>
      <c r="R56" s="18">
        <v>0.095940959</v>
      </c>
      <c r="S56" s="18">
        <v>0.0</v>
      </c>
      <c r="T56" s="18">
        <v>0.095940959</v>
      </c>
    </row>
    <row r="57">
      <c r="A57" s="17">
        <v>45528.0</v>
      </c>
      <c r="B57" s="18">
        <v>177.0</v>
      </c>
      <c r="C57" s="18">
        <v>0.0</v>
      </c>
      <c r="D57" s="18">
        <v>177.0</v>
      </c>
      <c r="E57" s="18">
        <v>92.0</v>
      </c>
      <c r="F57" s="18">
        <v>12.0</v>
      </c>
      <c r="G57" s="18">
        <v>0.0</v>
      </c>
      <c r="H57" s="18">
        <v>12.0</v>
      </c>
      <c r="I57" s="18">
        <v>8.0</v>
      </c>
      <c r="J57" s="18">
        <v>0.0</v>
      </c>
      <c r="K57" s="18">
        <v>8.0</v>
      </c>
      <c r="L57" s="18">
        <v>0.0</v>
      </c>
      <c r="M57" s="18">
        <v>0.0</v>
      </c>
      <c r="N57" s="18">
        <v>0.0</v>
      </c>
      <c r="O57" s="18">
        <v>0.0</v>
      </c>
      <c r="P57" s="18">
        <v>0.0</v>
      </c>
      <c r="Q57" s="18">
        <v>0.0</v>
      </c>
      <c r="R57" s="18">
        <v>0.11299435</v>
      </c>
      <c r="S57" s="18">
        <v>0.0</v>
      </c>
      <c r="T57" s="18">
        <v>0.11299435</v>
      </c>
    </row>
    <row r="58">
      <c r="A58" s="17">
        <v>45529.0</v>
      </c>
      <c r="B58" s="18">
        <v>150.0</v>
      </c>
      <c r="C58" s="18">
        <v>0.0</v>
      </c>
      <c r="D58" s="18">
        <v>150.0</v>
      </c>
      <c r="E58" s="18">
        <v>69.0</v>
      </c>
      <c r="F58" s="18">
        <v>8.0</v>
      </c>
      <c r="G58" s="18">
        <v>0.0</v>
      </c>
      <c r="H58" s="18">
        <v>8.0</v>
      </c>
      <c r="I58" s="18">
        <v>8.0</v>
      </c>
      <c r="J58" s="18">
        <v>0.0</v>
      </c>
      <c r="K58" s="18">
        <v>8.0</v>
      </c>
      <c r="L58" s="18">
        <v>0.0</v>
      </c>
      <c r="M58" s="18">
        <v>0.0</v>
      </c>
      <c r="N58" s="18">
        <v>0.0</v>
      </c>
      <c r="O58" s="18">
        <v>0.0</v>
      </c>
      <c r="P58" s="18">
        <v>0.0</v>
      </c>
      <c r="Q58" s="18">
        <v>0.0</v>
      </c>
      <c r="R58" s="18">
        <v>0.106666667</v>
      </c>
      <c r="S58" s="18">
        <v>0.0</v>
      </c>
      <c r="T58" s="18">
        <v>0.106666667</v>
      </c>
    </row>
    <row r="59">
      <c r="A59" s="17">
        <v>45530.0</v>
      </c>
      <c r="B59" s="18">
        <v>130.0</v>
      </c>
      <c r="C59" s="18">
        <v>0.0</v>
      </c>
      <c r="D59" s="18">
        <v>130.0</v>
      </c>
      <c r="E59" s="18">
        <v>61.0</v>
      </c>
      <c r="F59" s="18">
        <v>4.0</v>
      </c>
      <c r="G59" s="18">
        <v>0.0</v>
      </c>
      <c r="H59" s="18">
        <v>4.0</v>
      </c>
      <c r="I59" s="18">
        <v>2.0</v>
      </c>
      <c r="J59" s="18">
        <v>0.0</v>
      </c>
      <c r="K59" s="18">
        <v>2.0</v>
      </c>
      <c r="L59" s="18">
        <v>0.0</v>
      </c>
      <c r="M59" s="18">
        <v>0.0</v>
      </c>
      <c r="N59" s="18">
        <v>0.0</v>
      </c>
      <c r="O59" s="18">
        <v>0.0</v>
      </c>
      <c r="P59" s="18">
        <v>0.0</v>
      </c>
      <c r="Q59" s="18">
        <v>0.0</v>
      </c>
      <c r="R59" s="18">
        <v>0.046153846</v>
      </c>
      <c r="S59" s="18">
        <v>0.0</v>
      </c>
      <c r="T59" s="18">
        <v>0.046153846</v>
      </c>
    </row>
    <row r="60">
      <c r="A60" s="17">
        <v>45531.0</v>
      </c>
      <c r="B60" s="18">
        <v>133.0</v>
      </c>
      <c r="C60" s="18">
        <v>0.0</v>
      </c>
      <c r="D60" s="18">
        <v>133.0</v>
      </c>
      <c r="E60" s="18">
        <v>60.0</v>
      </c>
      <c r="F60" s="18">
        <v>4.0</v>
      </c>
      <c r="G60" s="18">
        <v>0.0</v>
      </c>
      <c r="H60" s="18">
        <v>4.0</v>
      </c>
      <c r="I60" s="18">
        <v>4.0</v>
      </c>
      <c r="J60" s="18">
        <v>0.0</v>
      </c>
      <c r="K60" s="18">
        <v>4.0</v>
      </c>
      <c r="L60" s="18">
        <v>0.0</v>
      </c>
      <c r="M60" s="18">
        <v>0.0</v>
      </c>
      <c r="N60" s="18">
        <v>0.0</v>
      </c>
      <c r="O60" s="18">
        <v>0.0</v>
      </c>
      <c r="P60" s="18">
        <v>0.0</v>
      </c>
      <c r="Q60" s="18">
        <v>0.0</v>
      </c>
      <c r="R60" s="18">
        <v>0.060150376</v>
      </c>
      <c r="S60" s="18">
        <v>0.0</v>
      </c>
      <c r="T60" s="18">
        <v>0.060150376</v>
      </c>
    </row>
    <row r="61">
      <c r="A61" s="17">
        <v>45532.0</v>
      </c>
      <c r="B61" s="18">
        <v>202.0</v>
      </c>
      <c r="C61" s="18">
        <v>0.0</v>
      </c>
      <c r="D61" s="18">
        <v>202.0</v>
      </c>
      <c r="E61" s="18">
        <v>109.0</v>
      </c>
      <c r="F61" s="18">
        <v>8.0</v>
      </c>
      <c r="G61" s="18">
        <v>0.0</v>
      </c>
      <c r="H61" s="18">
        <v>8.0</v>
      </c>
      <c r="I61" s="18">
        <v>18.0</v>
      </c>
      <c r="J61" s="18">
        <v>0.0</v>
      </c>
      <c r="K61" s="18">
        <v>18.0</v>
      </c>
      <c r="L61" s="18">
        <v>0.0</v>
      </c>
      <c r="M61" s="18">
        <v>0.0</v>
      </c>
      <c r="N61" s="18">
        <v>0.0</v>
      </c>
      <c r="O61" s="18">
        <v>0.0</v>
      </c>
      <c r="P61" s="18">
        <v>0.0</v>
      </c>
      <c r="Q61" s="18">
        <v>0.0</v>
      </c>
      <c r="R61" s="18">
        <v>0.128712871</v>
      </c>
      <c r="S61" s="18">
        <v>0.0</v>
      </c>
      <c r="T61" s="18">
        <v>0.128712871</v>
      </c>
    </row>
    <row r="62">
      <c r="A62" s="17">
        <v>45533.0</v>
      </c>
      <c r="B62" s="18">
        <v>267.0</v>
      </c>
      <c r="C62" s="18">
        <v>0.0</v>
      </c>
      <c r="D62" s="18">
        <v>267.0</v>
      </c>
      <c r="E62" s="18">
        <v>107.0</v>
      </c>
      <c r="F62" s="18">
        <v>15.0</v>
      </c>
      <c r="G62" s="18">
        <v>0.0</v>
      </c>
      <c r="H62" s="18">
        <v>15.0</v>
      </c>
      <c r="I62" s="18">
        <v>12.0</v>
      </c>
      <c r="J62" s="18">
        <v>0.0</v>
      </c>
      <c r="K62" s="18">
        <v>12.0</v>
      </c>
      <c r="L62" s="18">
        <v>0.0</v>
      </c>
      <c r="M62" s="18">
        <v>0.0</v>
      </c>
      <c r="N62" s="18">
        <v>0.0</v>
      </c>
      <c r="O62" s="18">
        <v>0.0</v>
      </c>
      <c r="P62" s="18">
        <v>0.0</v>
      </c>
      <c r="Q62" s="18">
        <v>0.0</v>
      </c>
      <c r="R62" s="18">
        <v>0.101123596</v>
      </c>
      <c r="S62" s="18">
        <v>0.0</v>
      </c>
      <c r="T62" s="18">
        <v>0.101123596</v>
      </c>
    </row>
    <row r="63">
      <c r="A63" s="17">
        <v>45534.0</v>
      </c>
      <c r="B63" s="18">
        <v>284.0</v>
      </c>
      <c r="C63" s="18">
        <v>0.0</v>
      </c>
      <c r="D63" s="18">
        <v>284.0</v>
      </c>
      <c r="E63" s="18">
        <v>119.0</v>
      </c>
      <c r="F63" s="18">
        <v>12.0</v>
      </c>
      <c r="G63" s="18">
        <v>0.0</v>
      </c>
      <c r="H63" s="18">
        <v>12.0</v>
      </c>
      <c r="I63" s="18">
        <v>12.0</v>
      </c>
      <c r="J63" s="18">
        <v>0.0</v>
      </c>
      <c r="K63" s="18">
        <v>12.0</v>
      </c>
      <c r="L63" s="18">
        <v>0.0</v>
      </c>
      <c r="M63" s="18">
        <v>0.0</v>
      </c>
      <c r="N63" s="18">
        <v>0.0</v>
      </c>
      <c r="O63" s="18">
        <v>0.0</v>
      </c>
      <c r="P63" s="18">
        <v>0.0</v>
      </c>
      <c r="Q63" s="18">
        <v>0.0</v>
      </c>
      <c r="R63" s="18">
        <v>0.084507042</v>
      </c>
      <c r="S63" s="18">
        <v>0.0</v>
      </c>
      <c r="T63" s="18">
        <v>0.084507042</v>
      </c>
    </row>
    <row r="64">
      <c r="A64" s="17">
        <v>45535.0</v>
      </c>
      <c r="B64" s="18">
        <v>190.0</v>
      </c>
      <c r="C64" s="18">
        <v>0.0</v>
      </c>
      <c r="D64" s="18">
        <v>190.0</v>
      </c>
      <c r="E64" s="18">
        <v>74.0</v>
      </c>
      <c r="F64" s="18">
        <v>3.0</v>
      </c>
      <c r="G64" s="18">
        <v>0.0</v>
      </c>
      <c r="H64" s="18">
        <v>3.0</v>
      </c>
      <c r="I64" s="18">
        <v>10.0</v>
      </c>
      <c r="J64" s="18">
        <v>0.0</v>
      </c>
      <c r="K64" s="18">
        <v>10.0</v>
      </c>
      <c r="L64" s="18">
        <v>0.0</v>
      </c>
      <c r="M64" s="18">
        <v>0.0</v>
      </c>
      <c r="N64" s="18">
        <v>0.0</v>
      </c>
      <c r="O64" s="18">
        <v>0.0</v>
      </c>
      <c r="P64" s="18">
        <v>0.0</v>
      </c>
      <c r="Q64" s="18">
        <v>0.0</v>
      </c>
      <c r="R64" s="18">
        <v>0.068421053</v>
      </c>
      <c r="S64" s="18">
        <v>0.0</v>
      </c>
      <c r="T64" s="18">
        <v>0.068421053</v>
      </c>
    </row>
    <row r="65">
      <c r="A65" s="17">
        <v>45536.0</v>
      </c>
      <c r="B65" s="18">
        <v>69.0</v>
      </c>
      <c r="C65" s="18">
        <v>0.0</v>
      </c>
      <c r="D65" s="18">
        <v>69.0</v>
      </c>
      <c r="E65" s="18">
        <v>28.0</v>
      </c>
      <c r="F65" s="18">
        <v>0.0</v>
      </c>
      <c r="G65" s="18">
        <v>0.0</v>
      </c>
      <c r="H65" s="18">
        <v>0.0</v>
      </c>
      <c r="I65" s="18">
        <v>2.0</v>
      </c>
      <c r="J65" s="18">
        <v>0.0</v>
      </c>
      <c r="K65" s="18">
        <v>2.0</v>
      </c>
      <c r="L65" s="18">
        <v>0.0</v>
      </c>
      <c r="M65" s="18">
        <v>0.0</v>
      </c>
      <c r="N65" s="18">
        <v>0.0</v>
      </c>
      <c r="O65" s="18">
        <v>0.0</v>
      </c>
      <c r="P65" s="18">
        <v>0.0</v>
      </c>
      <c r="Q65" s="18">
        <v>0.0</v>
      </c>
      <c r="R65" s="18">
        <v>0.028985507</v>
      </c>
      <c r="S65" s="18">
        <v>0.0</v>
      </c>
      <c r="T65" s="18">
        <v>0.028985507</v>
      </c>
    </row>
    <row r="66">
      <c r="A66" s="17">
        <v>45537.0</v>
      </c>
      <c r="B66" s="18">
        <v>74.0</v>
      </c>
      <c r="C66" s="18">
        <v>0.0</v>
      </c>
      <c r="D66" s="18">
        <v>74.0</v>
      </c>
      <c r="E66" s="18">
        <v>36.0</v>
      </c>
      <c r="F66" s="18">
        <v>4.0</v>
      </c>
      <c r="G66" s="18">
        <v>0.0</v>
      </c>
      <c r="H66" s="18">
        <v>4.0</v>
      </c>
      <c r="I66" s="18">
        <v>4.0</v>
      </c>
      <c r="J66" s="18">
        <v>0.0</v>
      </c>
      <c r="K66" s="18">
        <v>4.0</v>
      </c>
      <c r="L66" s="18">
        <v>0.0</v>
      </c>
      <c r="M66" s="18">
        <v>0.0</v>
      </c>
      <c r="N66" s="18">
        <v>0.0</v>
      </c>
      <c r="O66" s="18">
        <v>0.0</v>
      </c>
      <c r="P66" s="18">
        <v>0.0</v>
      </c>
      <c r="Q66" s="18">
        <v>0.0</v>
      </c>
      <c r="R66" s="18">
        <v>0.108108108</v>
      </c>
      <c r="S66" s="18">
        <v>0.0</v>
      </c>
      <c r="T66" s="18">
        <v>0.108108108</v>
      </c>
    </row>
    <row r="67">
      <c r="A67" s="17">
        <v>45538.0</v>
      </c>
      <c r="B67" s="18">
        <v>365.0</v>
      </c>
      <c r="C67" s="18">
        <v>0.0</v>
      </c>
      <c r="D67" s="18">
        <v>365.0</v>
      </c>
      <c r="E67" s="18">
        <v>144.0</v>
      </c>
      <c r="F67" s="18">
        <v>31.0</v>
      </c>
      <c r="G67" s="18">
        <v>0.0</v>
      </c>
      <c r="H67" s="18">
        <v>31.0</v>
      </c>
      <c r="I67" s="18">
        <v>23.0</v>
      </c>
      <c r="J67" s="18">
        <v>0.0</v>
      </c>
      <c r="K67" s="18">
        <v>23.0</v>
      </c>
      <c r="L67" s="18">
        <v>2.0</v>
      </c>
      <c r="M67" s="18">
        <v>0.0</v>
      </c>
      <c r="N67" s="18">
        <v>2.0</v>
      </c>
      <c r="O67" s="18">
        <v>1.0</v>
      </c>
      <c r="P67" s="18">
        <v>0.0</v>
      </c>
      <c r="Q67" s="18">
        <v>1.0</v>
      </c>
      <c r="R67" s="18">
        <v>0.156164384</v>
      </c>
      <c r="S67" s="18">
        <v>0.0</v>
      </c>
      <c r="T67" s="18">
        <v>0.156164384</v>
      </c>
    </row>
    <row r="68">
      <c r="A68" s="17">
        <v>45539.0</v>
      </c>
      <c r="B68" s="18">
        <v>464.0</v>
      </c>
      <c r="C68" s="18">
        <v>0.0</v>
      </c>
      <c r="D68" s="18">
        <v>464.0</v>
      </c>
      <c r="E68" s="18">
        <v>261.0</v>
      </c>
      <c r="F68" s="18">
        <v>43.0</v>
      </c>
      <c r="G68" s="18">
        <v>0.0</v>
      </c>
      <c r="H68" s="18">
        <v>43.0</v>
      </c>
      <c r="I68" s="18">
        <v>28.0</v>
      </c>
      <c r="J68" s="18">
        <v>0.0</v>
      </c>
      <c r="K68" s="18">
        <v>28.0</v>
      </c>
      <c r="L68" s="18">
        <v>1.0</v>
      </c>
      <c r="M68" s="18">
        <v>0.0</v>
      </c>
      <c r="N68" s="18">
        <v>1.0</v>
      </c>
      <c r="O68" s="18">
        <v>0.0</v>
      </c>
      <c r="P68" s="18">
        <v>0.0</v>
      </c>
      <c r="Q68" s="18">
        <v>0.0</v>
      </c>
      <c r="R68" s="18">
        <v>0.155172414</v>
      </c>
      <c r="S68" s="18">
        <v>0.0</v>
      </c>
      <c r="T68" s="18">
        <v>0.155172414</v>
      </c>
    </row>
    <row r="69">
      <c r="A69" s="17">
        <v>45540.0</v>
      </c>
      <c r="B69" s="18">
        <v>504.0</v>
      </c>
      <c r="C69" s="18">
        <v>0.0</v>
      </c>
      <c r="D69" s="18">
        <v>504.0</v>
      </c>
      <c r="E69" s="18">
        <v>285.0</v>
      </c>
      <c r="F69" s="18">
        <v>60.0</v>
      </c>
      <c r="G69" s="18">
        <v>0.0</v>
      </c>
      <c r="H69" s="18">
        <v>60.0</v>
      </c>
      <c r="I69" s="18">
        <v>22.0</v>
      </c>
      <c r="J69" s="18">
        <v>0.0</v>
      </c>
      <c r="K69" s="18">
        <v>22.0</v>
      </c>
      <c r="L69" s="18">
        <v>0.0</v>
      </c>
      <c r="M69" s="18">
        <v>0.0</v>
      </c>
      <c r="N69" s="18">
        <v>0.0</v>
      </c>
      <c r="O69" s="18">
        <v>0.0</v>
      </c>
      <c r="P69" s="18">
        <v>0.0</v>
      </c>
      <c r="Q69" s="18">
        <v>0.0</v>
      </c>
      <c r="R69" s="18">
        <v>0.162698413</v>
      </c>
      <c r="S69" s="18">
        <v>0.0</v>
      </c>
      <c r="T69" s="18">
        <v>0.162698413</v>
      </c>
    </row>
    <row r="70">
      <c r="A70" s="17">
        <v>45541.0</v>
      </c>
      <c r="B70" s="18">
        <v>411.0</v>
      </c>
      <c r="C70" s="18">
        <v>0.0</v>
      </c>
      <c r="D70" s="18">
        <v>411.0</v>
      </c>
      <c r="E70" s="18">
        <v>188.0</v>
      </c>
      <c r="F70" s="18">
        <v>30.0</v>
      </c>
      <c r="G70" s="18">
        <v>0.0</v>
      </c>
      <c r="H70" s="18">
        <v>30.0</v>
      </c>
      <c r="I70" s="18">
        <v>11.0</v>
      </c>
      <c r="J70" s="18">
        <v>0.0</v>
      </c>
      <c r="K70" s="18">
        <v>11.0</v>
      </c>
      <c r="L70" s="18">
        <v>1.0</v>
      </c>
      <c r="M70" s="18">
        <v>0.0</v>
      </c>
      <c r="N70" s="18">
        <v>1.0</v>
      </c>
      <c r="O70" s="18">
        <v>0.0</v>
      </c>
      <c r="P70" s="18">
        <v>0.0</v>
      </c>
      <c r="Q70" s="18">
        <v>0.0</v>
      </c>
      <c r="R70" s="18">
        <v>0.102189781</v>
      </c>
      <c r="S70" s="18">
        <v>0.0</v>
      </c>
      <c r="T70" s="18">
        <v>0.102189781</v>
      </c>
    </row>
    <row r="71">
      <c r="A71" s="17">
        <v>45542.0</v>
      </c>
      <c r="B71" s="18">
        <v>223.0</v>
      </c>
      <c r="C71" s="18">
        <v>0.0</v>
      </c>
      <c r="D71" s="18">
        <v>223.0</v>
      </c>
      <c r="E71" s="18">
        <v>107.0</v>
      </c>
      <c r="F71" s="18">
        <v>18.0</v>
      </c>
      <c r="G71" s="18">
        <v>0.0</v>
      </c>
      <c r="H71" s="18">
        <v>18.0</v>
      </c>
      <c r="I71" s="18">
        <v>8.0</v>
      </c>
      <c r="J71" s="18">
        <v>0.0</v>
      </c>
      <c r="K71" s="18">
        <v>8.0</v>
      </c>
      <c r="L71" s="18">
        <v>1.0</v>
      </c>
      <c r="M71" s="18">
        <v>0.0</v>
      </c>
      <c r="N71" s="18">
        <v>1.0</v>
      </c>
      <c r="O71" s="18">
        <v>1.0</v>
      </c>
      <c r="P71" s="18">
        <v>0.0</v>
      </c>
      <c r="Q71" s="18">
        <v>1.0</v>
      </c>
      <c r="R71" s="18">
        <v>0.125560538</v>
      </c>
      <c r="S71" s="18">
        <v>0.0</v>
      </c>
      <c r="T71" s="18">
        <v>0.125560538</v>
      </c>
    </row>
    <row r="72">
      <c r="A72" s="17">
        <v>45543.0</v>
      </c>
      <c r="B72" s="18">
        <v>73.0</v>
      </c>
      <c r="C72" s="18">
        <v>0.0</v>
      </c>
      <c r="D72" s="18">
        <v>73.0</v>
      </c>
      <c r="E72" s="18">
        <v>45.0</v>
      </c>
      <c r="F72" s="18">
        <v>9.0</v>
      </c>
      <c r="G72" s="18">
        <v>0.0</v>
      </c>
      <c r="H72" s="18">
        <v>9.0</v>
      </c>
      <c r="I72" s="18">
        <v>4.0</v>
      </c>
      <c r="J72" s="18">
        <v>0.0</v>
      </c>
      <c r="K72" s="18">
        <v>4.0</v>
      </c>
      <c r="L72" s="18">
        <v>2.0</v>
      </c>
      <c r="M72" s="18">
        <v>0.0</v>
      </c>
      <c r="N72" s="18">
        <v>2.0</v>
      </c>
      <c r="O72" s="18">
        <v>0.0</v>
      </c>
      <c r="P72" s="18">
        <v>0.0</v>
      </c>
      <c r="Q72" s="18">
        <v>0.0</v>
      </c>
      <c r="R72" s="18">
        <v>0.205479452</v>
      </c>
      <c r="S72" s="18">
        <v>0.0</v>
      </c>
      <c r="T72" s="18">
        <v>0.205479452</v>
      </c>
    </row>
    <row r="73">
      <c r="A73" s="17">
        <v>45544.0</v>
      </c>
      <c r="B73" s="18">
        <v>345.0</v>
      </c>
      <c r="C73" s="18">
        <v>0.0</v>
      </c>
      <c r="D73" s="18">
        <v>345.0</v>
      </c>
      <c r="E73" s="18">
        <v>112.0</v>
      </c>
      <c r="F73" s="18">
        <v>49.0</v>
      </c>
      <c r="G73" s="18">
        <v>0.0</v>
      </c>
      <c r="H73" s="18">
        <v>49.0</v>
      </c>
      <c r="I73" s="18">
        <v>5.0</v>
      </c>
      <c r="J73" s="18">
        <v>0.0</v>
      </c>
      <c r="K73" s="18">
        <v>5.0</v>
      </c>
      <c r="L73" s="18">
        <v>2.0</v>
      </c>
      <c r="M73" s="18">
        <v>0.0</v>
      </c>
      <c r="N73" s="18">
        <v>2.0</v>
      </c>
      <c r="O73" s="18">
        <v>0.0</v>
      </c>
      <c r="P73" s="18">
        <v>0.0</v>
      </c>
      <c r="Q73" s="18">
        <v>0.0</v>
      </c>
      <c r="R73" s="18">
        <v>0.162318841</v>
      </c>
      <c r="S73" s="18">
        <v>0.0</v>
      </c>
      <c r="T73" s="18">
        <v>0.162318841</v>
      </c>
    </row>
    <row r="74">
      <c r="A74" s="17">
        <v>45545.0</v>
      </c>
      <c r="B74" s="18">
        <v>685.0</v>
      </c>
      <c r="C74" s="18">
        <v>0.0</v>
      </c>
      <c r="D74" s="18">
        <v>685.0</v>
      </c>
      <c r="E74" s="18">
        <v>173.0</v>
      </c>
      <c r="F74" s="18">
        <v>182.0</v>
      </c>
      <c r="G74" s="18">
        <v>0.0</v>
      </c>
      <c r="H74" s="18">
        <v>182.0</v>
      </c>
      <c r="I74" s="18">
        <v>26.0</v>
      </c>
      <c r="J74" s="18">
        <v>0.0</v>
      </c>
      <c r="K74" s="18">
        <v>26.0</v>
      </c>
      <c r="L74" s="18">
        <v>0.0</v>
      </c>
      <c r="M74" s="18">
        <v>0.0</v>
      </c>
      <c r="N74" s="18">
        <v>0.0</v>
      </c>
      <c r="O74" s="18">
        <v>0.0</v>
      </c>
      <c r="P74" s="18">
        <v>0.0</v>
      </c>
      <c r="Q74" s="18">
        <v>0.0</v>
      </c>
      <c r="R74" s="18">
        <v>0.303649635</v>
      </c>
      <c r="S74" s="18">
        <v>0.0</v>
      </c>
      <c r="T74" s="18">
        <v>0.303649635</v>
      </c>
    </row>
    <row r="75">
      <c r="A75" s="17">
        <v>45546.0</v>
      </c>
      <c r="B75" s="18">
        <v>649.0</v>
      </c>
      <c r="C75" s="18">
        <v>0.0</v>
      </c>
      <c r="D75" s="18">
        <v>649.0</v>
      </c>
      <c r="E75" s="18">
        <v>134.0</v>
      </c>
      <c r="F75" s="18">
        <v>28.0</v>
      </c>
      <c r="G75" s="18">
        <v>0.0</v>
      </c>
      <c r="H75" s="18">
        <v>28.0</v>
      </c>
      <c r="I75" s="18">
        <v>46.0</v>
      </c>
      <c r="J75" s="18">
        <v>0.0</v>
      </c>
      <c r="K75" s="18">
        <v>46.0</v>
      </c>
      <c r="L75" s="18">
        <v>1.0</v>
      </c>
      <c r="M75" s="18">
        <v>0.0</v>
      </c>
      <c r="N75" s="18">
        <v>1.0</v>
      </c>
      <c r="O75" s="18">
        <v>0.0</v>
      </c>
      <c r="P75" s="18">
        <v>0.0</v>
      </c>
      <c r="Q75" s="18">
        <v>0.0</v>
      </c>
      <c r="R75" s="18">
        <v>0.115562404</v>
      </c>
      <c r="S75" s="18">
        <v>0.0</v>
      </c>
      <c r="T75" s="18">
        <v>0.115562404</v>
      </c>
    </row>
    <row r="76">
      <c r="A76" s="17">
        <v>45547.0</v>
      </c>
      <c r="B76" s="18">
        <v>170.0</v>
      </c>
      <c r="C76" s="18">
        <v>0.0</v>
      </c>
      <c r="D76" s="18">
        <v>170.0</v>
      </c>
      <c r="E76" s="18">
        <v>86.0</v>
      </c>
      <c r="F76" s="18">
        <v>16.0</v>
      </c>
      <c r="G76" s="18">
        <v>0.0</v>
      </c>
      <c r="H76" s="18">
        <v>16.0</v>
      </c>
      <c r="I76" s="18">
        <v>2.0</v>
      </c>
      <c r="J76" s="18">
        <v>0.0</v>
      </c>
      <c r="K76" s="18">
        <v>2.0</v>
      </c>
      <c r="L76" s="18">
        <v>0.0</v>
      </c>
      <c r="M76" s="18">
        <v>0.0</v>
      </c>
      <c r="N76" s="18">
        <v>0.0</v>
      </c>
      <c r="O76" s="18">
        <v>0.0</v>
      </c>
      <c r="P76" s="18">
        <v>0.0</v>
      </c>
      <c r="Q76" s="18">
        <v>0.0</v>
      </c>
      <c r="R76" s="18">
        <v>0.105882353</v>
      </c>
      <c r="S76" s="18">
        <v>0.0</v>
      </c>
      <c r="T76" s="18">
        <v>0.105882353</v>
      </c>
    </row>
    <row r="77">
      <c r="A77" s="17">
        <v>45548.0</v>
      </c>
      <c r="B77" s="18">
        <v>228.0</v>
      </c>
      <c r="C77" s="18">
        <v>0.0</v>
      </c>
      <c r="D77" s="18">
        <v>228.0</v>
      </c>
      <c r="E77" s="18">
        <v>71.0</v>
      </c>
      <c r="F77" s="18">
        <v>20.0</v>
      </c>
      <c r="G77" s="18">
        <v>0.0</v>
      </c>
      <c r="H77" s="18">
        <v>20.0</v>
      </c>
      <c r="I77" s="18">
        <v>12.0</v>
      </c>
      <c r="J77" s="18">
        <v>0.0</v>
      </c>
      <c r="K77" s="18">
        <v>12.0</v>
      </c>
      <c r="L77" s="18">
        <v>1.0</v>
      </c>
      <c r="M77" s="18">
        <v>0.0</v>
      </c>
      <c r="N77" s="18">
        <v>1.0</v>
      </c>
      <c r="O77" s="18">
        <v>2.0</v>
      </c>
      <c r="P77" s="18">
        <v>0.0</v>
      </c>
      <c r="Q77" s="18">
        <v>2.0</v>
      </c>
      <c r="R77" s="18">
        <v>0.153508772</v>
      </c>
      <c r="S77" s="18">
        <v>0.0</v>
      </c>
      <c r="T77" s="18">
        <v>0.153508772</v>
      </c>
    </row>
    <row r="78">
      <c r="A78" s="17">
        <v>45549.0</v>
      </c>
      <c r="B78" s="18">
        <v>229.0</v>
      </c>
      <c r="C78" s="18">
        <v>0.0</v>
      </c>
      <c r="D78" s="18">
        <v>229.0</v>
      </c>
      <c r="E78" s="18">
        <v>120.0</v>
      </c>
      <c r="F78" s="18">
        <v>37.0</v>
      </c>
      <c r="G78" s="18">
        <v>0.0</v>
      </c>
      <c r="H78" s="18">
        <v>37.0</v>
      </c>
      <c r="I78" s="18">
        <v>18.0</v>
      </c>
      <c r="J78" s="18">
        <v>0.0</v>
      </c>
      <c r="K78" s="18">
        <v>18.0</v>
      </c>
      <c r="L78" s="18">
        <v>3.0</v>
      </c>
      <c r="M78" s="18">
        <v>0.0</v>
      </c>
      <c r="N78" s="18">
        <v>3.0</v>
      </c>
      <c r="O78" s="18">
        <v>0.0</v>
      </c>
      <c r="P78" s="18">
        <v>0.0</v>
      </c>
      <c r="Q78" s="18">
        <v>0.0</v>
      </c>
      <c r="R78" s="18">
        <v>0.253275109</v>
      </c>
      <c r="S78" s="18">
        <v>0.0</v>
      </c>
      <c r="T78" s="18">
        <v>0.253275109</v>
      </c>
    </row>
    <row r="79">
      <c r="A79" s="17">
        <v>45550.0</v>
      </c>
      <c r="B79" s="18">
        <v>115.0</v>
      </c>
      <c r="C79" s="18">
        <v>0.0</v>
      </c>
      <c r="D79" s="18">
        <v>115.0</v>
      </c>
      <c r="E79" s="18">
        <v>53.0</v>
      </c>
      <c r="F79" s="18">
        <v>20.0</v>
      </c>
      <c r="G79" s="18">
        <v>0.0</v>
      </c>
      <c r="H79" s="18">
        <v>20.0</v>
      </c>
      <c r="I79" s="18">
        <v>2.0</v>
      </c>
      <c r="J79" s="18">
        <v>0.0</v>
      </c>
      <c r="K79" s="18">
        <v>2.0</v>
      </c>
      <c r="L79" s="18">
        <v>1.0</v>
      </c>
      <c r="M79" s="18">
        <v>0.0</v>
      </c>
      <c r="N79" s="18">
        <v>1.0</v>
      </c>
      <c r="O79" s="18">
        <v>0.0</v>
      </c>
      <c r="P79" s="18">
        <v>0.0</v>
      </c>
      <c r="Q79" s="18">
        <v>0.0</v>
      </c>
      <c r="R79" s="18">
        <v>0.2</v>
      </c>
      <c r="S79" s="18">
        <v>0.0</v>
      </c>
      <c r="T79" s="18">
        <v>0.2</v>
      </c>
    </row>
    <row r="80">
      <c r="A80" s="17">
        <v>45551.0</v>
      </c>
      <c r="B80" s="18">
        <v>131.0</v>
      </c>
      <c r="C80" s="18">
        <v>0.0</v>
      </c>
      <c r="D80" s="18">
        <v>131.0</v>
      </c>
      <c r="E80" s="18">
        <v>66.0</v>
      </c>
      <c r="F80" s="18">
        <v>20.0</v>
      </c>
      <c r="G80" s="18">
        <v>0.0</v>
      </c>
      <c r="H80" s="18">
        <v>20.0</v>
      </c>
      <c r="I80" s="18">
        <v>10.0</v>
      </c>
      <c r="J80" s="18">
        <v>0.0</v>
      </c>
      <c r="K80" s="18">
        <v>10.0</v>
      </c>
      <c r="L80" s="18">
        <v>1.0</v>
      </c>
      <c r="M80" s="18">
        <v>0.0</v>
      </c>
      <c r="N80" s="18">
        <v>1.0</v>
      </c>
      <c r="O80" s="18">
        <v>1.0</v>
      </c>
      <c r="P80" s="18">
        <v>0.0</v>
      </c>
      <c r="Q80" s="18">
        <v>1.0</v>
      </c>
      <c r="R80" s="18">
        <v>0.244274809</v>
      </c>
      <c r="S80" s="18">
        <v>0.0</v>
      </c>
      <c r="T80" s="18">
        <v>0.244274809</v>
      </c>
    </row>
    <row r="81">
      <c r="A81" s="17">
        <v>45552.0</v>
      </c>
      <c r="B81" s="18">
        <v>199.0</v>
      </c>
      <c r="C81" s="18">
        <v>0.0</v>
      </c>
      <c r="D81" s="18">
        <v>199.0</v>
      </c>
      <c r="E81" s="18">
        <v>117.0</v>
      </c>
      <c r="F81" s="18">
        <v>8.0</v>
      </c>
      <c r="G81" s="18">
        <v>0.0</v>
      </c>
      <c r="H81" s="18">
        <v>8.0</v>
      </c>
      <c r="I81" s="18">
        <v>10.0</v>
      </c>
      <c r="J81" s="18">
        <v>0.0</v>
      </c>
      <c r="K81" s="18">
        <v>10.0</v>
      </c>
      <c r="L81" s="18">
        <v>1.0</v>
      </c>
      <c r="M81" s="18">
        <v>0.0</v>
      </c>
      <c r="N81" s="18">
        <v>1.0</v>
      </c>
      <c r="O81" s="18">
        <v>2.0</v>
      </c>
      <c r="P81" s="18">
        <v>0.0</v>
      </c>
      <c r="Q81" s="18">
        <v>2.0</v>
      </c>
      <c r="R81" s="18">
        <v>0.105527638</v>
      </c>
      <c r="S81" s="18">
        <v>0.0</v>
      </c>
      <c r="T81" s="18">
        <v>0.105527638</v>
      </c>
    </row>
    <row r="82">
      <c r="A82" s="17">
        <v>45553.0</v>
      </c>
      <c r="B82" s="18">
        <v>179.0</v>
      </c>
      <c r="C82" s="18">
        <v>0.0</v>
      </c>
      <c r="D82" s="18">
        <v>179.0</v>
      </c>
      <c r="E82" s="18">
        <v>91.0</v>
      </c>
      <c r="F82" s="18">
        <v>11.0</v>
      </c>
      <c r="G82" s="18">
        <v>0.0</v>
      </c>
      <c r="H82" s="18">
        <v>11.0</v>
      </c>
      <c r="I82" s="18">
        <v>9.0</v>
      </c>
      <c r="J82" s="18">
        <v>0.0</v>
      </c>
      <c r="K82" s="18">
        <v>9.0</v>
      </c>
      <c r="L82" s="18">
        <v>0.0</v>
      </c>
      <c r="M82" s="18">
        <v>0.0</v>
      </c>
      <c r="N82" s="18">
        <v>0.0</v>
      </c>
      <c r="O82" s="18">
        <v>0.0</v>
      </c>
      <c r="P82" s="18">
        <v>0.0</v>
      </c>
      <c r="Q82" s="18">
        <v>0.0</v>
      </c>
      <c r="R82" s="18">
        <v>0.111731844</v>
      </c>
      <c r="S82" s="18">
        <v>0.0</v>
      </c>
      <c r="T82" s="18">
        <v>0.111731844</v>
      </c>
    </row>
    <row r="83">
      <c r="A83" s="17">
        <v>45554.0</v>
      </c>
      <c r="B83" s="18">
        <v>231.0</v>
      </c>
      <c r="C83" s="18">
        <v>0.0</v>
      </c>
      <c r="D83" s="18">
        <v>231.0</v>
      </c>
      <c r="E83" s="18">
        <v>100.0</v>
      </c>
      <c r="F83" s="18">
        <v>8.0</v>
      </c>
      <c r="G83" s="18">
        <v>0.0</v>
      </c>
      <c r="H83" s="18">
        <v>8.0</v>
      </c>
      <c r="I83" s="18">
        <v>7.0</v>
      </c>
      <c r="J83" s="18">
        <v>0.0</v>
      </c>
      <c r="K83" s="18">
        <v>7.0</v>
      </c>
      <c r="L83" s="18">
        <v>0.0</v>
      </c>
      <c r="M83" s="18">
        <v>0.0</v>
      </c>
      <c r="N83" s="18">
        <v>0.0</v>
      </c>
      <c r="O83" s="18">
        <v>0.0</v>
      </c>
      <c r="P83" s="18">
        <v>0.0</v>
      </c>
      <c r="Q83" s="18">
        <v>0.0</v>
      </c>
      <c r="R83" s="18">
        <v>0.064935065</v>
      </c>
      <c r="S83" s="18">
        <v>0.0</v>
      </c>
      <c r="T83" s="18">
        <v>0.064935065</v>
      </c>
    </row>
    <row r="84">
      <c r="A84" s="17">
        <v>45555.0</v>
      </c>
      <c r="B84" s="18">
        <v>229.0</v>
      </c>
      <c r="C84" s="18">
        <v>0.0</v>
      </c>
      <c r="D84" s="18">
        <v>229.0</v>
      </c>
      <c r="E84" s="18">
        <v>86.0</v>
      </c>
      <c r="F84" s="18">
        <v>18.0</v>
      </c>
      <c r="G84" s="18">
        <v>0.0</v>
      </c>
      <c r="H84" s="18">
        <v>18.0</v>
      </c>
      <c r="I84" s="18">
        <v>18.0</v>
      </c>
      <c r="J84" s="18">
        <v>0.0</v>
      </c>
      <c r="K84" s="18">
        <v>18.0</v>
      </c>
      <c r="L84" s="18">
        <v>0.0</v>
      </c>
      <c r="M84" s="18">
        <v>0.0</v>
      </c>
      <c r="N84" s="18">
        <v>0.0</v>
      </c>
      <c r="O84" s="18">
        <v>0.0</v>
      </c>
      <c r="P84" s="18">
        <v>0.0</v>
      </c>
      <c r="Q84" s="18">
        <v>0.0</v>
      </c>
      <c r="R84" s="18">
        <v>0.15720524</v>
      </c>
      <c r="S84" s="18">
        <v>0.0</v>
      </c>
      <c r="T84" s="18">
        <v>0.15720524</v>
      </c>
    </row>
    <row r="85">
      <c r="A85" s="17">
        <v>45556.0</v>
      </c>
      <c r="B85" s="18">
        <v>102.0</v>
      </c>
      <c r="C85" s="18">
        <v>0.0</v>
      </c>
      <c r="D85" s="18">
        <v>102.0</v>
      </c>
      <c r="E85" s="18">
        <v>42.0</v>
      </c>
      <c r="F85" s="18">
        <v>12.0</v>
      </c>
      <c r="G85" s="18">
        <v>0.0</v>
      </c>
      <c r="H85" s="18">
        <v>12.0</v>
      </c>
      <c r="I85" s="18">
        <v>9.0</v>
      </c>
      <c r="J85" s="18">
        <v>0.0</v>
      </c>
      <c r="K85" s="18">
        <v>9.0</v>
      </c>
      <c r="L85" s="18">
        <v>0.0</v>
      </c>
      <c r="M85" s="18">
        <v>0.0</v>
      </c>
      <c r="N85" s="18">
        <v>0.0</v>
      </c>
      <c r="O85" s="18">
        <v>0.0</v>
      </c>
      <c r="P85" s="18">
        <v>0.0</v>
      </c>
      <c r="Q85" s="18">
        <v>0.0</v>
      </c>
      <c r="R85" s="18">
        <v>0.205882353</v>
      </c>
      <c r="S85" s="18">
        <v>0.0</v>
      </c>
      <c r="T85" s="18">
        <v>0.205882353</v>
      </c>
    </row>
    <row r="86">
      <c r="A86" s="17">
        <v>45557.0</v>
      </c>
      <c r="B86" s="18">
        <v>40.0</v>
      </c>
      <c r="C86" s="18">
        <v>0.0</v>
      </c>
      <c r="D86" s="18">
        <v>40.0</v>
      </c>
      <c r="E86" s="18">
        <v>20.0</v>
      </c>
      <c r="F86" s="18">
        <v>0.0</v>
      </c>
      <c r="G86" s="18">
        <v>0.0</v>
      </c>
      <c r="H86" s="18">
        <v>0.0</v>
      </c>
      <c r="I86" s="18">
        <v>2.0</v>
      </c>
      <c r="J86" s="18">
        <v>0.0</v>
      </c>
      <c r="K86" s="18">
        <v>2.0</v>
      </c>
      <c r="L86" s="18">
        <v>0.0</v>
      </c>
      <c r="M86" s="18">
        <v>0.0</v>
      </c>
      <c r="N86" s="18">
        <v>0.0</v>
      </c>
      <c r="O86" s="18">
        <v>0.0</v>
      </c>
      <c r="P86" s="18">
        <v>0.0</v>
      </c>
      <c r="Q86" s="18">
        <v>0.0</v>
      </c>
      <c r="R86" s="18">
        <v>0.05</v>
      </c>
      <c r="S86" s="18">
        <v>0.0</v>
      </c>
      <c r="T86" s="18">
        <v>0.05</v>
      </c>
    </row>
    <row r="87">
      <c r="A87" s="17">
        <v>45558.0</v>
      </c>
      <c r="B87" s="18">
        <v>139.0</v>
      </c>
      <c r="C87" s="18">
        <v>0.0</v>
      </c>
      <c r="D87" s="18">
        <v>139.0</v>
      </c>
      <c r="E87" s="18">
        <v>49.0</v>
      </c>
      <c r="F87" s="18">
        <v>2.0</v>
      </c>
      <c r="G87" s="18">
        <v>0.0</v>
      </c>
      <c r="H87" s="18">
        <v>2.0</v>
      </c>
      <c r="I87" s="18">
        <v>4.0</v>
      </c>
      <c r="J87" s="18">
        <v>0.0</v>
      </c>
      <c r="K87" s="18">
        <v>4.0</v>
      </c>
      <c r="L87" s="18">
        <v>0.0</v>
      </c>
      <c r="M87" s="18">
        <v>0.0</v>
      </c>
      <c r="N87" s="18">
        <v>0.0</v>
      </c>
      <c r="O87" s="18">
        <v>0.0</v>
      </c>
      <c r="P87" s="18">
        <v>0.0</v>
      </c>
      <c r="Q87" s="18">
        <v>0.0</v>
      </c>
      <c r="R87" s="18">
        <v>0.043165468</v>
      </c>
      <c r="S87" s="18">
        <v>0.0</v>
      </c>
      <c r="T87" s="18">
        <v>0.043165468</v>
      </c>
    </row>
    <row r="88">
      <c r="A88" s="17">
        <v>45559.0</v>
      </c>
      <c r="B88" s="18">
        <v>83.0</v>
      </c>
      <c r="C88" s="18">
        <v>0.0</v>
      </c>
      <c r="D88" s="18">
        <v>83.0</v>
      </c>
      <c r="E88" s="18">
        <v>23.0</v>
      </c>
      <c r="F88" s="18">
        <v>10.0</v>
      </c>
      <c r="G88" s="18">
        <v>0.0</v>
      </c>
      <c r="H88" s="18">
        <v>10.0</v>
      </c>
      <c r="I88" s="18">
        <v>3.0</v>
      </c>
      <c r="J88" s="18">
        <v>0.0</v>
      </c>
      <c r="K88" s="18">
        <v>3.0</v>
      </c>
      <c r="L88" s="18">
        <v>0.0</v>
      </c>
      <c r="M88" s="18">
        <v>0.0</v>
      </c>
      <c r="N88" s="18">
        <v>0.0</v>
      </c>
      <c r="O88" s="18">
        <v>0.0</v>
      </c>
      <c r="P88" s="18">
        <v>0.0</v>
      </c>
      <c r="Q88" s="18">
        <v>0.0</v>
      </c>
      <c r="R88" s="18">
        <v>0.156626506</v>
      </c>
      <c r="S88" s="18">
        <v>0.0</v>
      </c>
      <c r="T88" s="18">
        <v>0.156626506</v>
      </c>
    </row>
    <row r="89">
      <c r="A89" s="17">
        <v>45560.0</v>
      </c>
      <c r="B89" s="18">
        <v>223.0</v>
      </c>
      <c r="C89" s="18">
        <v>488.0</v>
      </c>
      <c r="D89" s="18">
        <v>711.0</v>
      </c>
      <c r="E89" s="18">
        <v>74.0</v>
      </c>
      <c r="F89" s="18">
        <v>7.0</v>
      </c>
      <c r="G89" s="18">
        <v>3.0</v>
      </c>
      <c r="H89" s="18">
        <v>10.0</v>
      </c>
      <c r="I89" s="18">
        <v>13.0</v>
      </c>
      <c r="J89" s="18">
        <v>0.0</v>
      </c>
      <c r="K89" s="18">
        <v>13.0</v>
      </c>
      <c r="L89" s="18">
        <v>1.0</v>
      </c>
      <c r="M89" s="18">
        <v>0.0</v>
      </c>
      <c r="N89" s="18">
        <v>1.0</v>
      </c>
      <c r="O89" s="18">
        <v>0.0</v>
      </c>
      <c r="P89" s="18">
        <v>0.0</v>
      </c>
      <c r="Q89" s="18">
        <v>0.0</v>
      </c>
      <c r="R89" s="18">
        <v>0.094170404</v>
      </c>
      <c r="S89" s="18">
        <v>0.006147541</v>
      </c>
      <c r="T89" s="18">
        <v>0.033755274</v>
      </c>
    </row>
    <row r="90">
      <c r="A90" s="17">
        <v>45561.0</v>
      </c>
      <c r="B90" s="18">
        <v>146.0</v>
      </c>
      <c r="C90" s="18">
        <v>168.0</v>
      </c>
      <c r="D90" s="18">
        <v>314.0</v>
      </c>
      <c r="E90" s="18">
        <v>77.0</v>
      </c>
      <c r="F90" s="18">
        <v>10.0</v>
      </c>
      <c r="G90" s="18">
        <v>2.0</v>
      </c>
      <c r="H90" s="18">
        <v>12.0</v>
      </c>
      <c r="I90" s="18">
        <v>3.0</v>
      </c>
      <c r="J90" s="18">
        <v>0.0</v>
      </c>
      <c r="K90" s="18">
        <v>3.0</v>
      </c>
      <c r="L90" s="18">
        <v>0.0</v>
      </c>
      <c r="M90" s="18">
        <v>0.0</v>
      </c>
      <c r="N90" s="18">
        <v>0.0</v>
      </c>
      <c r="O90" s="18">
        <v>2.0</v>
      </c>
      <c r="P90" s="18">
        <v>0.0</v>
      </c>
      <c r="Q90" s="18">
        <v>2.0</v>
      </c>
      <c r="R90" s="18">
        <v>0.102739726</v>
      </c>
      <c r="S90" s="18">
        <v>0.011904762</v>
      </c>
      <c r="T90" s="18">
        <v>0.054140127</v>
      </c>
    </row>
    <row r="91">
      <c r="A91" s="17">
        <v>45562.0</v>
      </c>
      <c r="B91" s="18">
        <v>351.0</v>
      </c>
      <c r="C91" s="18">
        <v>148.0</v>
      </c>
      <c r="D91" s="18">
        <v>499.0</v>
      </c>
      <c r="E91" s="18">
        <v>121.0</v>
      </c>
      <c r="F91" s="18">
        <v>13.0</v>
      </c>
      <c r="G91" s="18">
        <v>2.0</v>
      </c>
      <c r="H91" s="18">
        <v>15.0</v>
      </c>
      <c r="I91" s="18">
        <v>14.0</v>
      </c>
      <c r="J91" s="18">
        <v>0.0</v>
      </c>
      <c r="K91" s="18">
        <v>14.0</v>
      </c>
      <c r="L91" s="18">
        <v>0.0</v>
      </c>
      <c r="M91" s="18">
        <v>0.0</v>
      </c>
      <c r="N91" s="18">
        <v>0.0</v>
      </c>
      <c r="O91" s="18">
        <v>3.0</v>
      </c>
      <c r="P91" s="18">
        <v>0.0</v>
      </c>
      <c r="Q91" s="18">
        <v>3.0</v>
      </c>
      <c r="R91" s="18">
        <v>0.085470085</v>
      </c>
      <c r="S91" s="18">
        <v>0.013513514</v>
      </c>
      <c r="T91" s="18">
        <v>0.064128257</v>
      </c>
    </row>
    <row r="92">
      <c r="A92" s="17">
        <v>45563.0</v>
      </c>
      <c r="B92" s="18">
        <v>221.0</v>
      </c>
      <c r="C92" s="18">
        <v>104.0</v>
      </c>
      <c r="D92" s="18">
        <v>325.0</v>
      </c>
      <c r="E92" s="18">
        <v>140.0</v>
      </c>
      <c r="F92" s="18">
        <v>8.0</v>
      </c>
      <c r="G92" s="18">
        <v>0.0</v>
      </c>
      <c r="H92" s="18">
        <v>8.0</v>
      </c>
      <c r="I92" s="18">
        <v>9.0</v>
      </c>
      <c r="J92" s="18">
        <v>0.0</v>
      </c>
      <c r="K92" s="18">
        <v>9.0</v>
      </c>
      <c r="L92" s="18">
        <v>1.0</v>
      </c>
      <c r="M92" s="18">
        <v>0.0</v>
      </c>
      <c r="N92" s="18">
        <v>1.0</v>
      </c>
      <c r="O92" s="18">
        <v>1.0</v>
      </c>
      <c r="P92" s="18">
        <v>0.0</v>
      </c>
      <c r="Q92" s="18">
        <v>1.0</v>
      </c>
      <c r="R92" s="18">
        <v>0.085972851</v>
      </c>
      <c r="S92" s="18">
        <v>0.0</v>
      </c>
      <c r="T92" s="18">
        <v>0.058461538</v>
      </c>
    </row>
    <row r="93">
      <c r="A93" s="17">
        <v>45564.0</v>
      </c>
      <c r="B93" s="18">
        <v>155.0</v>
      </c>
      <c r="C93" s="18">
        <v>74.0</v>
      </c>
      <c r="D93" s="18">
        <v>229.0</v>
      </c>
      <c r="E93" s="18">
        <v>86.0</v>
      </c>
      <c r="F93" s="18">
        <v>3.0</v>
      </c>
      <c r="G93" s="18">
        <v>0.0</v>
      </c>
      <c r="H93" s="18">
        <v>3.0</v>
      </c>
      <c r="I93" s="18">
        <v>4.0</v>
      </c>
      <c r="J93" s="18">
        <v>0.0</v>
      </c>
      <c r="K93" s="18">
        <v>4.0</v>
      </c>
      <c r="L93" s="18">
        <v>0.0</v>
      </c>
      <c r="M93" s="18">
        <v>0.0</v>
      </c>
      <c r="N93" s="18">
        <v>0.0</v>
      </c>
      <c r="O93" s="18">
        <v>0.0</v>
      </c>
      <c r="P93" s="18">
        <v>0.0</v>
      </c>
      <c r="Q93" s="18">
        <v>0.0</v>
      </c>
      <c r="R93" s="18">
        <v>0.04516129</v>
      </c>
      <c r="S93" s="18">
        <v>0.0</v>
      </c>
      <c r="T93" s="18">
        <v>0.030567686</v>
      </c>
    </row>
    <row r="94">
      <c r="A94" s="17">
        <v>45565.0</v>
      </c>
      <c r="B94" s="18">
        <v>242.0</v>
      </c>
      <c r="C94" s="18">
        <v>154.0</v>
      </c>
      <c r="D94" s="18">
        <v>396.0</v>
      </c>
      <c r="E94" s="18">
        <v>94.0</v>
      </c>
      <c r="F94" s="18">
        <v>8.0</v>
      </c>
      <c r="G94" s="18">
        <v>3.0</v>
      </c>
      <c r="H94" s="18">
        <v>11.0</v>
      </c>
      <c r="I94" s="18">
        <v>8.0</v>
      </c>
      <c r="J94" s="18">
        <v>0.0</v>
      </c>
      <c r="K94" s="18">
        <v>8.0</v>
      </c>
      <c r="L94" s="18">
        <v>0.0</v>
      </c>
      <c r="M94" s="18">
        <v>0.0</v>
      </c>
      <c r="N94" s="18">
        <v>0.0</v>
      </c>
      <c r="O94" s="18">
        <v>1.0</v>
      </c>
      <c r="P94" s="18">
        <v>0.0</v>
      </c>
      <c r="Q94" s="18">
        <v>1.0</v>
      </c>
      <c r="R94" s="18">
        <v>0.070247934</v>
      </c>
      <c r="S94" s="18">
        <v>0.019480519</v>
      </c>
      <c r="T94" s="18">
        <v>0.050505051</v>
      </c>
    </row>
    <row r="95">
      <c r="A95" s="17">
        <v>45566.0</v>
      </c>
      <c r="B95" s="18">
        <v>416.0</v>
      </c>
      <c r="C95" s="18">
        <v>139.0</v>
      </c>
      <c r="D95" s="18">
        <v>555.0</v>
      </c>
      <c r="E95" s="18">
        <v>130.0</v>
      </c>
      <c r="F95" s="18">
        <v>7.0</v>
      </c>
      <c r="G95" s="18">
        <v>6.0</v>
      </c>
      <c r="H95" s="18">
        <v>13.0</v>
      </c>
      <c r="I95" s="18">
        <v>18.0</v>
      </c>
      <c r="J95" s="18">
        <v>0.0</v>
      </c>
      <c r="K95" s="18">
        <v>18.0</v>
      </c>
      <c r="L95" s="18">
        <v>1.0</v>
      </c>
      <c r="M95" s="18">
        <v>0.0</v>
      </c>
      <c r="N95" s="18">
        <v>1.0</v>
      </c>
      <c r="O95" s="18">
        <v>1.0</v>
      </c>
      <c r="P95" s="18">
        <v>0.0</v>
      </c>
      <c r="Q95" s="18">
        <v>1.0</v>
      </c>
      <c r="R95" s="18">
        <v>0.064903846</v>
      </c>
      <c r="S95" s="18">
        <v>0.043165468</v>
      </c>
      <c r="T95" s="18">
        <v>0.059459459</v>
      </c>
    </row>
    <row r="96">
      <c r="A96" s="17">
        <v>45567.0</v>
      </c>
      <c r="B96" s="18">
        <v>255.0</v>
      </c>
      <c r="C96" s="18">
        <v>201.0</v>
      </c>
      <c r="D96" s="18">
        <v>456.0</v>
      </c>
      <c r="E96" s="18">
        <v>121.0</v>
      </c>
      <c r="F96" s="18">
        <v>10.0</v>
      </c>
      <c r="G96" s="18">
        <v>5.0</v>
      </c>
      <c r="H96" s="18">
        <v>15.0</v>
      </c>
      <c r="I96" s="18">
        <v>15.0</v>
      </c>
      <c r="J96" s="18">
        <v>0.0</v>
      </c>
      <c r="K96" s="18">
        <v>15.0</v>
      </c>
      <c r="L96" s="18">
        <v>0.0</v>
      </c>
      <c r="M96" s="18">
        <v>0.0</v>
      </c>
      <c r="N96" s="18">
        <v>0.0</v>
      </c>
      <c r="O96" s="18">
        <v>0.0</v>
      </c>
      <c r="P96" s="18">
        <v>0.0</v>
      </c>
      <c r="Q96" s="18">
        <v>0.0</v>
      </c>
      <c r="R96" s="18">
        <v>0.098039216</v>
      </c>
      <c r="S96" s="18">
        <v>0.024875622</v>
      </c>
      <c r="T96" s="18">
        <v>0.065789474</v>
      </c>
    </row>
    <row r="97">
      <c r="A97" s="17">
        <v>45568.0</v>
      </c>
      <c r="B97" s="18">
        <v>391.0</v>
      </c>
      <c r="C97" s="18">
        <v>132.0</v>
      </c>
      <c r="D97" s="18">
        <v>523.0</v>
      </c>
      <c r="E97" s="18">
        <v>103.0</v>
      </c>
      <c r="F97" s="18">
        <v>8.0</v>
      </c>
      <c r="G97" s="18">
        <v>2.0</v>
      </c>
      <c r="H97" s="18">
        <v>10.0</v>
      </c>
      <c r="I97" s="18">
        <v>12.0</v>
      </c>
      <c r="J97" s="18">
        <v>1.0</v>
      </c>
      <c r="K97" s="18">
        <v>13.0</v>
      </c>
      <c r="L97" s="18">
        <v>0.0</v>
      </c>
      <c r="M97" s="18">
        <v>0.0</v>
      </c>
      <c r="N97" s="18">
        <v>0.0</v>
      </c>
      <c r="O97" s="18">
        <v>0.0</v>
      </c>
      <c r="P97" s="18">
        <v>0.0</v>
      </c>
      <c r="Q97" s="18">
        <v>0.0</v>
      </c>
      <c r="R97" s="18">
        <v>0.051150895</v>
      </c>
      <c r="S97" s="18">
        <v>0.015151515</v>
      </c>
      <c r="T97" s="18">
        <v>0.04206501</v>
      </c>
    </row>
    <row r="98">
      <c r="A98" s="17">
        <v>45569.0</v>
      </c>
      <c r="B98" s="18">
        <v>704.0</v>
      </c>
      <c r="C98" s="18">
        <v>155.0</v>
      </c>
      <c r="D98" s="18">
        <v>859.0</v>
      </c>
      <c r="E98" s="18">
        <v>144.0</v>
      </c>
      <c r="F98" s="18">
        <v>29.0</v>
      </c>
      <c r="G98" s="18">
        <v>1.0</v>
      </c>
      <c r="H98" s="18">
        <v>30.0</v>
      </c>
      <c r="I98" s="18">
        <v>24.0</v>
      </c>
      <c r="J98" s="18">
        <v>1.0</v>
      </c>
      <c r="K98" s="18">
        <v>25.0</v>
      </c>
      <c r="L98" s="18">
        <v>1.0</v>
      </c>
      <c r="M98" s="18">
        <v>0.0</v>
      </c>
      <c r="N98" s="18">
        <v>1.0</v>
      </c>
      <c r="O98" s="18">
        <v>0.0</v>
      </c>
      <c r="P98" s="18">
        <v>0.0</v>
      </c>
      <c r="Q98" s="18">
        <v>0.0</v>
      </c>
      <c r="R98" s="18">
        <v>0.076704545</v>
      </c>
      <c r="S98" s="18">
        <v>0.006451613</v>
      </c>
      <c r="T98" s="18">
        <v>0.064027939</v>
      </c>
    </row>
    <row r="99">
      <c r="A99" s="17">
        <v>45570.0</v>
      </c>
      <c r="B99" s="18">
        <v>377.0</v>
      </c>
      <c r="C99" s="18">
        <v>86.0</v>
      </c>
      <c r="D99" s="18">
        <v>463.0</v>
      </c>
      <c r="E99" s="18">
        <v>133.0</v>
      </c>
      <c r="F99" s="18">
        <v>23.0</v>
      </c>
      <c r="G99" s="18">
        <v>2.0</v>
      </c>
      <c r="H99" s="18">
        <v>25.0</v>
      </c>
      <c r="I99" s="18">
        <v>36.0</v>
      </c>
      <c r="J99" s="18">
        <v>0.0</v>
      </c>
      <c r="K99" s="18">
        <v>36.0</v>
      </c>
      <c r="L99" s="18">
        <v>1.0</v>
      </c>
      <c r="M99" s="18">
        <v>0.0</v>
      </c>
      <c r="N99" s="18">
        <v>1.0</v>
      </c>
      <c r="O99" s="18">
        <v>3.0</v>
      </c>
      <c r="P99" s="18">
        <v>0.0</v>
      </c>
      <c r="Q99" s="18">
        <v>3.0</v>
      </c>
      <c r="R99" s="18">
        <v>0.167108753</v>
      </c>
      <c r="S99" s="18">
        <v>0.023255814</v>
      </c>
      <c r="T99" s="18">
        <v>0.140388769</v>
      </c>
    </row>
    <row r="100">
      <c r="A100" s="17">
        <v>45571.0</v>
      </c>
      <c r="B100" s="18">
        <v>189.0</v>
      </c>
      <c r="C100" s="18">
        <v>50.0</v>
      </c>
      <c r="D100" s="18">
        <v>239.0</v>
      </c>
      <c r="E100" s="18">
        <v>96.0</v>
      </c>
      <c r="F100" s="18">
        <v>20.0</v>
      </c>
      <c r="G100" s="18">
        <v>2.0</v>
      </c>
      <c r="H100" s="18">
        <v>22.0</v>
      </c>
      <c r="I100" s="18">
        <v>3.0</v>
      </c>
      <c r="J100" s="18">
        <v>1.0</v>
      </c>
      <c r="K100" s="18">
        <v>4.0</v>
      </c>
      <c r="L100" s="18">
        <v>0.0</v>
      </c>
      <c r="M100" s="18">
        <v>0.0</v>
      </c>
      <c r="N100" s="18">
        <v>0.0</v>
      </c>
      <c r="O100" s="18">
        <v>0.0</v>
      </c>
      <c r="P100" s="18">
        <v>0.0</v>
      </c>
      <c r="Q100" s="18">
        <v>0.0</v>
      </c>
      <c r="R100" s="18">
        <v>0.121693122</v>
      </c>
      <c r="S100" s="18">
        <v>0.04</v>
      </c>
      <c r="T100" s="18">
        <v>0.10460251</v>
      </c>
    </row>
    <row r="101">
      <c r="A101" s="17">
        <v>45572.0</v>
      </c>
      <c r="B101" s="18">
        <v>182.0</v>
      </c>
      <c r="C101" s="18">
        <v>119.0</v>
      </c>
      <c r="D101" s="18">
        <v>301.0</v>
      </c>
      <c r="E101" s="18">
        <v>96.0</v>
      </c>
      <c r="F101" s="18">
        <v>2.0</v>
      </c>
      <c r="G101" s="18">
        <v>1.0</v>
      </c>
      <c r="H101" s="18">
        <v>3.0</v>
      </c>
      <c r="I101" s="18">
        <v>4.0</v>
      </c>
      <c r="J101" s="18">
        <v>0.0</v>
      </c>
      <c r="K101" s="18">
        <v>4.0</v>
      </c>
      <c r="L101" s="18">
        <v>0.0</v>
      </c>
      <c r="M101" s="18">
        <v>0.0</v>
      </c>
      <c r="N101" s="18">
        <v>0.0</v>
      </c>
      <c r="O101" s="18">
        <v>0.0</v>
      </c>
      <c r="P101" s="18">
        <v>0.0</v>
      </c>
      <c r="Q101" s="18">
        <v>0.0</v>
      </c>
      <c r="R101" s="18">
        <v>0.032967033</v>
      </c>
      <c r="S101" s="18">
        <v>0.008403361</v>
      </c>
      <c r="T101" s="18">
        <v>0.023255814</v>
      </c>
    </row>
    <row r="102">
      <c r="A102" s="17">
        <v>45573.0</v>
      </c>
      <c r="B102" s="18">
        <v>95.0</v>
      </c>
      <c r="C102" s="18">
        <v>0.0</v>
      </c>
      <c r="D102" s="18">
        <v>95.0</v>
      </c>
      <c r="E102" s="18">
        <v>63.0</v>
      </c>
      <c r="F102" s="18">
        <v>1.0</v>
      </c>
      <c r="G102" s="18">
        <v>0.0</v>
      </c>
      <c r="H102" s="18">
        <v>1.0</v>
      </c>
      <c r="I102" s="18">
        <v>4.0</v>
      </c>
      <c r="J102" s="18">
        <v>0.0</v>
      </c>
      <c r="K102" s="18">
        <v>4.0</v>
      </c>
      <c r="L102" s="18">
        <v>0.0</v>
      </c>
      <c r="M102" s="18">
        <v>0.0</v>
      </c>
      <c r="N102" s="18">
        <v>0.0</v>
      </c>
      <c r="O102" s="18">
        <v>0.0</v>
      </c>
      <c r="P102" s="18">
        <v>0.0</v>
      </c>
      <c r="Q102" s="18">
        <v>0.0</v>
      </c>
      <c r="R102" s="18">
        <v>0.052631579</v>
      </c>
      <c r="S102" s="18">
        <v>0.0</v>
      </c>
      <c r="T102" s="18">
        <v>0.052631579</v>
      </c>
    </row>
    <row r="103">
      <c r="A103" s="17">
        <v>45574.0</v>
      </c>
      <c r="B103" s="18">
        <v>122.0</v>
      </c>
      <c r="C103" s="18">
        <v>0.0</v>
      </c>
      <c r="D103" s="18">
        <v>122.0</v>
      </c>
      <c r="E103" s="18">
        <v>42.0</v>
      </c>
      <c r="F103" s="18">
        <v>5.0</v>
      </c>
      <c r="G103" s="18">
        <v>0.0</v>
      </c>
      <c r="H103" s="18">
        <v>5.0</v>
      </c>
      <c r="I103" s="18">
        <v>6.0</v>
      </c>
      <c r="J103" s="18">
        <v>0.0</v>
      </c>
      <c r="K103" s="18">
        <v>6.0</v>
      </c>
      <c r="L103" s="18">
        <v>0.0</v>
      </c>
      <c r="M103" s="18">
        <v>0.0</v>
      </c>
      <c r="N103" s="18">
        <v>0.0</v>
      </c>
      <c r="O103" s="18">
        <v>0.0</v>
      </c>
      <c r="P103" s="18">
        <v>0.0</v>
      </c>
      <c r="Q103" s="18">
        <v>0.0</v>
      </c>
      <c r="R103" s="18">
        <v>0.090163934</v>
      </c>
      <c r="S103" s="18">
        <v>0.0</v>
      </c>
      <c r="T103" s="18">
        <v>0.090163934</v>
      </c>
    </row>
    <row r="104">
      <c r="A104" s="19">
        <v>45575.0</v>
      </c>
      <c r="B104" s="18">
        <v>110.0</v>
      </c>
      <c r="C104" s="18">
        <v>0.0</v>
      </c>
      <c r="D104" s="18">
        <v>110.0</v>
      </c>
      <c r="E104" s="18">
        <v>58.0</v>
      </c>
      <c r="F104" s="18">
        <v>1.0</v>
      </c>
      <c r="G104" s="18">
        <v>0.0</v>
      </c>
      <c r="H104" s="18">
        <v>1.0</v>
      </c>
      <c r="I104" s="18">
        <v>3.0</v>
      </c>
      <c r="J104" s="18">
        <v>0.0</v>
      </c>
      <c r="K104" s="18">
        <v>3.0</v>
      </c>
      <c r="L104" s="18">
        <v>0.0</v>
      </c>
      <c r="M104" s="18">
        <v>0.0</v>
      </c>
      <c r="N104" s="18">
        <v>0.0</v>
      </c>
      <c r="O104" s="18">
        <v>1.0</v>
      </c>
      <c r="P104" s="18">
        <v>0.0</v>
      </c>
      <c r="Q104" s="18">
        <v>1.0</v>
      </c>
      <c r="R104" s="18">
        <v>0.045454545</v>
      </c>
      <c r="S104" s="18">
        <v>0.0</v>
      </c>
      <c r="T104" s="18">
        <v>0.045454545</v>
      </c>
    </row>
    <row r="105">
      <c r="A105" s="19">
        <v>45576.0</v>
      </c>
      <c r="B105" s="18">
        <v>123.0</v>
      </c>
      <c r="C105" s="18">
        <v>0.0</v>
      </c>
      <c r="D105" s="18">
        <v>123.0</v>
      </c>
      <c r="E105" s="18">
        <v>67.0</v>
      </c>
      <c r="F105" s="18">
        <v>4.0</v>
      </c>
      <c r="G105" s="18">
        <v>0.0</v>
      </c>
      <c r="H105" s="18">
        <v>4.0</v>
      </c>
      <c r="I105" s="18">
        <v>9.0</v>
      </c>
      <c r="J105" s="18">
        <v>0.0</v>
      </c>
      <c r="K105" s="18">
        <v>9.0</v>
      </c>
      <c r="L105" s="18">
        <v>0.0</v>
      </c>
      <c r="M105" s="18">
        <v>0.0</v>
      </c>
      <c r="N105" s="18">
        <v>0.0</v>
      </c>
      <c r="O105" s="18">
        <v>3.0</v>
      </c>
      <c r="P105" s="18">
        <v>0.0</v>
      </c>
      <c r="Q105" s="18">
        <v>3.0</v>
      </c>
      <c r="R105" s="18">
        <v>0.130081301</v>
      </c>
      <c r="S105" s="18">
        <v>0.0</v>
      </c>
      <c r="T105" s="18">
        <v>0.130081301</v>
      </c>
    </row>
    <row r="106">
      <c r="A106" s="19">
        <v>45577.0</v>
      </c>
      <c r="B106" s="18">
        <v>81.0</v>
      </c>
      <c r="C106" s="18">
        <v>0.0</v>
      </c>
      <c r="D106" s="18">
        <v>81.0</v>
      </c>
      <c r="E106" s="18">
        <v>44.0</v>
      </c>
      <c r="F106" s="18">
        <v>2.0</v>
      </c>
      <c r="G106" s="18">
        <v>0.0</v>
      </c>
      <c r="H106" s="18">
        <v>2.0</v>
      </c>
      <c r="I106" s="18">
        <v>3.0</v>
      </c>
      <c r="J106" s="18">
        <v>0.0</v>
      </c>
      <c r="K106" s="18">
        <v>3.0</v>
      </c>
      <c r="L106" s="18">
        <v>0.0</v>
      </c>
      <c r="M106" s="18">
        <v>0.0</v>
      </c>
      <c r="N106" s="18">
        <v>0.0</v>
      </c>
      <c r="O106" s="18">
        <v>0.0</v>
      </c>
      <c r="P106" s="18">
        <v>0.0</v>
      </c>
      <c r="Q106" s="18">
        <v>0.0</v>
      </c>
      <c r="R106" s="18">
        <v>0.061728395</v>
      </c>
      <c r="S106" s="18">
        <v>0.0</v>
      </c>
      <c r="T106" s="18">
        <v>0.061728395</v>
      </c>
    </row>
    <row r="107">
      <c r="A107" s="19">
        <v>45578.0</v>
      </c>
      <c r="B107" s="18">
        <v>45.0</v>
      </c>
      <c r="C107" s="18">
        <v>0.0</v>
      </c>
      <c r="D107" s="18">
        <v>45.0</v>
      </c>
      <c r="E107" s="18">
        <v>24.0</v>
      </c>
      <c r="F107" s="18">
        <v>1.0</v>
      </c>
      <c r="G107" s="18">
        <v>0.0</v>
      </c>
      <c r="H107" s="18">
        <v>1.0</v>
      </c>
      <c r="I107" s="18">
        <v>2.0</v>
      </c>
      <c r="J107" s="18">
        <v>0.0</v>
      </c>
      <c r="K107" s="18">
        <v>2.0</v>
      </c>
      <c r="L107" s="18">
        <v>0.0</v>
      </c>
      <c r="M107" s="18">
        <v>0.0</v>
      </c>
      <c r="N107" s="18">
        <v>0.0</v>
      </c>
      <c r="O107" s="18">
        <v>0.0</v>
      </c>
      <c r="P107" s="18">
        <v>0.0</v>
      </c>
      <c r="Q107" s="18">
        <v>0.0</v>
      </c>
      <c r="R107" s="18">
        <v>0.066666667</v>
      </c>
      <c r="S107" s="18">
        <v>0.0</v>
      </c>
      <c r="T107" s="18">
        <v>0.066666667</v>
      </c>
    </row>
    <row r="108">
      <c r="A108" s="19">
        <v>45579.0</v>
      </c>
      <c r="B108" s="18">
        <v>82.0</v>
      </c>
      <c r="C108" s="18">
        <v>0.0</v>
      </c>
      <c r="D108" s="18">
        <v>82.0</v>
      </c>
      <c r="E108" s="18">
        <v>47.0</v>
      </c>
      <c r="F108" s="18">
        <v>3.0</v>
      </c>
      <c r="G108" s="18">
        <v>0.0</v>
      </c>
      <c r="H108" s="18">
        <v>3.0</v>
      </c>
      <c r="I108" s="18">
        <v>4.0</v>
      </c>
      <c r="J108" s="18">
        <v>0.0</v>
      </c>
      <c r="K108" s="18">
        <v>4.0</v>
      </c>
      <c r="L108" s="18">
        <v>1.0</v>
      </c>
      <c r="M108" s="18">
        <v>0.0</v>
      </c>
      <c r="N108" s="18">
        <v>1.0</v>
      </c>
      <c r="O108" s="18">
        <v>1.0</v>
      </c>
      <c r="P108" s="18">
        <v>0.0</v>
      </c>
      <c r="Q108" s="18">
        <v>1.0</v>
      </c>
      <c r="R108" s="18">
        <v>0.109756098</v>
      </c>
      <c r="S108" s="18">
        <v>0.0</v>
      </c>
      <c r="T108" s="18">
        <v>0.109756098</v>
      </c>
    </row>
    <row r="109">
      <c r="A109" s="19">
        <v>45580.0</v>
      </c>
      <c r="B109" s="18">
        <v>213.0</v>
      </c>
      <c r="C109" s="18">
        <v>0.0</v>
      </c>
      <c r="D109" s="18">
        <v>213.0</v>
      </c>
      <c r="E109" s="18">
        <v>101.0</v>
      </c>
      <c r="F109" s="18">
        <v>1.0</v>
      </c>
      <c r="G109" s="18">
        <v>0.0</v>
      </c>
      <c r="H109" s="18">
        <v>1.0</v>
      </c>
      <c r="I109" s="18">
        <v>12.0</v>
      </c>
      <c r="J109" s="18">
        <v>0.0</v>
      </c>
      <c r="K109" s="18">
        <v>12.0</v>
      </c>
      <c r="L109" s="18">
        <v>0.0</v>
      </c>
      <c r="M109" s="18">
        <v>0.0</v>
      </c>
      <c r="N109" s="18">
        <v>0.0</v>
      </c>
      <c r="O109" s="18">
        <v>1.0</v>
      </c>
      <c r="P109" s="18">
        <v>0.0</v>
      </c>
      <c r="Q109" s="18">
        <v>1.0</v>
      </c>
      <c r="R109" s="18">
        <v>0.0657277</v>
      </c>
      <c r="S109" s="18">
        <v>0.0</v>
      </c>
      <c r="T109" s="18">
        <v>0.0657277</v>
      </c>
    </row>
    <row r="110">
      <c r="A110" s="19">
        <v>45581.0</v>
      </c>
      <c r="B110" s="18">
        <v>106.0</v>
      </c>
      <c r="C110" s="18">
        <v>0.0</v>
      </c>
      <c r="D110" s="18">
        <v>106.0</v>
      </c>
      <c r="E110" s="18">
        <v>65.0</v>
      </c>
      <c r="F110" s="18">
        <v>2.0</v>
      </c>
      <c r="G110" s="18">
        <v>0.0</v>
      </c>
      <c r="H110" s="18">
        <v>2.0</v>
      </c>
      <c r="I110" s="18">
        <v>5.0</v>
      </c>
      <c r="J110" s="18">
        <v>0.0</v>
      </c>
      <c r="K110" s="18">
        <v>5.0</v>
      </c>
      <c r="L110" s="18">
        <v>0.0</v>
      </c>
      <c r="M110" s="18">
        <v>0.0</v>
      </c>
      <c r="N110" s="18">
        <v>0.0</v>
      </c>
      <c r="O110" s="18">
        <v>0.0</v>
      </c>
      <c r="P110" s="18">
        <v>0.0</v>
      </c>
      <c r="Q110" s="18">
        <v>0.0</v>
      </c>
      <c r="R110" s="18">
        <v>0.066037736</v>
      </c>
      <c r="S110" s="18">
        <v>0.0</v>
      </c>
      <c r="T110" s="18">
        <v>0.066037736</v>
      </c>
    </row>
    <row r="111">
      <c r="A111" s="19">
        <v>45582.0</v>
      </c>
      <c r="B111" s="18">
        <v>76.0</v>
      </c>
      <c r="C111" s="18">
        <v>0.0</v>
      </c>
      <c r="D111" s="18">
        <v>76.0</v>
      </c>
      <c r="E111" s="18">
        <v>36.0</v>
      </c>
      <c r="F111" s="18">
        <v>1.0</v>
      </c>
      <c r="G111" s="18">
        <v>0.0</v>
      </c>
      <c r="H111" s="18">
        <v>1.0</v>
      </c>
      <c r="I111" s="18">
        <v>0.0</v>
      </c>
      <c r="J111" s="18">
        <v>0.0</v>
      </c>
      <c r="K111" s="18">
        <v>0.0</v>
      </c>
      <c r="L111" s="18">
        <v>0.0</v>
      </c>
      <c r="M111" s="18">
        <v>0.0</v>
      </c>
      <c r="N111" s="18">
        <v>0.0</v>
      </c>
      <c r="O111" s="18">
        <v>0.0</v>
      </c>
      <c r="P111" s="18">
        <v>0.0</v>
      </c>
      <c r="Q111" s="18">
        <v>0.0</v>
      </c>
      <c r="R111" s="18">
        <v>0.013157895</v>
      </c>
      <c r="S111" s="18">
        <v>0.0</v>
      </c>
      <c r="T111" s="18">
        <v>0.013157895</v>
      </c>
    </row>
    <row r="112">
      <c r="A112" s="19">
        <v>45583.0</v>
      </c>
      <c r="B112" s="18">
        <v>131.0</v>
      </c>
      <c r="C112" s="18">
        <v>0.0</v>
      </c>
      <c r="D112" s="18">
        <v>131.0</v>
      </c>
      <c r="E112" s="18">
        <v>79.0</v>
      </c>
      <c r="F112" s="18">
        <v>5.0</v>
      </c>
      <c r="G112" s="18">
        <v>0.0</v>
      </c>
      <c r="H112" s="18">
        <v>5.0</v>
      </c>
      <c r="I112" s="18">
        <v>9.0</v>
      </c>
      <c r="J112" s="18">
        <v>0.0</v>
      </c>
      <c r="K112" s="18">
        <v>9.0</v>
      </c>
      <c r="L112" s="18">
        <v>0.0</v>
      </c>
      <c r="M112" s="18">
        <v>0.0</v>
      </c>
      <c r="N112" s="18">
        <v>0.0</v>
      </c>
      <c r="O112" s="18">
        <v>0.0</v>
      </c>
      <c r="P112" s="18">
        <v>0.0</v>
      </c>
      <c r="Q112" s="18">
        <v>0.0</v>
      </c>
      <c r="R112" s="18">
        <v>0.106870229</v>
      </c>
      <c r="S112" s="18">
        <v>0.0</v>
      </c>
      <c r="T112" s="18">
        <v>0.106870229</v>
      </c>
    </row>
    <row r="113">
      <c r="A113" s="19">
        <v>45584.0</v>
      </c>
      <c r="B113" s="18">
        <v>81.0</v>
      </c>
      <c r="C113" s="18">
        <v>0.0</v>
      </c>
      <c r="D113" s="18">
        <v>81.0</v>
      </c>
      <c r="E113" s="18">
        <v>36.0</v>
      </c>
      <c r="F113" s="18">
        <v>7.0</v>
      </c>
      <c r="G113" s="18">
        <v>0.0</v>
      </c>
      <c r="H113" s="18">
        <v>7.0</v>
      </c>
      <c r="I113" s="18">
        <v>12.0</v>
      </c>
      <c r="J113" s="18">
        <v>0.0</v>
      </c>
      <c r="K113" s="18">
        <v>12.0</v>
      </c>
      <c r="L113" s="18">
        <v>0.0</v>
      </c>
      <c r="M113" s="18">
        <v>0.0</v>
      </c>
      <c r="N113" s="18">
        <v>0.0</v>
      </c>
      <c r="O113" s="18">
        <v>0.0</v>
      </c>
      <c r="P113" s="18">
        <v>0.0</v>
      </c>
      <c r="Q113" s="18">
        <v>0.0</v>
      </c>
      <c r="R113" s="18">
        <v>0.234567901</v>
      </c>
      <c r="S113" s="18">
        <v>0.0</v>
      </c>
      <c r="T113" s="18">
        <v>0.234567901</v>
      </c>
    </row>
    <row r="114">
      <c r="A114" s="19">
        <v>45585.0</v>
      </c>
      <c r="B114" s="18">
        <v>67.0</v>
      </c>
      <c r="C114" s="18">
        <v>0.0</v>
      </c>
      <c r="D114" s="18">
        <v>67.0</v>
      </c>
      <c r="E114" s="18">
        <v>39.0</v>
      </c>
      <c r="F114" s="18">
        <v>2.0</v>
      </c>
      <c r="G114" s="18">
        <v>0.0</v>
      </c>
      <c r="H114" s="18">
        <v>2.0</v>
      </c>
      <c r="I114" s="18">
        <v>6.0</v>
      </c>
      <c r="J114" s="18">
        <v>0.0</v>
      </c>
      <c r="K114" s="18">
        <v>6.0</v>
      </c>
      <c r="L114" s="18">
        <v>0.0</v>
      </c>
      <c r="M114" s="18">
        <v>0.0</v>
      </c>
      <c r="N114" s="18">
        <v>0.0</v>
      </c>
      <c r="O114" s="18">
        <v>1.0</v>
      </c>
      <c r="P114" s="18">
        <v>0.0</v>
      </c>
      <c r="Q114" s="18">
        <v>1.0</v>
      </c>
      <c r="R114" s="18">
        <v>0.134328358</v>
      </c>
      <c r="S114" s="18">
        <v>0.0</v>
      </c>
      <c r="T114" s="18">
        <v>0.134328358</v>
      </c>
    </row>
    <row r="115">
      <c r="A115" s="19">
        <v>45586.0</v>
      </c>
      <c r="B115" s="18">
        <v>105.0</v>
      </c>
      <c r="C115" s="18">
        <v>0.0</v>
      </c>
      <c r="D115" s="18">
        <v>105.0</v>
      </c>
      <c r="E115" s="18">
        <v>60.0</v>
      </c>
      <c r="F115" s="18">
        <v>5.0</v>
      </c>
      <c r="G115" s="18">
        <v>0.0</v>
      </c>
      <c r="H115" s="18">
        <v>5.0</v>
      </c>
      <c r="I115" s="18">
        <v>0.0</v>
      </c>
      <c r="J115" s="18">
        <v>0.0</v>
      </c>
      <c r="K115" s="18">
        <v>0.0</v>
      </c>
      <c r="L115" s="18">
        <v>0.0</v>
      </c>
      <c r="M115" s="18">
        <v>0.0</v>
      </c>
      <c r="N115" s="18">
        <v>0.0</v>
      </c>
      <c r="O115" s="18">
        <v>0.0</v>
      </c>
      <c r="P115" s="18">
        <v>0.0</v>
      </c>
      <c r="Q115" s="18">
        <v>0.0</v>
      </c>
      <c r="R115" s="18">
        <v>0.047619048</v>
      </c>
      <c r="S115" s="18">
        <v>0.0</v>
      </c>
      <c r="T115" s="18">
        <v>0.047619048</v>
      </c>
    </row>
    <row r="116">
      <c r="A116" s="19">
        <v>45587.0</v>
      </c>
      <c r="B116" s="18">
        <v>92.0</v>
      </c>
      <c r="C116" s="18">
        <v>0.0</v>
      </c>
      <c r="D116" s="18">
        <v>92.0</v>
      </c>
      <c r="E116" s="18">
        <v>41.0</v>
      </c>
      <c r="F116" s="18">
        <v>0.0</v>
      </c>
      <c r="G116" s="18">
        <v>0.0</v>
      </c>
      <c r="H116" s="18">
        <v>0.0</v>
      </c>
      <c r="I116" s="18">
        <v>4.0</v>
      </c>
      <c r="J116" s="18">
        <v>0.0</v>
      </c>
      <c r="K116" s="18">
        <v>4.0</v>
      </c>
      <c r="L116" s="18">
        <v>0.0</v>
      </c>
      <c r="M116" s="18">
        <v>0.0</v>
      </c>
      <c r="N116" s="18">
        <v>0.0</v>
      </c>
      <c r="O116" s="18">
        <v>0.0</v>
      </c>
      <c r="P116" s="18">
        <v>0.0</v>
      </c>
      <c r="Q116" s="18">
        <v>0.0</v>
      </c>
      <c r="R116" s="18">
        <v>0.043478261</v>
      </c>
      <c r="S116" s="18">
        <v>0.0</v>
      </c>
      <c r="T116" s="18">
        <v>0.043478261</v>
      </c>
    </row>
    <row r="117">
      <c r="A117" s="19">
        <v>45588.0</v>
      </c>
      <c r="B117" s="18">
        <v>45.0</v>
      </c>
      <c r="C117" s="18">
        <v>0.0</v>
      </c>
      <c r="D117" s="18">
        <v>45.0</v>
      </c>
      <c r="E117" s="18">
        <v>30.0</v>
      </c>
      <c r="F117" s="18">
        <v>1.0</v>
      </c>
      <c r="G117" s="18">
        <v>0.0</v>
      </c>
      <c r="H117" s="18">
        <v>1.0</v>
      </c>
      <c r="I117" s="18">
        <v>0.0</v>
      </c>
      <c r="J117" s="18">
        <v>0.0</v>
      </c>
      <c r="K117" s="18">
        <v>0.0</v>
      </c>
      <c r="L117" s="18">
        <v>0.0</v>
      </c>
      <c r="M117" s="18">
        <v>0.0</v>
      </c>
      <c r="N117" s="18">
        <v>0.0</v>
      </c>
      <c r="O117" s="18">
        <v>0.0</v>
      </c>
      <c r="P117" s="18">
        <v>0.0</v>
      </c>
      <c r="Q117" s="18">
        <v>0.0</v>
      </c>
      <c r="R117" s="18">
        <v>0.022222222</v>
      </c>
      <c r="S117" s="18">
        <v>0.0</v>
      </c>
      <c r="T117" s="18">
        <v>0.022222222</v>
      </c>
    </row>
    <row r="118">
      <c r="A118" s="19">
        <v>45589.0</v>
      </c>
      <c r="B118" s="18">
        <v>30.0</v>
      </c>
      <c r="C118" s="18">
        <v>0.0</v>
      </c>
      <c r="D118" s="18">
        <v>30.0</v>
      </c>
      <c r="E118" s="18">
        <v>20.0</v>
      </c>
      <c r="F118" s="18">
        <v>0.0</v>
      </c>
      <c r="G118" s="18">
        <v>0.0</v>
      </c>
      <c r="H118" s="18">
        <v>0.0</v>
      </c>
      <c r="I118" s="18">
        <v>1.0</v>
      </c>
      <c r="J118" s="18">
        <v>0.0</v>
      </c>
      <c r="K118" s="18">
        <v>1.0</v>
      </c>
      <c r="L118" s="18">
        <v>0.0</v>
      </c>
      <c r="M118" s="18">
        <v>0.0</v>
      </c>
      <c r="N118" s="18">
        <v>0.0</v>
      </c>
      <c r="O118" s="18">
        <v>0.0</v>
      </c>
      <c r="P118" s="18">
        <v>0.0</v>
      </c>
      <c r="Q118" s="18">
        <v>0.0</v>
      </c>
      <c r="R118" s="18">
        <v>0.033333333</v>
      </c>
      <c r="S118" s="18">
        <v>0.0</v>
      </c>
      <c r="T118" s="18">
        <v>0.033333333</v>
      </c>
    </row>
    <row r="119">
      <c r="A119" s="19">
        <v>45590.0</v>
      </c>
      <c r="B119" s="18">
        <v>718.0</v>
      </c>
      <c r="C119" s="18">
        <v>0.0</v>
      </c>
      <c r="D119" s="18">
        <v>718.0</v>
      </c>
      <c r="E119" s="18">
        <v>401.0</v>
      </c>
      <c r="F119" s="18">
        <v>37.0</v>
      </c>
      <c r="G119" s="18">
        <v>0.0</v>
      </c>
      <c r="H119" s="18">
        <v>37.0</v>
      </c>
      <c r="I119" s="18">
        <v>35.0</v>
      </c>
      <c r="J119" s="18">
        <v>0.0</v>
      </c>
      <c r="K119" s="18">
        <v>35.0</v>
      </c>
      <c r="L119" s="18">
        <v>6.0</v>
      </c>
      <c r="M119" s="18">
        <v>0.0</v>
      </c>
      <c r="N119" s="18">
        <v>6.0</v>
      </c>
      <c r="O119" s="18">
        <v>6.0</v>
      </c>
      <c r="P119" s="18">
        <v>0.0</v>
      </c>
      <c r="Q119" s="18">
        <v>6.0</v>
      </c>
      <c r="R119" s="18">
        <v>0.116991643</v>
      </c>
      <c r="S119" s="18">
        <v>0.0</v>
      </c>
      <c r="T119" s="18">
        <v>0.116991643</v>
      </c>
    </row>
    <row r="120">
      <c r="A120" s="19">
        <v>45591.0</v>
      </c>
      <c r="B120" s="18">
        <v>184.0</v>
      </c>
      <c r="C120" s="18">
        <v>0.0</v>
      </c>
      <c r="D120" s="18">
        <v>184.0</v>
      </c>
      <c r="E120" s="18">
        <v>129.0</v>
      </c>
      <c r="F120" s="18">
        <v>4.0</v>
      </c>
      <c r="G120" s="18">
        <v>0.0</v>
      </c>
      <c r="H120" s="18">
        <v>4.0</v>
      </c>
      <c r="I120" s="18">
        <v>3.0</v>
      </c>
      <c r="J120" s="18">
        <v>0.0</v>
      </c>
      <c r="K120" s="18">
        <v>3.0</v>
      </c>
      <c r="L120" s="18">
        <v>0.0</v>
      </c>
      <c r="M120" s="18">
        <v>0.0</v>
      </c>
      <c r="N120" s="18">
        <v>0.0</v>
      </c>
      <c r="O120" s="18">
        <v>-1.0</v>
      </c>
      <c r="P120" s="18">
        <v>0.0</v>
      </c>
      <c r="Q120" s="18">
        <v>-1.0</v>
      </c>
      <c r="R120" s="18">
        <v>0.032608696</v>
      </c>
      <c r="S120" s="18">
        <v>0.0</v>
      </c>
      <c r="T120" s="18">
        <v>0.032608696</v>
      </c>
    </row>
    <row r="121">
      <c r="A121" s="19">
        <v>45592.0</v>
      </c>
      <c r="B121" s="18">
        <v>131.0</v>
      </c>
      <c r="C121" s="18">
        <v>0.0</v>
      </c>
      <c r="D121" s="18">
        <v>131.0</v>
      </c>
      <c r="E121" s="18">
        <v>80.0</v>
      </c>
      <c r="F121" s="18">
        <v>5.0</v>
      </c>
      <c r="G121" s="18">
        <v>0.0</v>
      </c>
      <c r="H121" s="18">
        <v>5.0</v>
      </c>
      <c r="I121" s="18">
        <v>4.0</v>
      </c>
      <c r="J121" s="18">
        <v>0.0</v>
      </c>
      <c r="K121" s="18">
        <v>4.0</v>
      </c>
      <c r="L121" s="18">
        <v>1.0</v>
      </c>
      <c r="M121" s="18">
        <v>0.0</v>
      </c>
      <c r="N121" s="18">
        <v>1.0</v>
      </c>
      <c r="O121" s="18">
        <v>0.0</v>
      </c>
      <c r="P121" s="18">
        <v>0.0</v>
      </c>
      <c r="Q121" s="18">
        <v>0.0</v>
      </c>
      <c r="R121" s="18">
        <v>0.076335878</v>
      </c>
      <c r="S121" s="18">
        <v>0.0</v>
      </c>
      <c r="T121" s="18">
        <v>0.076335878</v>
      </c>
    </row>
    <row r="122">
      <c r="A122" s="19">
        <v>45593.0</v>
      </c>
      <c r="B122" s="18">
        <v>79.0</v>
      </c>
      <c r="C122" s="18">
        <v>0.0</v>
      </c>
      <c r="D122" s="18">
        <v>79.0</v>
      </c>
      <c r="E122" s="18">
        <v>66.0</v>
      </c>
      <c r="F122" s="18">
        <v>1.0</v>
      </c>
      <c r="G122" s="18">
        <v>0.0</v>
      </c>
      <c r="H122" s="18">
        <v>1.0</v>
      </c>
      <c r="I122" s="18">
        <v>4.0</v>
      </c>
      <c r="J122" s="18">
        <v>0.0</v>
      </c>
      <c r="K122" s="18">
        <v>4.0</v>
      </c>
      <c r="L122" s="18">
        <v>0.0</v>
      </c>
      <c r="M122" s="18">
        <v>0.0</v>
      </c>
      <c r="N122" s="18">
        <v>0.0</v>
      </c>
      <c r="O122" s="18">
        <v>0.0</v>
      </c>
      <c r="P122" s="18">
        <v>0.0</v>
      </c>
      <c r="Q122" s="18">
        <v>0.0</v>
      </c>
      <c r="R122" s="18">
        <v>0.063291139</v>
      </c>
      <c r="S122" s="18">
        <v>0.0</v>
      </c>
      <c r="T122" s="18">
        <v>0.063291139</v>
      </c>
    </row>
    <row r="123">
      <c r="A123" s="19">
        <v>45594.0</v>
      </c>
      <c r="B123" s="18">
        <v>100.0</v>
      </c>
      <c r="C123" s="18">
        <v>0.0</v>
      </c>
      <c r="D123" s="18">
        <v>100.0</v>
      </c>
      <c r="E123" s="18">
        <v>63.0</v>
      </c>
      <c r="F123" s="18">
        <v>7.0</v>
      </c>
      <c r="G123" s="18">
        <v>0.0</v>
      </c>
      <c r="H123" s="18">
        <v>7.0</v>
      </c>
      <c r="I123" s="18">
        <v>1.0</v>
      </c>
      <c r="J123" s="18">
        <v>0.0</v>
      </c>
      <c r="K123" s="18">
        <v>1.0</v>
      </c>
      <c r="L123" s="18">
        <v>1.0</v>
      </c>
      <c r="M123" s="18">
        <v>0.0</v>
      </c>
      <c r="N123" s="18">
        <v>1.0</v>
      </c>
      <c r="O123" s="18">
        <v>0.0</v>
      </c>
      <c r="P123" s="18">
        <v>0.0</v>
      </c>
      <c r="Q123" s="18">
        <v>0.0</v>
      </c>
      <c r="R123" s="18">
        <v>0.09</v>
      </c>
      <c r="S123" s="18">
        <v>0.0</v>
      </c>
      <c r="T123" s="18">
        <v>0.09</v>
      </c>
    </row>
    <row r="124">
      <c r="A124" s="19">
        <v>45595.0</v>
      </c>
      <c r="B124" s="18">
        <v>128.0</v>
      </c>
      <c r="C124" s="18">
        <v>0.0</v>
      </c>
      <c r="D124" s="18">
        <v>128.0</v>
      </c>
      <c r="E124" s="18">
        <v>71.0</v>
      </c>
      <c r="F124" s="18">
        <v>7.0</v>
      </c>
      <c r="G124" s="18">
        <v>0.0</v>
      </c>
      <c r="H124" s="18">
        <v>7.0</v>
      </c>
      <c r="I124" s="18">
        <v>5.0</v>
      </c>
      <c r="J124" s="18">
        <v>0.0</v>
      </c>
      <c r="K124" s="18">
        <v>5.0</v>
      </c>
      <c r="L124" s="18">
        <v>0.0</v>
      </c>
      <c r="M124" s="18">
        <v>0.0</v>
      </c>
      <c r="N124" s="18">
        <v>0.0</v>
      </c>
      <c r="O124" s="18">
        <v>1.0</v>
      </c>
      <c r="P124" s="18">
        <v>0.0</v>
      </c>
      <c r="Q124" s="18">
        <v>1.0</v>
      </c>
      <c r="R124" s="18">
        <v>0.1015625</v>
      </c>
      <c r="S124" s="18">
        <v>0.0</v>
      </c>
      <c r="T124" s="18">
        <v>0.1015625</v>
      </c>
    </row>
    <row r="125">
      <c r="A125" s="19">
        <v>45596.0</v>
      </c>
      <c r="B125" s="18">
        <v>270.0</v>
      </c>
      <c r="C125" s="18">
        <v>0.0</v>
      </c>
      <c r="D125" s="18">
        <v>270.0</v>
      </c>
      <c r="E125" s="18">
        <v>121.0</v>
      </c>
      <c r="F125" s="18">
        <v>8.0</v>
      </c>
      <c r="G125" s="18">
        <v>0.0</v>
      </c>
      <c r="H125" s="18">
        <v>8.0</v>
      </c>
      <c r="I125" s="18">
        <v>17.0</v>
      </c>
      <c r="J125" s="18">
        <v>0.0</v>
      </c>
      <c r="K125" s="18">
        <v>17.0</v>
      </c>
      <c r="L125" s="18">
        <v>1.0</v>
      </c>
      <c r="M125" s="18">
        <v>0.0</v>
      </c>
      <c r="N125" s="18">
        <v>1.0</v>
      </c>
      <c r="O125" s="18">
        <v>2.0</v>
      </c>
      <c r="P125" s="18">
        <v>0.0</v>
      </c>
      <c r="Q125" s="18">
        <v>2.0</v>
      </c>
      <c r="R125" s="18">
        <v>0.103703704</v>
      </c>
      <c r="S125" s="18">
        <v>0.0</v>
      </c>
      <c r="T125" s="18">
        <v>0.103703704</v>
      </c>
    </row>
    <row r="126">
      <c r="A126" s="17">
        <v>45597.0</v>
      </c>
      <c r="B126" s="18">
        <v>88.0</v>
      </c>
      <c r="C126" s="18">
        <v>0.0</v>
      </c>
      <c r="D126" s="18">
        <v>88.0</v>
      </c>
      <c r="E126" s="18">
        <v>54.0</v>
      </c>
      <c r="F126" s="18">
        <v>8.0</v>
      </c>
      <c r="G126" s="18">
        <v>0.0</v>
      </c>
      <c r="H126" s="18">
        <v>8.0</v>
      </c>
      <c r="I126" s="18">
        <v>5.0</v>
      </c>
      <c r="J126" s="18">
        <v>0.0</v>
      </c>
      <c r="K126" s="18">
        <v>5.0</v>
      </c>
      <c r="L126" s="18">
        <v>1.0</v>
      </c>
      <c r="M126" s="18">
        <v>0.0</v>
      </c>
      <c r="N126" s="18">
        <v>1.0</v>
      </c>
      <c r="O126" s="18">
        <v>1.0</v>
      </c>
      <c r="P126" s="18">
        <v>0.0</v>
      </c>
      <c r="Q126" s="18">
        <v>1.0</v>
      </c>
      <c r="R126" s="18">
        <v>0.170454545</v>
      </c>
      <c r="S126" s="18">
        <v>0.0</v>
      </c>
      <c r="T126" s="18">
        <v>0.170454545</v>
      </c>
    </row>
    <row r="127">
      <c r="A127" s="17">
        <v>45598.0</v>
      </c>
      <c r="B127" s="18">
        <v>68.0</v>
      </c>
      <c r="C127" s="18">
        <v>0.0</v>
      </c>
      <c r="D127" s="18">
        <v>68.0</v>
      </c>
      <c r="E127" s="18">
        <v>29.0</v>
      </c>
      <c r="F127" s="18">
        <v>6.0</v>
      </c>
      <c r="G127" s="18">
        <v>0.0</v>
      </c>
      <c r="H127" s="18">
        <v>6.0</v>
      </c>
      <c r="I127" s="18">
        <v>0.0</v>
      </c>
      <c r="J127" s="18">
        <v>0.0</v>
      </c>
      <c r="K127" s="18">
        <v>0.0</v>
      </c>
      <c r="L127" s="18">
        <v>0.0</v>
      </c>
      <c r="M127" s="18">
        <v>0.0</v>
      </c>
      <c r="N127" s="18">
        <v>0.0</v>
      </c>
      <c r="O127" s="18">
        <v>0.0</v>
      </c>
      <c r="P127" s="18">
        <v>0.0</v>
      </c>
      <c r="Q127" s="18">
        <v>0.0</v>
      </c>
      <c r="R127" s="18">
        <v>0.088235294</v>
      </c>
      <c r="S127" s="18">
        <v>0.0</v>
      </c>
      <c r="T127" s="18">
        <v>0.088235294</v>
      </c>
    </row>
    <row r="128">
      <c r="A128" s="17">
        <v>45599.0</v>
      </c>
      <c r="B128" s="18">
        <v>51.0</v>
      </c>
      <c r="C128" s="18">
        <v>0.0</v>
      </c>
      <c r="D128" s="18">
        <v>51.0</v>
      </c>
      <c r="E128" s="18">
        <v>34.0</v>
      </c>
      <c r="F128" s="18">
        <v>2.0</v>
      </c>
      <c r="G128" s="18">
        <v>0.0</v>
      </c>
      <c r="H128" s="18">
        <v>2.0</v>
      </c>
      <c r="I128" s="18">
        <v>2.0</v>
      </c>
      <c r="J128" s="18">
        <v>0.0</v>
      </c>
      <c r="K128" s="18">
        <v>2.0</v>
      </c>
      <c r="L128" s="18">
        <v>0.0</v>
      </c>
      <c r="M128" s="18">
        <v>0.0</v>
      </c>
      <c r="N128" s="18">
        <v>0.0</v>
      </c>
      <c r="O128" s="18">
        <v>0.0</v>
      </c>
      <c r="P128" s="18">
        <v>0.0</v>
      </c>
      <c r="Q128" s="18">
        <v>0.0</v>
      </c>
      <c r="R128" s="18">
        <v>0.078431373</v>
      </c>
      <c r="S128" s="18">
        <v>0.0</v>
      </c>
      <c r="T128" s="18">
        <v>0.078431373</v>
      </c>
    </row>
    <row r="129">
      <c r="A129" s="17">
        <v>45600.0</v>
      </c>
      <c r="B129" s="18">
        <v>76.0</v>
      </c>
      <c r="C129" s="18">
        <v>0.0</v>
      </c>
      <c r="D129" s="18">
        <v>76.0</v>
      </c>
      <c r="E129" s="18">
        <v>50.0</v>
      </c>
      <c r="F129" s="18">
        <v>3.0</v>
      </c>
      <c r="G129" s="18">
        <v>0.0</v>
      </c>
      <c r="H129" s="18">
        <v>3.0</v>
      </c>
      <c r="I129" s="18">
        <v>3.0</v>
      </c>
      <c r="J129" s="18">
        <v>0.0</v>
      </c>
      <c r="K129" s="18">
        <v>3.0</v>
      </c>
      <c r="L129" s="18">
        <v>0.0</v>
      </c>
      <c r="M129" s="18">
        <v>0.0</v>
      </c>
      <c r="N129" s="18">
        <v>0.0</v>
      </c>
      <c r="O129" s="18">
        <v>0.0</v>
      </c>
      <c r="P129" s="18">
        <v>0.0</v>
      </c>
      <c r="Q129" s="18">
        <v>0.0</v>
      </c>
      <c r="R129" s="18">
        <v>0.078947368</v>
      </c>
      <c r="S129" s="18">
        <v>0.0</v>
      </c>
      <c r="T129" s="18">
        <v>0.078947368</v>
      </c>
    </row>
    <row r="130">
      <c r="A130" s="17">
        <v>45601.0</v>
      </c>
      <c r="B130" s="18">
        <v>459.0</v>
      </c>
      <c r="C130" s="18">
        <v>0.0</v>
      </c>
      <c r="D130" s="18">
        <v>459.0</v>
      </c>
      <c r="E130" s="18">
        <v>82.0</v>
      </c>
      <c r="F130" s="18">
        <v>18.0</v>
      </c>
      <c r="G130" s="18">
        <v>0.0</v>
      </c>
      <c r="H130" s="18">
        <v>18.0</v>
      </c>
      <c r="I130" s="18">
        <v>2.0</v>
      </c>
      <c r="J130" s="18">
        <v>0.0</v>
      </c>
      <c r="K130" s="18">
        <v>2.0</v>
      </c>
      <c r="L130" s="18">
        <v>2.0</v>
      </c>
      <c r="M130" s="18">
        <v>0.0</v>
      </c>
      <c r="N130" s="18">
        <v>2.0</v>
      </c>
      <c r="O130" s="18">
        <v>0.0</v>
      </c>
      <c r="P130" s="18">
        <v>0.0</v>
      </c>
      <c r="Q130" s="18">
        <v>0.0</v>
      </c>
      <c r="R130" s="18">
        <v>0.047930283</v>
      </c>
      <c r="S130" s="18">
        <v>0.0</v>
      </c>
      <c r="T130" s="18">
        <v>0.047930283</v>
      </c>
    </row>
    <row r="131">
      <c r="A131" s="17">
        <v>45602.0</v>
      </c>
      <c r="B131" s="18">
        <v>72.0</v>
      </c>
      <c r="C131" s="18">
        <v>0.0</v>
      </c>
      <c r="D131" s="18">
        <v>72.0</v>
      </c>
      <c r="E131" s="18">
        <v>55.0</v>
      </c>
      <c r="F131" s="18">
        <v>0.0</v>
      </c>
      <c r="G131" s="18">
        <v>0.0</v>
      </c>
      <c r="H131" s="18">
        <v>0.0</v>
      </c>
      <c r="I131" s="18">
        <v>3.0</v>
      </c>
      <c r="J131" s="18">
        <v>0.0</v>
      </c>
      <c r="K131" s="18">
        <v>3.0</v>
      </c>
      <c r="L131" s="18">
        <v>0.0</v>
      </c>
      <c r="M131" s="18">
        <v>0.0</v>
      </c>
      <c r="N131" s="18">
        <v>0.0</v>
      </c>
      <c r="O131" s="18">
        <v>0.0</v>
      </c>
      <c r="P131" s="18">
        <v>0.0</v>
      </c>
      <c r="Q131" s="18">
        <v>0.0</v>
      </c>
      <c r="R131" s="18">
        <v>0.041666667</v>
      </c>
      <c r="S131" s="18">
        <v>0.0</v>
      </c>
      <c r="T131" s="18">
        <v>0.041666667</v>
      </c>
    </row>
    <row r="132">
      <c r="A132" s="17">
        <v>45603.0</v>
      </c>
      <c r="B132" s="18">
        <v>269.0</v>
      </c>
      <c r="C132" s="18">
        <v>0.0</v>
      </c>
      <c r="D132" s="18">
        <v>269.0</v>
      </c>
      <c r="E132" s="18">
        <v>88.0</v>
      </c>
      <c r="F132" s="18">
        <v>11.0</v>
      </c>
      <c r="G132" s="18">
        <v>0.0</v>
      </c>
      <c r="H132" s="18">
        <v>11.0</v>
      </c>
      <c r="I132" s="18">
        <v>4.0</v>
      </c>
      <c r="J132" s="18">
        <v>0.0</v>
      </c>
      <c r="K132" s="18">
        <v>4.0</v>
      </c>
      <c r="L132" s="18">
        <v>0.0</v>
      </c>
      <c r="M132" s="18">
        <v>0.0</v>
      </c>
      <c r="N132" s="18">
        <v>0.0</v>
      </c>
      <c r="O132" s="18">
        <v>2.0</v>
      </c>
      <c r="P132" s="18">
        <v>0.0</v>
      </c>
      <c r="Q132" s="18">
        <v>2.0</v>
      </c>
      <c r="R132" s="18">
        <v>0.063197026</v>
      </c>
      <c r="S132" s="18">
        <v>0.0</v>
      </c>
      <c r="T132" s="18">
        <v>0.063197026</v>
      </c>
    </row>
    <row r="133">
      <c r="A133" s="17">
        <v>45604.0</v>
      </c>
      <c r="B133" s="18">
        <v>106.0</v>
      </c>
      <c r="C133" s="18">
        <v>0.0</v>
      </c>
      <c r="D133" s="18">
        <v>106.0</v>
      </c>
      <c r="E133" s="18">
        <v>50.0</v>
      </c>
      <c r="F133" s="18">
        <v>4.0</v>
      </c>
      <c r="G133" s="18">
        <v>0.0</v>
      </c>
      <c r="H133" s="18">
        <v>4.0</v>
      </c>
      <c r="I133" s="18">
        <v>2.0</v>
      </c>
      <c r="J133" s="18">
        <v>0.0</v>
      </c>
      <c r="K133" s="18">
        <v>2.0</v>
      </c>
      <c r="L133" s="18">
        <v>0.0</v>
      </c>
      <c r="M133" s="18">
        <v>0.0</v>
      </c>
      <c r="N133" s="18">
        <v>0.0</v>
      </c>
      <c r="O133" s="18">
        <v>1.0</v>
      </c>
      <c r="P133" s="18">
        <v>0.0</v>
      </c>
      <c r="Q133" s="18">
        <v>1.0</v>
      </c>
      <c r="R133" s="18">
        <v>0.066037736</v>
      </c>
      <c r="S133" s="18">
        <v>0.0</v>
      </c>
      <c r="T133" s="18">
        <v>0.066037736</v>
      </c>
    </row>
    <row r="134">
      <c r="A134" s="17">
        <v>45605.0</v>
      </c>
      <c r="B134" s="18">
        <v>69.0</v>
      </c>
      <c r="C134" s="18">
        <v>0.0</v>
      </c>
      <c r="D134" s="18">
        <v>69.0</v>
      </c>
      <c r="E134" s="18">
        <v>45.0</v>
      </c>
      <c r="F134" s="18">
        <v>19.0</v>
      </c>
      <c r="G134" s="18">
        <v>0.0</v>
      </c>
      <c r="H134" s="18">
        <v>19.0</v>
      </c>
      <c r="I134" s="18">
        <v>2.0</v>
      </c>
      <c r="J134" s="18">
        <v>0.0</v>
      </c>
      <c r="K134" s="18">
        <v>2.0</v>
      </c>
      <c r="L134" s="18">
        <v>0.0</v>
      </c>
      <c r="M134" s="18">
        <v>0.0</v>
      </c>
      <c r="N134" s="18">
        <v>0.0</v>
      </c>
      <c r="O134" s="18">
        <v>0.0</v>
      </c>
      <c r="P134" s="18">
        <v>0.0</v>
      </c>
      <c r="Q134" s="18">
        <v>0.0</v>
      </c>
      <c r="R134" s="18">
        <v>0.304347826</v>
      </c>
      <c r="S134" s="18">
        <v>0.0</v>
      </c>
      <c r="T134" s="18">
        <v>0.304347826</v>
      </c>
    </row>
    <row r="135">
      <c r="A135" s="19">
        <v>45606.0</v>
      </c>
      <c r="B135" s="18">
        <v>103.0</v>
      </c>
      <c r="C135" s="18">
        <v>0.0</v>
      </c>
      <c r="D135" s="18">
        <v>103.0</v>
      </c>
      <c r="E135" s="18">
        <v>46.0</v>
      </c>
      <c r="F135" s="18">
        <v>25.0</v>
      </c>
      <c r="G135" s="18">
        <v>0.0</v>
      </c>
      <c r="H135" s="18">
        <v>25.0</v>
      </c>
      <c r="I135" s="18">
        <v>6.0</v>
      </c>
      <c r="J135" s="18">
        <v>0.0</v>
      </c>
      <c r="K135" s="18">
        <v>6.0</v>
      </c>
      <c r="L135" s="18">
        <v>0.0</v>
      </c>
      <c r="M135" s="18">
        <v>0.0</v>
      </c>
      <c r="N135" s="18">
        <v>0.0</v>
      </c>
      <c r="O135" s="18">
        <v>0.0</v>
      </c>
      <c r="P135" s="18">
        <v>0.0</v>
      </c>
      <c r="Q135" s="18">
        <v>0.0</v>
      </c>
      <c r="R135" s="18">
        <v>0.300970874</v>
      </c>
      <c r="S135" s="18">
        <v>0.0</v>
      </c>
      <c r="T135" s="18">
        <v>0.300970874</v>
      </c>
    </row>
    <row r="136">
      <c r="A136" s="19">
        <v>45607.0</v>
      </c>
      <c r="B136" s="18">
        <v>115.0</v>
      </c>
      <c r="C136" s="18">
        <v>0.0</v>
      </c>
      <c r="D136" s="18">
        <v>115.0</v>
      </c>
      <c r="E136" s="18">
        <v>56.0</v>
      </c>
      <c r="F136" s="18">
        <v>17.0</v>
      </c>
      <c r="G136" s="18">
        <v>0.0</v>
      </c>
      <c r="H136" s="18">
        <v>17.0</v>
      </c>
      <c r="I136" s="18">
        <v>4.0</v>
      </c>
      <c r="J136" s="18">
        <v>0.0</v>
      </c>
      <c r="K136" s="18">
        <v>4.0</v>
      </c>
      <c r="L136" s="18">
        <v>0.0</v>
      </c>
      <c r="M136" s="18">
        <v>0.0</v>
      </c>
      <c r="N136" s="18">
        <v>0.0</v>
      </c>
      <c r="O136" s="18">
        <v>0.0</v>
      </c>
      <c r="P136" s="18">
        <v>0.0</v>
      </c>
      <c r="Q136" s="18">
        <v>0.0</v>
      </c>
      <c r="R136" s="18">
        <v>0.182608696</v>
      </c>
      <c r="S136" s="18">
        <v>0.0</v>
      </c>
      <c r="T136" s="18">
        <v>0.182608696</v>
      </c>
    </row>
    <row r="137">
      <c r="A137" s="19">
        <v>45608.0</v>
      </c>
      <c r="B137" s="18">
        <v>99.0</v>
      </c>
      <c r="C137" s="18">
        <v>0.0</v>
      </c>
      <c r="D137" s="18">
        <v>99.0</v>
      </c>
      <c r="E137" s="18">
        <v>46.0</v>
      </c>
      <c r="F137" s="18">
        <v>20.0</v>
      </c>
      <c r="G137" s="18">
        <v>0.0</v>
      </c>
      <c r="H137" s="18">
        <v>20.0</v>
      </c>
      <c r="I137" s="18">
        <v>4.0</v>
      </c>
      <c r="J137" s="18">
        <v>0.0</v>
      </c>
      <c r="K137" s="18">
        <v>4.0</v>
      </c>
      <c r="L137" s="18">
        <v>0.0</v>
      </c>
      <c r="M137" s="18">
        <v>0.0</v>
      </c>
      <c r="N137" s="18">
        <v>0.0</v>
      </c>
      <c r="O137" s="18">
        <v>0.0</v>
      </c>
      <c r="P137" s="18">
        <v>0.0</v>
      </c>
      <c r="Q137" s="18">
        <v>0.0</v>
      </c>
      <c r="R137" s="18">
        <v>0.242424242</v>
      </c>
      <c r="S137" s="18">
        <v>0.0</v>
      </c>
      <c r="T137" s="18">
        <v>0.242424242</v>
      </c>
    </row>
    <row r="138">
      <c r="A138" s="19">
        <v>45609.0</v>
      </c>
      <c r="B138" s="18">
        <v>84.0</v>
      </c>
      <c r="C138" s="18">
        <v>0.0</v>
      </c>
      <c r="D138" s="18">
        <v>84.0</v>
      </c>
      <c r="E138" s="18">
        <v>41.0</v>
      </c>
      <c r="F138" s="18">
        <v>9.0</v>
      </c>
      <c r="G138" s="18">
        <v>0.0</v>
      </c>
      <c r="H138" s="18">
        <v>9.0</v>
      </c>
      <c r="I138" s="18">
        <v>1.0</v>
      </c>
      <c r="J138" s="18">
        <v>0.0</v>
      </c>
      <c r="K138" s="18">
        <v>1.0</v>
      </c>
      <c r="L138" s="18">
        <v>0.0</v>
      </c>
      <c r="M138" s="18">
        <v>0.0</v>
      </c>
      <c r="N138" s="18">
        <v>0.0</v>
      </c>
      <c r="O138" s="18">
        <v>0.0</v>
      </c>
      <c r="P138" s="18">
        <v>0.0</v>
      </c>
      <c r="Q138" s="18">
        <v>0.0</v>
      </c>
      <c r="R138" s="18">
        <v>0.119047619</v>
      </c>
      <c r="S138" s="18">
        <v>0.0</v>
      </c>
      <c r="T138" s="18">
        <v>0.119047619</v>
      </c>
    </row>
    <row r="139">
      <c r="A139" s="19">
        <v>45610.0</v>
      </c>
      <c r="B139" s="18">
        <v>36.0</v>
      </c>
      <c r="C139" s="18">
        <v>0.0</v>
      </c>
      <c r="D139" s="18">
        <v>36.0</v>
      </c>
      <c r="E139" s="18">
        <v>21.0</v>
      </c>
      <c r="F139" s="18">
        <v>15.0</v>
      </c>
      <c r="G139" s="18">
        <v>0.0</v>
      </c>
      <c r="H139" s="18">
        <v>15.0</v>
      </c>
      <c r="I139" s="18">
        <v>1.0</v>
      </c>
      <c r="J139" s="18">
        <v>0.0</v>
      </c>
      <c r="K139" s="18">
        <v>1.0</v>
      </c>
      <c r="L139" s="18">
        <v>0.0</v>
      </c>
      <c r="M139" s="18">
        <v>0.0</v>
      </c>
      <c r="N139" s="18">
        <v>0.0</v>
      </c>
      <c r="O139" s="18">
        <v>0.0</v>
      </c>
      <c r="P139" s="18">
        <v>0.0</v>
      </c>
      <c r="Q139" s="18">
        <v>0.0</v>
      </c>
      <c r="R139" s="18">
        <v>0.444444444</v>
      </c>
      <c r="S139" s="18">
        <v>0.0</v>
      </c>
      <c r="T139" s="18">
        <v>0.444444444</v>
      </c>
    </row>
    <row r="140">
      <c r="A140" s="19">
        <v>45611.0</v>
      </c>
      <c r="B140" s="18">
        <v>161.0</v>
      </c>
      <c r="C140" s="18">
        <v>0.0</v>
      </c>
      <c r="D140" s="18">
        <v>161.0</v>
      </c>
      <c r="E140" s="18">
        <v>50.0</v>
      </c>
      <c r="F140" s="18">
        <v>14.0</v>
      </c>
      <c r="G140" s="18">
        <v>0.0</v>
      </c>
      <c r="H140" s="18">
        <v>14.0</v>
      </c>
      <c r="I140" s="18">
        <v>1.0</v>
      </c>
      <c r="J140" s="18">
        <v>0.0</v>
      </c>
      <c r="K140" s="18">
        <v>1.0</v>
      </c>
      <c r="L140" s="18">
        <v>0.0</v>
      </c>
      <c r="M140" s="18">
        <v>0.0</v>
      </c>
      <c r="N140" s="18">
        <v>0.0</v>
      </c>
      <c r="O140" s="18">
        <v>0.0</v>
      </c>
      <c r="P140" s="18">
        <v>0.0</v>
      </c>
      <c r="Q140" s="18">
        <v>0.0</v>
      </c>
      <c r="R140" s="18">
        <v>0.093167702</v>
      </c>
      <c r="S140" s="18">
        <v>0.0</v>
      </c>
      <c r="T140" s="18">
        <v>0.093167702</v>
      </c>
    </row>
    <row r="141">
      <c r="A141" s="19">
        <v>45612.0</v>
      </c>
      <c r="B141" s="18">
        <v>409.0</v>
      </c>
      <c r="C141" s="18">
        <v>0.0</v>
      </c>
      <c r="D141" s="18">
        <v>409.0</v>
      </c>
      <c r="E141" s="18">
        <v>109.0</v>
      </c>
      <c r="F141" s="18">
        <v>45.0</v>
      </c>
      <c r="G141" s="18">
        <v>0.0</v>
      </c>
      <c r="H141" s="18">
        <v>45.0</v>
      </c>
      <c r="I141" s="18">
        <v>17.0</v>
      </c>
      <c r="J141" s="18">
        <v>0.0</v>
      </c>
      <c r="K141" s="18">
        <v>17.0</v>
      </c>
      <c r="L141" s="18">
        <v>0.0</v>
      </c>
      <c r="M141" s="18">
        <v>0.0</v>
      </c>
      <c r="N141" s="18">
        <v>0.0</v>
      </c>
      <c r="O141" s="18">
        <v>1.0</v>
      </c>
      <c r="P141" s="18">
        <v>0.0</v>
      </c>
      <c r="Q141" s="18">
        <v>1.0</v>
      </c>
      <c r="R141" s="18">
        <v>0.15403423</v>
      </c>
      <c r="S141" s="18">
        <v>0.0</v>
      </c>
      <c r="T141" s="18">
        <v>0.15403423</v>
      </c>
    </row>
    <row r="142">
      <c r="A142" s="19">
        <v>45613.0</v>
      </c>
      <c r="B142" s="18">
        <v>44.0</v>
      </c>
      <c r="C142" s="18">
        <v>0.0</v>
      </c>
      <c r="D142" s="18">
        <v>44.0</v>
      </c>
      <c r="E142" s="18">
        <v>28.0</v>
      </c>
      <c r="F142" s="18">
        <v>9.0</v>
      </c>
      <c r="G142" s="18">
        <v>0.0</v>
      </c>
      <c r="H142" s="18">
        <v>9.0</v>
      </c>
      <c r="I142" s="18">
        <v>2.0</v>
      </c>
      <c r="J142" s="18">
        <v>0.0</v>
      </c>
      <c r="K142" s="18">
        <v>2.0</v>
      </c>
      <c r="L142" s="18">
        <v>0.0</v>
      </c>
      <c r="M142" s="18">
        <v>0.0</v>
      </c>
      <c r="N142" s="18">
        <v>0.0</v>
      </c>
      <c r="O142" s="18">
        <v>0.0</v>
      </c>
      <c r="P142" s="18">
        <v>0.0</v>
      </c>
      <c r="Q142" s="18">
        <v>0.0</v>
      </c>
      <c r="R142" s="18">
        <v>0.25</v>
      </c>
      <c r="S142" s="18">
        <v>0.0</v>
      </c>
      <c r="T142" s="18">
        <v>0.25</v>
      </c>
    </row>
    <row r="143">
      <c r="A143" s="19">
        <v>45614.0</v>
      </c>
      <c r="B143" s="18">
        <v>131.0</v>
      </c>
      <c r="C143" s="18">
        <v>0.0</v>
      </c>
      <c r="D143" s="18">
        <v>131.0</v>
      </c>
      <c r="E143" s="18">
        <v>36.0</v>
      </c>
      <c r="F143" s="18">
        <v>13.0</v>
      </c>
      <c r="G143" s="18">
        <v>0.0</v>
      </c>
      <c r="H143" s="18">
        <v>13.0</v>
      </c>
      <c r="I143" s="18">
        <v>10.0</v>
      </c>
      <c r="J143" s="18">
        <v>0.0</v>
      </c>
      <c r="K143" s="18">
        <v>10.0</v>
      </c>
      <c r="L143" s="18">
        <v>0.0</v>
      </c>
      <c r="M143" s="18">
        <v>0.0</v>
      </c>
      <c r="N143" s="18">
        <v>0.0</v>
      </c>
      <c r="O143" s="18">
        <v>0.0</v>
      </c>
      <c r="P143" s="18">
        <v>0.0</v>
      </c>
      <c r="Q143" s="18">
        <v>0.0</v>
      </c>
      <c r="R143" s="18">
        <v>0.175572519</v>
      </c>
      <c r="S143" s="18">
        <v>0.0</v>
      </c>
      <c r="T143" s="18">
        <v>0.175572519</v>
      </c>
    </row>
    <row r="144">
      <c r="A144" s="19">
        <v>45615.0</v>
      </c>
      <c r="B144" s="18">
        <v>125.0</v>
      </c>
      <c r="C144" s="18">
        <v>0.0</v>
      </c>
      <c r="D144" s="18">
        <v>125.0</v>
      </c>
      <c r="E144" s="18">
        <v>47.0</v>
      </c>
      <c r="F144" s="18">
        <v>11.0</v>
      </c>
      <c r="G144" s="18">
        <v>0.0</v>
      </c>
      <c r="H144" s="18">
        <v>11.0</v>
      </c>
      <c r="I144" s="18">
        <v>4.0</v>
      </c>
      <c r="J144" s="18">
        <v>0.0</v>
      </c>
      <c r="K144" s="18">
        <v>4.0</v>
      </c>
      <c r="L144" s="18">
        <v>0.0</v>
      </c>
      <c r="M144" s="18">
        <v>0.0</v>
      </c>
      <c r="N144" s="18">
        <v>0.0</v>
      </c>
      <c r="O144" s="18">
        <v>0.0</v>
      </c>
      <c r="P144" s="18">
        <v>0.0</v>
      </c>
      <c r="Q144" s="18">
        <v>0.0</v>
      </c>
      <c r="R144" s="18">
        <v>0.12</v>
      </c>
      <c r="S144" s="18">
        <v>0.0</v>
      </c>
      <c r="T144" s="18">
        <v>0.12</v>
      </c>
    </row>
    <row r="145">
      <c r="A145" s="19">
        <v>45616.0</v>
      </c>
      <c r="B145" s="18">
        <v>134.0</v>
      </c>
      <c r="C145" s="18">
        <v>0.0</v>
      </c>
      <c r="D145" s="18">
        <v>134.0</v>
      </c>
      <c r="E145" s="18">
        <v>38.0</v>
      </c>
      <c r="F145" s="18">
        <v>21.0</v>
      </c>
      <c r="G145" s="18">
        <v>0.0</v>
      </c>
      <c r="H145" s="18">
        <v>21.0</v>
      </c>
      <c r="I145" s="18">
        <v>3.0</v>
      </c>
      <c r="J145" s="18">
        <v>0.0</v>
      </c>
      <c r="K145" s="18">
        <v>3.0</v>
      </c>
      <c r="L145" s="18">
        <v>0.0</v>
      </c>
      <c r="M145" s="18">
        <v>0.0</v>
      </c>
      <c r="N145" s="18">
        <v>0.0</v>
      </c>
      <c r="O145" s="18">
        <v>0.0</v>
      </c>
      <c r="P145" s="18">
        <v>0.0</v>
      </c>
      <c r="Q145" s="18">
        <v>0.0</v>
      </c>
      <c r="R145" s="18">
        <v>0.179104478</v>
      </c>
      <c r="S145" s="18">
        <v>0.0</v>
      </c>
      <c r="T145" s="18">
        <v>0.179104478</v>
      </c>
    </row>
    <row r="146">
      <c r="A146" s="19">
        <v>45617.0</v>
      </c>
      <c r="B146" s="18">
        <v>667.0</v>
      </c>
      <c r="C146" s="18">
        <v>0.0</v>
      </c>
      <c r="D146" s="18">
        <v>667.0</v>
      </c>
      <c r="E146" s="18">
        <v>361.0</v>
      </c>
      <c r="F146" s="18">
        <v>86.0</v>
      </c>
      <c r="G146" s="18">
        <v>0.0</v>
      </c>
      <c r="H146" s="18">
        <v>86.0</v>
      </c>
      <c r="I146" s="18">
        <v>41.0</v>
      </c>
      <c r="J146" s="18">
        <v>0.0</v>
      </c>
      <c r="K146" s="18">
        <v>41.0</v>
      </c>
      <c r="L146" s="18">
        <v>3.0</v>
      </c>
      <c r="M146" s="18">
        <v>0.0</v>
      </c>
      <c r="N146" s="18">
        <v>3.0</v>
      </c>
      <c r="O146" s="18">
        <v>2.0</v>
      </c>
      <c r="P146" s="18">
        <v>0.0</v>
      </c>
      <c r="Q146" s="18">
        <v>2.0</v>
      </c>
      <c r="R146" s="18">
        <v>0.197901049</v>
      </c>
      <c r="S146" s="18">
        <v>0.0</v>
      </c>
      <c r="T146" s="18">
        <v>0.197901049</v>
      </c>
    </row>
    <row r="147">
      <c r="A147" s="19">
        <v>45618.0</v>
      </c>
      <c r="B147" s="18">
        <v>449.0</v>
      </c>
      <c r="C147" s="18">
        <v>0.0</v>
      </c>
      <c r="D147" s="18">
        <v>449.0</v>
      </c>
      <c r="E147" s="18">
        <v>265.0</v>
      </c>
      <c r="F147" s="18">
        <v>44.0</v>
      </c>
      <c r="G147" s="18">
        <v>0.0</v>
      </c>
      <c r="H147" s="18">
        <v>44.0</v>
      </c>
      <c r="I147" s="18">
        <v>15.0</v>
      </c>
      <c r="J147" s="18">
        <v>0.0</v>
      </c>
      <c r="K147" s="18">
        <v>15.0</v>
      </c>
      <c r="L147" s="18">
        <v>0.0</v>
      </c>
      <c r="M147" s="18">
        <v>0.0</v>
      </c>
      <c r="N147" s="18">
        <v>0.0</v>
      </c>
      <c r="O147" s="18">
        <v>0.0</v>
      </c>
      <c r="P147" s="18">
        <v>0.0</v>
      </c>
      <c r="Q147" s="18">
        <v>0.0</v>
      </c>
      <c r="R147" s="18">
        <v>0.131403118</v>
      </c>
      <c r="S147" s="18">
        <v>0.0</v>
      </c>
      <c r="T147" s="18">
        <v>0.131403118</v>
      </c>
    </row>
    <row r="148">
      <c r="A148" s="19">
        <v>45619.0</v>
      </c>
      <c r="B148" s="18">
        <v>351.0</v>
      </c>
      <c r="C148" s="18">
        <v>0.0</v>
      </c>
      <c r="D148" s="18">
        <v>351.0</v>
      </c>
      <c r="E148" s="18">
        <v>167.0</v>
      </c>
      <c r="F148" s="18">
        <v>39.0</v>
      </c>
      <c r="G148" s="18">
        <v>0.0</v>
      </c>
      <c r="H148" s="18">
        <v>39.0</v>
      </c>
      <c r="I148" s="18">
        <v>16.0</v>
      </c>
      <c r="J148" s="18">
        <v>0.0</v>
      </c>
      <c r="K148" s="18">
        <v>16.0</v>
      </c>
      <c r="L148" s="18">
        <v>1.0</v>
      </c>
      <c r="M148" s="18">
        <v>0.0</v>
      </c>
      <c r="N148" s="18">
        <v>1.0</v>
      </c>
      <c r="O148" s="18">
        <v>0.0</v>
      </c>
      <c r="P148" s="18">
        <v>0.0</v>
      </c>
      <c r="Q148" s="18">
        <v>0.0</v>
      </c>
      <c r="R148" s="18">
        <v>0.15954416</v>
      </c>
      <c r="S148" s="18">
        <v>0.0</v>
      </c>
      <c r="T148" s="18">
        <v>0.15954416</v>
      </c>
    </row>
    <row r="149">
      <c r="A149" s="19">
        <v>45620.0</v>
      </c>
      <c r="B149" s="18">
        <v>127.0</v>
      </c>
      <c r="C149" s="18">
        <v>0.0</v>
      </c>
      <c r="D149" s="18">
        <v>127.0</v>
      </c>
      <c r="E149" s="18">
        <v>66.0</v>
      </c>
      <c r="F149" s="18">
        <v>36.0</v>
      </c>
      <c r="G149" s="18">
        <v>0.0</v>
      </c>
      <c r="H149" s="18">
        <v>36.0</v>
      </c>
      <c r="I149" s="18">
        <v>6.0</v>
      </c>
      <c r="J149" s="18">
        <v>0.0</v>
      </c>
      <c r="K149" s="18">
        <v>6.0</v>
      </c>
      <c r="L149" s="18">
        <v>0.0</v>
      </c>
      <c r="M149" s="18">
        <v>0.0</v>
      </c>
      <c r="N149" s="18">
        <v>0.0</v>
      </c>
      <c r="O149" s="18">
        <v>0.0</v>
      </c>
      <c r="P149" s="18">
        <v>0.0</v>
      </c>
      <c r="Q149" s="18">
        <v>0.0</v>
      </c>
      <c r="R149" s="18">
        <v>0.330708661</v>
      </c>
      <c r="S149" s="18">
        <v>0.0</v>
      </c>
      <c r="T149" s="18">
        <v>0.330708661</v>
      </c>
    </row>
    <row r="150">
      <c r="A150" s="19">
        <v>45621.0</v>
      </c>
      <c r="B150" s="18">
        <v>149.0</v>
      </c>
      <c r="C150" s="18">
        <v>0.0</v>
      </c>
      <c r="D150" s="18">
        <v>149.0</v>
      </c>
      <c r="E150" s="18">
        <v>68.0</v>
      </c>
      <c r="F150" s="18">
        <v>33.0</v>
      </c>
      <c r="G150" s="18">
        <v>0.0</v>
      </c>
      <c r="H150" s="18">
        <v>33.0</v>
      </c>
      <c r="I150" s="18">
        <v>3.0</v>
      </c>
      <c r="J150" s="18">
        <v>0.0</v>
      </c>
      <c r="K150" s="18">
        <v>3.0</v>
      </c>
      <c r="L150" s="18">
        <v>1.0</v>
      </c>
      <c r="M150" s="18">
        <v>0.0</v>
      </c>
      <c r="N150" s="18">
        <v>1.0</v>
      </c>
      <c r="O150" s="18">
        <v>1.0</v>
      </c>
      <c r="P150" s="18">
        <v>0.0</v>
      </c>
      <c r="Q150" s="18">
        <v>1.0</v>
      </c>
      <c r="R150" s="18">
        <v>0.255033557</v>
      </c>
      <c r="S150" s="18">
        <v>0.0</v>
      </c>
      <c r="T150" s="18">
        <v>0.255033557</v>
      </c>
    </row>
    <row r="151">
      <c r="A151" s="19">
        <v>45622.0</v>
      </c>
      <c r="B151" s="18">
        <v>122.0</v>
      </c>
      <c r="C151" s="18">
        <v>0.0</v>
      </c>
      <c r="D151" s="18">
        <v>122.0</v>
      </c>
      <c r="E151" s="18">
        <v>59.0</v>
      </c>
      <c r="F151" s="18">
        <v>2.0</v>
      </c>
      <c r="G151" s="18">
        <v>0.0</v>
      </c>
      <c r="H151" s="18">
        <v>2.0</v>
      </c>
      <c r="I151" s="18">
        <v>2.0</v>
      </c>
      <c r="J151" s="18">
        <v>0.0</v>
      </c>
      <c r="K151" s="18">
        <v>2.0</v>
      </c>
      <c r="L151" s="18">
        <v>0.0</v>
      </c>
      <c r="M151" s="18">
        <v>0.0</v>
      </c>
      <c r="N151" s="18">
        <v>0.0</v>
      </c>
      <c r="O151" s="18">
        <v>1.0</v>
      </c>
      <c r="P151" s="18">
        <v>0.0</v>
      </c>
      <c r="Q151" s="18">
        <v>1.0</v>
      </c>
      <c r="R151" s="18">
        <v>0.040983607</v>
      </c>
      <c r="S151" s="18">
        <v>0.0</v>
      </c>
      <c r="T151" s="18">
        <v>0.040983607</v>
      </c>
    </row>
    <row r="152">
      <c r="A152" s="19">
        <v>45623.0</v>
      </c>
      <c r="B152" s="18">
        <v>128.0</v>
      </c>
      <c r="C152" s="18">
        <v>0.0</v>
      </c>
      <c r="D152" s="18">
        <v>128.0</v>
      </c>
      <c r="E152" s="18">
        <v>41.0</v>
      </c>
      <c r="F152" s="18">
        <v>9.0</v>
      </c>
      <c r="G152" s="18">
        <v>0.0</v>
      </c>
      <c r="H152" s="18">
        <v>9.0</v>
      </c>
      <c r="I152" s="18">
        <v>3.0</v>
      </c>
      <c r="J152" s="18">
        <v>0.0</v>
      </c>
      <c r="K152" s="18">
        <v>3.0</v>
      </c>
      <c r="L152" s="18">
        <v>0.0</v>
      </c>
      <c r="M152" s="18">
        <v>0.0</v>
      </c>
      <c r="N152" s="18">
        <v>0.0</v>
      </c>
      <c r="O152" s="18">
        <v>0.0</v>
      </c>
      <c r="P152" s="18">
        <v>0.0</v>
      </c>
      <c r="Q152" s="18">
        <v>0.0</v>
      </c>
      <c r="R152" s="18">
        <v>0.09375</v>
      </c>
      <c r="S152" s="18">
        <v>0.0</v>
      </c>
      <c r="T152" s="18">
        <v>0.09375</v>
      </c>
    </row>
    <row r="153">
      <c r="A153" s="19">
        <v>45624.0</v>
      </c>
      <c r="B153" s="18">
        <v>76.0</v>
      </c>
      <c r="C153" s="18">
        <v>0.0</v>
      </c>
      <c r="D153" s="18">
        <v>76.0</v>
      </c>
      <c r="E153" s="18">
        <v>37.0</v>
      </c>
      <c r="F153" s="18">
        <v>6.0</v>
      </c>
      <c r="G153" s="18">
        <v>0.0</v>
      </c>
      <c r="H153" s="18">
        <v>6.0</v>
      </c>
      <c r="I153" s="18">
        <v>4.0</v>
      </c>
      <c r="J153" s="18">
        <v>0.0</v>
      </c>
      <c r="K153" s="18">
        <v>4.0</v>
      </c>
      <c r="L153" s="18">
        <v>1.0</v>
      </c>
      <c r="M153" s="18">
        <v>0.0</v>
      </c>
      <c r="N153" s="18">
        <v>1.0</v>
      </c>
      <c r="O153" s="18">
        <v>0.0</v>
      </c>
      <c r="P153" s="18">
        <v>0.0</v>
      </c>
      <c r="Q153" s="18">
        <v>0.0</v>
      </c>
      <c r="R153" s="18">
        <v>0.144736842</v>
      </c>
      <c r="S153" s="18">
        <v>0.0</v>
      </c>
      <c r="T153" s="18">
        <v>0.144736842</v>
      </c>
    </row>
    <row r="154">
      <c r="A154" s="19">
        <v>45625.0</v>
      </c>
      <c r="B154" s="18">
        <v>56.0</v>
      </c>
      <c r="C154" s="18">
        <v>0.0</v>
      </c>
      <c r="D154" s="18">
        <v>56.0</v>
      </c>
      <c r="E154" s="18">
        <v>30.0</v>
      </c>
      <c r="F154" s="18">
        <v>4.0</v>
      </c>
      <c r="G154" s="18">
        <v>0.0</v>
      </c>
      <c r="H154" s="18">
        <v>4.0</v>
      </c>
      <c r="I154" s="18">
        <v>2.0</v>
      </c>
      <c r="J154" s="18">
        <v>0.0</v>
      </c>
      <c r="K154" s="18">
        <v>2.0</v>
      </c>
      <c r="L154" s="18">
        <v>0.0</v>
      </c>
      <c r="M154" s="18">
        <v>0.0</v>
      </c>
      <c r="N154" s="18">
        <v>0.0</v>
      </c>
      <c r="O154" s="18">
        <v>0.0</v>
      </c>
      <c r="P154" s="18">
        <v>0.0</v>
      </c>
      <c r="Q154" s="18">
        <v>0.0</v>
      </c>
      <c r="R154" s="18">
        <v>0.107142857</v>
      </c>
      <c r="S154" s="18">
        <v>0.0</v>
      </c>
      <c r="T154" s="18">
        <v>0.107142857</v>
      </c>
    </row>
    <row r="155">
      <c r="A155" s="19">
        <v>45626.0</v>
      </c>
      <c r="B155" s="18">
        <v>66.0</v>
      </c>
      <c r="C155" s="18">
        <v>0.0</v>
      </c>
      <c r="D155" s="18">
        <v>66.0</v>
      </c>
      <c r="E155" s="18">
        <v>22.0</v>
      </c>
      <c r="F155" s="18">
        <v>5.0</v>
      </c>
      <c r="G155" s="18">
        <v>0.0</v>
      </c>
      <c r="H155" s="18">
        <v>5.0</v>
      </c>
      <c r="I155" s="18">
        <v>0.0</v>
      </c>
      <c r="J155" s="18">
        <v>0.0</v>
      </c>
      <c r="K155" s="18">
        <v>0.0</v>
      </c>
      <c r="L155" s="18">
        <v>0.0</v>
      </c>
      <c r="M155" s="18">
        <v>0.0</v>
      </c>
      <c r="N155" s="18">
        <v>0.0</v>
      </c>
      <c r="O155" s="18">
        <v>0.0</v>
      </c>
      <c r="P155" s="18">
        <v>0.0</v>
      </c>
      <c r="Q155" s="18">
        <v>0.0</v>
      </c>
      <c r="R155" s="18">
        <v>0.075757576</v>
      </c>
      <c r="S155" s="18">
        <v>0.0</v>
      </c>
      <c r="T155" s="18">
        <v>0.075757576</v>
      </c>
    </row>
    <row r="156">
      <c r="A156" s="17">
        <v>45627.0</v>
      </c>
      <c r="B156" s="18">
        <v>84.0</v>
      </c>
      <c r="C156" s="18">
        <v>0.0</v>
      </c>
      <c r="D156" s="18">
        <v>84.0</v>
      </c>
      <c r="E156" s="18">
        <v>19.0</v>
      </c>
      <c r="F156" s="18">
        <v>1.0</v>
      </c>
      <c r="G156" s="18">
        <v>0.0</v>
      </c>
      <c r="H156" s="18">
        <v>1.0</v>
      </c>
      <c r="I156" s="18">
        <v>1.0</v>
      </c>
      <c r="J156" s="18">
        <v>0.0</v>
      </c>
      <c r="K156" s="18">
        <v>1.0</v>
      </c>
      <c r="L156" s="18">
        <v>0.0</v>
      </c>
      <c r="M156" s="18">
        <v>0.0</v>
      </c>
      <c r="N156" s="18">
        <v>0.0</v>
      </c>
      <c r="O156" s="18">
        <v>0.0</v>
      </c>
      <c r="P156" s="18">
        <v>0.0</v>
      </c>
      <c r="Q156" s="18">
        <v>0.0</v>
      </c>
      <c r="R156" s="18">
        <v>0.023809524</v>
      </c>
      <c r="S156" s="18">
        <v>0.0</v>
      </c>
      <c r="T156" s="18">
        <v>0.023809524</v>
      </c>
    </row>
    <row r="157">
      <c r="A157" s="17">
        <v>45628.0</v>
      </c>
      <c r="B157" s="18">
        <v>91.0</v>
      </c>
      <c r="C157" s="18">
        <v>0.0</v>
      </c>
      <c r="D157" s="18">
        <v>91.0</v>
      </c>
      <c r="E157" s="18">
        <v>40.0</v>
      </c>
      <c r="F157" s="18">
        <v>5.0</v>
      </c>
      <c r="G157" s="18">
        <v>0.0</v>
      </c>
      <c r="H157" s="18">
        <v>5.0</v>
      </c>
      <c r="I157" s="18">
        <v>1.0</v>
      </c>
      <c r="J157" s="18">
        <v>0.0</v>
      </c>
      <c r="K157" s="18">
        <v>1.0</v>
      </c>
      <c r="L157" s="18">
        <v>0.0</v>
      </c>
      <c r="M157" s="18">
        <v>0.0</v>
      </c>
      <c r="N157" s="18">
        <v>0.0</v>
      </c>
      <c r="O157" s="18">
        <v>0.0</v>
      </c>
      <c r="P157" s="18">
        <v>0.0</v>
      </c>
      <c r="Q157" s="18">
        <v>0.0</v>
      </c>
      <c r="R157" s="18">
        <v>0.065934066</v>
      </c>
      <c r="S157" s="18">
        <v>0.0</v>
      </c>
      <c r="T157" s="18">
        <v>0.065934066</v>
      </c>
    </row>
    <row r="158">
      <c r="A158" s="17">
        <v>45629.0</v>
      </c>
      <c r="B158" s="18">
        <v>138.0</v>
      </c>
      <c r="C158" s="18">
        <v>0.0</v>
      </c>
      <c r="D158" s="18">
        <v>138.0</v>
      </c>
      <c r="E158" s="18">
        <v>60.0</v>
      </c>
      <c r="F158" s="18">
        <v>3.0</v>
      </c>
      <c r="G158" s="18">
        <v>0.0</v>
      </c>
      <c r="H158" s="18">
        <v>3.0</v>
      </c>
      <c r="I158" s="18">
        <v>4.0</v>
      </c>
      <c r="J158" s="18">
        <v>0.0</v>
      </c>
      <c r="K158" s="18">
        <v>4.0</v>
      </c>
      <c r="L158" s="18">
        <v>0.0</v>
      </c>
      <c r="M158" s="18">
        <v>0.0</v>
      </c>
      <c r="N158" s="18">
        <v>0.0</v>
      </c>
      <c r="O158" s="18">
        <v>1.0</v>
      </c>
      <c r="P158" s="18">
        <v>0.0</v>
      </c>
      <c r="Q158" s="18">
        <v>1.0</v>
      </c>
      <c r="R158" s="18">
        <v>0.057971014</v>
      </c>
      <c r="S158" s="18">
        <v>0.0</v>
      </c>
      <c r="T158" s="18">
        <v>0.057971014</v>
      </c>
    </row>
    <row r="159">
      <c r="A159" s="17">
        <v>45630.0</v>
      </c>
      <c r="B159" s="18">
        <v>106.0</v>
      </c>
      <c r="C159" s="18">
        <v>0.0</v>
      </c>
      <c r="D159" s="18">
        <v>106.0</v>
      </c>
      <c r="E159" s="18">
        <v>45.0</v>
      </c>
      <c r="F159" s="18">
        <v>0.0</v>
      </c>
      <c r="G159" s="18">
        <v>0.0</v>
      </c>
      <c r="H159" s="18">
        <v>0.0</v>
      </c>
      <c r="I159" s="18">
        <v>6.0</v>
      </c>
      <c r="J159" s="18">
        <v>0.0</v>
      </c>
      <c r="K159" s="18">
        <v>6.0</v>
      </c>
      <c r="L159" s="18">
        <v>0.0</v>
      </c>
      <c r="M159" s="18">
        <v>0.0</v>
      </c>
      <c r="N159" s="18">
        <v>0.0</v>
      </c>
      <c r="O159" s="18">
        <v>0.0</v>
      </c>
      <c r="P159" s="18">
        <v>0.0</v>
      </c>
      <c r="Q159" s="18">
        <v>0.0</v>
      </c>
      <c r="R159" s="18">
        <v>0.056603774</v>
      </c>
      <c r="S159" s="18">
        <v>0.0</v>
      </c>
      <c r="T159" s="18">
        <v>0.056603774</v>
      </c>
    </row>
    <row r="160">
      <c r="A160" s="17">
        <v>45631.0</v>
      </c>
      <c r="B160" s="18">
        <v>434.0</v>
      </c>
      <c r="C160" s="18">
        <v>0.0</v>
      </c>
      <c r="D160" s="18">
        <v>434.0</v>
      </c>
      <c r="E160" s="18">
        <v>154.0</v>
      </c>
      <c r="F160" s="18">
        <v>22.0</v>
      </c>
      <c r="G160" s="18">
        <v>0.0</v>
      </c>
      <c r="H160" s="18">
        <v>22.0</v>
      </c>
      <c r="I160" s="18">
        <v>19.0</v>
      </c>
      <c r="J160" s="18">
        <v>0.0</v>
      </c>
      <c r="K160" s="18">
        <v>19.0</v>
      </c>
      <c r="L160" s="18">
        <v>0.0</v>
      </c>
      <c r="M160" s="18">
        <v>0.0</v>
      </c>
      <c r="N160" s="18">
        <v>0.0</v>
      </c>
      <c r="O160" s="18">
        <v>3.0</v>
      </c>
      <c r="P160" s="18">
        <v>0.0</v>
      </c>
      <c r="Q160" s="18">
        <v>3.0</v>
      </c>
      <c r="R160" s="18">
        <v>0.101382488</v>
      </c>
      <c r="S160" s="18">
        <v>0.0</v>
      </c>
      <c r="T160" s="18">
        <v>0.101382488</v>
      </c>
    </row>
    <row r="161">
      <c r="A161" s="17">
        <v>45632.0</v>
      </c>
      <c r="B161" s="18">
        <v>302.0</v>
      </c>
      <c r="C161" s="18">
        <v>0.0</v>
      </c>
      <c r="D161" s="18">
        <v>302.0</v>
      </c>
      <c r="E161" s="18">
        <v>119.0</v>
      </c>
      <c r="F161" s="18">
        <v>17.0</v>
      </c>
      <c r="G161" s="18">
        <v>0.0</v>
      </c>
      <c r="H161" s="18">
        <v>17.0</v>
      </c>
      <c r="I161" s="18">
        <v>23.0</v>
      </c>
      <c r="J161" s="18">
        <v>0.0</v>
      </c>
      <c r="K161" s="18">
        <v>23.0</v>
      </c>
      <c r="L161" s="18">
        <v>2.0</v>
      </c>
      <c r="M161" s="18">
        <v>0.0</v>
      </c>
      <c r="N161" s="18">
        <v>2.0</v>
      </c>
      <c r="O161" s="18">
        <v>1.0</v>
      </c>
      <c r="P161" s="18">
        <v>0.0</v>
      </c>
      <c r="Q161" s="18">
        <v>1.0</v>
      </c>
      <c r="R161" s="18">
        <v>0.142384106</v>
      </c>
      <c r="S161" s="18">
        <v>0.0</v>
      </c>
      <c r="T161" s="18">
        <v>0.142384106</v>
      </c>
    </row>
    <row r="162">
      <c r="A162" s="17">
        <v>45633.0</v>
      </c>
      <c r="B162" s="18">
        <v>136.0</v>
      </c>
      <c r="C162" s="18">
        <v>0.0</v>
      </c>
      <c r="D162" s="18">
        <v>136.0</v>
      </c>
      <c r="E162" s="18">
        <v>50.0</v>
      </c>
      <c r="F162" s="18">
        <v>7.0</v>
      </c>
      <c r="G162" s="18">
        <v>0.0</v>
      </c>
      <c r="H162" s="18">
        <v>7.0</v>
      </c>
      <c r="I162" s="18">
        <v>7.0</v>
      </c>
      <c r="J162" s="18">
        <v>0.0</v>
      </c>
      <c r="K162" s="18">
        <v>7.0</v>
      </c>
      <c r="L162" s="18">
        <v>1.0</v>
      </c>
      <c r="M162" s="18">
        <v>0.0</v>
      </c>
      <c r="N162" s="18">
        <v>1.0</v>
      </c>
      <c r="O162" s="18">
        <v>0.0</v>
      </c>
      <c r="P162" s="18">
        <v>0.0</v>
      </c>
      <c r="Q162" s="18">
        <v>0.0</v>
      </c>
      <c r="R162" s="18">
        <v>0.110294118</v>
      </c>
      <c r="S162" s="18">
        <v>0.0</v>
      </c>
      <c r="T162" s="18">
        <v>0.110294118</v>
      </c>
    </row>
    <row r="163">
      <c r="A163" s="17">
        <v>45634.0</v>
      </c>
      <c r="B163" s="18">
        <v>63.0</v>
      </c>
      <c r="C163" s="18">
        <v>0.0</v>
      </c>
      <c r="D163" s="18">
        <v>63.0</v>
      </c>
      <c r="E163" s="18">
        <v>32.0</v>
      </c>
      <c r="F163" s="18">
        <v>4.0</v>
      </c>
      <c r="G163" s="18">
        <v>0.0</v>
      </c>
      <c r="H163" s="18">
        <v>4.0</v>
      </c>
      <c r="I163" s="18">
        <v>3.0</v>
      </c>
      <c r="J163" s="18">
        <v>0.0</v>
      </c>
      <c r="K163" s="18">
        <v>3.0</v>
      </c>
      <c r="L163" s="18">
        <v>0.0</v>
      </c>
      <c r="M163" s="18">
        <v>0.0</v>
      </c>
      <c r="N163" s="18">
        <v>0.0</v>
      </c>
      <c r="O163" s="18">
        <v>0.0</v>
      </c>
      <c r="P163" s="18">
        <v>0.0</v>
      </c>
      <c r="Q163" s="18">
        <v>0.0</v>
      </c>
      <c r="R163" s="18">
        <v>0.111111111</v>
      </c>
      <c r="S163" s="18">
        <v>0.0</v>
      </c>
      <c r="T163" s="18">
        <v>0.111111111</v>
      </c>
    </row>
    <row r="164">
      <c r="A164" s="17">
        <v>45635.0</v>
      </c>
      <c r="B164" s="18">
        <v>224.0</v>
      </c>
      <c r="C164" s="18">
        <v>0.0</v>
      </c>
      <c r="D164" s="18">
        <v>224.0</v>
      </c>
      <c r="E164" s="18">
        <v>120.0</v>
      </c>
      <c r="F164" s="18">
        <v>26.0</v>
      </c>
      <c r="G164" s="18">
        <v>0.0</v>
      </c>
      <c r="H164" s="18">
        <v>26.0</v>
      </c>
      <c r="I164" s="18">
        <v>7.0</v>
      </c>
      <c r="J164" s="18">
        <v>0.0</v>
      </c>
      <c r="K164" s="18">
        <v>7.0</v>
      </c>
      <c r="L164" s="18">
        <v>0.0</v>
      </c>
      <c r="M164" s="18">
        <v>0.0</v>
      </c>
      <c r="N164" s="18">
        <v>0.0</v>
      </c>
      <c r="O164" s="18">
        <v>0.0</v>
      </c>
      <c r="P164" s="18">
        <v>0.0</v>
      </c>
      <c r="Q164" s="18">
        <v>0.0</v>
      </c>
      <c r="R164" s="18">
        <v>0.147321429</v>
      </c>
      <c r="S164" s="18">
        <v>0.0</v>
      </c>
      <c r="T164" s="18">
        <v>0.147321429</v>
      </c>
    </row>
    <row r="165">
      <c r="A165" s="19">
        <v>45636.0</v>
      </c>
      <c r="B165" s="18">
        <v>218.0</v>
      </c>
      <c r="C165" s="18">
        <v>0.0</v>
      </c>
      <c r="D165" s="18">
        <v>218.0</v>
      </c>
      <c r="E165" s="18">
        <v>108.0</v>
      </c>
      <c r="F165" s="18">
        <v>19.0</v>
      </c>
      <c r="G165" s="18">
        <v>0.0</v>
      </c>
      <c r="H165" s="18">
        <v>19.0</v>
      </c>
      <c r="I165" s="18">
        <v>7.0</v>
      </c>
      <c r="J165" s="18">
        <v>0.0</v>
      </c>
      <c r="K165" s="18">
        <v>7.0</v>
      </c>
      <c r="L165" s="18">
        <v>0.0</v>
      </c>
      <c r="M165" s="18">
        <v>0.0</v>
      </c>
      <c r="N165" s="18">
        <v>0.0</v>
      </c>
      <c r="O165" s="18">
        <v>0.0</v>
      </c>
      <c r="P165" s="18">
        <v>0.0</v>
      </c>
      <c r="Q165" s="18">
        <v>0.0</v>
      </c>
      <c r="R165" s="18">
        <v>0.119266055</v>
      </c>
      <c r="S165" s="18">
        <v>0.0</v>
      </c>
      <c r="T165" s="18">
        <v>0.119266055</v>
      </c>
    </row>
    <row r="166">
      <c r="A166" s="19">
        <v>45637.0</v>
      </c>
      <c r="B166" s="18">
        <v>170.0</v>
      </c>
      <c r="C166" s="18">
        <v>0.0</v>
      </c>
      <c r="D166" s="18">
        <v>170.0</v>
      </c>
      <c r="E166" s="18">
        <v>86.0</v>
      </c>
      <c r="F166" s="18">
        <v>10.0</v>
      </c>
      <c r="G166" s="18">
        <v>0.0</v>
      </c>
      <c r="H166" s="18">
        <v>10.0</v>
      </c>
      <c r="I166" s="18">
        <v>9.0</v>
      </c>
      <c r="J166" s="18">
        <v>0.0</v>
      </c>
      <c r="K166" s="18">
        <v>9.0</v>
      </c>
      <c r="L166" s="18">
        <v>0.0</v>
      </c>
      <c r="M166" s="18">
        <v>0.0</v>
      </c>
      <c r="N166" s="18">
        <v>0.0</v>
      </c>
      <c r="O166" s="18">
        <v>0.0</v>
      </c>
      <c r="P166" s="18">
        <v>0.0</v>
      </c>
      <c r="Q166" s="18">
        <v>0.0</v>
      </c>
      <c r="R166" s="18">
        <v>0.111764706</v>
      </c>
      <c r="S166" s="18">
        <v>0.0</v>
      </c>
      <c r="T166" s="18">
        <v>0.111764706</v>
      </c>
    </row>
    <row r="167">
      <c r="A167" s="19">
        <v>45638.0</v>
      </c>
      <c r="B167" s="18">
        <v>322.0</v>
      </c>
      <c r="C167" s="18">
        <v>0.0</v>
      </c>
      <c r="D167" s="18">
        <v>322.0</v>
      </c>
      <c r="E167" s="18">
        <v>46.0</v>
      </c>
      <c r="F167" s="18">
        <v>25.0</v>
      </c>
      <c r="G167" s="18">
        <v>0.0</v>
      </c>
      <c r="H167" s="18">
        <v>25.0</v>
      </c>
      <c r="I167" s="18">
        <v>8.0</v>
      </c>
      <c r="J167" s="18">
        <v>0.0</v>
      </c>
      <c r="K167" s="18">
        <v>8.0</v>
      </c>
      <c r="L167" s="18">
        <v>0.0</v>
      </c>
      <c r="M167" s="18">
        <v>0.0</v>
      </c>
      <c r="N167" s="18">
        <v>0.0</v>
      </c>
      <c r="O167" s="18">
        <v>1.0</v>
      </c>
      <c r="P167" s="18">
        <v>0.0</v>
      </c>
      <c r="Q167" s="18">
        <v>1.0</v>
      </c>
      <c r="R167" s="18">
        <v>0.105590062</v>
      </c>
      <c r="S167" s="18">
        <v>0.0</v>
      </c>
      <c r="T167" s="18">
        <v>0.105590062</v>
      </c>
    </row>
    <row r="168">
      <c r="A168" s="19">
        <v>45639.0</v>
      </c>
      <c r="B168" s="18">
        <v>111.0</v>
      </c>
      <c r="C168" s="18">
        <v>0.0</v>
      </c>
      <c r="D168" s="18">
        <v>111.0</v>
      </c>
      <c r="E168" s="18">
        <v>51.0</v>
      </c>
      <c r="F168" s="18">
        <v>10.0</v>
      </c>
      <c r="G168" s="18">
        <v>0.0</v>
      </c>
      <c r="H168" s="18">
        <v>10.0</v>
      </c>
      <c r="I168" s="18">
        <v>3.0</v>
      </c>
      <c r="J168" s="18">
        <v>0.0</v>
      </c>
      <c r="K168" s="18">
        <v>3.0</v>
      </c>
      <c r="L168" s="18">
        <v>1.0</v>
      </c>
      <c r="M168" s="18">
        <v>0.0</v>
      </c>
      <c r="N168" s="18">
        <v>1.0</v>
      </c>
      <c r="O168" s="18">
        <v>0.0</v>
      </c>
      <c r="P168" s="18">
        <v>0.0</v>
      </c>
      <c r="Q168" s="18">
        <v>0.0</v>
      </c>
      <c r="R168" s="18">
        <v>0.126126126</v>
      </c>
      <c r="S168" s="18">
        <v>0.0</v>
      </c>
      <c r="T168" s="18">
        <v>0.126126126</v>
      </c>
    </row>
    <row r="169">
      <c r="A169" s="19">
        <v>45640.0</v>
      </c>
      <c r="B169" s="18">
        <v>62.0</v>
      </c>
      <c r="C169" s="18">
        <v>0.0</v>
      </c>
      <c r="D169" s="18">
        <v>62.0</v>
      </c>
      <c r="E169" s="18">
        <v>40.0</v>
      </c>
      <c r="F169" s="18">
        <v>2.0</v>
      </c>
      <c r="G169" s="18">
        <v>0.0</v>
      </c>
      <c r="H169" s="18">
        <v>2.0</v>
      </c>
      <c r="I169" s="18">
        <v>2.0</v>
      </c>
      <c r="J169" s="18">
        <v>0.0</v>
      </c>
      <c r="K169" s="18">
        <v>2.0</v>
      </c>
      <c r="L169" s="18">
        <v>0.0</v>
      </c>
      <c r="M169" s="18">
        <v>0.0</v>
      </c>
      <c r="N169" s="18">
        <v>0.0</v>
      </c>
      <c r="O169" s="18">
        <v>0.0</v>
      </c>
      <c r="P169" s="18">
        <v>0.0</v>
      </c>
      <c r="Q169" s="18">
        <v>0.0</v>
      </c>
      <c r="R169" s="18">
        <v>0.064516129</v>
      </c>
      <c r="S169" s="18">
        <v>0.0</v>
      </c>
      <c r="T169" s="18">
        <v>0.064516129</v>
      </c>
    </row>
    <row r="170">
      <c r="A170" s="19">
        <v>45641.0</v>
      </c>
      <c r="B170" s="18">
        <v>55.0</v>
      </c>
      <c r="C170" s="18">
        <v>0.0</v>
      </c>
      <c r="D170" s="18">
        <v>55.0</v>
      </c>
      <c r="E170" s="18">
        <v>26.0</v>
      </c>
      <c r="F170" s="18">
        <v>6.0</v>
      </c>
      <c r="G170" s="18">
        <v>0.0</v>
      </c>
      <c r="H170" s="18">
        <v>6.0</v>
      </c>
      <c r="I170" s="18">
        <v>2.0</v>
      </c>
      <c r="J170" s="18">
        <v>0.0</v>
      </c>
      <c r="K170" s="18">
        <v>2.0</v>
      </c>
      <c r="L170" s="18">
        <v>0.0</v>
      </c>
      <c r="M170" s="18">
        <v>0.0</v>
      </c>
      <c r="N170" s="18">
        <v>0.0</v>
      </c>
      <c r="O170" s="18">
        <v>0.0</v>
      </c>
      <c r="P170" s="18">
        <v>0.0</v>
      </c>
      <c r="Q170" s="18">
        <v>0.0</v>
      </c>
      <c r="R170" s="18">
        <v>0.145454545</v>
      </c>
      <c r="S170" s="18">
        <v>0.0</v>
      </c>
      <c r="T170" s="18">
        <v>0.145454545</v>
      </c>
    </row>
    <row r="171">
      <c r="A171" s="19">
        <v>45642.0</v>
      </c>
      <c r="B171" s="18">
        <v>108.0</v>
      </c>
      <c r="C171" s="18">
        <v>0.0</v>
      </c>
      <c r="D171" s="18">
        <v>108.0</v>
      </c>
      <c r="E171" s="18">
        <v>49.0</v>
      </c>
      <c r="F171" s="18">
        <v>11.0</v>
      </c>
      <c r="G171" s="18">
        <v>0.0</v>
      </c>
      <c r="H171" s="18">
        <v>11.0</v>
      </c>
      <c r="I171" s="18">
        <v>6.0</v>
      </c>
      <c r="J171" s="18">
        <v>0.0</v>
      </c>
      <c r="K171" s="18">
        <v>6.0</v>
      </c>
      <c r="L171" s="18">
        <v>0.0</v>
      </c>
      <c r="M171" s="18">
        <v>0.0</v>
      </c>
      <c r="N171" s="18">
        <v>0.0</v>
      </c>
      <c r="O171" s="18">
        <v>1.0</v>
      </c>
      <c r="P171" s="18">
        <v>0.0</v>
      </c>
      <c r="Q171" s="18">
        <v>1.0</v>
      </c>
      <c r="R171" s="18">
        <v>0.166666667</v>
      </c>
      <c r="S171" s="18">
        <v>0.0</v>
      </c>
      <c r="T171" s="18">
        <v>0.166666667</v>
      </c>
    </row>
    <row r="172">
      <c r="A172" s="19">
        <v>45643.0</v>
      </c>
      <c r="B172" s="18">
        <v>249.0</v>
      </c>
      <c r="C172" s="18">
        <v>1978.0</v>
      </c>
      <c r="D172" s="18">
        <v>2227.0</v>
      </c>
      <c r="E172" s="18">
        <v>68.0</v>
      </c>
      <c r="F172" s="18">
        <v>15.0</v>
      </c>
      <c r="G172" s="18">
        <v>10.0</v>
      </c>
      <c r="H172" s="18">
        <v>25.0</v>
      </c>
      <c r="I172" s="18">
        <v>8.0</v>
      </c>
      <c r="J172" s="18">
        <v>0.0</v>
      </c>
      <c r="K172" s="18">
        <v>8.0</v>
      </c>
      <c r="L172" s="18">
        <v>0.0</v>
      </c>
      <c r="M172" s="18">
        <v>0.0</v>
      </c>
      <c r="N172" s="18">
        <v>0.0</v>
      </c>
      <c r="O172" s="18">
        <v>0.0</v>
      </c>
      <c r="P172" s="18">
        <v>0.0</v>
      </c>
      <c r="Q172" s="18">
        <v>0.0</v>
      </c>
      <c r="R172" s="18">
        <v>0.092369478</v>
      </c>
      <c r="S172" s="18">
        <v>0.005055612</v>
      </c>
      <c r="T172" s="18">
        <v>0.014818141</v>
      </c>
    </row>
    <row r="173">
      <c r="A173" s="19">
        <v>45644.0</v>
      </c>
      <c r="B173" s="18">
        <v>459.0</v>
      </c>
      <c r="C173" s="18">
        <v>2419.0</v>
      </c>
      <c r="D173" s="18">
        <v>2878.0</v>
      </c>
      <c r="E173" s="18">
        <v>201.0</v>
      </c>
      <c r="F173" s="18">
        <v>39.0</v>
      </c>
      <c r="G173" s="18">
        <v>18.0</v>
      </c>
      <c r="H173" s="18">
        <v>57.0</v>
      </c>
      <c r="I173" s="18">
        <v>21.0</v>
      </c>
      <c r="J173" s="18">
        <v>0.0</v>
      </c>
      <c r="K173" s="18">
        <v>21.0</v>
      </c>
      <c r="L173" s="18">
        <v>1.0</v>
      </c>
      <c r="M173" s="18">
        <v>0.0</v>
      </c>
      <c r="N173" s="18">
        <v>1.0</v>
      </c>
      <c r="O173" s="18">
        <v>1.0</v>
      </c>
      <c r="P173" s="18">
        <v>0.0</v>
      </c>
      <c r="Q173" s="18">
        <v>1.0</v>
      </c>
      <c r="R173" s="18">
        <v>0.135076253</v>
      </c>
      <c r="S173" s="18">
        <v>0.007441091</v>
      </c>
      <c r="T173" s="18">
        <v>0.027797081</v>
      </c>
    </row>
    <row r="174">
      <c r="A174" s="19">
        <v>45645.0</v>
      </c>
      <c r="B174" s="18">
        <v>299.0</v>
      </c>
      <c r="C174" s="18">
        <v>2276.0</v>
      </c>
      <c r="D174" s="18">
        <v>2575.0</v>
      </c>
      <c r="E174" s="18">
        <v>131.0</v>
      </c>
      <c r="F174" s="18">
        <v>12.0</v>
      </c>
      <c r="G174" s="18">
        <v>20.0</v>
      </c>
      <c r="H174" s="18">
        <v>32.0</v>
      </c>
      <c r="I174" s="18">
        <v>17.0</v>
      </c>
      <c r="J174" s="18">
        <v>0.0</v>
      </c>
      <c r="K174" s="18">
        <v>17.0</v>
      </c>
      <c r="L174" s="18">
        <v>1.0</v>
      </c>
      <c r="M174" s="18">
        <v>0.0</v>
      </c>
      <c r="N174" s="18">
        <v>1.0</v>
      </c>
      <c r="O174" s="18">
        <v>0.0</v>
      </c>
      <c r="P174" s="18">
        <v>0.0</v>
      </c>
      <c r="Q174" s="18">
        <v>0.0</v>
      </c>
      <c r="R174" s="18">
        <v>0.100334448</v>
      </c>
      <c r="S174" s="18">
        <v>0.008787346</v>
      </c>
      <c r="T174" s="18">
        <v>0.019417476</v>
      </c>
    </row>
    <row r="175">
      <c r="A175" s="19">
        <v>45646.0</v>
      </c>
      <c r="B175" s="18">
        <v>212.0</v>
      </c>
      <c r="C175" s="18">
        <v>2058.0</v>
      </c>
      <c r="D175" s="18">
        <v>2270.0</v>
      </c>
      <c r="E175" s="18">
        <v>115.0</v>
      </c>
      <c r="F175" s="18">
        <v>16.0</v>
      </c>
      <c r="G175" s="18">
        <v>14.0</v>
      </c>
      <c r="H175" s="18">
        <v>30.0</v>
      </c>
      <c r="I175" s="18">
        <v>7.0</v>
      </c>
      <c r="J175" s="18">
        <v>0.0</v>
      </c>
      <c r="K175" s="18">
        <v>7.0</v>
      </c>
      <c r="L175" s="18">
        <v>0.0</v>
      </c>
      <c r="M175" s="18">
        <v>0.0</v>
      </c>
      <c r="N175" s="18">
        <v>0.0</v>
      </c>
      <c r="O175" s="18">
        <v>1.0</v>
      </c>
      <c r="P175" s="18">
        <v>0.0</v>
      </c>
      <c r="Q175" s="18">
        <v>1.0</v>
      </c>
      <c r="R175" s="18">
        <v>0.113207547</v>
      </c>
      <c r="S175" s="18">
        <v>0.006802721</v>
      </c>
      <c r="T175" s="18">
        <v>0.016740088</v>
      </c>
    </row>
    <row r="176">
      <c r="A176" s="19">
        <v>45647.0</v>
      </c>
      <c r="B176" s="18">
        <v>277.0</v>
      </c>
      <c r="C176" s="18">
        <v>1146.0</v>
      </c>
      <c r="D176" s="18">
        <v>1423.0</v>
      </c>
      <c r="E176" s="18">
        <v>143.0</v>
      </c>
      <c r="F176" s="18">
        <v>16.0</v>
      </c>
      <c r="G176" s="18">
        <v>18.0</v>
      </c>
      <c r="H176" s="18">
        <v>34.0</v>
      </c>
      <c r="I176" s="18">
        <v>18.0</v>
      </c>
      <c r="J176" s="18">
        <v>0.0</v>
      </c>
      <c r="K176" s="18">
        <v>18.0</v>
      </c>
      <c r="L176" s="18">
        <v>2.0</v>
      </c>
      <c r="M176" s="18">
        <v>0.0</v>
      </c>
      <c r="N176" s="18">
        <v>2.0</v>
      </c>
      <c r="O176" s="18">
        <v>1.0</v>
      </c>
      <c r="P176" s="18">
        <v>0.0</v>
      </c>
      <c r="Q176" s="18">
        <v>1.0</v>
      </c>
      <c r="R176" s="18">
        <v>0.133574007</v>
      </c>
      <c r="S176" s="18">
        <v>0.015706806</v>
      </c>
      <c r="T176" s="18">
        <v>0.038650738</v>
      </c>
    </row>
    <row r="177">
      <c r="A177" s="19">
        <v>45648.0</v>
      </c>
      <c r="B177" s="18">
        <v>89.0</v>
      </c>
      <c r="C177" s="18">
        <v>1303.0</v>
      </c>
      <c r="D177" s="18">
        <v>1392.0</v>
      </c>
      <c r="E177" s="18">
        <v>50.0</v>
      </c>
      <c r="F177" s="18">
        <v>4.0</v>
      </c>
      <c r="G177" s="18">
        <v>15.0</v>
      </c>
      <c r="H177" s="18">
        <v>19.0</v>
      </c>
      <c r="I177" s="18">
        <v>2.0</v>
      </c>
      <c r="J177" s="18">
        <v>0.0</v>
      </c>
      <c r="K177" s="18">
        <v>2.0</v>
      </c>
      <c r="L177" s="18">
        <v>0.0</v>
      </c>
      <c r="M177" s="18">
        <v>0.0</v>
      </c>
      <c r="N177" s="18">
        <v>0.0</v>
      </c>
      <c r="O177" s="18">
        <v>0.0</v>
      </c>
      <c r="P177" s="18">
        <v>0.0</v>
      </c>
      <c r="Q177" s="18">
        <v>0.0</v>
      </c>
      <c r="R177" s="18">
        <v>0.06741573</v>
      </c>
      <c r="S177" s="18">
        <v>0.011511896</v>
      </c>
      <c r="T177" s="18">
        <v>0.015086207</v>
      </c>
    </row>
    <row r="178">
      <c r="A178" s="19">
        <v>45649.0</v>
      </c>
      <c r="B178" s="18">
        <v>101.0</v>
      </c>
      <c r="C178" s="18">
        <v>1742.0</v>
      </c>
      <c r="D178" s="18">
        <v>1843.0</v>
      </c>
      <c r="E178" s="18">
        <v>63.0</v>
      </c>
      <c r="F178" s="18">
        <v>3.0</v>
      </c>
      <c r="G178" s="18">
        <v>16.0</v>
      </c>
      <c r="H178" s="18">
        <v>19.0</v>
      </c>
      <c r="I178" s="18">
        <v>2.0</v>
      </c>
      <c r="J178" s="18">
        <v>0.0</v>
      </c>
      <c r="K178" s="18">
        <v>2.0</v>
      </c>
      <c r="L178" s="18">
        <v>0.0</v>
      </c>
      <c r="M178" s="18">
        <v>0.0</v>
      </c>
      <c r="N178" s="18">
        <v>0.0</v>
      </c>
      <c r="O178" s="18">
        <v>0.0</v>
      </c>
      <c r="P178" s="18">
        <v>0.0</v>
      </c>
      <c r="Q178" s="18">
        <v>0.0</v>
      </c>
      <c r="R178" s="18">
        <v>0.04950495</v>
      </c>
      <c r="S178" s="18">
        <v>0.009184845</v>
      </c>
      <c r="T178" s="18">
        <v>0.011394466</v>
      </c>
    </row>
    <row r="179">
      <c r="A179" s="19">
        <v>45650.0</v>
      </c>
      <c r="B179" s="18">
        <v>77.0</v>
      </c>
      <c r="C179" s="18">
        <v>1489.0</v>
      </c>
      <c r="D179" s="18">
        <v>1566.0</v>
      </c>
      <c r="E179" s="18">
        <v>40.0</v>
      </c>
      <c r="F179" s="18">
        <v>4.0</v>
      </c>
      <c r="G179" s="18">
        <v>12.0</v>
      </c>
      <c r="H179" s="18">
        <v>16.0</v>
      </c>
      <c r="I179" s="18">
        <v>3.0</v>
      </c>
      <c r="J179" s="18">
        <v>0.0</v>
      </c>
      <c r="K179" s="18">
        <v>3.0</v>
      </c>
      <c r="L179" s="18">
        <v>0.0</v>
      </c>
      <c r="M179" s="18">
        <v>0.0</v>
      </c>
      <c r="N179" s="18">
        <v>0.0</v>
      </c>
      <c r="O179" s="18">
        <v>2.0</v>
      </c>
      <c r="P179" s="18">
        <v>0.0</v>
      </c>
      <c r="Q179" s="18">
        <v>2.0</v>
      </c>
      <c r="R179" s="18">
        <v>0.116883117</v>
      </c>
      <c r="S179" s="18">
        <v>0.0080591</v>
      </c>
      <c r="T179" s="18">
        <v>0.013409962</v>
      </c>
    </row>
    <row r="180">
      <c r="A180" s="19">
        <v>45651.0</v>
      </c>
      <c r="B180" s="18">
        <v>40.0</v>
      </c>
      <c r="C180" s="18">
        <v>1206.0</v>
      </c>
      <c r="D180" s="18">
        <v>1246.0</v>
      </c>
      <c r="E180" s="18">
        <v>22.0</v>
      </c>
      <c r="F180" s="18">
        <v>2.0</v>
      </c>
      <c r="G180" s="18">
        <v>6.0</v>
      </c>
      <c r="H180" s="18">
        <v>8.0</v>
      </c>
      <c r="I180" s="18">
        <v>1.0</v>
      </c>
      <c r="J180" s="18">
        <v>0.0</v>
      </c>
      <c r="K180" s="18">
        <v>1.0</v>
      </c>
      <c r="L180" s="18">
        <v>0.0</v>
      </c>
      <c r="M180" s="18">
        <v>0.0</v>
      </c>
      <c r="N180" s="18">
        <v>0.0</v>
      </c>
      <c r="O180" s="18">
        <v>0.0</v>
      </c>
      <c r="P180" s="18">
        <v>0.0</v>
      </c>
      <c r="Q180" s="18">
        <v>0.0</v>
      </c>
      <c r="R180" s="18">
        <v>0.075</v>
      </c>
      <c r="S180" s="18">
        <v>0.004975124</v>
      </c>
      <c r="T180" s="18">
        <v>0.007223114</v>
      </c>
    </row>
    <row r="181">
      <c r="A181" s="19">
        <v>45652.0</v>
      </c>
      <c r="B181" s="18">
        <v>59.0</v>
      </c>
      <c r="C181" s="18">
        <v>1239.0</v>
      </c>
      <c r="D181" s="18">
        <v>1298.0</v>
      </c>
      <c r="E181" s="18">
        <v>36.0</v>
      </c>
      <c r="F181" s="18">
        <v>5.0</v>
      </c>
      <c r="G181" s="18">
        <v>16.0</v>
      </c>
      <c r="H181" s="18">
        <v>21.0</v>
      </c>
      <c r="I181" s="18">
        <v>1.0</v>
      </c>
      <c r="J181" s="18">
        <v>0.0</v>
      </c>
      <c r="K181" s="18">
        <v>1.0</v>
      </c>
      <c r="L181" s="18">
        <v>0.0</v>
      </c>
      <c r="M181" s="18">
        <v>0.0</v>
      </c>
      <c r="N181" s="18">
        <v>0.0</v>
      </c>
      <c r="O181" s="18">
        <v>0.0</v>
      </c>
      <c r="P181" s="18">
        <v>0.0</v>
      </c>
      <c r="Q181" s="18">
        <v>0.0</v>
      </c>
      <c r="R181" s="18">
        <v>0.101694915</v>
      </c>
      <c r="S181" s="18">
        <v>0.01291364</v>
      </c>
      <c r="T181" s="18">
        <v>0.016949153</v>
      </c>
    </row>
    <row r="182">
      <c r="A182" s="19">
        <v>45653.0</v>
      </c>
      <c r="B182" s="18">
        <v>65.0</v>
      </c>
      <c r="C182" s="18">
        <v>1733.0</v>
      </c>
      <c r="D182" s="18">
        <v>1798.0</v>
      </c>
      <c r="E182" s="18">
        <v>40.0</v>
      </c>
      <c r="F182" s="18">
        <v>2.0</v>
      </c>
      <c r="G182" s="18">
        <v>13.0</v>
      </c>
      <c r="H182" s="18">
        <v>15.0</v>
      </c>
      <c r="I182" s="18">
        <v>1.0</v>
      </c>
      <c r="J182" s="18">
        <v>0.0</v>
      </c>
      <c r="K182" s="18">
        <v>1.0</v>
      </c>
      <c r="L182" s="18">
        <v>0.0</v>
      </c>
      <c r="M182" s="18">
        <v>0.0</v>
      </c>
      <c r="N182" s="18">
        <v>0.0</v>
      </c>
      <c r="O182" s="18">
        <v>0.0</v>
      </c>
      <c r="P182" s="18">
        <v>0.0</v>
      </c>
      <c r="Q182" s="18">
        <v>0.0</v>
      </c>
      <c r="R182" s="18">
        <v>0.046153846</v>
      </c>
      <c r="S182" s="18">
        <v>0.007501443</v>
      </c>
      <c r="T182" s="18">
        <v>0.008898776</v>
      </c>
    </row>
    <row r="183">
      <c r="A183" s="19">
        <v>45654.0</v>
      </c>
      <c r="B183" s="18">
        <v>60.0</v>
      </c>
      <c r="C183" s="18">
        <v>1106.0</v>
      </c>
      <c r="D183" s="18">
        <v>1166.0</v>
      </c>
      <c r="E183" s="18">
        <v>29.0</v>
      </c>
      <c r="F183" s="18">
        <v>0.0</v>
      </c>
      <c r="G183" s="18">
        <v>5.0</v>
      </c>
      <c r="H183" s="18">
        <v>5.0</v>
      </c>
      <c r="I183" s="18">
        <v>3.0</v>
      </c>
      <c r="J183" s="18">
        <v>0.0</v>
      </c>
      <c r="K183" s="18">
        <v>3.0</v>
      </c>
      <c r="L183" s="18">
        <v>0.0</v>
      </c>
      <c r="M183" s="18">
        <v>0.0</v>
      </c>
      <c r="N183" s="18">
        <v>0.0</v>
      </c>
      <c r="O183" s="18">
        <v>0.0</v>
      </c>
      <c r="P183" s="18">
        <v>0.0</v>
      </c>
      <c r="Q183" s="18">
        <v>0.0</v>
      </c>
      <c r="R183" s="18">
        <v>0.05</v>
      </c>
      <c r="S183" s="18">
        <v>0.004520796</v>
      </c>
      <c r="T183" s="18">
        <v>0.006861063</v>
      </c>
    </row>
    <row r="184">
      <c r="A184" s="19">
        <v>45655.0</v>
      </c>
      <c r="B184" s="18">
        <v>66.0</v>
      </c>
      <c r="C184" s="18">
        <v>1253.0</v>
      </c>
      <c r="D184" s="18">
        <v>1319.0</v>
      </c>
      <c r="E184" s="18">
        <v>37.0</v>
      </c>
      <c r="F184" s="18">
        <v>6.0</v>
      </c>
      <c r="G184" s="18">
        <v>7.0</v>
      </c>
      <c r="H184" s="18">
        <v>13.0</v>
      </c>
      <c r="I184" s="18">
        <v>3.0</v>
      </c>
      <c r="J184" s="18">
        <v>0.0</v>
      </c>
      <c r="K184" s="18">
        <v>3.0</v>
      </c>
      <c r="L184" s="18">
        <v>0.0</v>
      </c>
      <c r="M184" s="18">
        <v>0.0</v>
      </c>
      <c r="N184" s="18">
        <v>0.0</v>
      </c>
      <c r="O184" s="18">
        <v>0.0</v>
      </c>
      <c r="P184" s="18">
        <v>0.0</v>
      </c>
      <c r="Q184" s="18">
        <v>0.0</v>
      </c>
      <c r="R184" s="18">
        <v>0.136363636</v>
      </c>
      <c r="S184" s="18">
        <v>0.005586592</v>
      </c>
      <c r="T184" s="18">
        <v>0.012130402</v>
      </c>
    </row>
    <row r="185">
      <c r="A185" s="19">
        <v>45656.0</v>
      </c>
      <c r="B185" s="18">
        <v>76.0</v>
      </c>
      <c r="C185" s="18">
        <v>1382.0</v>
      </c>
      <c r="D185" s="18">
        <v>1458.0</v>
      </c>
      <c r="E185" s="18">
        <v>40.0</v>
      </c>
      <c r="F185" s="18">
        <v>5.0</v>
      </c>
      <c r="G185" s="18">
        <v>6.0</v>
      </c>
      <c r="H185" s="18">
        <v>11.0</v>
      </c>
      <c r="I185" s="18">
        <v>4.0</v>
      </c>
      <c r="J185" s="18">
        <v>0.0</v>
      </c>
      <c r="K185" s="18">
        <v>4.0</v>
      </c>
      <c r="L185" s="18">
        <v>0.0</v>
      </c>
      <c r="M185" s="18">
        <v>0.0</v>
      </c>
      <c r="N185" s="18">
        <v>0.0</v>
      </c>
      <c r="O185" s="18">
        <v>0.0</v>
      </c>
      <c r="P185" s="18">
        <v>0.0</v>
      </c>
      <c r="Q185" s="18">
        <v>0.0</v>
      </c>
      <c r="R185" s="18">
        <v>0.118421053</v>
      </c>
      <c r="S185" s="18">
        <v>0.004341534</v>
      </c>
      <c r="T185" s="18">
        <v>0.010288066</v>
      </c>
    </row>
    <row r="186">
      <c r="A186" s="19">
        <v>45657.0</v>
      </c>
      <c r="B186" s="18">
        <v>64.0</v>
      </c>
      <c r="C186" s="18">
        <v>1960.0</v>
      </c>
      <c r="D186" s="18">
        <v>2024.0</v>
      </c>
      <c r="E186" s="18">
        <v>29.0</v>
      </c>
      <c r="F186" s="18">
        <v>7.0</v>
      </c>
      <c r="G186" s="18">
        <v>15.0</v>
      </c>
      <c r="H186" s="18">
        <v>22.0</v>
      </c>
      <c r="I186" s="18">
        <v>0.0</v>
      </c>
      <c r="J186" s="18">
        <v>0.0</v>
      </c>
      <c r="K186" s="18">
        <v>0.0</v>
      </c>
      <c r="L186" s="18">
        <v>0.0</v>
      </c>
      <c r="M186" s="18">
        <v>0.0</v>
      </c>
      <c r="N186" s="18">
        <v>0.0</v>
      </c>
      <c r="O186" s="18">
        <v>0.0</v>
      </c>
      <c r="P186" s="18">
        <v>0.0</v>
      </c>
      <c r="Q186" s="18">
        <v>0.0</v>
      </c>
      <c r="R186" s="18">
        <v>0.109375</v>
      </c>
      <c r="S186" s="18">
        <v>0.007653061</v>
      </c>
      <c r="T186" s="18">
        <v>0.010869565</v>
      </c>
    </row>
    <row r="187">
      <c r="A187" s="17">
        <v>45658.0</v>
      </c>
      <c r="B187" s="18">
        <v>99.0</v>
      </c>
      <c r="C187" s="18">
        <v>0.0</v>
      </c>
      <c r="D187" s="18">
        <v>99.0</v>
      </c>
      <c r="E187" s="18">
        <v>62.0</v>
      </c>
      <c r="F187" s="18">
        <v>0.0</v>
      </c>
      <c r="G187" s="18">
        <v>0.0</v>
      </c>
      <c r="H187" s="18">
        <v>0.0</v>
      </c>
      <c r="I187" s="18">
        <v>7.0</v>
      </c>
      <c r="J187" s="18">
        <v>0.0</v>
      </c>
      <c r="K187" s="18">
        <v>7.0</v>
      </c>
      <c r="L187" s="18">
        <v>0.0</v>
      </c>
      <c r="M187" s="18">
        <v>0.0</v>
      </c>
      <c r="N187" s="18">
        <v>0.0</v>
      </c>
      <c r="O187" s="18">
        <v>0.0</v>
      </c>
      <c r="P187" s="18">
        <v>0.0</v>
      </c>
      <c r="Q187" s="18">
        <v>0.0</v>
      </c>
      <c r="R187" s="18">
        <v>0.070707071</v>
      </c>
      <c r="S187" s="18">
        <v>0.0</v>
      </c>
      <c r="T187" s="18">
        <v>0.070707071</v>
      </c>
    </row>
    <row r="188">
      <c r="A188" s="17">
        <v>45659.0</v>
      </c>
      <c r="B188" s="18">
        <v>182.0</v>
      </c>
      <c r="C188" s="18">
        <v>0.0</v>
      </c>
      <c r="D188" s="18">
        <v>182.0</v>
      </c>
      <c r="E188" s="18">
        <v>69.0</v>
      </c>
      <c r="F188" s="18">
        <v>8.0</v>
      </c>
      <c r="G188" s="18">
        <v>0.0</v>
      </c>
      <c r="H188" s="18">
        <v>8.0</v>
      </c>
      <c r="I188" s="18">
        <v>10.0</v>
      </c>
      <c r="J188" s="18">
        <v>0.0</v>
      </c>
      <c r="K188" s="18">
        <v>10.0</v>
      </c>
      <c r="L188" s="18">
        <v>0.0</v>
      </c>
      <c r="M188" s="18">
        <v>0.0</v>
      </c>
      <c r="N188" s="18">
        <v>0.0</v>
      </c>
      <c r="O188" s="18">
        <v>0.0</v>
      </c>
      <c r="P188" s="18">
        <v>0.0</v>
      </c>
      <c r="Q188" s="18">
        <v>0.0</v>
      </c>
      <c r="R188" s="18">
        <v>0.098901099</v>
      </c>
      <c r="S188" s="18">
        <v>0.0</v>
      </c>
      <c r="T188" s="18">
        <v>0.098901099</v>
      </c>
    </row>
    <row r="189">
      <c r="A189" s="17">
        <v>45660.0</v>
      </c>
      <c r="B189" s="18">
        <v>187.0</v>
      </c>
      <c r="C189" s="18">
        <v>0.0</v>
      </c>
      <c r="D189" s="18">
        <v>187.0</v>
      </c>
      <c r="E189" s="18">
        <v>85.0</v>
      </c>
      <c r="F189" s="18">
        <v>10.0</v>
      </c>
      <c r="G189" s="18">
        <v>0.0</v>
      </c>
      <c r="H189" s="18">
        <v>10.0</v>
      </c>
      <c r="I189" s="18">
        <v>7.0</v>
      </c>
      <c r="J189" s="18">
        <v>0.0</v>
      </c>
      <c r="K189" s="18">
        <v>7.0</v>
      </c>
      <c r="L189" s="18">
        <v>0.0</v>
      </c>
      <c r="M189" s="18">
        <v>0.0</v>
      </c>
      <c r="N189" s="18">
        <v>0.0</v>
      </c>
      <c r="O189" s="18">
        <v>0.0</v>
      </c>
      <c r="P189" s="18">
        <v>0.0</v>
      </c>
      <c r="Q189" s="18">
        <v>0.0</v>
      </c>
      <c r="R189" s="18">
        <v>0.090909091</v>
      </c>
      <c r="S189" s="18">
        <v>0.0</v>
      </c>
      <c r="T189" s="18">
        <v>0.090909091</v>
      </c>
    </row>
    <row r="190">
      <c r="A190" s="17">
        <v>45661.0</v>
      </c>
      <c r="B190" s="18">
        <v>33.0</v>
      </c>
      <c r="C190" s="18">
        <v>0.0</v>
      </c>
      <c r="D190" s="18">
        <v>33.0</v>
      </c>
      <c r="E190" s="18">
        <v>22.0</v>
      </c>
      <c r="F190" s="18">
        <v>1.0</v>
      </c>
      <c r="G190" s="18">
        <v>0.0</v>
      </c>
      <c r="H190" s="18">
        <v>1.0</v>
      </c>
      <c r="I190" s="18">
        <v>0.0</v>
      </c>
      <c r="J190" s="18">
        <v>0.0</v>
      </c>
      <c r="K190" s="18">
        <v>0.0</v>
      </c>
      <c r="L190" s="18">
        <v>0.0</v>
      </c>
      <c r="M190" s="18">
        <v>0.0</v>
      </c>
      <c r="N190" s="18">
        <v>0.0</v>
      </c>
      <c r="O190" s="18">
        <v>0.0</v>
      </c>
      <c r="P190" s="18">
        <v>0.0</v>
      </c>
      <c r="Q190" s="18">
        <v>0.0</v>
      </c>
      <c r="R190" s="18">
        <v>0.03030303</v>
      </c>
      <c r="S190" s="18">
        <v>0.0</v>
      </c>
      <c r="T190" s="18">
        <v>0.03030303</v>
      </c>
    </row>
    <row r="191">
      <c r="A191" s="17">
        <v>45662.0</v>
      </c>
      <c r="B191" s="18">
        <v>71.0</v>
      </c>
      <c r="C191" s="18">
        <v>0.0</v>
      </c>
      <c r="D191" s="18">
        <v>71.0</v>
      </c>
      <c r="E191" s="18">
        <v>24.0</v>
      </c>
      <c r="F191" s="18">
        <v>2.0</v>
      </c>
      <c r="G191" s="18">
        <v>0.0</v>
      </c>
      <c r="H191" s="18">
        <v>2.0</v>
      </c>
      <c r="I191" s="18">
        <v>1.0</v>
      </c>
      <c r="J191" s="18">
        <v>0.0</v>
      </c>
      <c r="K191" s="18">
        <v>1.0</v>
      </c>
      <c r="L191" s="18">
        <v>0.0</v>
      </c>
      <c r="M191" s="18">
        <v>0.0</v>
      </c>
      <c r="N191" s="18">
        <v>0.0</v>
      </c>
      <c r="O191" s="18">
        <v>0.0</v>
      </c>
      <c r="P191" s="18">
        <v>0.0</v>
      </c>
      <c r="Q191" s="18">
        <v>0.0</v>
      </c>
      <c r="R191" s="18">
        <v>0.042253521</v>
      </c>
      <c r="S191" s="18">
        <v>0.0</v>
      </c>
      <c r="T191" s="18">
        <v>0.042253521</v>
      </c>
    </row>
    <row r="192">
      <c r="A192" s="17">
        <v>45663.0</v>
      </c>
      <c r="B192" s="18">
        <v>70.0</v>
      </c>
      <c r="C192" s="18">
        <v>0.0</v>
      </c>
      <c r="D192" s="18">
        <v>70.0</v>
      </c>
      <c r="E192" s="18">
        <v>33.0</v>
      </c>
      <c r="F192" s="18">
        <v>1.0</v>
      </c>
      <c r="G192" s="18">
        <v>0.0</v>
      </c>
      <c r="H192" s="18">
        <v>1.0</v>
      </c>
      <c r="I192" s="18">
        <v>4.0</v>
      </c>
      <c r="J192" s="18">
        <v>0.0</v>
      </c>
      <c r="K192" s="18">
        <v>4.0</v>
      </c>
      <c r="L192" s="18">
        <v>0.0</v>
      </c>
      <c r="M192" s="18">
        <v>0.0</v>
      </c>
      <c r="N192" s="18">
        <v>0.0</v>
      </c>
      <c r="O192" s="18">
        <v>1.0</v>
      </c>
      <c r="P192" s="18">
        <v>0.0</v>
      </c>
      <c r="Q192" s="18">
        <v>1.0</v>
      </c>
      <c r="R192" s="18">
        <v>0.085714286</v>
      </c>
      <c r="S192" s="18">
        <v>0.0</v>
      </c>
      <c r="T192" s="18">
        <v>0.085714286</v>
      </c>
    </row>
    <row r="193">
      <c r="A193" s="17">
        <v>45664.0</v>
      </c>
      <c r="B193" s="18">
        <v>60.0</v>
      </c>
      <c r="C193" s="18">
        <v>0.0</v>
      </c>
      <c r="D193" s="18">
        <v>60.0</v>
      </c>
      <c r="E193" s="18">
        <v>33.0</v>
      </c>
      <c r="F193" s="18">
        <v>1.0</v>
      </c>
      <c r="G193" s="18">
        <v>0.0</v>
      </c>
      <c r="H193" s="18">
        <v>1.0</v>
      </c>
      <c r="I193" s="18">
        <v>1.0</v>
      </c>
      <c r="J193" s="18">
        <v>0.0</v>
      </c>
      <c r="K193" s="18">
        <v>1.0</v>
      </c>
      <c r="L193" s="18">
        <v>0.0</v>
      </c>
      <c r="M193" s="18">
        <v>0.0</v>
      </c>
      <c r="N193" s="18">
        <v>0.0</v>
      </c>
      <c r="O193" s="18">
        <v>0.0</v>
      </c>
      <c r="P193" s="18">
        <v>0.0</v>
      </c>
      <c r="Q193" s="18">
        <v>0.0</v>
      </c>
      <c r="R193" s="18">
        <v>0.033333333</v>
      </c>
      <c r="S193" s="18">
        <v>0.0</v>
      </c>
      <c r="T193" s="18">
        <v>0.033333333</v>
      </c>
    </row>
    <row r="194">
      <c r="A194" s="17">
        <v>45665.0</v>
      </c>
      <c r="B194" s="18">
        <v>100.0</v>
      </c>
      <c r="C194" s="18">
        <v>0.0</v>
      </c>
      <c r="D194" s="18">
        <v>100.0</v>
      </c>
      <c r="E194" s="18">
        <v>30.0</v>
      </c>
      <c r="F194" s="18">
        <v>0.0</v>
      </c>
      <c r="G194" s="18">
        <v>0.0</v>
      </c>
      <c r="H194" s="18">
        <v>0.0</v>
      </c>
      <c r="I194" s="18">
        <v>1.0</v>
      </c>
      <c r="J194" s="18">
        <v>0.0</v>
      </c>
      <c r="K194" s="18">
        <v>1.0</v>
      </c>
      <c r="L194" s="18">
        <v>0.0</v>
      </c>
      <c r="M194" s="18">
        <v>0.0</v>
      </c>
      <c r="N194" s="18">
        <v>0.0</v>
      </c>
      <c r="O194" s="18">
        <v>0.0</v>
      </c>
      <c r="P194" s="18">
        <v>0.0</v>
      </c>
      <c r="Q194" s="18">
        <v>0.0</v>
      </c>
      <c r="R194" s="18">
        <v>0.01</v>
      </c>
      <c r="S194" s="18">
        <v>0.0</v>
      </c>
      <c r="T194" s="18">
        <v>0.01</v>
      </c>
    </row>
    <row r="195">
      <c r="A195" s="17">
        <v>45666.0</v>
      </c>
      <c r="B195" s="18">
        <v>54.0</v>
      </c>
      <c r="C195" s="18">
        <v>0.0</v>
      </c>
      <c r="D195" s="18">
        <v>54.0</v>
      </c>
      <c r="E195" s="18">
        <v>23.0</v>
      </c>
      <c r="F195" s="18">
        <v>2.0</v>
      </c>
      <c r="G195" s="18">
        <v>0.0</v>
      </c>
      <c r="H195" s="18">
        <v>2.0</v>
      </c>
      <c r="I195" s="18">
        <v>1.0</v>
      </c>
      <c r="J195" s="18">
        <v>0.0</v>
      </c>
      <c r="K195" s="18">
        <v>1.0</v>
      </c>
      <c r="L195" s="18">
        <v>0.0</v>
      </c>
      <c r="M195" s="18">
        <v>0.0</v>
      </c>
      <c r="N195" s="18">
        <v>0.0</v>
      </c>
      <c r="O195" s="18">
        <v>0.0</v>
      </c>
      <c r="P195" s="18">
        <v>0.0</v>
      </c>
      <c r="Q195" s="18">
        <v>0.0</v>
      </c>
      <c r="R195" s="18">
        <v>0.055555556</v>
      </c>
      <c r="S195" s="18">
        <v>0.0</v>
      </c>
      <c r="T195" s="18">
        <v>0.055555556</v>
      </c>
    </row>
    <row r="196">
      <c r="A196" s="17">
        <v>45667.0</v>
      </c>
      <c r="B196" s="18">
        <v>177.0</v>
      </c>
      <c r="C196" s="18">
        <v>0.0</v>
      </c>
      <c r="D196" s="18">
        <v>177.0</v>
      </c>
      <c r="E196" s="18">
        <v>21.0</v>
      </c>
      <c r="F196" s="18">
        <v>0.0</v>
      </c>
      <c r="G196" s="18">
        <v>0.0</v>
      </c>
      <c r="H196" s="18">
        <v>0.0</v>
      </c>
      <c r="I196" s="18">
        <v>2.0</v>
      </c>
      <c r="J196" s="18">
        <v>0.0</v>
      </c>
      <c r="K196" s="18">
        <v>2.0</v>
      </c>
      <c r="L196" s="18">
        <v>0.0</v>
      </c>
      <c r="M196" s="18">
        <v>0.0</v>
      </c>
      <c r="N196" s="18">
        <v>0.0</v>
      </c>
      <c r="O196" s="18">
        <v>0.0</v>
      </c>
      <c r="P196" s="18">
        <v>0.0</v>
      </c>
      <c r="Q196" s="18">
        <v>0.0</v>
      </c>
      <c r="R196" s="18">
        <v>0.011299435</v>
      </c>
      <c r="S196" s="18">
        <v>0.0</v>
      </c>
      <c r="T196" s="18">
        <v>0.011299435</v>
      </c>
    </row>
    <row r="197">
      <c r="A197" s="17">
        <v>45668.0</v>
      </c>
      <c r="B197" s="18">
        <v>79.0</v>
      </c>
      <c r="C197" s="18">
        <v>0.0</v>
      </c>
      <c r="D197" s="18">
        <v>79.0</v>
      </c>
      <c r="E197" s="18">
        <v>22.0</v>
      </c>
      <c r="F197" s="18">
        <v>3.0</v>
      </c>
      <c r="G197" s="18">
        <v>0.0</v>
      </c>
      <c r="H197" s="18">
        <v>3.0</v>
      </c>
      <c r="I197" s="18">
        <v>2.0</v>
      </c>
      <c r="J197" s="18">
        <v>0.0</v>
      </c>
      <c r="K197" s="18">
        <v>2.0</v>
      </c>
      <c r="L197" s="18">
        <v>0.0</v>
      </c>
      <c r="M197" s="18">
        <v>0.0</v>
      </c>
      <c r="N197" s="18">
        <v>0.0</v>
      </c>
      <c r="O197" s="18">
        <v>0.0</v>
      </c>
      <c r="P197" s="18">
        <v>0.0</v>
      </c>
      <c r="Q197" s="18">
        <v>0.0</v>
      </c>
      <c r="R197" s="18">
        <v>0.063291139</v>
      </c>
      <c r="S197" s="18">
        <v>0.0</v>
      </c>
      <c r="T197" s="18">
        <v>0.063291139</v>
      </c>
    </row>
    <row r="198">
      <c r="A198" s="17">
        <v>45669.0</v>
      </c>
      <c r="B198" s="18">
        <v>33.0</v>
      </c>
      <c r="C198" s="18">
        <v>0.0</v>
      </c>
      <c r="D198" s="18">
        <v>33.0</v>
      </c>
      <c r="E198" s="18">
        <v>10.0</v>
      </c>
      <c r="F198" s="18">
        <v>0.0</v>
      </c>
      <c r="G198" s="18">
        <v>0.0</v>
      </c>
      <c r="H198" s="18">
        <v>0.0</v>
      </c>
      <c r="I198" s="18">
        <v>0.0</v>
      </c>
      <c r="J198" s="18">
        <v>0.0</v>
      </c>
      <c r="K198" s="18">
        <v>0.0</v>
      </c>
      <c r="L198" s="18">
        <v>0.0</v>
      </c>
      <c r="M198" s="18">
        <v>0.0</v>
      </c>
      <c r="N198" s="18">
        <v>0.0</v>
      </c>
      <c r="O198" s="18">
        <v>0.0</v>
      </c>
      <c r="P198" s="18">
        <v>0.0</v>
      </c>
      <c r="Q198" s="18">
        <v>0.0</v>
      </c>
      <c r="R198" s="18">
        <v>0.0</v>
      </c>
      <c r="S198" s="18">
        <v>0.0</v>
      </c>
      <c r="T198" s="18">
        <v>0.0</v>
      </c>
    </row>
    <row r="199">
      <c r="A199" s="17">
        <v>45670.0</v>
      </c>
      <c r="B199" s="18">
        <v>129.0</v>
      </c>
      <c r="C199" s="18">
        <v>0.0</v>
      </c>
      <c r="D199" s="18">
        <v>129.0</v>
      </c>
      <c r="E199" s="18">
        <v>46.0</v>
      </c>
      <c r="F199" s="18">
        <v>7.0</v>
      </c>
      <c r="G199" s="18">
        <v>0.0</v>
      </c>
      <c r="H199" s="18">
        <v>7.0</v>
      </c>
      <c r="I199" s="18">
        <v>2.0</v>
      </c>
      <c r="J199" s="18">
        <v>0.0</v>
      </c>
      <c r="K199" s="18">
        <v>2.0</v>
      </c>
      <c r="L199" s="18">
        <v>0.0</v>
      </c>
      <c r="M199" s="18">
        <v>0.0</v>
      </c>
      <c r="N199" s="18">
        <v>0.0</v>
      </c>
      <c r="O199" s="18">
        <v>0.0</v>
      </c>
      <c r="P199" s="18">
        <v>0.0</v>
      </c>
      <c r="Q199" s="18">
        <v>0.0</v>
      </c>
      <c r="R199" s="18">
        <v>0.069767442</v>
      </c>
      <c r="S199" s="18">
        <v>0.0</v>
      </c>
      <c r="T199" s="18">
        <v>0.069767442</v>
      </c>
    </row>
    <row r="200">
      <c r="A200" s="17">
        <v>45671.0</v>
      </c>
      <c r="B200" s="18">
        <v>114.0</v>
      </c>
      <c r="C200" s="18">
        <v>0.0</v>
      </c>
      <c r="D200" s="18">
        <v>114.0</v>
      </c>
      <c r="E200" s="18">
        <v>55.0</v>
      </c>
      <c r="F200" s="18">
        <v>5.0</v>
      </c>
      <c r="G200" s="18">
        <v>0.0</v>
      </c>
      <c r="H200" s="18">
        <v>5.0</v>
      </c>
      <c r="I200" s="18">
        <v>7.0</v>
      </c>
      <c r="J200" s="18">
        <v>0.0</v>
      </c>
      <c r="K200" s="18">
        <v>7.0</v>
      </c>
      <c r="L200" s="18">
        <v>0.0</v>
      </c>
      <c r="M200" s="18">
        <v>0.0</v>
      </c>
      <c r="N200" s="18">
        <v>0.0</v>
      </c>
      <c r="O200" s="18">
        <v>0.0</v>
      </c>
      <c r="P200" s="18">
        <v>0.0</v>
      </c>
      <c r="Q200" s="18">
        <v>0.0</v>
      </c>
      <c r="R200" s="18">
        <v>0.105263158</v>
      </c>
      <c r="S200" s="18">
        <v>0.0</v>
      </c>
      <c r="T200" s="18">
        <v>0.105263158</v>
      </c>
    </row>
    <row r="201">
      <c r="A201" s="17">
        <v>45672.0</v>
      </c>
      <c r="B201" s="18">
        <v>31.0</v>
      </c>
      <c r="C201" s="18">
        <v>0.0</v>
      </c>
      <c r="D201" s="18">
        <v>31.0</v>
      </c>
      <c r="E201" s="18">
        <v>19.0</v>
      </c>
      <c r="F201" s="18">
        <v>0.0</v>
      </c>
      <c r="G201" s="18">
        <v>0.0</v>
      </c>
      <c r="H201" s="18">
        <v>0.0</v>
      </c>
      <c r="I201" s="18">
        <v>1.0</v>
      </c>
      <c r="J201" s="18">
        <v>0.0</v>
      </c>
      <c r="K201" s="18">
        <v>1.0</v>
      </c>
      <c r="L201" s="18">
        <v>0.0</v>
      </c>
      <c r="M201" s="18">
        <v>0.0</v>
      </c>
      <c r="N201" s="18">
        <v>0.0</v>
      </c>
      <c r="O201" s="18">
        <v>0.0</v>
      </c>
      <c r="P201" s="18">
        <v>0.0</v>
      </c>
      <c r="Q201" s="18">
        <v>0.0</v>
      </c>
      <c r="R201" s="18">
        <v>0.032258065</v>
      </c>
      <c r="S201" s="18">
        <v>0.0</v>
      </c>
      <c r="T201" s="18">
        <v>0.032258065</v>
      </c>
    </row>
    <row r="202">
      <c r="A202" s="17">
        <v>45673.0</v>
      </c>
      <c r="B202" s="18">
        <v>278.0</v>
      </c>
      <c r="C202" s="18">
        <v>0.0</v>
      </c>
      <c r="D202" s="18">
        <v>278.0</v>
      </c>
      <c r="E202" s="18">
        <v>124.0</v>
      </c>
      <c r="F202" s="18">
        <v>12.0</v>
      </c>
      <c r="G202" s="18">
        <v>0.0</v>
      </c>
      <c r="H202" s="18">
        <v>12.0</v>
      </c>
      <c r="I202" s="18">
        <v>15.0</v>
      </c>
      <c r="J202" s="18">
        <v>0.0</v>
      </c>
      <c r="K202" s="18">
        <v>15.0</v>
      </c>
      <c r="L202" s="18">
        <v>1.0</v>
      </c>
      <c r="M202" s="18">
        <v>0.0</v>
      </c>
      <c r="N202" s="18">
        <v>1.0</v>
      </c>
      <c r="O202" s="18">
        <v>2.0</v>
      </c>
      <c r="P202" s="18">
        <v>0.0</v>
      </c>
      <c r="Q202" s="18">
        <v>2.0</v>
      </c>
      <c r="R202" s="18">
        <v>0.107913669</v>
      </c>
      <c r="S202" s="18">
        <v>0.0</v>
      </c>
      <c r="T202" s="18">
        <v>0.107913669</v>
      </c>
    </row>
    <row r="203">
      <c r="A203" s="17">
        <v>45674.0</v>
      </c>
      <c r="B203" s="18">
        <v>276.0</v>
      </c>
      <c r="C203" s="18">
        <v>0.0</v>
      </c>
      <c r="D203" s="18">
        <v>276.0</v>
      </c>
      <c r="E203" s="18">
        <v>111.0</v>
      </c>
      <c r="F203" s="18">
        <v>24.0</v>
      </c>
      <c r="G203" s="18">
        <v>0.0</v>
      </c>
      <c r="H203" s="18">
        <v>24.0</v>
      </c>
      <c r="I203" s="18">
        <v>9.0</v>
      </c>
      <c r="J203" s="18">
        <v>0.0</v>
      </c>
      <c r="K203" s="18">
        <v>9.0</v>
      </c>
      <c r="L203" s="18">
        <v>0.0</v>
      </c>
      <c r="M203" s="18">
        <v>0.0</v>
      </c>
      <c r="N203" s="18">
        <v>0.0</v>
      </c>
      <c r="O203" s="18">
        <v>1.0</v>
      </c>
      <c r="P203" s="18">
        <v>0.0</v>
      </c>
      <c r="Q203" s="18">
        <v>1.0</v>
      </c>
      <c r="R203" s="18">
        <v>0.123188406</v>
      </c>
      <c r="S203" s="18">
        <v>0.0</v>
      </c>
      <c r="T203" s="18">
        <v>0.123188406</v>
      </c>
    </row>
    <row r="204">
      <c r="A204" s="17">
        <v>45675.0</v>
      </c>
      <c r="B204" s="18">
        <v>147.0</v>
      </c>
      <c r="C204" s="18">
        <v>0.0</v>
      </c>
      <c r="D204" s="18">
        <v>147.0</v>
      </c>
      <c r="E204" s="18">
        <v>93.0</v>
      </c>
      <c r="F204" s="18">
        <v>3.0</v>
      </c>
      <c r="G204" s="18">
        <v>0.0</v>
      </c>
      <c r="H204" s="18">
        <v>3.0</v>
      </c>
      <c r="I204" s="18">
        <v>9.0</v>
      </c>
      <c r="J204" s="18">
        <v>0.0</v>
      </c>
      <c r="K204" s="18">
        <v>9.0</v>
      </c>
      <c r="L204" s="18">
        <v>0.0</v>
      </c>
      <c r="M204" s="18">
        <v>0.0</v>
      </c>
      <c r="N204" s="18">
        <v>0.0</v>
      </c>
      <c r="O204" s="18">
        <v>0.0</v>
      </c>
      <c r="P204" s="18">
        <v>0.0</v>
      </c>
      <c r="Q204" s="18">
        <v>0.0</v>
      </c>
      <c r="R204" s="18">
        <v>0.081632653</v>
      </c>
      <c r="S204" s="18">
        <v>0.0</v>
      </c>
      <c r="T204" s="18">
        <v>0.081632653</v>
      </c>
    </row>
    <row r="205">
      <c r="A205" s="17">
        <v>45676.0</v>
      </c>
      <c r="B205" s="18">
        <v>55.0</v>
      </c>
      <c r="C205" s="18">
        <v>0.0</v>
      </c>
      <c r="D205" s="18">
        <v>55.0</v>
      </c>
      <c r="E205" s="18">
        <v>29.0</v>
      </c>
      <c r="F205" s="18">
        <v>3.0</v>
      </c>
      <c r="G205" s="18">
        <v>0.0</v>
      </c>
      <c r="H205" s="18">
        <v>3.0</v>
      </c>
      <c r="I205" s="18">
        <v>2.0</v>
      </c>
      <c r="J205" s="18">
        <v>0.0</v>
      </c>
      <c r="K205" s="18">
        <v>2.0</v>
      </c>
      <c r="L205" s="18">
        <v>0.0</v>
      </c>
      <c r="M205" s="18">
        <v>0.0</v>
      </c>
      <c r="N205" s="18">
        <v>0.0</v>
      </c>
      <c r="O205" s="18">
        <v>0.0</v>
      </c>
      <c r="P205" s="18">
        <v>0.0</v>
      </c>
      <c r="Q205" s="18">
        <v>0.0</v>
      </c>
      <c r="R205" s="18">
        <v>0.090909091</v>
      </c>
      <c r="S205" s="18">
        <v>0.0</v>
      </c>
      <c r="T205" s="18">
        <v>0.090909091</v>
      </c>
    </row>
    <row r="206">
      <c r="A206" s="17">
        <v>45677.0</v>
      </c>
      <c r="B206" s="18">
        <v>48.0</v>
      </c>
      <c r="C206" s="18">
        <v>0.0</v>
      </c>
      <c r="D206" s="18">
        <v>48.0</v>
      </c>
      <c r="E206" s="18">
        <v>29.0</v>
      </c>
      <c r="F206" s="18">
        <v>1.0</v>
      </c>
      <c r="G206" s="18">
        <v>0.0</v>
      </c>
      <c r="H206" s="18">
        <v>1.0</v>
      </c>
      <c r="I206" s="18">
        <v>0.0</v>
      </c>
      <c r="J206" s="18">
        <v>0.0</v>
      </c>
      <c r="K206" s="18">
        <v>0.0</v>
      </c>
      <c r="L206" s="18">
        <v>0.0</v>
      </c>
      <c r="M206" s="18">
        <v>0.0</v>
      </c>
      <c r="N206" s="18">
        <v>0.0</v>
      </c>
      <c r="O206" s="18">
        <v>0.0</v>
      </c>
      <c r="P206" s="18">
        <v>0.0</v>
      </c>
      <c r="Q206" s="18">
        <v>0.0</v>
      </c>
      <c r="R206" s="18">
        <v>0.020833333</v>
      </c>
      <c r="S206" s="18">
        <v>0.0</v>
      </c>
      <c r="T206" s="18">
        <v>0.020833333</v>
      </c>
    </row>
    <row r="207">
      <c r="A207" s="17">
        <v>45678.0</v>
      </c>
      <c r="B207" s="18">
        <v>330.0</v>
      </c>
      <c r="C207" s="18">
        <v>0.0</v>
      </c>
      <c r="D207" s="18">
        <v>330.0</v>
      </c>
      <c r="E207" s="18">
        <v>118.0</v>
      </c>
      <c r="F207" s="18">
        <v>44.0</v>
      </c>
      <c r="G207" s="18">
        <v>0.0</v>
      </c>
      <c r="H207" s="18">
        <v>44.0</v>
      </c>
      <c r="I207" s="18">
        <v>10.0</v>
      </c>
      <c r="J207" s="18">
        <v>0.0</v>
      </c>
      <c r="K207" s="18">
        <v>10.0</v>
      </c>
      <c r="L207" s="18">
        <v>1.0</v>
      </c>
      <c r="M207" s="18">
        <v>0.0</v>
      </c>
      <c r="N207" s="18">
        <v>1.0</v>
      </c>
      <c r="O207" s="18">
        <v>0.0</v>
      </c>
      <c r="P207" s="18">
        <v>0.0</v>
      </c>
      <c r="Q207" s="18">
        <v>0.0</v>
      </c>
      <c r="R207" s="18">
        <v>0.166666667</v>
      </c>
      <c r="S207" s="18">
        <v>0.0</v>
      </c>
      <c r="T207" s="18">
        <v>0.166666667</v>
      </c>
    </row>
    <row r="208">
      <c r="A208" s="17">
        <v>45679.0</v>
      </c>
      <c r="B208" s="18">
        <v>107.0</v>
      </c>
      <c r="C208" s="18">
        <v>0.0</v>
      </c>
      <c r="D208" s="18">
        <v>107.0</v>
      </c>
      <c r="E208" s="18">
        <v>53.0</v>
      </c>
      <c r="F208" s="18">
        <v>6.0</v>
      </c>
      <c r="G208" s="18">
        <v>0.0</v>
      </c>
      <c r="H208" s="18">
        <v>6.0</v>
      </c>
      <c r="I208" s="18">
        <v>5.0</v>
      </c>
      <c r="J208" s="18">
        <v>0.0</v>
      </c>
      <c r="K208" s="18">
        <v>5.0</v>
      </c>
      <c r="L208" s="18">
        <v>0.0</v>
      </c>
      <c r="M208" s="18">
        <v>0.0</v>
      </c>
      <c r="N208" s="18">
        <v>0.0</v>
      </c>
      <c r="O208" s="18">
        <v>1.0</v>
      </c>
      <c r="P208" s="18">
        <v>0.0</v>
      </c>
      <c r="Q208" s="18">
        <v>1.0</v>
      </c>
      <c r="R208" s="18">
        <v>0.112149533</v>
      </c>
      <c r="S208" s="18">
        <v>0.0</v>
      </c>
      <c r="T208" s="18">
        <v>0.112149533</v>
      </c>
    </row>
    <row r="209">
      <c r="A209" s="17">
        <v>45680.0</v>
      </c>
      <c r="B209" s="18">
        <v>87.0</v>
      </c>
      <c r="C209" s="18">
        <v>0.0</v>
      </c>
      <c r="D209" s="18">
        <v>87.0</v>
      </c>
      <c r="E209" s="18">
        <v>43.0</v>
      </c>
      <c r="F209" s="18">
        <v>5.0</v>
      </c>
      <c r="G209" s="18">
        <v>0.0</v>
      </c>
      <c r="H209" s="18">
        <v>5.0</v>
      </c>
      <c r="I209" s="18">
        <v>11.0</v>
      </c>
      <c r="J209" s="18">
        <v>0.0</v>
      </c>
      <c r="K209" s="18">
        <v>11.0</v>
      </c>
      <c r="L209" s="18">
        <v>0.0</v>
      </c>
      <c r="M209" s="18">
        <v>0.0</v>
      </c>
      <c r="N209" s="18">
        <v>0.0</v>
      </c>
      <c r="O209" s="18">
        <v>2.0</v>
      </c>
      <c r="P209" s="18">
        <v>0.0</v>
      </c>
      <c r="Q209" s="18">
        <v>2.0</v>
      </c>
      <c r="R209" s="18">
        <v>0.206896552</v>
      </c>
      <c r="S209" s="18">
        <v>0.0</v>
      </c>
      <c r="T209" s="18">
        <v>0.206896552</v>
      </c>
    </row>
    <row r="210">
      <c r="A210" s="17">
        <v>45681.0</v>
      </c>
      <c r="B210" s="18">
        <v>62.0</v>
      </c>
      <c r="C210" s="18">
        <v>0.0</v>
      </c>
      <c r="D210" s="18">
        <v>62.0</v>
      </c>
      <c r="E210" s="18">
        <v>30.0</v>
      </c>
      <c r="F210" s="18">
        <v>2.0</v>
      </c>
      <c r="G210" s="18">
        <v>0.0</v>
      </c>
      <c r="H210" s="18">
        <v>2.0</v>
      </c>
      <c r="I210" s="18">
        <v>0.0</v>
      </c>
      <c r="J210" s="18">
        <v>0.0</v>
      </c>
      <c r="K210" s="18">
        <v>0.0</v>
      </c>
      <c r="L210" s="18">
        <v>0.0</v>
      </c>
      <c r="M210" s="18">
        <v>0.0</v>
      </c>
      <c r="N210" s="18">
        <v>0.0</v>
      </c>
      <c r="O210" s="18">
        <v>0.0</v>
      </c>
      <c r="P210" s="18">
        <v>0.0</v>
      </c>
      <c r="Q210" s="18">
        <v>0.0</v>
      </c>
      <c r="R210" s="18">
        <v>0.032258065</v>
      </c>
      <c r="S210" s="18">
        <v>0.0</v>
      </c>
      <c r="T210" s="18">
        <v>0.032258065</v>
      </c>
    </row>
    <row r="211">
      <c r="A211" s="17">
        <v>45682.0</v>
      </c>
      <c r="B211" s="18">
        <v>27.0</v>
      </c>
      <c r="C211" s="18">
        <v>0.0</v>
      </c>
      <c r="D211" s="18">
        <v>27.0</v>
      </c>
      <c r="E211" s="18">
        <v>18.0</v>
      </c>
      <c r="F211" s="18">
        <v>1.0</v>
      </c>
      <c r="G211" s="18">
        <v>0.0</v>
      </c>
      <c r="H211" s="18">
        <v>1.0</v>
      </c>
      <c r="I211" s="18">
        <v>1.0</v>
      </c>
      <c r="J211" s="18">
        <v>0.0</v>
      </c>
      <c r="K211" s="18">
        <v>1.0</v>
      </c>
      <c r="L211" s="18">
        <v>0.0</v>
      </c>
      <c r="M211" s="18">
        <v>0.0</v>
      </c>
      <c r="N211" s="18">
        <v>0.0</v>
      </c>
      <c r="O211" s="18">
        <v>0.0</v>
      </c>
      <c r="P211" s="18">
        <v>0.0</v>
      </c>
      <c r="Q211" s="18">
        <v>0.0</v>
      </c>
      <c r="R211" s="18">
        <v>0.074074074</v>
      </c>
      <c r="S211" s="18">
        <v>0.0</v>
      </c>
      <c r="T211" s="18">
        <v>0.074074074</v>
      </c>
    </row>
    <row r="212">
      <c r="A212" s="17">
        <v>45683.0</v>
      </c>
      <c r="B212" s="18">
        <v>23.0</v>
      </c>
      <c r="C212" s="18">
        <v>0.0</v>
      </c>
      <c r="D212" s="18">
        <v>23.0</v>
      </c>
      <c r="E212" s="18">
        <v>12.0</v>
      </c>
      <c r="F212" s="18">
        <v>2.0</v>
      </c>
      <c r="G212" s="18">
        <v>0.0</v>
      </c>
      <c r="H212" s="18">
        <v>2.0</v>
      </c>
      <c r="I212" s="18">
        <v>1.0</v>
      </c>
      <c r="J212" s="18">
        <v>0.0</v>
      </c>
      <c r="K212" s="18">
        <v>1.0</v>
      </c>
      <c r="L212" s="18">
        <v>0.0</v>
      </c>
      <c r="M212" s="18">
        <v>0.0</v>
      </c>
      <c r="N212" s="18">
        <v>0.0</v>
      </c>
      <c r="O212" s="18">
        <v>0.0</v>
      </c>
      <c r="P212" s="18">
        <v>0.0</v>
      </c>
      <c r="Q212" s="18">
        <v>0.0</v>
      </c>
      <c r="R212" s="18">
        <v>0.130434783</v>
      </c>
      <c r="S212" s="18">
        <v>0.0</v>
      </c>
      <c r="T212" s="18">
        <v>0.130434783</v>
      </c>
    </row>
    <row r="213">
      <c r="A213" s="17">
        <v>45684.0</v>
      </c>
      <c r="B213" s="18">
        <v>26.0</v>
      </c>
      <c r="C213" s="18">
        <v>0.0</v>
      </c>
      <c r="D213" s="18">
        <v>26.0</v>
      </c>
      <c r="E213" s="18">
        <v>11.0</v>
      </c>
      <c r="F213" s="18">
        <v>1.0</v>
      </c>
      <c r="G213" s="18">
        <v>0.0</v>
      </c>
      <c r="H213" s="18">
        <v>1.0</v>
      </c>
      <c r="I213" s="18">
        <v>0.0</v>
      </c>
      <c r="J213" s="18">
        <v>0.0</v>
      </c>
      <c r="K213" s="18">
        <v>0.0</v>
      </c>
      <c r="L213" s="18">
        <v>0.0</v>
      </c>
      <c r="M213" s="18">
        <v>0.0</v>
      </c>
      <c r="N213" s="18">
        <v>0.0</v>
      </c>
      <c r="O213" s="18">
        <v>0.0</v>
      </c>
      <c r="P213" s="18">
        <v>0.0</v>
      </c>
      <c r="Q213" s="18">
        <v>0.0</v>
      </c>
      <c r="R213" s="18">
        <v>0.038461538</v>
      </c>
      <c r="S213" s="18">
        <v>0.0</v>
      </c>
      <c r="T213" s="18">
        <v>0.038461538</v>
      </c>
    </row>
    <row r="214">
      <c r="A214" s="17">
        <v>45685.0</v>
      </c>
      <c r="B214" s="18">
        <v>31.0</v>
      </c>
      <c r="C214" s="18">
        <v>0.0</v>
      </c>
      <c r="D214" s="18">
        <v>31.0</v>
      </c>
      <c r="E214" s="18">
        <v>13.0</v>
      </c>
      <c r="F214" s="18">
        <v>2.0</v>
      </c>
      <c r="G214" s="18">
        <v>0.0</v>
      </c>
      <c r="H214" s="18">
        <v>2.0</v>
      </c>
      <c r="I214" s="18">
        <v>2.0</v>
      </c>
      <c r="J214" s="18">
        <v>0.0</v>
      </c>
      <c r="K214" s="18">
        <v>2.0</v>
      </c>
      <c r="L214" s="18">
        <v>0.0</v>
      </c>
      <c r="M214" s="18">
        <v>0.0</v>
      </c>
      <c r="N214" s="18">
        <v>0.0</v>
      </c>
      <c r="O214" s="18">
        <v>0.0</v>
      </c>
      <c r="P214" s="18">
        <v>0.0</v>
      </c>
      <c r="Q214" s="18">
        <v>0.0</v>
      </c>
      <c r="R214" s="18">
        <v>0.129032258</v>
      </c>
      <c r="S214" s="18">
        <v>0.0</v>
      </c>
      <c r="T214" s="18">
        <v>0.129032258</v>
      </c>
    </row>
    <row r="215">
      <c r="A215" s="17">
        <v>45686.0</v>
      </c>
      <c r="B215" s="18">
        <v>41.0</v>
      </c>
      <c r="C215" s="18">
        <v>0.0</v>
      </c>
      <c r="D215" s="18">
        <v>41.0</v>
      </c>
      <c r="E215" s="18">
        <v>25.0</v>
      </c>
      <c r="F215" s="18">
        <v>0.0</v>
      </c>
      <c r="G215" s="18">
        <v>0.0</v>
      </c>
      <c r="H215" s="18">
        <v>0.0</v>
      </c>
      <c r="I215" s="18">
        <v>0.0</v>
      </c>
      <c r="J215" s="18">
        <v>0.0</v>
      </c>
      <c r="K215" s="18">
        <v>0.0</v>
      </c>
      <c r="L215" s="18">
        <v>0.0</v>
      </c>
      <c r="M215" s="18">
        <v>0.0</v>
      </c>
      <c r="N215" s="18">
        <v>0.0</v>
      </c>
      <c r="O215" s="18">
        <v>0.0</v>
      </c>
      <c r="P215" s="18">
        <v>0.0</v>
      </c>
      <c r="Q215" s="18">
        <v>0.0</v>
      </c>
      <c r="R215" s="18">
        <v>0.0</v>
      </c>
      <c r="S215" s="18">
        <v>0.0</v>
      </c>
      <c r="T215" s="18">
        <v>0.0</v>
      </c>
    </row>
    <row r="216">
      <c r="A216" s="17">
        <v>45687.0</v>
      </c>
      <c r="B216" s="18">
        <v>144.0</v>
      </c>
      <c r="C216" s="18">
        <v>0.0</v>
      </c>
      <c r="D216" s="18">
        <v>144.0</v>
      </c>
      <c r="E216" s="18">
        <v>53.0</v>
      </c>
      <c r="F216" s="18">
        <v>2.0</v>
      </c>
      <c r="G216" s="18">
        <v>0.0</v>
      </c>
      <c r="H216" s="18">
        <v>2.0</v>
      </c>
      <c r="I216" s="18">
        <v>5.0</v>
      </c>
      <c r="J216" s="18">
        <v>0.0</v>
      </c>
      <c r="K216" s="18">
        <v>5.0</v>
      </c>
      <c r="L216" s="18">
        <v>0.0</v>
      </c>
      <c r="M216" s="18">
        <v>0.0</v>
      </c>
      <c r="N216" s="18">
        <v>0.0</v>
      </c>
      <c r="O216" s="18">
        <v>1.0</v>
      </c>
      <c r="P216" s="18">
        <v>0.0</v>
      </c>
      <c r="Q216" s="18">
        <v>1.0</v>
      </c>
      <c r="R216" s="18">
        <v>0.055555556</v>
      </c>
      <c r="S216" s="18">
        <v>0.0</v>
      </c>
      <c r="T216" s="18">
        <v>0.055555556</v>
      </c>
    </row>
    <row r="217">
      <c r="A217" s="17">
        <v>45688.0</v>
      </c>
      <c r="B217" s="18">
        <v>143.0</v>
      </c>
      <c r="C217" s="18">
        <v>0.0</v>
      </c>
      <c r="D217" s="18">
        <v>143.0</v>
      </c>
      <c r="E217" s="18">
        <v>79.0</v>
      </c>
      <c r="F217" s="18">
        <v>5.0</v>
      </c>
      <c r="G217" s="18">
        <v>0.0</v>
      </c>
      <c r="H217" s="18">
        <v>5.0</v>
      </c>
      <c r="I217" s="18">
        <v>4.0</v>
      </c>
      <c r="J217" s="18">
        <v>0.0</v>
      </c>
      <c r="K217" s="18">
        <v>4.0</v>
      </c>
      <c r="L217" s="18">
        <v>0.0</v>
      </c>
      <c r="M217" s="18">
        <v>0.0</v>
      </c>
      <c r="N217" s="18">
        <v>0.0</v>
      </c>
      <c r="O217" s="18">
        <v>1.0</v>
      </c>
      <c r="P217" s="18">
        <v>0.0</v>
      </c>
      <c r="Q217" s="18">
        <v>1.0</v>
      </c>
      <c r="R217" s="18">
        <v>0.06993007</v>
      </c>
      <c r="S217" s="18">
        <v>0.0</v>
      </c>
      <c r="T217" s="18">
        <v>0.06993007</v>
      </c>
    </row>
    <row r="218">
      <c r="A218" s="17">
        <v>45689.0</v>
      </c>
      <c r="B218" s="18">
        <v>119.0</v>
      </c>
      <c r="C218" s="18">
        <v>0.0</v>
      </c>
      <c r="D218" s="18">
        <v>119.0</v>
      </c>
      <c r="E218" s="18">
        <v>65.0</v>
      </c>
      <c r="F218" s="18">
        <v>4.0</v>
      </c>
      <c r="G218" s="18">
        <v>0.0</v>
      </c>
      <c r="H218" s="18">
        <v>4.0</v>
      </c>
      <c r="I218" s="18">
        <v>6.0</v>
      </c>
      <c r="J218" s="18">
        <v>0.0</v>
      </c>
      <c r="K218" s="18">
        <v>6.0</v>
      </c>
      <c r="L218" s="18">
        <v>1.0</v>
      </c>
      <c r="M218" s="18">
        <v>0.0</v>
      </c>
      <c r="N218" s="18">
        <v>1.0</v>
      </c>
      <c r="O218" s="18">
        <v>0.0</v>
      </c>
      <c r="P218" s="18">
        <v>0.0</v>
      </c>
      <c r="Q218" s="18">
        <v>0.0</v>
      </c>
      <c r="R218" s="18">
        <v>0.092436975</v>
      </c>
      <c r="S218" s="18">
        <v>0.0</v>
      </c>
      <c r="T218" s="18">
        <v>0.092436975</v>
      </c>
    </row>
    <row r="219">
      <c r="A219" s="17">
        <v>45690.0</v>
      </c>
      <c r="B219" s="18">
        <v>60.0</v>
      </c>
      <c r="C219" s="18">
        <v>0.0</v>
      </c>
      <c r="D219" s="18">
        <v>60.0</v>
      </c>
      <c r="E219" s="18">
        <v>35.0</v>
      </c>
      <c r="F219" s="18">
        <v>4.0</v>
      </c>
      <c r="G219" s="18">
        <v>0.0</v>
      </c>
      <c r="H219" s="18">
        <v>4.0</v>
      </c>
      <c r="I219" s="18">
        <v>2.0</v>
      </c>
      <c r="J219" s="18">
        <v>0.0</v>
      </c>
      <c r="K219" s="18">
        <v>2.0</v>
      </c>
      <c r="L219" s="18">
        <v>0.0</v>
      </c>
      <c r="M219" s="18">
        <v>0.0</v>
      </c>
      <c r="N219" s="18">
        <v>0.0</v>
      </c>
      <c r="O219" s="18">
        <v>0.0</v>
      </c>
      <c r="P219" s="18">
        <v>0.0</v>
      </c>
      <c r="Q219" s="18">
        <v>0.0</v>
      </c>
      <c r="R219" s="18">
        <v>0.1</v>
      </c>
      <c r="S219" s="18">
        <v>0.0</v>
      </c>
      <c r="T219" s="18">
        <v>0.1</v>
      </c>
    </row>
    <row r="220">
      <c r="A220" s="17">
        <v>45691.0</v>
      </c>
      <c r="B220" s="18">
        <v>150.0</v>
      </c>
      <c r="C220" s="18">
        <v>0.0</v>
      </c>
      <c r="D220" s="18">
        <v>150.0</v>
      </c>
      <c r="E220" s="18">
        <v>35.0</v>
      </c>
      <c r="F220" s="18">
        <v>9.0</v>
      </c>
      <c r="G220" s="18">
        <v>0.0</v>
      </c>
      <c r="H220" s="18">
        <v>9.0</v>
      </c>
      <c r="I220" s="18">
        <v>3.0</v>
      </c>
      <c r="J220" s="18">
        <v>0.0</v>
      </c>
      <c r="K220" s="18">
        <v>3.0</v>
      </c>
      <c r="L220" s="18">
        <v>0.0</v>
      </c>
      <c r="M220" s="18">
        <v>0.0</v>
      </c>
      <c r="N220" s="18">
        <v>0.0</v>
      </c>
      <c r="O220" s="18">
        <v>0.0</v>
      </c>
      <c r="P220" s="18">
        <v>0.0</v>
      </c>
      <c r="Q220" s="18">
        <v>0.0</v>
      </c>
      <c r="R220" s="18">
        <v>0.08</v>
      </c>
      <c r="S220" s="18">
        <v>0.0</v>
      </c>
      <c r="T220" s="18">
        <v>0.08</v>
      </c>
    </row>
    <row r="221">
      <c r="A221" s="17">
        <v>45692.0</v>
      </c>
      <c r="B221" s="18">
        <v>53.0</v>
      </c>
      <c r="C221" s="18">
        <v>0.0</v>
      </c>
      <c r="D221" s="18">
        <v>53.0</v>
      </c>
      <c r="E221" s="18">
        <v>30.0</v>
      </c>
      <c r="F221" s="18">
        <v>1.0</v>
      </c>
      <c r="G221" s="18">
        <v>0.0</v>
      </c>
      <c r="H221" s="18">
        <v>1.0</v>
      </c>
      <c r="I221" s="18">
        <v>3.0</v>
      </c>
      <c r="J221" s="18">
        <v>0.0</v>
      </c>
      <c r="K221" s="18">
        <v>3.0</v>
      </c>
      <c r="L221" s="18">
        <v>0.0</v>
      </c>
      <c r="M221" s="18">
        <v>0.0</v>
      </c>
      <c r="N221" s="18">
        <v>0.0</v>
      </c>
      <c r="O221" s="18">
        <v>0.0</v>
      </c>
      <c r="P221" s="18">
        <v>0.0</v>
      </c>
      <c r="Q221" s="18">
        <v>0.0</v>
      </c>
      <c r="R221" s="18">
        <v>0.075471698</v>
      </c>
      <c r="S221" s="18">
        <v>0.0</v>
      </c>
      <c r="T221" s="18">
        <v>0.075471698</v>
      </c>
    </row>
    <row r="222">
      <c r="A222" s="17">
        <v>45693.0</v>
      </c>
      <c r="B222" s="18">
        <v>70.0</v>
      </c>
      <c r="C222" s="18">
        <v>0.0</v>
      </c>
      <c r="D222" s="18">
        <v>70.0</v>
      </c>
      <c r="E222" s="18">
        <v>20.0</v>
      </c>
      <c r="F222" s="18">
        <v>1.0</v>
      </c>
      <c r="G222" s="18">
        <v>0.0</v>
      </c>
      <c r="H222" s="18">
        <v>1.0</v>
      </c>
      <c r="I222" s="18">
        <v>0.0</v>
      </c>
      <c r="J222" s="18">
        <v>0.0</v>
      </c>
      <c r="K222" s="18">
        <v>0.0</v>
      </c>
      <c r="L222" s="18">
        <v>0.0</v>
      </c>
      <c r="M222" s="18">
        <v>0.0</v>
      </c>
      <c r="N222" s="18">
        <v>0.0</v>
      </c>
      <c r="O222" s="18">
        <v>0.0</v>
      </c>
      <c r="P222" s="18">
        <v>0.0</v>
      </c>
      <c r="Q222" s="18">
        <v>0.0</v>
      </c>
      <c r="R222" s="18">
        <v>0.014285714</v>
      </c>
      <c r="S222" s="18">
        <v>0.0</v>
      </c>
      <c r="T222" s="18">
        <v>0.014285714</v>
      </c>
    </row>
    <row r="223">
      <c r="A223" s="17">
        <v>45694.0</v>
      </c>
      <c r="B223" s="18">
        <v>147.0</v>
      </c>
      <c r="C223" s="18">
        <v>0.0</v>
      </c>
      <c r="D223" s="18">
        <v>147.0</v>
      </c>
      <c r="E223" s="18">
        <v>64.0</v>
      </c>
      <c r="F223" s="18">
        <v>3.0</v>
      </c>
      <c r="G223" s="18">
        <v>0.0</v>
      </c>
      <c r="H223" s="18">
        <v>3.0</v>
      </c>
      <c r="I223" s="18">
        <v>5.0</v>
      </c>
      <c r="J223" s="18">
        <v>0.0</v>
      </c>
      <c r="K223" s="18">
        <v>5.0</v>
      </c>
      <c r="L223" s="18">
        <v>0.0</v>
      </c>
      <c r="M223" s="18">
        <v>0.0</v>
      </c>
      <c r="N223" s="18">
        <v>0.0</v>
      </c>
      <c r="O223" s="18">
        <v>0.0</v>
      </c>
      <c r="P223" s="18">
        <v>0.0</v>
      </c>
      <c r="Q223" s="18">
        <v>0.0</v>
      </c>
      <c r="R223" s="18">
        <v>0.054421769</v>
      </c>
      <c r="S223" s="18">
        <v>0.0</v>
      </c>
      <c r="T223" s="18">
        <v>0.054421769</v>
      </c>
    </row>
    <row r="224">
      <c r="A224" s="17">
        <v>45695.0</v>
      </c>
      <c r="B224" s="18">
        <v>290.0</v>
      </c>
      <c r="C224" s="18">
        <v>0.0</v>
      </c>
      <c r="D224" s="18">
        <v>290.0</v>
      </c>
      <c r="E224" s="18">
        <v>133.0</v>
      </c>
      <c r="F224" s="18">
        <v>71.0</v>
      </c>
      <c r="G224" s="18">
        <v>0.0</v>
      </c>
      <c r="H224" s="18">
        <v>71.0</v>
      </c>
      <c r="I224" s="18">
        <v>19.0</v>
      </c>
      <c r="J224" s="18">
        <v>0.0</v>
      </c>
      <c r="K224" s="18">
        <v>19.0</v>
      </c>
      <c r="L224" s="18">
        <v>2.0</v>
      </c>
      <c r="M224" s="18">
        <v>0.0</v>
      </c>
      <c r="N224" s="18">
        <v>2.0</v>
      </c>
      <c r="O224" s="18">
        <v>1.0</v>
      </c>
      <c r="P224" s="18">
        <v>0.0</v>
      </c>
      <c r="Q224" s="18">
        <v>1.0</v>
      </c>
      <c r="R224" s="18">
        <v>0.320689655</v>
      </c>
      <c r="S224" s="18">
        <v>0.0</v>
      </c>
      <c r="T224" s="18">
        <v>0.320689655</v>
      </c>
    </row>
    <row r="225">
      <c r="A225" s="17">
        <v>45696.0</v>
      </c>
      <c r="B225" s="18">
        <v>197.0</v>
      </c>
      <c r="C225" s="18">
        <v>0.0</v>
      </c>
      <c r="D225" s="18">
        <v>197.0</v>
      </c>
      <c r="E225" s="18">
        <v>87.0</v>
      </c>
      <c r="F225" s="18">
        <v>6.0</v>
      </c>
      <c r="G225" s="18">
        <v>0.0</v>
      </c>
      <c r="H225" s="18">
        <v>6.0</v>
      </c>
      <c r="I225" s="18">
        <v>8.0</v>
      </c>
      <c r="J225" s="18">
        <v>0.0</v>
      </c>
      <c r="K225" s="18">
        <v>8.0</v>
      </c>
      <c r="L225" s="18">
        <v>0.0</v>
      </c>
      <c r="M225" s="18">
        <v>0.0</v>
      </c>
      <c r="N225" s="18">
        <v>0.0</v>
      </c>
      <c r="O225" s="18">
        <v>0.0</v>
      </c>
      <c r="P225" s="18">
        <v>0.0</v>
      </c>
      <c r="Q225" s="18">
        <v>0.0</v>
      </c>
      <c r="R225" s="18">
        <v>0.07106599</v>
      </c>
      <c r="S225" s="18">
        <v>0.0</v>
      </c>
      <c r="T225" s="18">
        <v>0.07106599</v>
      </c>
    </row>
    <row r="226">
      <c r="A226" s="17">
        <v>45697.0</v>
      </c>
      <c r="B226" s="18">
        <v>113.0</v>
      </c>
      <c r="C226" s="18">
        <v>0.0</v>
      </c>
      <c r="D226" s="18">
        <v>113.0</v>
      </c>
      <c r="E226" s="18">
        <v>45.0</v>
      </c>
      <c r="F226" s="18">
        <v>14.0</v>
      </c>
      <c r="G226" s="18">
        <v>0.0</v>
      </c>
      <c r="H226" s="18">
        <v>14.0</v>
      </c>
      <c r="I226" s="18">
        <v>6.0</v>
      </c>
      <c r="J226" s="18">
        <v>0.0</v>
      </c>
      <c r="K226" s="18">
        <v>6.0</v>
      </c>
      <c r="L226" s="18">
        <v>0.0</v>
      </c>
      <c r="M226" s="18">
        <v>0.0</v>
      </c>
      <c r="N226" s="18">
        <v>0.0</v>
      </c>
      <c r="O226" s="18">
        <v>0.0</v>
      </c>
      <c r="P226" s="18">
        <v>0.0</v>
      </c>
      <c r="Q226" s="18">
        <v>0.0</v>
      </c>
      <c r="R226" s="18">
        <v>0.17699115</v>
      </c>
      <c r="S226" s="18">
        <v>0.0</v>
      </c>
      <c r="T226" s="18">
        <v>0.17699115</v>
      </c>
    </row>
    <row r="227">
      <c r="A227" s="17">
        <v>45698.0</v>
      </c>
      <c r="B227" s="18">
        <v>69.0</v>
      </c>
      <c r="C227" s="18">
        <v>0.0</v>
      </c>
      <c r="D227" s="18">
        <v>69.0</v>
      </c>
      <c r="E227" s="18">
        <v>39.0</v>
      </c>
      <c r="F227" s="18">
        <v>0.0</v>
      </c>
      <c r="G227" s="18">
        <v>0.0</v>
      </c>
      <c r="H227" s="18">
        <v>0.0</v>
      </c>
      <c r="I227" s="18">
        <v>3.0</v>
      </c>
      <c r="J227" s="18">
        <v>0.0</v>
      </c>
      <c r="K227" s="18">
        <v>3.0</v>
      </c>
      <c r="L227" s="18">
        <v>0.0</v>
      </c>
      <c r="M227" s="18">
        <v>0.0</v>
      </c>
      <c r="N227" s="18">
        <v>0.0</v>
      </c>
      <c r="O227" s="18">
        <v>0.0</v>
      </c>
      <c r="P227" s="18">
        <v>0.0</v>
      </c>
      <c r="Q227" s="18">
        <v>0.0</v>
      </c>
      <c r="R227" s="18">
        <v>0.043478261</v>
      </c>
      <c r="S227" s="18">
        <v>0.0</v>
      </c>
      <c r="T227" s="18">
        <v>0.043478261</v>
      </c>
    </row>
    <row r="228">
      <c r="A228" s="17">
        <v>45699.0</v>
      </c>
      <c r="B228" s="18">
        <v>55.0</v>
      </c>
      <c r="C228" s="18">
        <v>0.0</v>
      </c>
      <c r="D228" s="18">
        <v>55.0</v>
      </c>
      <c r="E228" s="18">
        <v>25.0</v>
      </c>
      <c r="F228" s="18">
        <v>3.0</v>
      </c>
      <c r="G228" s="18">
        <v>0.0</v>
      </c>
      <c r="H228" s="18">
        <v>3.0</v>
      </c>
      <c r="I228" s="18">
        <v>1.0</v>
      </c>
      <c r="J228" s="18">
        <v>0.0</v>
      </c>
      <c r="K228" s="18">
        <v>1.0</v>
      </c>
      <c r="L228" s="18">
        <v>0.0</v>
      </c>
      <c r="M228" s="18">
        <v>0.0</v>
      </c>
      <c r="N228" s="18">
        <v>0.0</v>
      </c>
      <c r="O228" s="18">
        <v>0.0</v>
      </c>
      <c r="P228" s="18">
        <v>0.0</v>
      </c>
      <c r="Q228" s="18">
        <v>0.0</v>
      </c>
      <c r="R228" s="18">
        <v>0.072727273</v>
      </c>
      <c r="S228" s="18">
        <v>0.0</v>
      </c>
      <c r="T228" s="18">
        <v>0.072727273</v>
      </c>
    </row>
    <row r="229">
      <c r="A229" s="17">
        <v>45700.0</v>
      </c>
      <c r="B229" s="18">
        <v>56.0</v>
      </c>
      <c r="C229" s="18">
        <v>0.0</v>
      </c>
      <c r="D229" s="18">
        <v>56.0</v>
      </c>
      <c r="E229" s="18">
        <v>33.0</v>
      </c>
      <c r="F229" s="18">
        <v>2.0</v>
      </c>
      <c r="G229" s="18">
        <v>0.0</v>
      </c>
      <c r="H229" s="18">
        <v>2.0</v>
      </c>
      <c r="I229" s="18">
        <v>1.0</v>
      </c>
      <c r="J229" s="18">
        <v>0.0</v>
      </c>
      <c r="K229" s="18">
        <v>1.0</v>
      </c>
      <c r="L229" s="18">
        <v>0.0</v>
      </c>
      <c r="M229" s="18">
        <v>0.0</v>
      </c>
      <c r="N229" s="18">
        <v>0.0</v>
      </c>
      <c r="O229" s="18">
        <v>0.0</v>
      </c>
      <c r="P229" s="18">
        <v>0.0</v>
      </c>
      <c r="Q229" s="18">
        <v>0.0</v>
      </c>
      <c r="R229" s="18">
        <v>0.053571429</v>
      </c>
      <c r="S229" s="18">
        <v>0.0</v>
      </c>
      <c r="T229" s="18">
        <v>0.053571429</v>
      </c>
    </row>
    <row r="230">
      <c r="A230" s="17">
        <v>45701.0</v>
      </c>
      <c r="B230" s="18">
        <v>197.0</v>
      </c>
      <c r="C230" s="18">
        <v>0.0</v>
      </c>
      <c r="D230" s="18">
        <v>197.0</v>
      </c>
      <c r="E230" s="18">
        <v>100.0</v>
      </c>
      <c r="F230" s="18">
        <v>25.0</v>
      </c>
      <c r="G230" s="18">
        <v>0.0</v>
      </c>
      <c r="H230" s="18">
        <v>25.0</v>
      </c>
      <c r="I230" s="18">
        <v>14.0</v>
      </c>
      <c r="J230" s="18">
        <v>0.0</v>
      </c>
      <c r="K230" s="18">
        <v>14.0</v>
      </c>
      <c r="L230" s="18">
        <v>2.0</v>
      </c>
      <c r="M230" s="18">
        <v>0.0</v>
      </c>
      <c r="N230" s="18">
        <v>2.0</v>
      </c>
      <c r="O230" s="18">
        <v>1.0</v>
      </c>
      <c r="P230" s="18">
        <v>0.0</v>
      </c>
      <c r="Q230" s="18">
        <v>1.0</v>
      </c>
      <c r="R230" s="18">
        <v>0.21319797</v>
      </c>
      <c r="S230" s="18">
        <v>0.0</v>
      </c>
      <c r="T230" s="18">
        <v>0.21319797</v>
      </c>
    </row>
    <row r="231">
      <c r="A231" s="17">
        <v>45702.0</v>
      </c>
      <c r="B231" s="18">
        <v>488.0</v>
      </c>
      <c r="C231" s="18">
        <v>0.0</v>
      </c>
      <c r="D231" s="18">
        <v>488.0</v>
      </c>
      <c r="E231" s="18">
        <v>277.0</v>
      </c>
      <c r="F231" s="18">
        <v>114.0</v>
      </c>
      <c r="G231" s="18">
        <v>0.0</v>
      </c>
      <c r="H231" s="18">
        <v>114.0</v>
      </c>
      <c r="I231" s="18">
        <v>20.0</v>
      </c>
      <c r="J231" s="18">
        <v>0.0</v>
      </c>
      <c r="K231" s="18">
        <v>20.0</v>
      </c>
      <c r="L231" s="18">
        <v>0.0</v>
      </c>
      <c r="M231" s="18">
        <v>0.0</v>
      </c>
      <c r="N231" s="18">
        <v>0.0</v>
      </c>
      <c r="O231" s="18">
        <v>1.0</v>
      </c>
      <c r="P231" s="18">
        <v>0.0</v>
      </c>
      <c r="Q231" s="18">
        <v>1.0</v>
      </c>
      <c r="R231" s="18">
        <v>0.276639344</v>
      </c>
      <c r="S231" s="18">
        <v>0.0</v>
      </c>
      <c r="T231" s="18">
        <v>0.276639344</v>
      </c>
    </row>
    <row r="232">
      <c r="A232" s="17">
        <v>45703.0</v>
      </c>
      <c r="B232" s="18">
        <v>379.0</v>
      </c>
      <c r="C232" s="18">
        <v>0.0</v>
      </c>
      <c r="D232" s="18">
        <v>379.0</v>
      </c>
      <c r="E232" s="18">
        <v>203.0</v>
      </c>
      <c r="F232" s="18">
        <v>78.0</v>
      </c>
      <c r="G232" s="18">
        <v>0.0</v>
      </c>
      <c r="H232" s="18">
        <v>78.0</v>
      </c>
      <c r="I232" s="18">
        <v>21.0</v>
      </c>
      <c r="J232" s="18">
        <v>0.0</v>
      </c>
      <c r="K232" s="18">
        <v>21.0</v>
      </c>
      <c r="L232" s="18">
        <v>0.0</v>
      </c>
      <c r="M232" s="18">
        <v>0.0</v>
      </c>
      <c r="N232" s="18">
        <v>0.0</v>
      </c>
      <c r="O232" s="18">
        <v>0.0</v>
      </c>
      <c r="P232" s="18">
        <v>0.0</v>
      </c>
      <c r="Q232" s="18">
        <v>0.0</v>
      </c>
      <c r="R232" s="18">
        <v>0.26121372</v>
      </c>
      <c r="S232" s="18">
        <v>0.0</v>
      </c>
      <c r="T232" s="18">
        <v>0.26121372</v>
      </c>
    </row>
    <row r="233">
      <c r="A233" s="17">
        <v>45704.0</v>
      </c>
      <c r="B233" s="18">
        <v>202.0</v>
      </c>
      <c r="C233" s="18">
        <v>0.0</v>
      </c>
      <c r="D233" s="18">
        <v>202.0</v>
      </c>
      <c r="E233" s="18">
        <v>128.0</v>
      </c>
      <c r="F233" s="18">
        <v>54.0</v>
      </c>
      <c r="G233" s="18">
        <v>0.0</v>
      </c>
      <c r="H233" s="18">
        <v>54.0</v>
      </c>
      <c r="I233" s="18">
        <v>9.0</v>
      </c>
      <c r="J233" s="18">
        <v>0.0</v>
      </c>
      <c r="K233" s="18">
        <v>9.0</v>
      </c>
      <c r="L233" s="18">
        <v>0.0</v>
      </c>
      <c r="M233" s="18">
        <v>0.0</v>
      </c>
      <c r="N233" s="18">
        <v>0.0</v>
      </c>
      <c r="O233" s="18">
        <v>0.0</v>
      </c>
      <c r="P233" s="18">
        <v>0.0</v>
      </c>
      <c r="Q233" s="18">
        <v>0.0</v>
      </c>
      <c r="R233" s="18">
        <v>0.311881188</v>
      </c>
      <c r="S233" s="18">
        <v>0.0</v>
      </c>
      <c r="T233" s="18">
        <v>0.311881188</v>
      </c>
    </row>
    <row r="234">
      <c r="A234" s="17">
        <v>45705.0</v>
      </c>
      <c r="B234" s="18">
        <v>221.0</v>
      </c>
      <c r="C234" s="18">
        <v>0.0</v>
      </c>
      <c r="D234" s="18">
        <v>221.0</v>
      </c>
      <c r="E234" s="18">
        <v>128.0</v>
      </c>
      <c r="F234" s="18">
        <v>38.0</v>
      </c>
      <c r="G234" s="18">
        <v>0.0</v>
      </c>
      <c r="H234" s="18">
        <v>38.0</v>
      </c>
      <c r="I234" s="18">
        <v>6.0</v>
      </c>
      <c r="J234" s="18">
        <v>0.0</v>
      </c>
      <c r="K234" s="18">
        <v>6.0</v>
      </c>
      <c r="L234" s="18">
        <v>2.0</v>
      </c>
      <c r="M234" s="18">
        <v>0.0</v>
      </c>
      <c r="N234" s="18">
        <v>2.0</v>
      </c>
      <c r="O234" s="18">
        <v>0.0</v>
      </c>
      <c r="P234" s="18">
        <v>0.0</v>
      </c>
      <c r="Q234" s="18">
        <v>0.0</v>
      </c>
      <c r="R234" s="18">
        <v>0.208144796</v>
      </c>
      <c r="S234" s="18">
        <v>0.0</v>
      </c>
      <c r="T234" s="18">
        <v>0.208144796</v>
      </c>
    </row>
    <row r="235">
      <c r="A235" s="17">
        <v>45706.0</v>
      </c>
      <c r="B235" s="18">
        <v>295.0</v>
      </c>
      <c r="C235" s="18">
        <v>0.0</v>
      </c>
      <c r="D235" s="18">
        <v>295.0</v>
      </c>
      <c r="E235" s="18">
        <v>161.0</v>
      </c>
      <c r="F235" s="18">
        <v>25.0</v>
      </c>
      <c r="G235" s="18">
        <v>0.0</v>
      </c>
      <c r="H235" s="18">
        <v>25.0</v>
      </c>
      <c r="I235" s="18">
        <v>9.0</v>
      </c>
      <c r="J235" s="18">
        <v>0.0</v>
      </c>
      <c r="K235" s="18">
        <v>9.0</v>
      </c>
      <c r="L235" s="18">
        <v>0.0</v>
      </c>
      <c r="M235" s="18">
        <v>0.0</v>
      </c>
      <c r="N235" s="18">
        <v>0.0</v>
      </c>
      <c r="O235" s="18">
        <v>0.0</v>
      </c>
      <c r="P235" s="18">
        <v>0.0</v>
      </c>
      <c r="Q235" s="18">
        <v>0.0</v>
      </c>
      <c r="R235" s="18">
        <v>0.115254237</v>
      </c>
      <c r="S235" s="18">
        <v>0.0</v>
      </c>
      <c r="T235" s="18">
        <v>0.115254237</v>
      </c>
    </row>
    <row r="236">
      <c r="A236" s="17">
        <v>45707.0</v>
      </c>
      <c r="B236" s="18">
        <v>261.0</v>
      </c>
      <c r="C236" s="18">
        <v>0.0</v>
      </c>
      <c r="D236" s="18">
        <v>261.0</v>
      </c>
      <c r="E236" s="18">
        <v>152.0</v>
      </c>
      <c r="F236" s="18">
        <v>11.0</v>
      </c>
      <c r="G236" s="18">
        <v>0.0</v>
      </c>
      <c r="H236" s="18">
        <v>11.0</v>
      </c>
      <c r="I236" s="18">
        <v>2.0</v>
      </c>
      <c r="J236" s="18">
        <v>0.0</v>
      </c>
      <c r="K236" s="18">
        <v>2.0</v>
      </c>
      <c r="L236" s="18">
        <v>0.0</v>
      </c>
      <c r="M236" s="18">
        <v>0.0</v>
      </c>
      <c r="N236" s="18">
        <v>0.0</v>
      </c>
      <c r="O236" s="18">
        <v>1.0</v>
      </c>
      <c r="P236" s="18">
        <v>0.0</v>
      </c>
      <c r="Q236" s="18">
        <v>1.0</v>
      </c>
      <c r="R236" s="18">
        <v>0.053639847</v>
      </c>
      <c r="S236" s="18">
        <v>0.0</v>
      </c>
      <c r="T236" s="18">
        <v>0.053639847</v>
      </c>
    </row>
    <row r="237">
      <c r="A237" s="17">
        <v>45708.0</v>
      </c>
      <c r="B237" s="18">
        <v>210.0</v>
      </c>
      <c r="C237" s="18">
        <v>0.0</v>
      </c>
      <c r="D237" s="18">
        <v>210.0</v>
      </c>
      <c r="E237" s="18">
        <v>100.0</v>
      </c>
      <c r="F237" s="18">
        <v>23.0</v>
      </c>
      <c r="G237" s="18">
        <v>0.0</v>
      </c>
      <c r="H237" s="18">
        <v>23.0</v>
      </c>
      <c r="I237" s="18">
        <v>12.0</v>
      </c>
      <c r="J237" s="18">
        <v>0.0</v>
      </c>
      <c r="K237" s="18">
        <v>12.0</v>
      </c>
      <c r="L237" s="18">
        <v>0.0</v>
      </c>
      <c r="M237" s="18">
        <v>0.0</v>
      </c>
      <c r="N237" s="18">
        <v>0.0</v>
      </c>
      <c r="O237" s="18">
        <v>0.0</v>
      </c>
      <c r="P237" s="18">
        <v>0.0</v>
      </c>
      <c r="Q237" s="18">
        <v>0.0</v>
      </c>
      <c r="R237" s="18">
        <v>0.166666667</v>
      </c>
      <c r="S237" s="18">
        <v>0.0</v>
      </c>
      <c r="T237" s="18">
        <v>0.166666667</v>
      </c>
    </row>
    <row r="238">
      <c r="A238" s="17">
        <v>45709.0</v>
      </c>
      <c r="B238" s="18">
        <v>168.0</v>
      </c>
      <c r="C238" s="18">
        <v>0.0</v>
      </c>
      <c r="D238" s="18">
        <v>168.0</v>
      </c>
      <c r="E238" s="18">
        <v>69.0</v>
      </c>
      <c r="F238" s="18">
        <v>10.0</v>
      </c>
      <c r="G238" s="18">
        <v>0.0</v>
      </c>
      <c r="H238" s="18">
        <v>10.0</v>
      </c>
      <c r="I238" s="18">
        <v>1.0</v>
      </c>
      <c r="J238" s="18">
        <v>0.0</v>
      </c>
      <c r="K238" s="18">
        <v>1.0</v>
      </c>
      <c r="L238" s="18">
        <v>0.0</v>
      </c>
      <c r="M238" s="18">
        <v>0.0</v>
      </c>
      <c r="N238" s="18">
        <v>0.0</v>
      </c>
      <c r="O238" s="18">
        <v>1.0</v>
      </c>
      <c r="P238" s="18">
        <v>0.0</v>
      </c>
      <c r="Q238" s="18">
        <v>1.0</v>
      </c>
      <c r="R238" s="18">
        <v>0.071428571</v>
      </c>
      <c r="S238" s="18">
        <v>0.0</v>
      </c>
      <c r="T238" s="18">
        <v>0.071428571</v>
      </c>
    </row>
    <row r="239">
      <c r="A239" s="17">
        <v>45710.0</v>
      </c>
      <c r="B239" s="18">
        <v>88.0</v>
      </c>
      <c r="C239" s="18">
        <v>0.0</v>
      </c>
      <c r="D239" s="18">
        <v>88.0</v>
      </c>
      <c r="E239" s="18">
        <v>52.0</v>
      </c>
      <c r="F239" s="18">
        <v>4.0</v>
      </c>
      <c r="G239" s="18">
        <v>0.0</v>
      </c>
      <c r="H239" s="18">
        <v>4.0</v>
      </c>
      <c r="I239" s="18">
        <v>5.0</v>
      </c>
      <c r="J239" s="18">
        <v>0.0</v>
      </c>
      <c r="K239" s="18">
        <v>5.0</v>
      </c>
      <c r="L239" s="18">
        <v>0.0</v>
      </c>
      <c r="M239" s="18">
        <v>0.0</v>
      </c>
      <c r="N239" s="18">
        <v>0.0</v>
      </c>
      <c r="O239" s="18">
        <v>0.0</v>
      </c>
      <c r="P239" s="18">
        <v>0.0</v>
      </c>
      <c r="Q239" s="18">
        <v>0.0</v>
      </c>
      <c r="R239" s="18">
        <v>0.102272727</v>
      </c>
      <c r="S239" s="18">
        <v>0.0</v>
      </c>
      <c r="T239" s="18">
        <v>0.102272727</v>
      </c>
    </row>
    <row r="240">
      <c r="A240" s="17">
        <v>45711.0</v>
      </c>
      <c r="B240" s="18">
        <v>66.0</v>
      </c>
      <c r="C240" s="18">
        <v>0.0</v>
      </c>
      <c r="D240" s="18">
        <v>66.0</v>
      </c>
      <c r="E240" s="18">
        <v>47.0</v>
      </c>
      <c r="F240" s="18">
        <v>5.0</v>
      </c>
      <c r="G240" s="18">
        <v>0.0</v>
      </c>
      <c r="H240" s="18">
        <v>5.0</v>
      </c>
      <c r="I240" s="18">
        <v>0.0</v>
      </c>
      <c r="J240" s="18">
        <v>0.0</v>
      </c>
      <c r="K240" s="18">
        <v>0.0</v>
      </c>
      <c r="L240" s="18">
        <v>0.0</v>
      </c>
      <c r="M240" s="18">
        <v>0.0</v>
      </c>
      <c r="N240" s="18">
        <v>0.0</v>
      </c>
      <c r="O240" s="18">
        <v>0.0</v>
      </c>
      <c r="P240" s="18">
        <v>0.0</v>
      </c>
      <c r="Q240" s="18">
        <v>0.0</v>
      </c>
      <c r="R240" s="18">
        <v>0.075757576</v>
      </c>
      <c r="S240" s="18">
        <v>0.0</v>
      </c>
      <c r="T240" s="18">
        <v>0.075757576</v>
      </c>
    </row>
    <row r="241">
      <c r="A241" s="17">
        <v>45712.0</v>
      </c>
      <c r="B241" s="18">
        <v>68.0</v>
      </c>
      <c r="C241" s="18">
        <v>0.0</v>
      </c>
      <c r="D241" s="18">
        <v>68.0</v>
      </c>
      <c r="E241" s="18">
        <v>42.0</v>
      </c>
      <c r="F241" s="18">
        <v>1.0</v>
      </c>
      <c r="G241" s="18">
        <v>0.0</v>
      </c>
      <c r="H241" s="18">
        <v>1.0</v>
      </c>
      <c r="I241" s="18">
        <v>2.0</v>
      </c>
      <c r="J241" s="18">
        <v>0.0</v>
      </c>
      <c r="K241" s="18">
        <v>2.0</v>
      </c>
      <c r="L241" s="18">
        <v>0.0</v>
      </c>
      <c r="M241" s="18">
        <v>0.0</v>
      </c>
      <c r="N241" s="18">
        <v>0.0</v>
      </c>
      <c r="O241" s="18">
        <v>0.0</v>
      </c>
      <c r="P241" s="18">
        <v>0.0</v>
      </c>
      <c r="Q241" s="18">
        <v>0.0</v>
      </c>
      <c r="R241" s="18">
        <v>0.044117647</v>
      </c>
      <c r="S241" s="18">
        <v>0.0</v>
      </c>
      <c r="T241" s="18">
        <v>0.044117647</v>
      </c>
    </row>
    <row r="242">
      <c r="A242" s="17">
        <v>45713.0</v>
      </c>
      <c r="B242" s="18">
        <v>74.0</v>
      </c>
      <c r="C242" s="18">
        <v>0.0</v>
      </c>
      <c r="D242" s="18">
        <v>74.0</v>
      </c>
      <c r="E242" s="18">
        <v>44.0</v>
      </c>
      <c r="F242" s="18">
        <v>20.0</v>
      </c>
      <c r="G242" s="18">
        <v>0.0</v>
      </c>
      <c r="H242" s="18">
        <v>20.0</v>
      </c>
      <c r="I242" s="18">
        <v>4.0</v>
      </c>
      <c r="J242" s="18">
        <v>0.0</v>
      </c>
      <c r="K242" s="18">
        <v>4.0</v>
      </c>
      <c r="L242" s="18">
        <v>0.0</v>
      </c>
      <c r="M242" s="18">
        <v>0.0</v>
      </c>
      <c r="N242" s="18">
        <v>0.0</v>
      </c>
      <c r="O242" s="18">
        <v>0.0</v>
      </c>
      <c r="P242" s="18">
        <v>0.0</v>
      </c>
      <c r="Q242" s="18">
        <v>0.0</v>
      </c>
      <c r="R242" s="18">
        <v>0.324324324</v>
      </c>
      <c r="S242" s="18">
        <v>0.0</v>
      </c>
      <c r="T242" s="18">
        <v>0.324324324</v>
      </c>
    </row>
    <row r="243">
      <c r="A243" s="17">
        <v>45714.0</v>
      </c>
      <c r="B243" s="18">
        <v>107.0</v>
      </c>
      <c r="C243" s="18">
        <v>0.0</v>
      </c>
      <c r="D243" s="18">
        <v>107.0</v>
      </c>
      <c r="E243" s="18">
        <v>51.0</v>
      </c>
      <c r="F243" s="18">
        <v>0.0</v>
      </c>
      <c r="G243" s="18">
        <v>0.0</v>
      </c>
      <c r="H243" s="18">
        <v>0.0</v>
      </c>
      <c r="I243" s="18">
        <v>2.0</v>
      </c>
      <c r="J243" s="18">
        <v>0.0</v>
      </c>
      <c r="K243" s="18">
        <v>2.0</v>
      </c>
      <c r="L243" s="18">
        <v>0.0</v>
      </c>
      <c r="M243" s="18">
        <v>0.0</v>
      </c>
      <c r="N243" s="18">
        <v>0.0</v>
      </c>
      <c r="O243" s="18">
        <v>0.0</v>
      </c>
      <c r="P243" s="18">
        <v>0.0</v>
      </c>
      <c r="Q243" s="18">
        <v>0.0</v>
      </c>
      <c r="R243" s="18">
        <v>0.018691589</v>
      </c>
      <c r="S243" s="18">
        <v>0.0</v>
      </c>
      <c r="T243" s="18">
        <v>0.018691589</v>
      </c>
    </row>
    <row r="244">
      <c r="A244" s="17">
        <v>45715.0</v>
      </c>
      <c r="B244" s="18">
        <v>213.0</v>
      </c>
      <c r="C244" s="18">
        <v>0.0</v>
      </c>
      <c r="D244" s="18">
        <v>213.0</v>
      </c>
      <c r="E244" s="18">
        <v>98.0</v>
      </c>
      <c r="F244" s="18">
        <v>61.0</v>
      </c>
      <c r="G244" s="18">
        <v>0.0</v>
      </c>
      <c r="H244" s="18">
        <v>61.0</v>
      </c>
      <c r="I244" s="18">
        <v>16.0</v>
      </c>
      <c r="J244" s="18">
        <v>0.0</v>
      </c>
      <c r="K244" s="18">
        <v>16.0</v>
      </c>
      <c r="L244" s="18">
        <v>0.0</v>
      </c>
      <c r="M244" s="18">
        <v>0.0</v>
      </c>
      <c r="N244" s="18">
        <v>0.0</v>
      </c>
      <c r="O244" s="18">
        <v>0.0</v>
      </c>
      <c r="P244" s="18">
        <v>0.0</v>
      </c>
      <c r="Q244" s="18">
        <v>0.0</v>
      </c>
      <c r="R244" s="18">
        <v>0.361502347</v>
      </c>
      <c r="S244" s="18">
        <v>0.0</v>
      </c>
      <c r="T244" s="18">
        <v>0.361502347</v>
      </c>
    </row>
    <row r="245">
      <c r="A245" s="17">
        <v>45716.0</v>
      </c>
      <c r="B245" s="18">
        <v>507.0</v>
      </c>
      <c r="C245" s="18">
        <v>0.0</v>
      </c>
      <c r="D245" s="18">
        <v>507.0</v>
      </c>
      <c r="E245" s="18">
        <v>151.0</v>
      </c>
      <c r="F245" s="18">
        <v>91.0</v>
      </c>
      <c r="G245" s="18">
        <v>0.0</v>
      </c>
      <c r="H245" s="18">
        <v>91.0</v>
      </c>
      <c r="I245" s="18">
        <v>22.0</v>
      </c>
      <c r="J245" s="18">
        <v>0.0</v>
      </c>
      <c r="K245" s="18">
        <v>22.0</v>
      </c>
      <c r="L245" s="18">
        <v>0.0</v>
      </c>
      <c r="M245" s="18">
        <v>0.0</v>
      </c>
      <c r="N245" s="18">
        <v>0.0</v>
      </c>
      <c r="O245" s="18">
        <v>0.0</v>
      </c>
      <c r="P245" s="18">
        <v>0.0</v>
      </c>
      <c r="Q245" s="18">
        <v>0.0</v>
      </c>
      <c r="R245" s="18">
        <v>0.222879684</v>
      </c>
      <c r="S245" s="18">
        <v>0.0</v>
      </c>
      <c r="T245" s="18">
        <v>0.222879684</v>
      </c>
    </row>
    <row r="246">
      <c r="A246" s="17">
        <v>45717.0</v>
      </c>
      <c r="B246" s="18">
        <v>311.0</v>
      </c>
      <c r="C246" s="18">
        <v>0.0</v>
      </c>
      <c r="D246" s="18">
        <v>311.0</v>
      </c>
      <c r="E246" s="18">
        <v>114.0</v>
      </c>
      <c r="F246" s="18">
        <v>181.0</v>
      </c>
      <c r="G246" s="18">
        <v>0.0</v>
      </c>
      <c r="H246" s="18">
        <v>181.0</v>
      </c>
      <c r="I246" s="18">
        <v>14.0</v>
      </c>
      <c r="J246" s="18">
        <v>0.0</v>
      </c>
      <c r="K246" s="18">
        <v>14.0</v>
      </c>
      <c r="L246" s="18">
        <v>0.0</v>
      </c>
      <c r="M246" s="18">
        <v>0.0</v>
      </c>
      <c r="N246" s="18">
        <v>0.0</v>
      </c>
      <c r="O246" s="18">
        <v>0.0</v>
      </c>
      <c r="P246" s="18">
        <v>0.0</v>
      </c>
      <c r="Q246" s="18">
        <v>0.0</v>
      </c>
      <c r="R246" s="18">
        <v>0.627009646</v>
      </c>
      <c r="S246" s="18">
        <v>0.0</v>
      </c>
      <c r="T246" s="18">
        <v>0.627009646</v>
      </c>
    </row>
    <row r="247">
      <c r="A247" s="17">
        <v>45718.0</v>
      </c>
      <c r="B247" s="18">
        <v>363.0</v>
      </c>
      <c r="C247" s="18">
        <v>0.0</v>
      </c>
      <c r="D247" s="18">
        <v>363.0</v>
      </c>
      <c r="E247" s="18">
        <v>128.0</v>
      </c>
      <c r="F247" s="18">
        <v>161.0</v>
      </c>
      <c r="G247" s="18">
        <v>0.0</v>
      </c>
      <c r="H247" s="18">
        <v>161.0</v>
      </c>
      <c r="I247" s="18">
        <v>11.0</v>
      </c>
      <c r="J247" s="18">
        <v>0.0</v>
      </c>
      <c r="K247" s="18">
        <v>11.0</v>
      </c>
      <c r="L247" s="18">
        <v>0.0</v>
      </c>
      <c r="M247" s="18">
        <v>0.0</v>
      </c>
      <c r="N247" s="18">
        <v>0.0</v>
      </c>
      <c r="O247" s="18">
        <v>0.0</v>
      </c>
      <c r="P247" s="18">
        <v>0.0</v>
      </c>
      <c r="Q247" s="18">
        <v>0.0</v>
      </c>
      <c r="R247" s="18">
        <v>0.473829201</v>
      </c>
      <c r="S247" s="18">
        <v>0.0</v>
      </c>
      <c r="T247" s="18">
        <v>0.473829201</v>
      </c>
    </row>
    <row r="248">
      <c r="A248" s="17">
        <v>45719.0</v>
      </c>
      <c r="B248" s="18">
        <v>318.0</v>
      </c>
      <c r="C248" s="18">
        <v>0.0</v>
      </c>
      <c r="D248" s="18">
        <v>318.0</v>
      </c>
      <c r="E248" s="18">
        <v>116.0</v>
      </c>
      <c r="F248" s="18">
        <v>46.0</v>
      </c>
      <c r="G248" s="18">
        <v>0.0</v>
      </c>
      <c r="H248" s="18">
        <v>46.0</v>
      </c>
      <c r="I248" s="18">
        <v>18.0</v>
      </c>
      <c r="J248" s="18">
        <v>0.0</v>
      </c>
      <c r="K248" s="18">
        <v>18.0</v>
      </c>
      <c r="L248" s="18">
        <v>0.0</v>
      </c>
      <c r="M248" s="18">
        <v>0.0</v>
      </c>
      <c r="N248" s="18">
        <v>0.0</v>
      </c>
      <c r="O248" s="18">
        <v>0.0</v>
      </c>
      <c r="P248" s="18">
        <v>0.0</v>
      </c>
      <c r="Q248" s="18">
        <v>0.0</v>
      </c>
      <c r="R248" s="18">
        <v>0.201257862</v>
      </c>
      <c r="S248" s="18">
        <v>0.0</v>
      </c>
      <c r="T248" s="18">
        <v>0.201257862</v>
      </c>
    </row>
    <row r="249">
      <c r="A249" s="17">
        <v>45720.0</v>
      </c>
      <c r="B249" s="18">
        <v>431.0</v>
      </c>
      <c r="C249" s="18">
        <v>0.0</v>
      </c>
      <c r="D249" s="18">
        <v>431.0</v>
      </c>
      <c r="E249" s="18">
        <v>152.0</v>
      </c>
      <c r="F249" s="18">
        <v>70.0</v>
      </c>
      <c r="G249" s="18">
        <v>0.0</v>
      </c>
      <c r="H249" s="18">
        <v>70.0</v>
      </c>
      <c r="I249" s="18">
        <v>22.0</v>
      </c>
      <c r="J249" s="18">
        <v>0.0</v>
      </c>
      <c r="K249" s="18">
        <v>22.0</v>
      </c>
      <c r="L249" s="18">
        <v>1.0</v>
      </c>
      <c r="M249" s="18">
        <v>0.0</v>
      </c>
      <c r="N249" s="18">
        <v>1.0</v>
      </c>
      <c r="O249" s="18">
        <v>2.0</v>
      </c>
      <c r="P249" s="18">
        <v>0.0</v>
      </c>
      <c r="Q249" s="18">
        <v>2.0</v>
      </c>
      <c r="R249" s="18">
        <v>0.220417633</v>
      </c>
      <c r="S249" s="18">
        <v>0.0</v>
      </c>
      <c r="T249" s="18">
        <v>0.220417633</v>
      </c>
    </row>
    <row r="250">
      <c r="A250" s="17">
        <v>45721.0</v>
      </c>
      <c r="B250" s="18">
        <v>208.0</v>
      </c>
      <c r="C250" s="18">
        <v>0.0</v>
      </c>
      <c r="D250" s="18">
        <v>208.0</v>
      </c>
      <c r="E250" s="18">
        <v>76.0</v>
      </c>
      <c r="F250" s="18">
        <v>17.0</v>
      </c>
      <c r="G250" s="18">
        <v>0.0</v>
      </c>
      <c r="H250" s="18">
        <v>17.0</v>
      </c>
      <c r="I250" s="18">
        <v>3.0</v>
      </c>
      <c r="J250" s="18">
        <v>0.0</v>
      </c>
      <c r="K250" s="18">
        <v>3.0</v>
      </c>
      <c r="L250" s="18">
        <v>1.0</v>
      </c>
      <c r="M250" s="18">
        <v>0.0</v>
      </c>
      <c r="N250" s="18">
        <v>1.0</v>
      </c>
      <c r="O250" s="18">
        <v>0.0</v>
      </c>
      <c r="P250" s="18">
        <v>0.0</v>
      </c>
      <c r="Q250" s="18">
        <v>0.0</v>
      </c>
      <c r="R250" s="18">
        <v>0.100961538</v>
      </c>
      <c r="S250" s="18">
        <v>0.0</v>
      </c>
      <c r="T250" s="18">
        <v>0.100961538</v>
      </c>
    </row>
    <row r="251">
      <c r="A251" s="17">
        <v>45722.0</v>
      </c>
      <c r="B251" s="18">
        <v>143.0</v>
      </c>
      <c r="C251" s="18">
        <v>0.0</v>
      </c>
      <c r="D251" s="18">
        <v>143.0</v>
      </c>
      <c r="E251" s="18">
        <v>43.0</v>
      </c>
      <c r="F251" s="18">
        <v>17.0</v>
      </c>
      <c r="G251" s="18">
        <v>0.0</v>
      </c>
      <c r="H251" s="18">
        <v>17.0</v>
      </c>
      <c r="I251" s="18">
        <v>7.0</v>
      </c>
      <c r="J251" s="18">
        <v>0.0</v>
      </c>
      <c r="K251" s="18">
        <v>7.0</v>
      </c>
      <c r="L251" s="18">
        <v>1.0</v>
      </c>
      <c r="M251" s="18">
        <v>0.0</v>
      </c>
      <c r="N251" s="18">
        <v>1.0</v>
      </c>
      <c r="O251" s="18">
        <v>0.0</v>
      </c>
      <c r="P251" s="18">
        <v>0.0</v>
      </c>
      <c r="Q251" s="18">
        <v>0.0</v>
      </c>
      <c r="R251" s="18">
        <v>0.174825175</v>
      </c>
      <c r="S251" s="18">
        <v>0.0</v>
      </c>
      <c r="T251" s="18">
        <v>0.174825175</v>
      </c>
    </row>
    <row r="252">
      <c r="A252" s="17">
        <v>45723.0</v>
      </c>
      <c r="B252" s="18">
        <v>82.0</v>
      </c>
      <c r="C252" s="18">
        <v>0.0</v>
      </c>
      <c r="D252" s="18">
        <v>82.0</v>
      </c>
      <c r="E252" s="18">
        <v>39.0</v>
      </c>
      <c r="F252" s="18">
        <v>3.0</v>
      </c>
      <c r="G252" s="18">
        <v>0.0</v>
      </c>
      <c r="H252" s="18">
        <v>3.0</v>
      </c>
      <c r="I252" s="18">
        <v>5.0</v>
      </c>
      <c r="J252" s="18">
        <v>0.0</v>
      </c>
      <c r="K252" s="18">
        <v>5.0</v>
      </c>
      <c r="L252" s="18">
        <v>0.0</v>
      </c>
      <c r="M252" s="18">
        <v>0.0</v>
      </c>
      <c r="N252" s="18">
        <v>0.0</v>
      </c>
      <c r="O252" s="18">
        <v>0.0</v>
      </c>
      <c r="P252" s="18">
        <v>0.0</v>
      </c>
      <c r="Q252" s="18">
        <v>0.0</v>
      </c>
      <c r="R252" s="18">
        <v>0.097560976</v>
      </c>
      <c r="S252" s="18">
        <v>0.0</v>
      </c>
      <c r="T252" s="18">
        <v>0.097560976</v>
      </c>
    </row>
    <row r="253">
      <c r="A253" s="17">
        <v>45724.0</v>
      </c>
      <c r="B253" s="18">
        <v>64.0</v>
      </c>
      <c r="C253" s="18">
        <v>0.0</v>
      </c>
      <c r="D253" s="18">
        <v>64.0</v>
      </c>
      <c r="E253" s="18">
        <v>27.0</v>
      </c>
      <c r="F253" s="18">
        <v>0.0</v>
      </c>
      <c r="G253" s="18">
        <v>0.0</v>
      </c>
      <c r="H253" s="18">
        <v>0.0</v>
      </c>
      <c r="I253" s="18">
        <v>3.0</v>
      </c>
      <c r="J253" s="18">
        <v>0.0</v>
      </c>
      <c r="K253" s="18">
        <v>3.0</v>
      </c>
      <c r="L253" s="18">
        <v>0.0</v>
      </c>
      <c r="M253" s="18">
        <v>0.0</v>
      </c>
      <c r="N253" s="18">
        <v>0.0</v>
      </c>
      <c r="O253" s="18">
        <v>0.0</v>
      </c>
      <c r="P253" s="18">
        <v>0.0</v>
      </c>
      <c r="Q253" s="18">
        <v>0.0</v>
      </c>
      <c r="R253" s="18">
        <v>0.046875</v>
      </c>
      <c r="S253" s="18">
        <v>0.0</v>
      </c>
      <c r="T253" s="18">
        <v>0.046875</v>
      </c>
    </row>
    <row r="254">
      <c r="A254" s="17">
        <v>45725.0</v>
      </c>
      <c r="B254" s="18">
        <v>40.0</v>
      </c>
      <c r="C254" s="18">
        <v>0.0</v>
      </c>
      <c r="D254" s="18">
        <v>40.0</v>
      </c>
      <c r="E254" s="18">
        <v>22.0</v>
      </c>
      <c r="F254" s="18">
        <v>0.0</v>
      </c>
      <c r="G254" s="18">
        <v>0.0</v>
      </c>
      <c r="H254" s="18">
        <v>0.0</v>
      </c>
      <c r="I254" s="18">
        <v>0.0</v>
      </c>
      <c r="J254" s="18">
        <v>0.0</v>
      </c>
      <c r="K254" s="18">
        <v>0.0</v>
      </c>
      <c r="L254" s="18">
        <v>0.0</v>
      </c>
      <c r="M254" s="18">
        <v>0.0</v>
      </c>
      <c r="N254" s="18">
        <v>0.0</v>
      </c>
      <c r="O254" s="18">
        <v>0.0</v>
      </c>
      <c r="P254" s="18">
        <v>0.0</v>
      </c>
      <c r="Q254" s="18">
        <v>0.0</v>
      </c>
      <c r="R254" s="18">
        <v>0.0</v>
      </c>
      <c r="S254" s="18">
        <v>0.0</v>
      </c>
      <c r="T254" s="18">
        <v>0.0</v>
      </c>
    </row>
    <row r="255">
      <c r="A255" s="17">
        <v>45726.0</v>
      </c>
      <c r="B255" s="18">
        <v>80.0</v>
      </c>
      <c r="C255" s="18">
        <v>0.0</v>
      </c>
      <c r="D255" s="18">
        <v>80.0</v>
      </c>
      <c r="E255" s="18">
        <v>31.0</v>
      </c>
      <c r="F255" s="18">
        <v>22.0</v>
      </c>
      <c r="G255" s="18">
        <v>0.0</v>
      </c>
      <c r="H255" s="18">
        <v>22.0</v>
      </c>
      <c r="I255" s="18">
        <v>3.0</v>
      </c>
      <c r="J255" s="18">
        <v>0.0</v>
      </c>
      <c r="K255" s="18">
        <v>3.0</v>
      </c>
      <c r="L255" s="18">
        <v>0.0</v>
      </c>
      <c r="M255" s="18">
        <v>0.0</v>
      </c>
      <c r="N255" s="18">
        <v>0.0</v>
      </c>
      <c r="O255" s="18">
        <v>0.0</v>
      </c>
      <c r="P255" s="18">
        <v>0.0</v>
      </c>
      <c r="Q255" s="18">
        <v>0.0</v>
      </c>
      <c r="R255" s="18">
        <v>0.3125</v>
      </c>
      <c r="S255" s="18">
        <v>0.0</v>
      </c>
      <c r="T255" s="18">
        <v>0.3125</v>
      </c>
    </row>
    <row r="256">
      <c r="A256" s="17">
        <v>45727.0</v>
      </c>
      <c r="B256" s="18">
        <v>201.0</v>
      </c>
      <c r="C256" s="18">
        <v>0.0</v>
      </c>
      <c r="D256" s="18">
        <v>201.0</v>
      </c>
      <c r="E256" s="18">
        <v>60.0</v>
      </c>
      <c r="F256" s="18">
        <v>39.0</v>
      </c>
      <c r="G256" s="18">
        <v>0.0</v>
      </c>
      <c r="H256" s="18">
        <v>39.0</v>
      </c>
      <c r="I256" s="18">
        <v>11.0</v>
      </c>
      <c r="J256" s="18">
        <v>0.0</v>
      </c>
      <c r="K256" s="18">
        <v>11.0</v>
      </c>
      <c r="L256" s="18">
        <v>4.0</v>
      </c>
      <c r="M256" s="18">
        <v>0.0</v>
      </c>
      <c r="N256" s="18">
        <v>4.0</v>
      </c>
      <c r="O256" s="18">
        <v>0.0</v>
      </c>
      <c r="P256" s="18">
        <v>0.0</v>
      </c>
      <c r="Q256" s="18">
        <v>0.0</v>
      </c>
      <c r="R256" s="18">
        <v>0.268656716</v>
      </c>
      <c r="S256" s="18">
        <v>0.0</v>
      </c>
      <c r="T256" s="18">
        <v>0.268656716</v>
      </c>
    </row>
    <row r="257">
      <c r="A257" s="17">
        <v>45728.0</v>
      </c>
      <c r="B257" s="18">
        <v>189.0</v>
      </c>
      <c r="C257" s="18">
        <v>0.0</v>
      </c>
      <c r="D257" s="18">
        <v>189.0</v>
      </c>
      <c r="E257" s="18">
        <v>87.0</v>
      </c>
      <c r="F257" s="18">
        <v>9.0</v>
      </c>
      <c r="G257" s="18">
        <v>0.0</v>
      </c>
      <c r="H257" s="18">
        <v>9.0</v>
      </c>
      <c r="I257" s="18">
        <v>4.0</v>
      </c>
      <c r="J257" s="18">
        <v>0.0</v>
      </c>
      <c r="K257" s="18">
        <v>4.0</v>
      </c>
      <c r="L257" s="18">
        <v>0.0</v>
      </c>
      <c r="M257" s="18">
        <v>0.0</v>
      </c>
      <c r="N257" s="18">
        <v>0.0</v>
      </c>
      <c r="O257" s="18">
        <v>1.0</v>
      </c>
      <c r="P257" s="18">
        <v>0.0</v>
      </c>
      <c r="Q257" s="18">
        <v>1.0</v>
      </c>
      <c r="R257" s="18">
        <v>0.074074074</v>
      </c>
      <c r="S257" s="18">
        <v>0.0</v>
      </c>
      <c r="T257" s="18">
        <v>0.074074074</v>
      </c>
    </row>
    <row r="258">
      <c r="A258" s="17">
        <v>45729.0</v>
      </c>
      <c r="B258" s="18">
        <v>102.0</v>
      </c>
      <c r="C258" s="18">
        <v>0.0</v>
      </c>
      <c r="D258" s="18">
        <v>102.0</v>
      </c>
      <c r="E258" s="18">
        <v>33.0</v>
      </c>
      <c r="F258" s="18">
        <v>17.0</v>
      </c>
      <c r="G258" s="18">
        <v>0.0</v>
      </c>
      <c r="H258" s="18">
        <v>17.0</v>
      </c>
      <c r="I258" s="18">
        <v>9.0</v>
      </c>
      <c r="J258" s="18">
        <v>0.0</v>
      </c>
      <c r="K258" s="18">
        <v>9.0</v>
      </c>
      <c r="L258" s="18">
        <v>1.0</v>
      </c>
      <c r="M258" s="18">
        <v>0.0</v>
      </c>
      <c r="N258" s="18">
        <v>1.0</v>
      </c>
      <c r="O258" s="18">
        <v>0.0</v>
      </c>
      <c r="P258" s="18">
        <v>0.0</v>
      </c>
      <c r="Q258" s="18">
        <v>0.0</v>
      </c>
      <c r="R258" s="18">
        <v>0.264705882</v>
      </c>
      <c r="S258" s="18">
        <v>0.0</v>
      </c>
      <c r="T258" s="18">
        <v>0.264705882</v>
      </c>
    </row>
    <row r="259">
      <c r="A259" s="17">
        <v>45730.0</v>
      </c>
      <c r="B259" s="18">
        <v>294.0</v>
      </c>
      <c r="C259" s="18">
        <v>0.0</v>
      </c>
      <c r="D259" s="18">
        <v>294.0</v>
      </c>
      <c r="E259" s="18">
        <v>104.0</v>
      </c>
      <c r="F259" s="18">
        <v>21.0</v>
      </c>
      <c r="G259" s="18">
        <v>0.0</v>
      </c>
      <c r="H259" s="18">
        <v>21.0</v>
      </c>
      <c r="I259" s="18">
        <v>18.0</v>
      </c>
      <c r="J259" s="18">
        <v>0.0</v>
      </c>
      <c r="K259" s="18">
        <v>18.0</v>
      </c>
      <c r="L259" s="18">
        <v>0.0</v>
      </c>
      <c r="M259" s="18">
        <v>0.0</v>
      </c>
      <c r="N259" s="18">
        <v>0.0</v>
      </c>
      <c r="O259" s="18">
        <v>0.0</v>
      </c>
      <c r="P259" s="18">
        <v>0.0</v>
      </c>
      <c r="Q259" s="18">
        <v>0.0</v>
      </c>
      <c r="R259" s="18">
        <v>0.132653061</v>
      </c>
      <c r="S259" s="18">
        <v>0.0</v>
      </c>
      <c r="T259" s="18">
        <v>0.132653061</v>
      </c>
    </row>
    <row r="260">
      <c r="A260" s="17">
        <v>45731.0</v>
      </c>
      <c r="B260" s="18">
        <v>95.0</v>
      </c>
      <c r="C260" s="18">
        <v>0.0</v>
      </c>
      <c r="D260" s="18">
        <v>95.0</v>
      </c>
      <c r="E260" s="18">
        <v>42.0</v>
      </c>
      <c r="F260" s="18">
        <v>14.0</v>
      </c>
      <c r="G260" s="18">
        <v>0.0</v>
      </c>
      <c r="H260" s="18">
        <v>14.0</v>
      </c>
      <c r="I260" s="18">
        <v>7.0</v>
      </c>
      <c r="J260" s="18">
        <v>0.0</v>
      </c>
      <c r="K260" s="18">
        <v>7.0</v>
      </c>
      <c r="L260" s="18">
        <v>1.0</v>
      </c>
      <c r="M260" s="18">
        <v>0.0</v>
      </c>
      <c r="N260" s="18">
        <v>1.0</v>
      </c>
      <c r="O260" s="18">
        <v>0.0</v>
      </c>
      <c r="P260" s="18">
        <v>0.0</v>
      </c>
      <c r="Q260" s="18">
        <v>0.0</v>
      </c>
      <c r="R260" s="18">
        <v>0.231578947</v>
      </c>
      <c r="S260" s="18">
        <v>0.0</v>
      </c>
      <c r="T260" s="18">
        <v>0.231578947</v>
      </c>
    </row>
    <row r="261">
      <c r="A261" s="17">
        <v>45732.0</v>
      </c>
      <c r="B261" s="18">
        <v>57.0</v>
      </c>
      <c r="C261" s="18">
        <v>0.0</v>
      </c>
      <c r="D261" s="18">
        <v>57.0</v>
      </c>
      <c r="E261" s="18">
        <v>36.0</v>
      </c>
      <c r="F261" s="18">
        <v>3.0</v>
      </c>
      <c r="G261" s="18">
        <v>0.0</v>
      </c>
      <c r="H261" s="18">
        <v>3.0</v>
      </c>
      <c r="I261" s="18">
        <v>2.0</v>
      </c>
      <c r="J261" s="18">
        <v>0.0</v>
      </c>
      <c r="K261" s="18">
        <v>2.0</v>
      </c>
      <c r="L261" s="18">
        <v>0.0</v>
      </c>
      <c r="M261" s="18">
        <v>0.0</v>
      </c>
      <c r="N261" s="18">
        <v>0.0</v>
      </c>
      <c r="O261" s="18">
        <v>0.0</v>
      </c>
      <c r="P261" s="18">
        <v>0.0</v>
      </c>
      <c r="Q261" s="18">
        <v>0.0</v>
      </c>
      <c r="R261" s="18">
        <v>0.087719298</v>
      </c>
      <c r="S261" s="18">
        <v>0.0</v>
      </c>
      <c r="T261" s="18">
        <v>0.087719298</v>
      </c>
    </row>
    <row r="262">
      <c r="A262" s="17">
        <v>45733.0</v>
      </c>
      <c r="B262" s="18">
        <v>128.0</v>
      </c>
      <c r="C262" s="18">
        <v>0.0</v>
      </c>
      <c r="D262" s="18">
        <v>128.0</v>
      </c>
      <c r="E262" s="18">
        <v>47.0</v>
      </c>
      <c r="F262" s="18">
        <v>7.0</v>
      </c>
      <c r="G262" s="18">
        <v>0.0</v>
      </c>
      <c r="H262" s="18">
        <v>7.0</v>
      </c>
      <c r="I262" s="18">
        <v>1.0</v>
      </c>
      <c r="J262" s="18">
        <v>0.0</v>
      </c>
      <c r="K262" s="18">
        <v>1.0</v>
      </c>
      <c r="L262" s="18">
        <v>0.0</v>
      </c>
      <c r="M262" s="18">
        <v>0.0</v>
      </c>
      <c r="N262" s="18">
        <v>0.0</v>
      </c>
      <c r="O262" s="18">
        <v>1.0</v>
      </c>
      <c r="P262" s="18">
        <v>0.0</v>
      </c>
      <c r="Q262" s="18">
        <v>1.0</v>
      </c>
      <c r="R262" s="18">
        <v>0.0703125</v>
      </c>
      <c r="S262" s="18">
        <v>0.0</v>
      </c>
      <c r="T262" s="18">
        <v>0.0703125</v>
      </c>
    </row>
    <row r="263">
      <c r="A263" s="17">
        <v>45734.0</v>
      </c>
      <c r="B263" s="18">
        <v>116.0</v>
      </c>
      <c r="C263" s="18">
        <v>0.0</v>
      </c>
      <c r="D263" s="18">
        <v>116.0</v>
      </c>
      <c r="E263" s="18">
        <v>37.0</v>
      </c>
      <c r="F263" s="18">
        <v>5.0</v>
      </c>
      <c r="G263" s="18">
        <v>0.0</v>
      </c>
      <c r="H263" s="18">
        <v>5.0</v>
      </c>
      <c r="I263" s="18">
        <v>9.0</v>
      </c>
      <c r="J263" s="18">
        <v>0.0</v>
      </c>
      <c r="K263" s="18">
        <v>9.0</v>
      </c>
      <c r="L263" s="18">
        <v>0.0</v>
      </c>
      <c r="M263" s="18">
        <v>0.0</v>
      </c>
      <c r="N263" s="18">
        <v>0.0</v>
      </c>
      <c r="O263" s="18">
        <v>1.0</v>
      </c>
      <c r="P263" s="18">
        <v>0.0</v>
      </c>
      <c r="Q263" s="18">
        <v>1.0</v>
      </c>
      <c r="R263" s="18">
        <v>0.129310345</v>
      </c>
      <c r="S263" s="18">
        <v>0.0</v>
      </c>
      <c r="T263" s="18">
        <v>0.129310345</v>
      </c>
    </row>
    <row r="264">
      <c r="A264" s="17">
        <v>45735.0</v>
      </c>
      <c r="B264" s="18">
        <v>234.0</v>
      </c>
      <c r="C264" s="18">
        <v>0.0</v>
      </c>
      <c r="D264" s="18">
        <v>234.0</v>
      </c>
      <c r="E264" s="18">
        <v>52.0</v>
      </c>
      <c r="F264" s="18">
        <v>14.0</v>
      </c>
      <c r="G264" s="18">
        <v>0.0</v>
      </c>
      <c r="H264" s="18">
        <v>14.0</v>
      </c>
      <c r="I264" s="18">
        <v>6.0</v>
      </c>
      <c r="J264" s="18">
        <v>0.0</v>
      </c>
      <c r="K264" s="18">
        <v>6.0</v>
      </c>
      <c r="L264" s="18">
        <v>1.0</v>
      </c>
      <c r="M264" s="18">
        <v>0.0</v>
      </c>
      <c r="N264" s="18">
        <v>1.0</v>
      </c>
      <c r="O264" s="18">
        <v>0.0</v>
      </c>
      <c r="P264" s="18">
        <v>0.0</v>
      </c>
      <c r="Q264" s="18">
        <v>0.0</v>
      </c>
      <c r="R264" s="18">
        <v>0.08974359</v>
      </c>
      <c r="S264" s="18">
        <v>0.0</v>
      </c>
      <c r="T264" s="18">
        <v>0.08974359</v>
      </c>
    </row>
    <row r="265">
      <c r="A265" s="17">
        <v>45736.0</v>
      </c>
      <c r="B265" s="18">
        <v>437.0</v>
      </c>
      <c r="C265" s="18">
        <v>0.0</v>
      </c>
      <c r="D265" s="18">
        <v>437.0</v>
      </c>
      <c r="E265" s="18">
        <v>158.0</v>
      </c>
      <c r="F265" s="18">
        <v>48.0</v>
      </c>
      <c r="G265" s="18">
        <v>0.0</v>
      </c>
      <c r="H265" s="18">
        <v>48.0</v>
      </c>
      <c r="I265" s="18">
        <v>26.0</v>
      </c>
      <c r="J265" s="18">
        <v>0.0</v>
      </c>
      <c r="K265" s="18">
        <v>26.0</v>
      </c>
      <c r="L265" s="18">
        <v>2.0</v>
      </c>
      <c r="M265" s="18">
        <v>0.0</v>
      </c>
      <c r="N265" s="18">
        <v>2.0</v>
      </c>
      <c r="O265" s="18">
        <v>2.0</v>
      </c>
      <c r="P265" s="18">
        <v>0.0</v>
      </c>
      <c r="Q265" s="18">
        <v>2.0</v>
      </c>
      <c r="R265" s="18">
        <v>0.178489703</v>
      </c>
      <c r="S265" s="18">
        <v>0.0</v>
      </c>
      <c r="T265" s="18">
        <v>0.178489703</v>
      </c>
    </row>
    <row r="266">
      <c r="A266" s="17">
        <v>45737.0</v>
      </c>
      <c r="B266" s="18">
        <v>265.0</v>
      </c>
      <c r="C266" s="18">
        <v>0.0</v>
      </c>
      <c r="D266" s="18">
        <v>265.0</v>
      </c>
      <c r="E266" s="18">
        <v>109.0</v>
      </c>
      <c r="F266" s="18">
        <v>9.0</v>
      </c>
      <c r="G266" s="18">
        <v>0.0</v>
      </c>
      <c r="H266" s="18">
        <v>9.0</v>
      </c>
      <c r="I266" s="18">
        <v>7.0</v>
      </c>
      <c r="J266" s="18">
        <v>0.0</v>
      </c>
      <c r="K266" s="18">
        <v>7.0</v>
      </c>
      <c r="L266" s="18">
        <v>1.0</v>
      </c>
      <c r="M266" s="18">
        <v>0.0</v>
      </c>
      <c r="N266" s="18">
        <v>1.0</v>
      </c>
      <c r="O266" s="18">
        <v>0.0</v>
      </c>
      <c r="P266" s="18">
        <v>0.0</v>
      </c>
      <c r="Q266" s="18">
        <v>0.0</v>
      </c>
      <c r="R266" s="18">
        <v>0.064150943</v>
      </c>
      <c r="S266" s="18">
        <v>0.0</v>
      </c>
      <c r="T266" s="18">
        <v>0.064150943</v>
      </c>
    </row>
    <row r="267">
      <c r="A267" s="17">
        <v>45738.0</v>
      </c>
      <c r="B267" s="18">
        <v>141.0</v>
      </c>
      <c r="C267" s="18">
        <v>0.0</v>
      </c>
      <c r="D267" s="18">
        <v>141.0</v>
      </c>
      <c r="E267" s="18">
        <v>78.0</v>
      </c>
      <c r="F267" s="18">
        <v>11.0</v>
      </c>
      <c r="G267" s="18">
        <v>0.0</v>
      </c>
      <c r="H267" s="18">
        <v>11.0</v>
      </c>
      <c r="I267" s="18">
        <v>8.0</v>
      </c>
      <c r="J267" s="18">
        <v>0.0</v>
      </c>
      <c r="K267" s="18">
        <v>8.0</v>
      </c>
      <c r="L267" s="18">
        <v>0.0</v>
      </c>
      <c r="M267" s="18">
        <v>0.0</v>
      </c>
      <c r="N267" s="18">
        <v>0.0</v>
      </c>
      <c r="O267" s="18">
        <v>1.0</v>
      </c>
      <c r="P267" s="18">
        <v>0.0</v>
      </c>
      <c r="Q267" s="18">
        <v>1.0</v>
      </c>
      <c r="R267" s="18">
        <v>0.141843972</v>
      </c>
      <c r="S267" s="18">
        <v>0.0</v>
      </c>
      <c r="T267" s="18">
        <v>0.141843972</v>
      </c>
    </row>
    <row r="268">
      <c r="A268" s="17">
        <v>45739.0</v>
      </c>
      <c r="B268" s="18">
        <v>131.0</v>
      </c>
      <c r="C268" s="18">
        <v>0.0</v>
      </c>
      <c r="D268" s="18">
        <v>131.0</v>
      </c>
      <c r="E268" s="18">
        <v>53.0</v>
      </c>
      <c r="F268" s="18">
        <v>11.0</v>
      </c>
      <c r="G268" s="18">
        <v>0.0</v>
      </c>
      <c r="H268" s="18">
        <v>11.0</v>
      </c>
      <c r="I268" s="18">
        <v>4.0</v>
      </c>
      <c r="J268" s="18">
        <v>0.0</v>
      </c>
      <c r="K268" s="18">
        <v>4.0</v>
      </c>
      <c r="L268" s="18">
        <v>0.0</v>
      </c>
      <c r="M268" s="18">
        <v>0.0</v>
      </c>
      <c r="N268" s="18">
        <v>0.0</v>
      </c>
      <c r="O268" s="18">
        <v>0.0</v>
      </c>
      <c r="P268" s="18">
        <v>0.0</v>
      </c>
      <c r="Q268" s="18">
        <v>0.0</v>
      </c>
      <c r="R268" s="18">
        <v>0.114503817</v>
      </c>
      <c r="S268" s="18">
        <v>0.0</v>
      </c>
      <c r="T268" s="18">
        <v>0.114503817</v>
      </c>
    </row>
    <row r="269">
      <c r="A269" s="17">
        <v>45740.0</v>
      </c>
      <c r="B269" s="18">
        <v>328.0</v>
      </c>
      <c r="C269" s="18">
        <v>0.0</v>
      </c>
      <c r="D269" s="18">
        <v>328.0</v>
      </c>
      <c r="E269" s="18">
        <v>150.0</v>
      </c>
      <c r="F269" s="18">
        <v>6.0</v>
      </c>
      <c r="G269" s="18">
        <v>0.0</v>
      </c>
      <c r="H269" s="18">
        <v>6.0</v>
      </c>
      <c r="I269" s="18">
        <v>10.0</v>
      </c>
      <c r="J269" s="18">
        <v>0.0</v>
      </c>
      <c r="K269" s="18">
        <v>10.0</v>
      </c>
      <c r="L269" s="18">
        <v>0.0</v>
      </c>
      <c r="M269" s="18">
        <v>0.0</v>
      </c>
      <c r="N269" s="18">
        <v>0.0</v>
      </c>
      <c r="O269" s="18">
        <v>0.0</v>
      </c>
      <c r="P269" s="18">
        <v>0.0</v>
      </c>
      <c r="Q269" s="18">
        <v>0.0</v>
      </c>
      <c r="R269" s="18">
        <v>0.048780488</v>
      </c>
      <c r="S269" s="18">
        <v>0.0</v>
      </c>
      <c r="T269" s="18">
        <v>0.048780488</v>
      </c>
    </row>
    <row r="270">
      <c r="A270" s="17">
        <v>45741.0</v>
      </c>
      <c r="B270" s="18">
        <v>224.0</v>
      </c>
      <c r="C270" s="18">
        <v>0.0</v>
      </c>
      <c r="D270" s="18">
        <v>224.0</v>
      </c>
      <c r="E270" s="18">
        <v>107.0</v>
      </c>
      <c r="F270" s="18">
        <v>9.0</v>
      </c>
      <c r="G270" s="18">
        <v>0.0</v>
      </c>
      <c r="H270" s="18">
        <v>9.0</v>
      </c>
      <c r="I270" s="18">
        <v>18.0</v>
      </c>
      <c r="J270" s="18">
        <v>0.0</v>
      </c>
      <c r="K270" s="18">
        <v>18.0</v>
      </c>
      <c r="L270" s="18">
        <v>0.0</v>
      </c>
      <c r="M270" s="18">
        <v>0.0</v>
      </c>
      <c r="N270" s="18">
        <v>0.0</v>
      </c>
      <c r="O270" s="18">
        <v>0.0</v>
      </c>
      <c r="P270" s="18">
        <v>0.0</v>
      </c>
      <c r="Q270" s="18">
        <v>0.0</v>
      </c>
      <c r="R270" s="18">
        <v>0.120535714</v>
      </c>
      <c r="S270" s="18">
        <v>0.0</v>
      </c>
      <c r="T270" s="18">
        <v>0.120535714</v>
      </c>
    </row>
    <row r="271">
      <c r="A271" s="17">
        <v>45742.0</v>
      </c>
      <c r="B271" s="18">
        <v>339.0</v>
      </c>
      <c r="C271" s="18">
        <v>0.0</v>
      </c>
      <c r="D271" s="18">
        <v>339.0</v>
      </c>
      <c r="E271" s="18">
        <v>127.0</v>
      </c>
      <c r="F271" s="18">
        <v>23.0</v>
      </c>
      <c r="G271" s="18">
        <v>0.0</v>
      </c>
      <c r="H271" s="18">
        <v>23.0</v>
      </c>
      <c r="I271" s="18">
        <v>12.0</v>
      </c>
      <c r="J271" s="18">
        <v>0.0</v>
      </c>
      <c r="K271" s="18">
        <v>12.0</v>
      </c>
      <c r="L271" s="18">
        <v>0.0</v>
      </c>
      <c r="M271" s="18">
        <v>0.0</v>
      </c>
      <c r="N271" s="18">
        <v>0.0</v>
      </c>
      <c r="O271" s="18">
        <v>1.0</v>
      </c>
      <c r="P271" s="18">
        <v>0.0</v>
      </c>
      <c r="Q271" s="18">
        <v>1.0</v>
      </c>
      <c r="R271" s="18">
        <v>0.10619469</v>
      </c>
      <c r="S271" s="18">
        <v>0.0</v>
      </c>
      <c r="T271" s="18">
        <v>0.10619469</v>
      </c>
    </row>
    <row r="272">
      <c r="A272" s="17">
        <v>45743.0</v>
      </c>
      <c r="B272" s="18">
        <v>624.0</v>
      </c>
      <c r="C272" s="18">
        <v>0.0</v>
      </c>
      <c r="D272" s="18">
        <v>624.0</v>
      </c>
      <c r="E272" s="18">
        <v>162.0</v>
      </c>
      <c r="F272" s="18">
        <v>114.0</v>
      </c>
      <c r="G272" s="18">
        <v>0.0</v>
      </c>
      <c r="H272" s="18">
        <v>114.0</v>
      </c>
      <c r="I272" s="18">
        <v>24.0</v>
      </c>
      <c r="J272" s="18">
        <v>0.0</v>
      </c>
      <c r="K272" s="18">
        <v>24.0</v>
      </c>
      <c r="L272" s="18">
        <v>0.0</v>
      </c>
      <c r="M272" s="18">
        <v>0.0</v>
      </c>
      <c r="N272" s="18">
        <v>0.0</v>
      </c>
      <c r="O272" s="18">
        <v>0.0</v>
      </c>
      <c r="P272" s="18">
        <v>0.0</v>
      </c>
      <c r="Q272" s="18">
        <v>0.0</v>
      </c>
      <c r="R272" s="18">
        <v>0.221153846</v>
      </c>
      <c r="S272" s="18">
        <v>0.0</v>
      </c>
      <c r="T272" s="18">
        <v>0.221153846</v>
      </c>
    </row>
    <row r="273">
      <c r="A273" s="17">
        <v>45744.0</v>
      </c>
      <c r="B273" s="18">
        <v>378.0</v>
      </c>
      <c r="C273" s="18">
        <v>0.0</v>
      </c>
      <c r="D273" s="18">
        <v>378.0</v>
      </c>
      <c r="E273" s="18">
        <v>133.0</v>
      </c>
      <c r="F273" s="18">
        <v>32.0</v>
      </c>
      <c r="G273" s="18">
        <v>0.0</v>
      </c>
      <c r="H273" s="18">
        <v>32.0</v>
      </c>
      <c r="I273" s="18">
        <v>13.0</v>
      </c>
      <c r="J273" s="18">
        <v>0.0</v>
      </c>
      <c r="K273" s="18">
        <v>13.0</v>
      </c>
      <c r="L273" s="18">
        <v>1.0</v>
      </c>
      <c r="M273" s="18">
        <v>0.0</v>
      </c>
      <c r="N273" s="18">
        <v>1.0</v>
      </c>
      <c r="O273" s="18">
        <v>0.0</v>
      </c>
      <c r="P273" s="18">
        <v>0.0</v>
      </c>
      <c r="Q273" s="18">
        <v>0.0</v>
      </c>
      <c r="R273" s="18">
        <v>0.121693122</v>
      </c>
      <c r="S273" s="18">
        <v>0.0</v>
      </c>
      <c r="T273" s="18">
        <v>0.121693122</v>
      </c>
    </row>
    <row r="274">
      <c r="A274" s="17">
        <v>45745.0</v>
      </c>
      <c r="B274" s="18">
        <v>215.0</v>
      </c>
      <c r="C274" s="18">
        <v>0.0</v>
      </c>
      <c r="D274" s="18">
        <v>215.0</v>
      </c>
      <c r="E274" s="18">
        <v>82.0</v>
      </c>
      <c r="F274" s="18">
        <v>14.0</v>
      </c>
      <c r="G274" s="18">
        <v>0.0</v>
      </c>
      <c r="H274" s="18">
        <v>14.0</v>
      </c>
      <c r="I274" s="18">
        <v>7.0</v>
      </c>
      <c r="J274" s="18">
        <v>0.0</v>
      </c>
      <c r="K274" s="18">
        <v>7.0</v>
      </c>
      <c r="L274" s="18">
        <v>0.0</v>
      </c>
      <c r="M274" s="18">
        <v>0.0</v>
      </c>
      <c r="N274" s="18">
        <v>0.0</v>
      </c>
      <c r="O274" s="18">
        <v>1.0</v>
      </c>
      <c r="P274" s="18">
        <v>0.0</v>
      </c>
      <c r="Q274" s="18">
        <v>1.0</v>
      </c>
      <c r="R274" s="18">
        <v>0.102325581</v>
      </c>
      <c r="S274" s="18">
        <v>0.0</v>
      </c>
      <c r="T274" s="18">
        <v>0.102325581</v>
      </c>
    </row>
    <row r="275">
      <c r="A275" s="17">
        <v>45746.0</v>
      </c>
      <c r="B275" s="18">
        <v>86.0</v>
      </c>
      <c r="C275" s="18">
        <v>0.0</v>
      </c>
      <c r="D275" s="18">
        <v>86.0</v>
      </c>
      <c r="E275" s="18">
        <v>50.0</v>
      </c>
      <c r="F275" s="18">
        <v>7.0</v>
      </c>
      <c r="G275" s="18">
        <v>0.0</v>
      </c>
      <c r="H275" s="18">
        <v>7.0</v>
      </c>
      <c r="I275" s="18">
        <v>3.0</v>
      </c>
      <c r="J275" s="18">
        <v>0.0</v>
      </c>
      <c r="K275" s="18">
        <v>3.0</v>
      </c>
      <c r="L275" s="18">
        <v>1.0</v>
      </c>
      <c r="M275" s="18">
        <v>0.0</v>
      </c>
      <c r="N275" s="18">
        <v>1.0</v>
      </c>
      <c r="O275" s="18">
        <v>0.0</v>
      </c>
      <c r="P275" s="18">
        <v>0.0</v>
      </c>
      <c r="Q275" s="18">
        <v>0.0</v>
      </c>
      <c r="R275" s="18">
        <v>0.127906977</v>
      </c>
      <c r="S275" s="18">
        <v>0.0</v>
      </c>
      <c r="T275" s="18">
        <v>0.127906977</v>
      </c>
    </row>
    <row r="276">
      <c r="A276" s="17">
        <v>45747.0</v>
      </c>
      <c r="B276" s="18">
        <v>114.0</v>
      </c>
      <c r="C276" s="18">
        <v>0.0</v>
      </c>
      <c r="D276" s="18">
        <v>114.0</v>
      </c>
      <c r="E276" s="18">
        <v>63.0</v>
      </c>
      <c r="F276" s="18">
        <v>1.0</v>
      </c>
      <c r="G276" s="18">
        <v>0.0</v>
      </c>
      <c r="H276" s="18">
        <v>1.0</v>
      </c>
      <c r="I276" s="18">
        <v>8.0</v>
      </c>
      <c r="J276" s="18">
        <v>0.0</v>
      </c>
      <c r="K276" s="18">
        <v>8.0</v>
      </c>
      <c r="L276" s="18">
        <v>0.0</v>
      </c>
      <c r="M276" s="18">
        <v>0.0</v>
      </c>
      <c r="N276" s="18">
        <v>0.0</v>
      </c>
      <c r="O276" s="18">
        <v>0.0</v>
      </c>
      <c r="P276" s="18">
        <v>0.0</v>
      </c>
      <c r="Q276" s="18">
        <v>0.0</v>
      </c>
      <c r="R276" s="18">
        <v>0.078947368</v>
      </c>
      <c r="S276" s="18">
        <v>0.0</v>
      </c>
      <c r="T276" s="18">
        <v>0.078947368</v>
      </c>
    </row>
    <row r="277">
      <c r="A277" s="17">
        <v>45748.0</v>
      </c>
      <c r="B277" s="18">
        <v>306.0</v>
      </c>
      <c r="C277" s="18">
        <v>0.0</v>
      </c>
      <c r="D277" s="18">
        <v>306.0</v>
      </c>
      <c r="E277" s="18">
        <v>113.0</v>
      </c>
      <c r="F277" s="18">
        <v>20.0</v>
      </c>
      <c r="G277" s="18">
        <v>0.0</v>
      </c>
      <c r="H277" s="18">
        <v>20.0</v>
      </c>
      <c r="I277" s="18">
        <v>13.0</v>
      </c>
      <c r="J277" s="18">
        <v>0.0</v>
      </c>
      <c r="K277" s="18">
        <v>13.0</v>
      </c>
      <c r="L277" s="18">
        <v>0.0</v>
      </c>
      <c r="M277" s="18">
        <v>0.0</v>
      </c>
      <c r="N277" s="18">
        <v>0.0</v>
      </c>
      <c r="O277" s="18">
        <v>1.0</v>
      </c>
      <c r="P277" s="18">
        <v>0.0</v>
      </c>
      <c r="Q277" s="18">
        <v>1.0</v>
      </c>
      <c r="R277" s="18">
        <v>0.111111111</v>
      </c>
      <c r="S277" s="18">
        <v>0.0</v>
      </c>
      <c r="T277" s="18">
        <v>0.111111111</v>
      </c>
    </row>
    <row r="278">
      <c r="A278" s="17">
        <v>45749.0</v>
      </c>
      <c r="B278" s="18">
        <v>401.0</v>
      </c>
      <c r="C278" s="18">
        <v>5352.0</v>
      </c>
      <c r="D278" s="18">
        <v>5753.0</v>
      </c>
      <c r="E278" s="18">
        <v>142.0</v>
      </c>
      <c r="F278" s="18">
        <v>28.0</v>
      </c>
      <c r="G278" s="18">
        <v>3.0</v>
      </c>
      <c r="H278" s="18">
        <v>31.0</v>
      </c>
      <c r="I278" s="18">
        <v>20.0</v>
      </c>
      <c r="J278" s="18">
        <v>0.0</v>
      </c>
      <c r="K278" s="18">
        <v>20.0</v>
      </c>
      <c r="L278" s="18">
        <v>1.0</v>
      </c>
      <c r="M278" s="18">
        <v>0.0</v>
      </c>
      <c r="N278" s="18">
        <v>1.0</v>
      </c>
      <c r="O278" s="18">
        <v>3.0</v>
      </c>
      <c r="P278" s="18">
        <v>0.0</v>
      </c>
      <c r="Q278" s="18">
        <v>3.0</v>
      </c>
      <c r="R278" s="18">
        <v>0.12967581</v>
      </c>
      <c r="S278" s="18">
        <v>5.60538E-4</v>
      </c>
      <c r="T278" s="18">
        <v>0.009560229</v>
      </c>
    </row>
    <row r="279">
      <c r="A279" s="17">
        <v>45750.0</v>
      </c>
      <c r="B279" s="18">
        <v>250.0</v>
      </c>
      <c r="C279" s="18">
        <v>5329.0</v>
      </c>
      <c r="D279" s="18">
        <v>5579.0</v>
      </c>
      <c r="E279" s="18">
        <v>88.0</v>
      </c>
      <c r="F279" s="18">
        <v>23.0</v>
      </c>
      <c r="G279" s="18">
        <v>3.0</v>
      </c>
      <c r="H279" s="18">
        <v>26.0</v>
      </c>
      <c r="I279" s="18">
        <v>9.0</v>
      </c>
      <c r="J279" s="18">
        <v>0.0</v>
      </c>
      <c r="K279" s="18">
        <v>9.0</v>
      </c>
      <c r="L279" s="18">
        <v>1.0</v>
      </c>
      <c r="M279" s="18">
        <v>0.0</v>
      </c>
      <c r="N279" s="18">
        <v>1.0</v>
      </c>
      <c r="O279" s="18">
        <v>3.0</v>
      </c>
      <c r="P279" s="18">
        <v>0.0</v>
      </c>
      <c r="Q279" s="18">
        <v>3.0</v>
      </c>
      <c r="R279" s="18">
        <v>0.144</v>
      </c>
      <c r="S279" s="18">
        <v>7.5061E-4</v>
      </c>
      <c r="T279" s="18">
        <v>0.007169744</v>
      </c>
    </row>
    <row r="280">
      <c r="A280" s="17">
        <v>45751.0</v>
      </c>
      <c r="B280" s="18">
        <v>265.0</v>
      </c>
      <c r="C280" s="18">
        <v>4780.0</v>
      </c>
      <c r="D280" s="18">
        <v>5045.0</v>
      </c>
      <c r="E280" s="18">
        <v>101.0</v>
      </c>
      <c r="F280" s="18">
        <v>27.0</v>
      </c>
      <c r="G280" s="18">
        <v>3.0</v>
      </c>
      <c r="H280" s="18">
        <v>30.0</v>
      </c>
      <c r="I280" s="18">
        <v>6.0</v>
      </c>
      <c r="J280" s="18">
        <v>0.0</v>
      </c>
      <c r="K280" s="18">
        <v>6.0</v>
      </c>
      <c r="L280" s="18">
        <v>0.0</v>
      </c>
      <c r="M280" s="18">
        <v>0.0</v>
      </c>
      <c r="N280" s="18">
        <v>0.0</v>
      </c>
      <c r="O280" s="18">
        <v>0.0</v>
      </c>
      <c r="P280" s="18">
        <v>0.0</v>
      </c>
      <c r="Q280" s="18">
        <v>0.0</v>
      </c>
      <c r="R280" s="18">
        <v>0.124528302</v>
      </c>
      <c r="S280" s="18">
        <v>6.27615E-4</v>
      </c>
      <c r="T280" s="18">
        <v>0.007135778</v>
      </c>
    </row>
    <row r="281">
      <c r="A281" s="17">
        <v>45752.0</v>
      </c>
      <c r="B281" s="18">
        <v>154.0</v>
      </c>
      <c r="C281" s="18">
        <v>3315.0</v>
      </c>
      <c r="D281" s="18">
        <v>3469.0</v>
      </c>
      <c r="E281" s="18">
        <v>93.0</v>
      </c>
      <c r="F281" s="18">
        <v>11.0</v>
      </c>
      <c r="G281" s="18">
        <v>3.0</v>
      </c>
      <c r="H281" s="18">
        <v>14.0</v>
      </c>
      <c r="I281" s="18">
        <v>5.0</v>
      </c>
      <c r="J281" s="18">
        <v>0.0</v>
      </c>
      <c r="K281" s="18">
        <v>5.0</v>
      </c>
      <c r="L281" s="18">
        <v>0.0</v>
      </c>
      <c r="M281" s="18">
        <v>0.0</v>
      </c>
      <c r="N281" s="18">
        <v>0.0</v>
      </c>
      <c r="O281" s="18">
        <v>0.0</v>
      </c>
      <c r="P281" s="18">
        <v>0.0</v>
      </c>
      <c r="Q281" s="18">
        <v>0.0</v>
      </c>
      <c r="R281" s="18">
        <v>0.103896104</v>
      </c>
      <c r="S281" s="18">
        <v>9.04977E-4</v>
      </c>
      <c r="T281" s="18">
        <v>0.005477083</v>
      </c>
    </row>
    <row r="282">
      <c r="A282" s="17">
        <v>45753.0</v>
      </c>
      <c r="B282" s="18">
        <v>149.0</v>
      </c>
      <c r="C282" s="18">
        <v>3236.0</v>
      </c>
      <c r="D282" s="18">
        <v>3385.0</v>
      </c>
      <c r="E282" s="18">
        <v>67.0</v>
      </c>
      <c r="F282" s="18">
        <v>11.0</v>
      </c>
      <c r="G282" s="18">
        <v>3.0</v>
      </c>
      <c r="H282" s="18">
        <v>14.0</v>
      </c>
      <c r="I282" s="18">
        <v>4.0</v>
      </c>
      <c r="J282" s="18">
        <v>0.0</v>
      </c>
      <c r="K282" s="18">
        <v>4.0</v>
      </c>
      <c r="L282" s="18">
        <v>0.0</v>
      </c>
      <c r="M282" s="18">
        <v>0.0</v>
      </c>
      <c r="N282" s="18">
        <v>0.0</v>
      </c>
      <c r="O282" s="18">
        <v>1.0</v>
      </c>
      <c r="P282" s="18">
        <v>0.0</v>
      </c>
      <c r="Q282" s="18">
        <v>1.0</v>
      </c>
      <c r="R282" s="18">
        <v>0.10738255</v>
      </c>
      <c r="S282" s="18">
        <v>9.2707E-4</v>
      </c>
      <c r="T282" s="18">
        <v>0.005612999</v>
      </c>
    </row>
    <row r="283">
      <c r="A283" s="17">
        <v>45754.0</v>
      </c>
      <c r="B283" s="18">
        <v>190.0</v>
      </c>
      <c r="C283" s="18">
        <v>4898.0</v>
      </c>
      <c r="D283" s="18">
        <v>5088.0</v>
      </c>
      <c r="E283" s="18">
        <v>78.0</v>
      </c>
      <c r="F283" s="18">
        <v>19.0</v>
      </c>
      <c r="G283" s="18">
        <v>2.0</v>
      </c>
      <c r="H283" s="18">
        <v>21.0</v>
      </c>
      <c r="I283" s="18">
        <v>9.0</v>
      </c>
      <c r="J283" s="18">
        <v>0.0</v>
      </c>
      <c r="K283" s="18">
        <v>9.0</v>
      </c>
      <c r="L283" s="18">
        <v>0.0</v>
      </c>
      <c r="M283" s="18">
        <v>0.0</v>
      </c>
      <c r="N283" s="18">
        <v>0.0</v>
      </c>
      <c r="O283" s="18">
        <v>1.0</v>
      </c>
      <c r="P283" s="18">
        <v>0.0</v>
      </c>
      <c r="Q283" s="18">
        <v>1.0</v>
      </c>
      <c r="R283" s="18">
        <v>0.152631579</v>
      </c>
      <c r="S283" s="18">
        <v>4.0833E-4</v>
      </c>
      <c r="T283" s="18">
        <v>0.006092767</v>
      </c>
    </row>
    <row r="284">
      <c r="A284" s="17">
        <v>45755.0</v>
      </c>
      <c r="B284" s="18">
        <v>179.0</v>
      </c>
      <c r="C284" s="18">
        <v>5081.0</v>
      </c>
      <c r="D284" s="18">
        <v>5260.0</v>
      </c>
      <c r="E284" s="18">
        <v>68.0</v>
      </c>
      <c r="F284" s="18">
        <v>4.0</v>
      </c>
      <c r="G284" s="18">
        <v>6.0</v>
      </c>
      <c r="H284" s="18">
        <v>10.0</v>
      </c>
      <c r="I284" s="18">
        <v>6.0</v>
      </c>
      <c r="J284" s="18">
        <v>0.0</v>
      </c>
      <c r="K284" s="18">
        <v>6.0</v>
      </c>
      <c r="L284" s="18">
        <v>0.0</v>
      </c>
      <c r="M284" s="18">
        <v>0.0</v>
      </c>
      <c r="N284" s="18">
        <v>0.0</v>
      </c>
      <c r="O284" s="18">
        <v>0.0</v>
      </c>
      <c r="P284" s="18">
        <v>0.0</v>
      </c>
      <c r="Q284" s="18">
        <v>0.0</v>
      </c>
      <c r="R284" s="18">
        <v>0.055865922</v>
      </c>
      <c r="S284" s="18">
        <v>0.00118087</v>
      </c>
      <c r="T284" s="18">
        <v>0.003041825</v>
      </c>
    </row>
    <row r="285">
      <c r="A285" s="17">
        <v>45756.0</v>
      </c>
      <c r="B285" s="18">
        <v>161.0</v>
      </c>
      <c r="C285" s="18">
        <v>4852.0</v>
      </c>
      <c r="D285" s="18">
        <v>5013.0</v>
      </c>
      <c r="E285" s="18">
        <v>67.0</v>
      </c>
      <c r="F285" s="18">
        <v>6.0</v>
      </c>
      <c r="G285" s="18">
        <v>3.0</v>
      </c>
      <c r="H285" s="18">
        <v>9.0</v>
      </c>
      <c r="I285" s="18">
        <v>8.0</v>
      </c>
      <c r="J285" s="18">
        <v>0.0</v>
      </c>
      <c r="K285" s="18">
        <v>8.0</v>
      </c>
      <c r="L285" s="18">
        <v>0.0</v>
      </c>
      <c r="M285" s="18">
        <v>0.0</v>
      </c>
      <c r="N285" s="18">
        <v>0.0</v>
      </c>
      <c r="O285" s="18">
        <v>0.0</v>
      </c>
      <c r="P285" s="18">
        <v>0.0</v>
      </c>
      <c r="Q285" s="18">
        <v>0.0</v>
      </c>
      <c r="R285" s="18">
        <v>0.086956522</v>
      </c>
      <c r="S285" s="18">
        <v>6.18302E-4</v>
      </c>
      <c r="T285" s="18">
        <v>0.003391183</v>
      </c>
    </row>
    <row r="286">
      <c r="A286" s="17">
        <v>45757.0</v>
      </c>
      <c r="B286" s="18">
        <v>416.0</v>
      </c>
      <c r="C286" s="18">
        <v>5111.0</v>
      </c>
      <c r="D286" s="18">
        <v>5527.0</v>
      </c>
      <c r="E286" s="18">
        <v>111.0</v>
      </c>
      <c r="F286" s="18">
        <v>32.0</v>
      </c>
      <c r="G286" s="18">
        <v>2.0</v>
      </c>
      <c r="H286" s="18">
        <v>34.0</v>
      </c>
      <c r="I286" s="18">
        <v>16.0</v>
      </c>
      <c r="J286" s="18">
        <v>0.0</v>
      </c>
      <c r="K286" s="18">
        <v>16.0</v>
      </c>
      <c r="L286" s="18">
        <v>0.0</v>
      </c>
      <c r="M286" s="18">
        <v>0.0</v>
      </c>
      <c r="N286" s="18">
        <v>0.0</v>
      </c>
      <c r="O286" s="18">
        <v>0.0</v>
      </c>
      <c r="P286" s="18">
        <v>0.0</v>
      </c>
      <c r="Q286" s="18">
        <v>0.0</v>
      </c>
      <c r="R286" s="18">
        <v>0.115384615</v>
      </c>
      <c r="S286" s="18">
        <v>3.91313E-4</v>
      </c>
      <c r="T286" s="18">
        <v>0.009046499</v>
      </c>
    </row>
    <row r="287">
      <c r="A287" s="17">
        <v>45758.0</v>
      </c>
      <c r="B287" s="18">
        <v>135.0</v>
      </c>
      <c r="C287" s="18">
        <v>4976.0</v>
      </c>
      <c r="D287" s="18">
        <v>5111.0</v>
      </c>
      <c r="E287" s="18">
        <v>64.0</v>
      </c>
      <c r="F287" s="18">
        <v>3.0</v>
      </c>
      <c r="G287" s="18">
        <v>6.0</v>
      </c>
      <c r="H287" s="18">
        <v>9.0</v>
      </c>
      <c r="I287" s="18">
        <v>10.0</v>
      </c>
      <c r="J287" s="18">
        <v>0.0</v>
      </c>
      <c r="K287" s="18">
        <v>10.0</v>
      </c>
      <c r="L287" s="18">
        <v>0.0</v>
      </c>
      <c r="M287" s="18">
        <v>0.0</v>
      </c>
      <c r="N287" s="18">
        <v>0.0</v>
      </c>
      <c r="O287" s="18">
        <v>1.0</v>
      </c>
      <c r="P287" s="18">
        <v>0.0</v>
      </c>
      <c r="Q287" s="18">
        <v>1.0</v>
      </c>
      <c r="R287" s="18">
        <v>0.103703704</v>
      </c>
      <c r="S287" s="18">
        <v>0.001205788</v>
      </c>
      <c r="T287" s="18">
        <v>0.003913129</v>
      </c>
    </row>
    <row r="288">
      <c r="A288" s="17">
        <v>45759.0</v>
      </c>
      <c r="B288" s="18">
        <v>124.0</v>
      </c>
      <c r="C288" s="18">
        <v>1695.0</v>
      </c>
      <c r="D288" s="18">
        <v>1819.0</v>
      </c>
      <c r="E288" s="18">
        <v>67.0</v>
      </c>
      <c r="F288" s="18">
        <v>6.0</v>
      </c>
      <c r="G288" s="18">
        <v>1.0</v>
      </c>
      <c r="H288" s="18">
        <v>7.0</v>
      </c>
      <c r="I288" s="18">
        <v>7.0</v>
      </c>
      <c r="J288" s="18">
        <v>0.0</v>
      </c>
      <c r="K288" s="18">
        <v>7.0</v>
      </c>
      <c r="L288" s="18">
        <v>0.0</v>
      </c>
      <c r="M288" s="18">
        <v>0.0</v>
      </c>
      <c r="N288" s="18">
        <v>0.0</v>
      </c>
      <c r="O288" s="18">
        <v>0.0</v>
      </c>
      <c r="P288" s="18">
        <v>0.0</v>
      </c>
      <c r="Q288" s="18">
        <v>0.0</v>
      </c>
      <c r="R288" s="18">
        <v>0.10483871</v>
      </c>
      <c r="S288" s="18">
        <v>5.89971E-4</v>
      </c>
      <c r="T288" s="18">
        <v>0.007696537</v>
      </c>
    </row>
    <row r="289">
      <c r="A289" s="17">
        <v>45760.0</v>
      </c>
      <c r="B289" s="18">
        <v>69.0</v>
      </c>
      <c r="C289" s="18">
        <v>2538.0</v>
      </c>
      <c r="D289" s="18">
        <v>2607.0</v>
      </c>
      <c r="E289" s="18">
        <v>33.0</v>
      </c>
      <c r="F289" s="18">
        <v>1.0</v>
      </c>
      <c r="G289" s="18">
        <v>1.0</v>
      </c>
      <c r="H289" s="18">
        <v>2.0</v>
      </c>
      <c r="I289" s="18">
        <v>1.0</v>
      </c>
      <c r="J289" s="18">
        <v>0.0</v>
      </c>
      <c r="K289" s="18">
        <v>1.0</v>
      </c>
      <c r="L289" s="18">
        <v>0.0</v>
      </c>
      <c r="M289" s="18">
        <v>0.0</v>
      </c>
      <c r="N289" s="18">
        <v>0.0</v>
      </c>
      <c r="O289" s="18">
        <v>0.0</v>
      </c>
      <c r="P289" s="18">
        <v>0.0</v>
      </c>
      <c r="Q289" s="18">
        <v>0.0</v>
      </c>
      <c r="R289" s="18">
        <v>0.028985507</v>
      </c>
      <c r="S289" s="18">
        <v>3.94011E-4</v>
      </c>
      <c r="T289" s="18">
        <v>0.001150748</v>
      </c>
    </row>
    <row r="290">
      <c r="A290" s="17">
        <v>45761.0</v>
      </c>
      <c r="B290" s="18">
        <v>61.0</v>
      </c>
      <c r="C290" s="18">
        <v>4333.0</v>
      </c>
      <c r="D290" s="18">
        <v>4394.0</v>
      </c>
      <c r="E290" s="18">
        <v>37.0</v>
      </c>
      <c r="F290" s="18">
        <v>0.0</v>
      </c>
      <c r="G290" s="18">
        <v>4.0</v>
      </c>
      <c r="H290" s="18">
        <v>4.0</v>
      </c>
      <c r="I290" s="18">
        <v>1.0</v>
      </c>
      <c r="J290" s="18">
        <v>0.0</v>
      </c>
      <c r="K290" s="18">
        <v>1.0</v>
      </c>
      <c r="L290" s="18">
        <v>0.0</v>
      </c>
      <c r="M290" s="18">
        <v>0.0</v>
      </c>
      <c r="N290" s="18">
        <v>0.0</v>
      </c>
      <c r="O290" s="18">
        <v>0.0</v>
      </c>
      <c r="P290" s="18">
        <v>0.0</v>
      </c>
      <c r="Q290" s="18">
        <v>0.0</v>
      </c>
      <c r="R290" s="18">
        <v>0.016393443</v>
      </c>
      <c r="S290" s="18">
        <v>9.23148E-4</v>
      </c>
      <c r="T290" s="18">
        <v>0.001137915</v>
      </c>
    </row>
    <row r="291">
      <c r="A291" s="17">
        <v>45762.0</v>
      </c>
      <c r="B291" s="18">
        <v>102.0</v>
      </c>
      <c r="C291" s="18">
        <v>3951.0</v>
      </c>
      <c r="D291" s="18">
        <v>4053.0</v>
      </c>
      <c r="E291" s="18">
        <v>53.0</v>
      </c>
      <c r="F291" s="18">
        <v>2.0</v>
      </c>
      <c r="G291" s="18">
        <v>4.0</v>
      </c>
      <c r="H291" s="18">
        <v>6.0</v>
      </c>
      <c r="I291" s="18">
        <v>4.0</v>
      </c>
      <c r="J291" s="18">
        <v>0.0</v>
      </c>
      <c r="K291" s="18">
        <v>4.0</v>
      </c>
      <c r="L291" s="18">
        <v>0.0</v>
      </c>
      <c r="M291" s="18">
        <v>0.0</v>
      </c>
      <c r="N291" s="18">
        <v>0.0</v>
      </c>
      <c r="O291" s="18">
        <v>0.0</v>
      </c>
      <c r="P291" s="18">
        <v>0.0</v>
      </c>
      <c r="Q291" s="18">
        <v>0.0</v>
      </c>
      <c r="R291" s="18">
        <v>0.058823529</v>
      </c>
      <c r="S291" s="18">
        <v>0.001012402</v>
      </c>
      <c r="T291" s="18">
        <v>0.002467308</v>
      </c>
    </row>
    <row r="292">
      <c r="A292" s="17">
        <v>45763.0</v>
      </c>
      <c r="B292" s="18">
        <v>188.0</v>
      </c>
      <c r="C292" s="18">
        <v>3639.0</v>
      </c>
      <c r="D292" s="18">
        <v>3827.0</v>
      </c>
      <c r="E292" s="18">
        <v>80.0</v>
      </c>
      <c r="F292" s="18">
        <v>3.0</v>
      </c>
      <c r="G292" s="18">
        <v>1.0</v>
      </c>
      <c r="H292" s="18">
        <v>4.0</v>
      </c>
      <c r="I292" s="18">
        <v>9.0</v>
      </c>
      <c r="J292" s="18">
        <v>0.0</v>
      </c>
      <c r="K292" s="18">
        <v>9.0</v>
      </c>
      <c r="L292" s="18">
        <v>0.0</v>
      </c>
      <c r="M292" s="18">
        <v>0.0</v>
      </c>
      <c r="N292" s="18">
        <v>0.0</v>
      </c>
      <c r="O292" s="18">
        <v>2.0</v>
      </c>
      <c r="P292" s="18">
        <v>0.0</v>
      </c>
      <c r="Q292" s="18">
        <v>2.0</v>
      </c>
      <c r="R292" s="18">
        <v>0.074468085</v>
      </c>
      <c r="S292" s="18">
        <v>2.74801E-4</v>
      </c>
      <c r="T292" s="18">
        <v>0.003919519</v>
      </c>
    </row>
    <row r="293">
      <c r="A293" s="17">
        <v>45764.0</v>
      </c>
      <c r="B293" s="18">
        <v>310.0</v>
      </c>
      <c r="C293" s="18">
        <v>0.0</v>
      </c>
      <c r="D293" s="18">
        <v>310.0</v>
      </c>
      <c r="E293" s="18">
        <v>116.0</v>
      </c>
      <c r="F293" s="18">
        <v>11.0</v>
      </c>
      <c r="G293" s="18">
        <v>0.0</v>
      </c>
      <c r="H293" s="18">
        <v>11.0</v>
      </c>
      <c r="I293" s="18">
        <v>9.0</v>
      </c>
      <c r="J293" s="18">
        <v>0.0</v>
      </c>
      <c r="K293" s="18">
        <v>9.0</v>
      </c>
      <c r="L293" s="18">
        <v>0.0</v>
      </c>
      <c r="M293" s="18">
        <v>0.0</v>
      </c>
      <c r="N293" s="18">
        <v>0.0</v>
      </c>
      <c r="O293" s="18">
        <v>0.0</v>
      </c>
      <c r="P293" s="18">
        <v>0.0</v>
      </c>
      <c r="Q293" s="18">
        <v>0.0</v>
      </c>
      <c r="R293" s="18">
        <v>0.064516129</v>
      </c>
      <c r="S293" s="18">
        <v>0.0</v>
      </c>
      <c r="T293" s="18">
        <v>0.064516129</v>
      </c>
    </row>
    <row r="294">
      <c r="A294" s="17">
        <v>45765.0</v>
      </c>
      <c r="B294" s="18">
        <v>135.0</v>
      </c>
      <c r="C294" s="18">
        <v>0.0</v>
      </c>
      <c r="D294" s="18">
        <v>135.0</v>
      </c>
      <c r="E294" s="18">
        <v>64.0</v>
      </c>
      <c r="F294" s="18">
        <v>5.0</v>
      </c>
      <c r="G294" s="18">
        <v>0.0</v>
      </c>
      <c r="H294" s="18">
        <v>5.0</v>
      </c>
      <c r="I294" s="18">
        <v>6.0</v>
      </c>
      <c r="J294" s="18">
        <v>0.0</v>
      </c>
      <c r="K294" s="18">
        <v>6.0</v>
      </c>
      <c r="L294" s="18">
        <v>0.0</v>
      </c>
      <c r="M294" s="18">
        <v>0.0</v>
      </c>
      <c r="N294" s="18">
        <v>0.0</v>
      </c>
      <c r="O294" s="18">
        <v>0.0</v>
      </c>
      <c r="P294" s="18">
        <v>0.0</v>
      </c>
      <c r="Q294" s="18">
        <v>0.0</v>
      </c>
      <c r="R294" s="18">
        <v>0.081481481</v>
      </c>
      <c r="S294" s="18">
        <v>0.0</v>
      </c>
      <c r="T294" s="18">
        <v>0.081481481</v>
      </c>
    </row>
    <row r="295">
      <c r="A295" s="17">
        <v>45766.0</v>
      </c>
      <c r="B295" s="18">
        <v>79.0</v>
      </c>
      <c r="C295" s="18">
        <v>0.0</v>
      </c>
      <c r="D295" s="18">
        <v>79.0</v>
      </c>
      <c r="E295" s="18">
        <v>32.0</v>
      </c>
      <c r="F295" s="18">
        <v>3.0</v>
      </c>
      <c r="G295" s="18">
        <v>0.0</v>
      </c>
      <c r="H295" s="18">
        <v>3.0</v>
      </c>
      <c r="I295" s="18">
        <v>1.0</v>
      </c>
      <c r="J295" s="18">
        <v>0.0</v>
      </c>
      <c r="K295" s="18">
        <v>1.0</v>
      </c>
      <c r="L295" s="18">
        <v>0.0</v>
      </c>
      <c r="M295" s="18">
        <v>0.0</v>
      </c>
      <c r="N295" s="18">
        <v>0.0</v>
      </c>
      <c r="O295" s="18">
        <v>0.0</v>
      </c>
      <c r="P295" s="18">
        <v>0.0</v>
      </c>
      <c r="Q295" s="18">
        <v>0.0</v>
      </c>
      <c r="R295" s="18">
        <v>0.050632911</v>
      </c>
      <c r="S295" s="18">
        <v>0.0</v>
      </c>
      <c r="T295" s="18">
        <v>0.050632911</v>
      </c>
    </row>
    <row r="296">
      <c r="A296" s="17">
        <v>45767.0</v>
      </c>
      <c r="B296" s="18">
        <v>63.0</v>
      </c>
      <c r="C296" s="18">
        <v>0.0</v>
      </c>
      <c r="D296" s="18">
        <v>63.0</v>
      </c>
      <c r="E296" s="18">
        <v>31.0</v>
      </c>
      <c r="F296" s="18">
        <v>11.0</v>
      </c>
      <c r="G296" s="18">
        <v>0.0</v>
      </c>
      <c r="H296" s="18">
        <v>11.0</v>
      </c>
      <c r="I296" s="18">
        <v>1.0</v>
      </c>
      <c r="J296" s="18">
        <v>0.0</v>
      </c>
      <c r="K296" s="18">
        <v>1.0</v>
      </c>
      <c r="L296" s="18">
        <v>0.0</v>
      </c>
      <c r="M296" s="18">
        <v>0.0</v>
      </c>
      <c r="N296" s="18">
        <v>0.0</v>
      </c>
      <c r="O296" s="18">
        <v>0.0</v>
      </c>
      <c r="P296" s="18">
        <v>0.0</v>
      </c>
      <c r="Q296" s="18">
        <v>0.0</v>
      </c>
      <c r="R296" s="18">
        <v>0.19047619</v>
      </c>
      <c r="S296" s="18">
        <v>0.0</v>
      </c>
      <c r="T296" s="18">
        <v>0.19047619</v>
      </c>
    </row>
    <row r="297">
      <c r="A297" s="17">
        <v>45768.0</v>
      </c>
      <c r="B297" s="18">
        <v>257.0</v>
      </c>
      <c r="C297" s="18">
        <v>0.0</v>
      </c>
      <c r="D297" s="18">
        <v>257.0</v>
      </c>
      <c r="E297" s="18">
        <v>92.0</v>
      </c>
      <c r="F297" s="18">
        <v>16.0</v>
      </c>
      <c r="G297" s="18">
        <v>0.0</v>
      </c>
      <c r="H297" s="18">
        <v>16.0</v>
      </c>
      <c r="I297" s="18">
        <v>4.0</v>
      </c>
      <c r="J297" s="18">
        <v>0.0</v>
      </c>
      <c r="K297" s="18">
        <v>4.0</v>
      </c>
      <c r="L297" s="18">
        <v>0.0</v>
      </c>
      <c r="M297" s="18">
        <v>0.0</v>
      </c>
      <c r="N297" s="18">
        <v>0.0</v>
      </c>
      <c r="O297" s="18">
        <v>0.0</v>
      </c>
      <c r="P297" s="18">
        <v>0.0</v>
      </c>
      <c r="Q297" s="18">
        <v>0.0</v>
      </c>
      <c r="R297" s="18">
        <v>0.077821012</v>
      </c>
      <c r="S297" s="18">
        <v>0.0</v>
      </c>
      <c r="T297" s="18">
        <v>0.077821012</v>
      </c>
    </row>
    <row r="298">
      <c r="A298" s="17">
        <v>45769.0</v>
      </c>
      <c r="B298" s="18">
        <v>148.0</v>
      </c>
      <c r="C298" s="18">
        <v>0.0</v>
      </c>
      <c r="D298" s="18">
        <v>148.0</v>
      </c>
      <c r="E298" s="18">
        <v>68.0</v>
      </c>
      <c r="F298" s="18">
        <v>5.0</v>
      </c>
      <c r="G298" s="18">
        <v>0.0</v>
      </c>
      <c r="H298" s="18">
        <v>5.0</v>
      </c>
      <c r="I298" s="18">
        <v>7.0</v>
      </c>
      <c r="J298" s="18">
        <v>0.0</v>
      </c>
      <c r="K298" s="18">
        <v>7.0</v>
      </c>
      <c r="L298" s="18">
        <v>1.0</v>
      </c>
      <c r="M298" s="18">
        <v>0.0</v>
      </c>
      <c r="N298" s="18">
        <v>1.0</v>
      </c>
      <c r="O298" s="18">
        <v>1.0</v>
      </c>
      <c r="P298" s="18">
        <v>0.0</v>
      </c>
      <c r="Q298" s="18">
        <v>1.0</v>
      </c>
      <c r="R298" s="18">
        <v>0.094594595</v>
      </c>
      <c r="S298" s="18">
        <v>0.0</v>
      </c>
      <c r="T298" s="18">
        <v>0.094594595</v>
      </c>
    </row>
    <row r="299">
      <c r="A299" s="17">
        <v>45770.0</v>
      </c>
      <c r="B299" s="18">
        <v>93.0</v>
      </c>
      <c r="C299" s="18">
        <v>0.0</v>
      </c>
      <c r="D299" s="18">
        <v>93.0</v>
      </c>
      <c r="E299" s="18">
        <v>48.0</v>
      </c>
      <c r="F299" s="18">
        <v>5.0</v>
      </c>
      <c r="G299" s="18">
        <v>0.0</v>
      </c>
      <c r="H299" s="18">
        <v>5.0</v>
      </c>
      <c r="I299" s="18">
        <v>2.0</v>
      </c>
      <c r="J299" s="18">
        <v>0.0</v>
      </c>
      <c r="K299" s="18">
        <v>2.0</v>
      </c>
      <c r="L299" s="18">
        <v>0.0</v>
      </c>
      <c r="M299" s="18">
        <v>0.0</v>
      </c>
      <c r="N299" s="18">
        <v>0.0</v>
      </c>
      <c r="O299" s="18">
        <v>0.0</v>
      </c>
      <c r="P299" s="18">
        <v>0.0</v>
      </c>
      <c r="Q299" s="18">
        <v>0.0</v>
      </c>
      <c r="R299" s="18">
        <v>0.075268817</v>
      </c>
      <c r="S299" s="18">
        <v>0.0</v>
      </c>
      <c r="T299" s="18">
        <v>0.075268817</v>
      </c>
    </row>
    <row r="300">
      <c r="A300" s="17">
        <v>45771.0</v>
      </c>
      <c r="B300" s="18">
        <v>71.0</v>
      </c>
      <c r="C300" s="18">
        <v>0.0</v>
      </c>
      <c r="D300" s="18">
        <v>71.0</v>
      </c>
      <c r="E300" s="18">
        <v>32.0</v>
      </c>
      <c r="F300" s="18">
        <v>7.0</v>
      </c>
      <c r="G300" s="18">
        <v>0.0</v>
      </c>
      <c r="H300" s="18">
        <v>7.0</v>
      </c>
      <c r="I300" s="18">
        <v>5.0</v>
      </c>
      <c r="J300" s="18">
        <v>0.0</v>
      </c>
      <c r="K300" s="18">
        <v>5.0</v>
      </c>
      <c r="L300" s="18">
        <v>0.0</v>
      </c>
      <c r="M300" s="18">
        <v>0.0</v>
      </c>
      <c r="N300" s="18">
        <v>0.0</v>
      </c>
      <c r="O300" s="18">
        <v>0.0</v>
      </c>
      <c r="P300" s="18">
        <v>0.0</v>
      </c>
      <c r="Q300" s="18">
        <v>0.0</v>
      </c>
      <c r="R300" s="18">
        <v>0.169014085</v>
      </c>
      <c r="S300" s="18">
        <v>0.0</v>
      </c>
      <c r="T300" s="18">
        <v>0.169014085</v>
      </c>
    </row>
    <row r="301">
      <c r="A301" s="17">
        <v>45772.0</v>
      </c>
      <c r="B301" s="18">
        <v>189.0</v>
      </c>
      <c r="C301" s="18">
        <v>0.0</v>
      </c>
      <c r="D301" s="18">
        <v>189.0</v>
      </c>
      <c r="E301" s="18">
        <v>63.0</v>
      </c>
      <c r="F301" s="18">
        <v>8.0</v>
      </c>
      <c r="G301" s="18">
        <v>0.0</v>
      </c>
      <c r="H301" s="18">
        <v>8.0</v>
      </c>
      <c r="I301" s="18">
        <v>4.0</v>
      </c>
      <c r="J301" s="18">
        <v>0.0</v>
      </c>
      <c r="K301" s="18">
        <v>4.0</v>
      </c>
      <c r="L301" s="18">
        <v>0.0</v>
      </c>
      <c r="M301" s="18">
        <v>0.0</v>
      </c>
      <c r="N301" s="18">
        <v>0.0</v>
      </c>
      <c r="O301" s="18">
        <v>1.0</v>
      </c>
      <c r="P301" s="18">
        <v>0.0</v>
      </c>
      <c r="Q301" s="18">
        <v>1.0</v>
      </c>
      <c r="R301" s="18">
        <v>0.068783069</v>
      </c>
      <c r="S301" s="18">
        <v>0.0</v>
      </c>
      <c r="T301" s="18">
        <v>0.068783069</v>
      </c>
    </row>
    <row r="302">
      <c r="A302" s="17">
        <v>45773.0</v>
      </c>
      <c r="B302" s="18">
        <v>130.0</v>
      </c>
      <c r="C302" s="18">
        <v>0.0</v>
      </c>
      <c r="D302" s="18">
        <v>130.0</v>
      </c>
      <c r="E302" s="18">
        <v>67.0</v>
      </c>
      <c r="F302" s="18">
        <v>11.0</v>
      </c>
      <c r="G302" s="18">
        <v>0.0</v>
      </c>
      <c r="H302" s="18">
        <v>11.0</v>
      </c>
      <c r="I302" s="18">
        <v>5.0</v>
      </c>
      <c r="J302" s="18">
        <v>0.0</v>
      </c>
      <c r="K302" s="18">
        <v>5.0</v>
      </c>
      <c r="L302" s="18">
        <v>1.0</v>
      </c>
      <c r="M302" s="18">
        <v>0.0</v>
      </c>
      <c r="N302" s="18">
        <v>1.0</v>
      </c>
      <c r="O302" s="18">
        <v>0.0</v>
      </c>
      <c r="P302" s="18">
        <v>0.0</v>
      </c>
      <c r="Q302" s="18">
        <v>0.0</v>
      </c>
      <c r="R302" s="18">
        <v>0.130769231</v>
      </c>
      <c r="S302" s="18">
        <v>0.0</v>
      </c>
      <c r="T302" s="18">
        <v>0.130769231</v>
      </c>
    </row>
    <row r="303">
      <c r="A303" s="17">
        <v>45774.0</v>
      </c>
      <c r="B303" s="18">
        <v>148.0</v>
      </c>
      <c r="C303" s="18">
        <v>0.0</v>
      </c>
      <c r="D303" s="18">
        <v>148.0</v>
      </c>
      <c r="E303" s="18">
        <v>60.0</v>
      </c>
      <c r="F303" s="18">
        <v>14.0</v>
      </c>
      <c r="G303" s="18">
        <v>0.0</v>
      </c>
      <c r="H303" s="18">
        <v>14.0</v>
      </c>
      <c r="I303" s="18">
        <v>5.0</v>
      </c>
      <c r="J303" s="18">
        <v>0.0</v>
      </c>
      <c r="K303" s="18">
        <v>5.0</v>
      </c>
      <c r="L303" s="18">
        <v>1.0</v>
      </c>
      <c r="M303" s="18">
        <v>0.0</v>
      </c>
      <c r="N303" s="18">
        <v>1.0</v>
      </c>
      <c r="O303" s="18">
        <v>1.0</v>
      </c>
      <c r="P303" s="18">
        <v>0.0</v>
      </c>
      <c r="Q303" s="18">
        <v>1.0</v>
      </c>
      <c r="R303" s="18">
        <v>0.141891892</v>
      </c>
      <c r="S303" s="18">
        <v>0.0</v>
      </c>
      <c r="T303" s="18">
        <v>0.141891892</v>
      </c>
    </row>
    <row r="304">
      <c r="A304" s="17">
        <v>45775.0</v>
      </c>
      <c r="B304" s="18">
        <v>326.0</v>
      </c>
      <c r="C304" s="18">
        <v>0.0</v>
      </c>
      <c r="D304" s="18">
        <v>326.0</v>
      </c>
      <c r="E304" s="18">
        <v>84.0</v>
      </c>
      <c r="F304" s="18">
        <v>11.0</v>
      </c>
      <c r="G304" s="18">
        <v>0.0</v>
      </c>
      <c r="H304" s="18">
        <v>11.0</v>
      </c>
      <c r="I304" s="18">
        <v>15.0</v>
      </c>
      <c r="J304" s="18">
        <v>0.0</v>
      </c>
      <c r="K304" s="18">
        <v>15.0</v>
      </c>
      <c r="L304" s="18">
        <v>0.0</v>
      </c>
      <c r="M304" s="18">
        <v>0.0</v>
      </c>
      <c r="N304" s="18">
        <v>0.0</v>
      </c>
      <c r="O304" s="18">
        <v>1.0</v>
      </c>
      <c r="P304" s="18">
        <v>0.0</v>
      </c>
      <c r="Q304" s="18">
        <v>1.0</v>
      </c>
      <c r="R304" s="18">
        <v>0.082822086</v>
      </c>
      <c r="S304" s="18">
        <v>0.0</v>
      </c>
      <c r="T304" s="18">
        <v>0.082822086</v>
      </c>
    </row>
    <row r="305">
      <c r="A305" s="17">
        <v>45776.0</v>
      </c>
      <c r="B305" s="18">
        <v>427.0</v>
      </c>
      <c r="C305" s="18">
        <v>0.0</v>
      </c>
      <c r="D305" s="18">
        <v>427.0</v>
      </c>
      <c r="E305" s="18">
        <v>195.0</v>
      </c>
      <c r="F305" s="18">
        <v>19.0</v>
      </c>
      <c r="G305" s="18">
        <v>0.0</v>
      </c>
      <c r="H305" s="18">
        <v>19.0</v>
      </c>
      <c r="I305" s="18">
        <v>21.0</v>
      </c>
      <c r="J305" s="18">
        <v>0.0</v>
      </c>
      <c r="K305" s="18">
        <v>21.0</v>
      </c>
      <c r="L305" s="18">
        <v>0.0</v>
      </c>
      <c r="M305" s="18">
        <v>0.0</v>
      </c>
      <c r="N305" s="18">
        <v>0.0</v>
      </c>
      <c r="O305" s="18">
        <v>0.0</v>
      </c>
      <c r="P305" s="18">
        <v>0.0</v>
      </c>
      <c r="Q305" s="18">
        <v>0.0</v>
      </c>
      <c r="R305" s="18">
        <v>0.093676815</v>
      </c>
      <c r="S305" s="18">
        <v>0.0</v>
      </c>
      <c r="T305" s="18">
        <v>0.093676815</v>
      </c>
    </row>
    <row r="306">
      <c r="A306" s="17">
        <v>45777.0</v>
      </c>
      <c r="B306" s="18">
        <v>582.0</v>
      </c>
      <c r="C306" s="18">
        <v>0.0</v>
      </c>
      <c r="D306" s="18">
        <v>582.0</v>
      </c>
      <c r="E306" s="18">
        <v>276.0</v>
      </c>
      <c r="F306" s="18">
        <v>30.0</v>
      </c>
      <c r="G306" s="18">
        <v>0.0</v>
      </c>
      <c r="H306" s="18">
        <v>30.0</v>
      </c>
      <c r="I306" s="18">
        <v>15.0</v>
      </c>
      <c r="J306" s="18">
        <v>0.0</v>
      </c>
      <c r="K306" s="18">
        <v>15.0</v>
      </c>
      <c r="L306" s="18">
        <v>0.0</v>
      </c>
      <c r="M306" s="18">
        <v>0.0</v>
      </c>
      <c r="N306" s="18">
        <v>0.0</v>
      </c>
      <c r="O306" s="18">
        <v>6.0</v>
      </c>
      <c r="P306" s="18">
        <v>0.0</v>
      </c>
      <c r="Q306" s="18">
        <v>6.0</v>
      </c>
      <c r="R306" s="18">
        <v>0.087628866</v>
      </c>
      <c r="S306" s="18">
        <v>0.0</v>
      </c>
      <c r="T306" s="18">
        <v>0.087628866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</v>
      </c>
      <c r="B1" s="24" t="s">
        <v>32</v>
      </c>
      <c r="C1" s="24" t="s">
        <v>6</v>
      </c>
      <c r="D1" s="24" t="s">
        <v>33</v>
      </c>
      <c r="E1" s="24" t="s">
        <v>34</v>
      </c>
    </row>
    <row r="2">
      <c r="A2" s="25">
        <f>LinkedIn_content_raw!$A3</f>
        <v>45474</v>
      </c>
      <c r="B2" s="24" t="str">
        <f t="shared" ref="B2:B1000" si="1">IF(A2,"LinkedIn","")</f>
        <v>LinkedIn</v>
      </c>
      <c r="C2" s="26">
        <f t="array" ref="C2">XLOOKUP($A2,LinkedIn_follows_raw!$A$2:$A1000,LinkedIn_follows_raw!$E$2:$E1000)</f>
        <v>1</v>
      </c>
      <c r="D2" s="26">
        <f t="array" ref="D2">sum(XLOOKUP($A2,LinkedIn_content_raw!$A$2:$A1000,LinkedIn_content_raw!$K$2:$K1000),XLOOKUP($A2,LinkedIn_content_raw!$A$2:$A1000,LinkedIn_content_raw!$N$2:$N1000),XLOOKUP($A2,LinkedIn_content_raw!$A$2:$A1000,LinkedIn_content_raw!$Q$2:$Q1000))</f>
        <v>15</v>
      </c>
      <c r="E2" s="26">
        <f t="array" ref="E2">XLOOKUP($A2,LinkedIn_content_raw!$A$2:$A1000,LinkedIn_content_raw!$E$2:$E1000)</f>
        <v>62</v>
      </c>
    </row>
    <row r="3">
      <c r="A3" s="25">
        <f>LinkedIn_content_raw!$A4</f>
        <v>45475</v>
      </c>
      <c r="B3" s="24" t="str">
        <f t="shared" si="1"/>
        <v>LinkedIn</v>
      </c>
      <c r="C3" s="26">
        <f t="array" ref="C3">XLOOKUP($A3,LinkedIn_follows_raw!$A$2:$A1000,LinkedIn_follows_raw!$E$2:$E1000)</f>
        <v>1</v>
      </c>
      <c r="D3" s="26">
        <f t="array" ref="D3">sum(XLOOKUP($A3,LinkedIn_content_raw!$A$2:$A1000,LinkedIn_content_raw!$K$2:$K1000),XLOOKUP($A3,LinkedIn_content_raw!$A$2:$A1000,LinkedIn_content_raw!$N$2:$N1000),XLOOKUP($A3,LinkedIn_content_raw!$A$2:$A1000,LinkedIn_content_raw!$Q$2:$Q1000))</f>
        <v>4</v>
      </c>
      <c r="E3" s="26">
        <f t="array" ref="E3">XLOOKUP($A3,LinkedIn_content_raw!$A$2:$A1000,LinkedIn_content_raw!$E$2:$E1000)</f>
        <v>43</v>
      </c>
    </row>
    <row r="4">
      <c r="A4" s="25">
        <f>LinkedIn_content_raw!$A5</f>
        <v>45476</v>
      </c>
      <c r="B4" s="24" t="str">
        <f t="shared" si="1"/>
        <v>LinkedIn</v>
      </c>
      <c r="C4" s="26">
        <f t="array" ref="C4">XLOOKUP($A4,LinkedIn_follows_raw!$A$2:$A1000,LinkedIn_follows_raw!$E$2:$E1000)</f>
        <v>4</v>
      </c>
      <c r="D4" s="26">
        <f t="array" ref="D4">sum(XLOOKUP($A4,LinkedIn_content_raw!$A$2:$A1000,LinkedIn_content_raw!$K$2:$K1000),XLOOKUP($A4,LinkedIn_content_raw!$A$2:$A1000,LinkedIn_content_raw!$N$2:$N1000),XLOOKUP($A4,LinkedIn_content_raw!$A$2:$A1000,LinkedIn_content_raw!$Q$2:$Q1000))</f>
        <v>35</v>
      </c>
      <c r="E4" s="26">
        <f t="array" ref="E4">XLOOKUP($A4,LinkedIn_content_raw!$A$2:$A1000,LinkedIn_content_raw!$E$2:$E1000)</f>
        <v>228</v>
      </c>
    </row>
    <row r="5">
      <c r="A5" s="25">
        <f>LinkedIn_content_raw!$A6</f>
        <v>45477</v>
      </c>
      <c r="B5" s="24" t="str">
        <f t="shared" si="1"/>
        <v>LinkedIn</v>
      </c>
      <c r="C5" s="26">
        <f t="array" ref="C5">XLOOKUP($A5,LinkedIn_follows_raw!$A$2:$A1000,LinkedIn_follows_raw!$E$2:$E1000)</f>
        <v>2</v>
      </c>
      <c r="D5" s="26">
        <f t="array" ref="D5">sum(XLOOKUP($A5,LinkedIn_content_raw!$A$2:$A1000,LinkedIn_content_raw!$K$2:$K1000),XLOOKUP($A5,LinkedIn_content_raw!$A$2:$A1000,LinkedIn_content_raw!$N$2:$N1000),XLOOKUP($A5,LinkedIn_content_raw!$A$2:$A1000,LinkedIn_content_raw!$Q$2:$Q1000))</f>
        <v>10</v>
      </c>
      <c r="E5" s="26">
        <f t="array" ref="E5">XLOOKUP($A5,LinkedIn_content_raw!$A$2:$A1000,LinkedIn_content_raw!$E$2:$E1000)</f>
        <v>68</v>
      </c>
    </row>
    <row r="6">
      <c r="A6" s="25">
        <f>LinkedIn_content_raw!$A7</f>
        <v>45478</v>
      </c>
      <c r="B6" s="24" t="str">
        <f t="shared" si="1"/>
        <v>LinkedIn</v>
      </c>
      <c r="C6" s="26">
        <f t="array" ref="C6">XLOOKUP($A6,LinkedIn_follows_raw!$A$2:$A1000,LinkedIn_follows_raw!$E$2:$E1000)</f>
        <v>2</v>
      </c>
      <c r="D6" s="26">
        <f t="array" ref="D6">sum(XLOOKUP($A6,LinkedIn_content_raw!$A$2:$A1000,LinkedIn_content_raw!$K$2:$K1000),XLOOKUP($A6,LinkedIn_content_raw!$A$2:$A1000,LinkedIn_content_raw!$N$2:$N1000),XLOOKUP($A6,LinkedIn_content_raw!$A$2:$A1000,LinkedIn_content_raw!$Q$2:$Q1000))</f>
        <v>23</v>
      </c>
      <c r="E6" s="26">
        <f t="array" ref="E6">XLOOKUP($A6,LinkedIn_content_raw!$A$2:$A1000,LinkedIn_content_raw!$E$2:$E1000)</f>
        <v>140</v>
      </c>
    </row>
    <row r="7">
      <c r="A7" s="25">
        <f>LinkedIn_content_raw!$A8</f>
        <v>45479</v>
      </c>
      <c r="B7" s="24" t="str">
        <f t="shared" si="1"/>
        <v>LinkedIn</v>
      </c>
      <c r="C7" s="26">
        <f t="array" ref="C7">XLOOKUP($A7,LinkedIn_follows_raw!$A$2:$A1000,LinkedIn_follows_raw!$E$2:$E1000)</f>
        <v>0</v>
      </c>
      <c r="D7" s="26">
        <f t="array" ref="D7">sum(XLOOKUP($A7,LinkedIn_content_raw!$A$2:$A1000,LinkedIn_content_raw!$K$2:$K1000),XLOOKUP($A7,LinkedIn_content_raw!$A$2:$A1000,LinkedIn_content_raw!$N$2:$N1000),XLOOKUP($A7,LinkedIn_content_raw!$A$2:$A1000,LinkedIn_content_raw!$Q$2:$Q1000))</f>
        <v>10</v>
      </c>
      <c r="E7" s="26">
        <f t="array" ref="E7">XLOOKUP($A7,LinkedIn_content_raw!$A$2:$A1000,LinkedIn_content_raw!$E$2:$E1000)</f>
        <v>85</v>
      </c>
    </row>
    <row r="8">
      <c r="A8" s="25">
        <f>LinkedIn_content_raw!$A9</f>
        <v>45480</v>
      </c>
      <c r="B8" s="24" t="str">
        <f t="shared" si="1"/>
        <v>LinkedIn</v>
      </c>
      <c r="C8" s="26">
        <f t="array" ref="C8">XLOOKUP($A8,LinkedIn_follows_raw!$A$2:$A1000,LinkedIn_follows_raw!$E$2:$E1000)</f>
        <v>0</v>
      </c>
      <c r="D8" s="26">
        <f t="array" ref="D8">sum(XLOOKUP($A8,LinkedIn_content_raw!$A$2:$A1000,LinkedIn_content_raw!$K$2:$K1000),XLOOKUP($A8,LinkedIn_content_raw!$A$2:$A1000,LinkedIn_content_raw!$N$2:$N1000),XLOOKUP($A8,LinkedIn_content_raw!$A$2:$A1000,LinkedIn_content_raw!$Q$2:$Q1000))</f>
        <v>14</v>
      </c>
      <c r="E8" s="26">
        <f t="array" ref="E8">XLOOKUP($A8,LinkedIn_content_raw!$A$2:$A1000,LinkedIn_content_raw!$E$2:$E1000)</f>
        <v>83</v>
      </c>
    </row>
    <row r="9">
      <c r="A9" s="25">
        <f>LinkedIn_content_raw!$A10</f>
        <v>45481</v>
      </c>
      <c r="B9" s="24" t="str">
        <f t="shared" si="1"/>
        <v>LinkedIn</v>
      </c>
      <c r="C9" s="26">
        <f t="array" ref="C9">XLOOKUP($A9,LinkedIn_follows_raw!$A$2:$A1000,LinkedIn_follows_raw!$E$2:$E1000)</f>
        <v>1</v>
      </c>
      <c r="D9" s="26">
        <f t="array" ref="D9">sum(XLOOKUP($A9,LinkedIn_content_raw!$A$2:$A1000,LinkedIn_content_raw!$K$2:$K1000),XLOOKUP($A9,LinkedIn_content_raw!$A$2:$A1000,LinkedIn_content_raw!$N$2:$N1000),XLOOKUP($A9,LinkedIn_content_raw!$A$2:$A1000,LinkedIn_content_raw!$Q$2:$Q1000))</f>
        <v>8</v>
      </c>
      <c r="E9" s="26">
        <f t="array" ref="E9">XLOOKUP($A9,LinkedIn_content_raw!$A$2:$A1000,LinkedIn_content_raw!$E$2:$E1000)</f>
        <v>72</v>
      </c>
    </row>
    <row r="10">
      <c r="A10" s="25">
        <f>LinkedIn_content_raw!$A11</f>
        <v>45482</v>
      </c>
      <c r="B10" s="24" t="str">
        <f t="shared" si="1"/>
        <v>LinkedIn</v>
      </c>
      <c r="C10" s="26">
        <f t="array" ref="C10">XLOOKUP($A10,LinkedIn_follows_raw!$A$2:$A1000,LinkedIn_follows_raw!$E$2:$E1000)</f>
        <v>1</v>
      </c>
      <c r="D10" s="26">
        <f t="array" ref="D10">sum(XLOOKUP($A10,LinkedIn_content_raw!$A$2:$A1000,LinkedIn_content_raw!$K$2:$K1000),XLOOKUP($A10,LinkedIn_content_raw!$A$2:$A1000,LinkedIn_content_raw!$N$2:$N1000),XLOOKUP($A10,LinkedIn_content_raw!$A$2:$A1000,LinkedIn_content_raw!$Q$2:$Q1000))</f>
        <v>32</v>
      </c>
      <c r="E10" s="26">
        <f t="array" ref="E10">XLOOKUP($A10,LinkedIn_content_raw!$A$2:$A1000,LinkedIn_content_raw!$E$2:$E1000)</f>
        <v>100</v>
      </c>
    </row>
    <row r="11">
      <c r="A11" s="25">
        <f>LinkedIn_content_raw!$A12</f>
        <v>45483</v>
      </c>
      <c r="B11" s="24" t="str">
        <f t="shared" si="1"/>
        <v>LinkedIn</v>
      </c>
      <c r="C11" s="26">
        <f t="array" ref="C11">XLOOKUP($A11,LinkedIn_follows_raw!$A$2:$A1000,LinkedIn_follows_raw!$E$2:$E1000)</f>
        <v>0</v>
      </c>
      <c r="D11" s="26">
        <f t="array" ref="D11">sum(XLOOKUP($A11,LinkedIn_content_raw!$A$2:$A1000,LinkedIn_content_raw!$K$2:$K1000),XLOOKUP($A11,LinkedIn_content_raw!$A$2:$A1000,LinkedIn_content_raw!$N$2:$N1000),XLOOKUP($A11,LinkedIn_content_raw!$A$2:$A1000,LinkedIn_content_raw!$Q$2:$Q1000))</f>
        <v>19</v>
      </c>
      <c r="E11" s="26">
        <f t="array" ref="E11">XLOOKUP($A11,LinkedIn_content_raw!$A$2:$A1000,LinkedIn_content_raw!$E$2:$E1000)</f>
        <v>108</v>
      </c>
    </row>
    <row r="12">
      <c r="A12" s="25">
        <f>LinkedIn_content_raw!$A13</f>
        <v>45484</v>
      </c>
      <c r="B12" s="24" t="str">
        <f t="shared" si="1"/>
        <v>LinkedIn</v>
      </c>
      <c r="C12" s="26">
        <f t="array" ref="C12">XLOOKUP($A12,LinkedIn_follows_raw!$A$2:$A1000,LinkedIn_follows_raw!$E$2:$E1000)</f>
        <v>2</v>
      </c>
      <c r="D12" s="26">
        <f t="array" ref="D12">sum(XLOOKUP($A12,LinkedIn_content_raw!$A$2:$A1000,LinkedIn_content_raw!$K$2:$K1000),XLOOKUP($A12,LinkedIn_content_raw!$A$2:$A1000,LinkedIn_content_raw!$N$2:$N1000),XLOOKUP($A12,LinkedIn_content_raw!$A$2:$A1000,LinkedIn_content_raw!$Q$2:$Q1000))</f>
        <v>16</v>
      </c>
      <c r="E12" s="26">
        <f t="array" ref="E12">XLOOKUP($A12,LinkedIn_content_raw!$A$2:$A1000,LinkedIn_content_raw!$E$2:$E1000)</f>
        <v>57</v>
      </c>
    </row>
    <row r="13">
      <c r="A13" s="25">
        <f>LinkedIn_content_raw!$A14</f>
        <v>45485</v>
      </c>
      <c r="B13" s="24" t="str">
        <f t="shared" si="1"/>
        <v>LinkedIn</v>
      </c>
      <c r="C13" s="26">
        <f t="array" ref="C13">XLOOKUP($A13,LinkedIn_follows_raw!$A$2:$A1000,LinkedIn_follows_raw!$E$2:$E1000)</f>
        <v>0</v>
      </c>
      <c r="D13" s="26">
        <f t="array" ref="D13">sum(XLOOKUP($A13,LinkedIn_content_raw!$A$2:$A1000,LinkedIn_content_raw!$K$2:$K1000),XLOOKUP($A13,LinkedIn_content_raw!$A$2:$A1000,LinkedIn_content_raw!$N$2:$N1000),XLOOKUP($A13,LinkedIn_content_raw!$A$2:$A1000,LinkedIn_content_raw!$Q$2:$Q1000))</f>
        <v>4</v>
      </c>
      <c r="E13" s="26">
        <f t="array" ref="E13">XLOOKUP($A13,LinkedIn_content_raw!$A$2:$A1000,LinkedIn_content_raw!$E$2:$E1000)</f>
        <v>48</v>
      </c>
    </row>
    <row r="14">
      <c r="A14" s="25">
        <f>LinkedIn_content_raw!$A15</f>
        <v>45486</v>
      </c>
      <c r="B14" s="24" t="str">
        <f t="shared" si="1"/>
        <v>LinkedIn</v>
      </c>
      <c r="C14" s="26">
        <f t="array" ref="C14">XLOOKUP($A14,LinkedIn_follows_raw!$A$2:$A1000,LinkedIn_follows_raw!$E$2:$E1000)</f>
        <v>3</v>
      </c>
      <c r="D14" s="26">
        <f t="array" ref="D14">sum(XLOOKUP($A14,LinkedIn_content_raw!$A$2:$A1000,LinkedIn_content_raw!$K$2:$K1000),XLOOKUP($A14,LinkedIn_content_raw!$A$2:$A1000,LinkedIn_content_raw!$N$2:$N1000),XLOOKUP($A14,LinkedIn_content_raw!$A$2:$A1000,LinkedIn_content_raw!$Q$2:$Q1000))</f>
        <v>59</v>
      </c>
      <c r="E14" s="26">
        <f t="array" ref="E14">XLOOKUP($A14,LinkedIn_content_raw!$A$2:$A1000,LinkedIn_content_raw!$E$2:$E1000)</f>
        <v>179</v>
      </c>
    </row>
    <row r="15">
      <c r="A15" s="25">
        <f>LinkedIn_content_raw!$A16</f>
        <v>45487</v>
      </c>
      <c r="B15" s="24" t="str">
        <f t="shared" si="1"/>
        <v>LinkedIn</v>
      </c>
      <c r="C15" s="26">
        <f t="array" ref="C15">XLOOKUP($A15,LinkedIn_follows_raw!$A$2:$A1000,LinkedIn_follows_raw!$E$2:$E1000)</f>
        <v>1</v>
      </c>
      <c r="D15" s="26">
        <f t="array" ref="D15">sum(XLOOKUP($A15,LinkedIn_content_raw!$A$2:$A1000,LinkedIn_content_raw!$K$2:$K1000),XLOOKUP($A15,LinkedIn_content_raw!$A$2:$A1000,LinkedIn_content_raw!$N$2:$N1000),XLOOKUP($A15,LinkedIn_content_raw!$A$2:$A1000,LinkedIn_content_raw!$Q$2:$Q1000))</f>
        <v>17</v>
      </c>
      <c r="E15" s="26">
        <f t="array" ref="E15">XLOOKUP($A15,LinkedIn_content_raw!$A$2:$A1000,LinkedIn_content_raw!$E$2:$E1000)</f>
        <v>127</v>
      </c>
    </row>
    <row r="16">
      <c r="A16" s="25">
        <f>LinkedIn_content_raw!$A17</f>
        <v>45488</v>
      </c>
      <c r="B16" s="24" t="str">
        <f t="shared" si="1"/>
        <v>LinkedIn</v>
      </c>
      <c r="C16" s="26">
        <f t="array" ref="C16">XLOOKUP($A16,LinkedIn_follows_raw!$A$2:$A1000,LinkedIn_follows_raw!$E$2:$E1000)</f>
        <v>0</v>
      </c>
      <c r="D16" s="26">
        <f t="array" ref="D16">sum(XLOOKUP($A16,LinkedIn_content_raw!$A$2:$A1000,LinkedIn_content_raw!$K$2:$K1000),XLOOKUP($A16,LinkedIn_content_raw!$A$2:$A1000,LinkedIn_content_raw!$N$2:$N1000),XLOOKUP($A16,LinkedIn_content_raw!$A$2:$A1000,LinkedIn_content_raw!$Q$2:$Q1000))</f>
        <v>5</v>
      </c>
      <c r="E16" s="26">
        <f t="array" ref="E16">XLOOKUP($A16,LinkedIn_content_raw!$A$2:$A1000,LinkedIn_content_raw!$E$2:$E1000)</f>
        <v>93</v>
      </c>
    </row>
    <row r="17">
      <c r="A17" s="25">
        <f>LinkedIn_content_raw!$A18</f>
        <v>45489</v>
      </c>
      <c r="B17" s="24" t="str">
        <f t="shared" si="1"/>
        <v>LinkedIn</v>
      </c>
      <c r="C17" s="26">
        <f t="array" ref="C17">XLOOKUP($A17,LinkedIn_follows_raw!$A$2:$A1000,LinkedIn_follows_raw!$E$2:$E1000)</f>
        <v>2</v>
      </c>
      <c r="D17" s="26">
        <f t="array" ref="D17">sum(XLOOKUP($A17,LinkedIn_content_raw!$A$2:$A1000,LinkedIn_content_raw!$K$2:$K1000),XLOOKUP($A17,LinkedIn_content_raw!$A$2:$A1000,LinkedIn_content_raw!$N$2:$N1000),XLOOKUP($A17,LinkedIn_content_raw!$A$2:$A1000,LinkedIn_content_raw!$Q$2:$Q1000))</f>
        <v>15</v>
      </c>
      <c r="E17" s="26">
        <f t="array" ref="E17">XLOOKUP($A17,LinkedIn_content_raw!$A$2:$A1000,LinkedIn_content_raw!$E$2:$E1000)</f>
        <v>42</v>
      </c>
    </row>
    <row r="18">
      <c r="A18" s="25">
        <f>LinkedIn_content_raw!$A19</f>
        <v>45490</v>
      </c>
      <c r="B18" s="24" t="str">
        <f t="shared" si="1"/>
        <v>LinkedIn</v>
      </c>
      <c r="C18" s="26">
        <f t="array" ref="C18">XLOOKUP($A18,LinkedIn_follows_raw!$A$2:$A1000,LinkedIn_follows_raw!$E$2:$E1000)</f>
        <v>1</v>
      </c>
      <c r="D18" s="26">
        <f t="array" ref="D18">sum(XLOOKUP($A18,LinkedIn_content_raw!$A$2:$A1000,LinkedIn_content_raw!$K$2:$K1000),XLOOKUP($A18,LinkedIn_content_raw!$A$2:$A1000,LinkedIn_content_raw!$N$2:$N1000),XLOOKUP($A18,LinkedIn_content_raw!$A$2:$A1000,LinkedIn_content_raw!$Q$2:$Q1000))</f>
        <v>2</v>
      </c>
      <c r="E18" s="26">
        <f t="array" ref="E18">XLOOKUP($A18,LinkedIn_content_raw!$A$2:$A1000,LinkedIn_content_raw!$E$2:$E1000)</f>
        <v>37</v>
      </c>
    </row>
    <row r="19">
      <c r="A19" s="25">
        <f>LinkedIn_content_raw!$A20</f>
        <v>45491</v>
      </c>
      <c r="B19" s="24" t="str">
        <f t="shared" si="1"/>
        <v>LinkedIn</v>
      </c>
      <c r="C19" s="26">
        <f t="array" ref="C19">XLOOKUP($A19,LinkedIn_follows_raw!$A$2:$A1000,LinkedIn_follows_raw!$E$2:$E1000)</f>
        <v>4</v>
      </c>
      <c r="D19" s="26">
        <f t="array" ref="D19">sum(XLOOKUP($A19,LinkedIn_content_raw!$A$2:$A1000,LinkedIn_content_raw!$K$2:$K1000),XLOOKUP($A19,LinkedIn_content_raw!$A$2:$A1000,LinkedIn_content_raw!$N$2:$N1000),XLOOKUP($A19,LinkedIn_content_raw!$A$2:$A1000,LinkedIn_content_raw!$Q$2:$Q1000))</f>
        <v>4</v>
      </c>
      <c r="E19" s="26">
        <f t="array" ref="E19">XLOOKUP($A19,LinkedIn_content_raw!$A$2:$A1000,LinkedIn_content_raw!$E$2:$E1000)</f>
        <v>28</v>
      </c>
    </row>
    <row r="20">
      <c r="A20" s="25">
        <f>LinkedIn_content_raw!$A21</f>
        <v>45492</v>
      </c>
      <c r="B20" s="24" t="str">
        <f t="shared" si="1"/>
        <v>LinkedIn</v>
      </c>
      <c r="C20" s="26">
        <f t="array" ref="C20">XLOOKUP($A20,LinkedIn_follows_raw!$A$2:$A1000,LinkedIn_follows_raw!$E$2:$E1000)</f>
        <v>0</v>
      </c>
      <c r="D20" s="26">
        <f t="array" ref="D20">sum(XLOOKUP($A20,LinkedIn_content_raw!$A$2:$A1000,LinkedIn_content_raw!$K$2:$K1000),XLOOKUP($A20,LinkedIn_content_raw!$A$2:$A1000,LinkedIn_content_raw!$N$2:$N1000),XLOOKUP($A20,LinkedIn_content_raw!$A$2:$A1000,LinkedIn_content_raw!$Q$2:$Q1000))</f>
        <v>2</v>
      </c>
      <c r="E20" s="26">
        <f t="array" ref="E20">XLOOKUP($A20,LinkedIn_content_raw!$A$2:$A1000,LinkedIn_content_raw!$E$2:$E1000)</f>
        <v>44</v>
      </c>
    </row>
    <row r="21">
      <c r="A21" s="25">
        <f>LinkedIn_content_raw!$A22</f>
        <v>45493</v>
      </c>
      <c r="B21" s="24" t="str">
        <f t="shared" si="1"/>
        <v>LinkedIn</v>
      </c>
      <c r="C21" s="26">
        <f t="array" ref="C21">XLOOKUP($A21,LinkedIn_follows_raw!$A$2:$A1000,LinkedIn_follows_raw!$E$2:$E1000)</f>
        <v>1</v>
      </c>
      <c r="D21" s="26">
        <f t="array" ref="D21">sum(XLOOKUP($A21,LinkedIn_content_raw!$A$2:$A1000,LinkedIn_content_raw!$K$2:$K1000),XLOOKUP($A21,LinkedIn_content_raw!$A$2:$A1000,LinkedIn_content_raw!$N$2:$N1000),XLOOKUP($A21,LinkedIn_content_raw!$A$2:$A1000,LinkedIn_content_raw!$Q$2:$Q1000))</f>
        <v>4</v>
      </c>
      <c r="E21" s="26">
        <f t="array" ref="E21">XLOOKUP($A21,LinkedIn_content_raw!$A$2:$A1000,LinkedIn_content_raw!$E$2:$E1000)</f>
        <v>70</v>
      </c>
    </row>
    <row r="22">
      <c r="A22" s="25">
        <f>LinkedIn_content_raw!$A23</f>
        <v>45494</v>
      </c>
      <c r="B22" s="24" t="str">
        <f t="shared" si="1"/>
        <v>LinkedIn</v>
      </c>
      <c r="C22" s="26">
        <f t="array" ref="C22">XLOOKUP($A22,LinkedIn_follows_raw!$A$2:$A1000,LinkedIn_follows_raw!$E$2:$E1000)</f>
        <v>0</v>
      </c>
      <c r="D22" s="26">
        <f t="array" ref="D22">sum(XLOOKUP($A22,LinkedIn_content_raw!$A$2:$A1000,LinkedIn_content_raw!$K$2:$K1000),XLOOKUP($A22,LinkedIn_content_raw!$A$2:$A1000,LinkedIn_content_raw!$N$2:$N1000),XLOOKUP($A22,LinkedIn_content_raw!$A$2:$A1000,LinkedIn_content_raw!$Q$2:$Q1000))</f>
        <v>1</v>
      </c>
      <c r="E22" s="26">
        <f t="array" ref="E22">XLOOKUP($A22,LinkedIn_content_raw!$A$2:$A1000,LinkedIn_content_raw!$E$2:$E1000)</f>
        <v>33</v>
      </c>
    </row>
    <row r="23">
      <c r="A23" s="25">
        <f>LinkedIn_content_raw!$A24</f>
        <v>45495</v>
      </c>
      <c r="B23" s="24" t="str">
        <f t="shared" si="1"/>
        <v>LinkedIn</v>
      </c>
      <c r="C23" s="26">
        <f t="array" ref="C23">XLOOKUP($A23,LinkedIn_follows_raw!$A$2:$A1000,LinkedIn_follows_raw!$E$2:$E1000)</f>
        <v>2</v>
      </c>
      <c r="D23" s="26">
        <f t="array" ref="D23">sum(XLOOKUP($A23,LinkedIn_content_raw!$A$2:$A1000,LinkedIn_content_raw!$K$2:$K1000),XLOOKUP($A23,LinkedIn_content_raw!$A$2:$A1000,LinkedIn_content_raw!$N$2:$N1000),XLOOKUP($A23,LinkedIn_content_raw!$A$2:$A1000,LinkedIn_content_raw!$Q$2:$Q1000))</f>
        <v>3</v>
      </c>
      <c r="E23" s="26">
        <f t="array" ref="E23">XLOOKUP($A23,LinkedIn_content_raw!$A$2:$A1000,LinkedIn_content_raw!$E$2:$E1000)</f>
        <v>47</v>
      </c>
    </row>
    <row r="24">
      <c r="A24" s="25">
        <f>LinkedIn_content_raw!$A25</f>
        <v>45496</v>
      </c>
      <c r="B24" s="24" t="str">
        <f t="shared" si="1"/>
        <v>LinkedIn</v>
      </c>
      <c r="C24" s="26">
        <f t="array" ref="C24">XLOOKUP($A24,LinkedIn_follows_raw!$A$2:$A1000,LinkedIn_follows_raw!$E$2:$E1000)</f>
        <v>0</v>
      </c>
      <c r="D24" s="26">
        <f t="array" ref="D24">sum(XLOOKUP($A24,LinkedIn_content_raw!$A$2:$A1000,LinkedIn_content_raw!$K$2:$K1000),XLOOKUP($A24,LinkedIn_content_raw!$A$2:$A1000,LinkedIn_content_raw!$N$2:$N1000),XLOOKUP($A24,LinkedIn_content_raw!$A$2:$A1000,LinkedIn_content_raw!$Q$2:$Q1000))</f>
        <v>3</v>
      </c>
      <c r="E24" s="26">
        <f t="array" ref="E24">XLOOKUP($A24,LinkedIn_content_raw!$A$2:$A1000,LinkedIn_content_raw!$E$2:$E1000)</f>
        <v>36</v>
      </c>
    </row>
    <row r="25">
      <c r="A25" s="25">
        <f>LinkedIn_content_raw!$A26</f>
        <v>45497</v>
      </c>
      <c r="B25" s="24" t="str">
        <f t="shared" si="1"/>
        <v>LinkedIn</v>
      </c>
      <c r="C25" s="26">
        <f t="array" ref="C25">XLOOKUP($A25,LinkedIn_follows_raw!$A$2:$A1000,LinkedIn_follows_raw!$E$2:$E1000)</f>
        <v>2</v>
      </c>
      <c r="D25" s="26">
        <f t="array" ref="D25">sum(XLOOKUP($A25,LinkedIn_content_raw!$A$2:$A1000,LinkedIn_content_raw!$K$2:$K1000),XLOOKUP($A25,LinkedIn_content_raw!$A$2:$A1000,LinkedIn_content_raw!$N$2:$N1000),XLOOKUP($A25,LinkedIn_content_raw!$A$2:$A1000,LinkedIn_content_raw!$Q$2:$Q1000))</f>
        <v>12</v>
      </c>
      <c r="E25" s="26">
        <f t="array" ref="E25">XLOOKUP($A25,LinkedIn_content_raw!$A$2:$A1000,LinkedIn_content_raw!$E$2:$E1000)</f>
        <v>83</v>
      </c>
    </row>
    <row r="26">
      <c r="A26" s="25">
        <f>LinkedIn_content_raw!$A27</f>
        <v>45498</v>
      </c>
      <c r="B26" s="24" t="str">
        <f t="shared" si="1"/>
        <v>LinkedIn</v>
      </c>
      <c r="C26" s="26">
        <f t="array" ref="C26">XLOOKUP($A26,LinkedIn_follows_raw!$A$2:$A1000,LinkedIn_follows_raw!$E$2:$E1000)</f>
        <v>0</v>
      </c>
      <c r="D26" s="26">
        <f t="array" ref="D26">sum(XLOOKUP($A26,LinkedIn_content_raw!$A$2:$A1000,LinkedIn_content_raw!$K$2:$K1000),XLOOKUP($A26,LinkedIn_content_raw!$A$2:$A1000,LinkedIn_content_raw!$N$2:$N1000),XLOOKUP($A26,LinkedIn_content_raw!$A$2:$A1000,LinkedIn_content_raw!$Q$2:$Q1000))</f>
        <v>3</v>
      </c>
      <c r="E26" s="26">
        <f t="array" ref="E26">XLOOKUP($A26,LinkedIn_content_raw!$A$2:$A1000,LinkedIn_content_raw!$E$2:$E1000)</f>
        <v>68</v>
      </c>
    </row>
    <row r="27">
      <c r="A27" s="25">
        <f>LinkedIn_content_raw!$A28</f>
        <v>45499</v>
      </c>
      <c r="B27" s="24" t="str">
        <f t="shared" si="1"/>
        <v>LinkedIn</v>
      </c>
      <c r="C27" s="26">
        <f t="array" ref="C27">XLOOKUP($A27,LinkedIn_follows_raw!$A$2:$A1000,LinkedIn_follows_raw!$E$2:$E1000)</f>
        <v>0</v>
      </c>
      <c r="D27" s="26">
        <f t="array" ref="D27">sum(XLOOKUP($A27,LinkedIn_content_raw!$A$2:$A1000,LinkedIn_content_raw!$K$2:$K1000),XLOOKUP($A27,LinkedIn_content_raw!$A$2:$A1000,LinkedIn_content_raw!$N$2:$N1000),XLOOKUP($A27,LinkedIn_content_raw!$A$2:$A1000,LinkedIn_content_raw!$Q$2:$Q1000))</f>
        <v>1</v>
      </c>
      <c r="E27" s="26">
        <f t="array" ref="E27">XLOOKUP($A27,LinkedIn_content_raw!$A$2:$A1000,LinkedIn_content_raw!$E$2:$E1000)</f>
        <v>40</v>
      </c>
    </row>
    <row r="28">
      <c r="A28" s="25">
        <f>LinkedIn_content_raw!$A29</f>
        <v>45500</v>
      </c>
      <c r="B28" s="24" t="str">
        <f t="shared" si="1"/>
        <v>LinkedIn</v>
      </c>
      <c r="C28" s="26">
        <f t="array" ref="C28">XLOOKUP($A28,LinkedIn_follows_raw!$A$2:$A1000,LinkedIn_follows_raw!$E$2:$E1000)</f>
        <v>1</v>
      </c>
      <c r="D28" s="26">
        <f t="array" ref="D28">sum(XLOOKUP($A28,LinkedIn_content_raw!$A$2:$A1000,LinkedIn_content_raw!$K$2:$K1000),XLOOKUP($A28,LinkedIn_content_raw!$A$2:$A1000,LinkedIn_content_raw!$N$2:$N1000),XLOOKUP($A28,LinkedIn_content_raw!$A$2:$A1000,LinkedIn_content_raw!$Q$2:$Q1000))</f>
        <v>0</v>
      </c>
      <c r="E28" s="26">
        <f t="array" ref="E28">XLOOKUP($A28,LinkedIn_content_raw!$A$2:$A1000,LinkedIn_content_raw!$E$2:$E1000)</f>
        <v>36</v>
      </c>
    </row>
    <row r="29">
      <c r="A29" s="25">
        <f>LinkedIn_content_raw!$A30</f>
        <v>45501</v>
      </c>
      <c r="B29" s="24" t="str">
        <f t="shared" si="1"/>
        <v>LinkedIn</v>
      </c>
      <c r="C29" s="26">
        <f t="array" ref="C29">XLOOKUP($A29,LinkedIn_follows_raw!$A$2:$A1000,LinkedIn_follows_raw!$E$2:$E1000)</f>
        <v>0</v>
      </c>
      <c r="D29" s="26">
        <f t="array" ref="D29">sum(XLOOKUP($A29,LinkedIn_content_raw!$A$2:$A1000,LinkedIn_content_raw!$K$2:$K1000),XLOOKUP($A29,LinkedIn_content_raw!$A$2:$A1000,LinkedIn_content_raw!$N$2:$N1000),XLOOKUP($A29,LinkedIn_content_raw!$A$2:$A1000,LinkedIn_content_raw!$Q$2:$Q1000))</f>
        <v>2</v>
      </c>
      <c r="E29" s="26">
        <f t="array" ref="E29">XLOOKUP($A29,LinkedIn_content_raw!$A$2:$A1000,LinkedIn_content_raw!$E$2:$E1000)</f>
        <v>15</v>
      </c>
    </row>
    <row r="30">
      <c r="A30" s="25">
        <f>LinkedIn_content_raw!$A31</f>
        <v>45502</v>
      </c>
      <c r="B30" s="24" t="str">
        <f t="shared" si="1"/>
        <v>LinkedIn</v>
      </c>
      <c r="C30" s="26">
        <f t="array" ref="C30">XLOOKUP($A30,LinkedIn_follows_raw!$A$2:$A1000,LinkedIn_follows_raw!$E$2:$E1000)</f>
        <v>0</v>
      </c>
      <c r="D30" s="26">
        <f t="array" ref="D30">sum(XLOOKUP($A30,LinkedIn_content_raw!$A$2:$A1000,LinkedIn_content_raw!$K$2:$K1000),XLOOKUP($A30,LinkedIn_content_raw!$A$2:$A1000,LinkedIn_content_raw!$N$2:$N1000),XLOOKUP($A30,LinkedIn_content_raw!$A$2:$A1000,LinkedIn_content_raw!$Q$2:$Q1000))</f>
        <v>2</v>
      </c>
      <c r="E30" s="26">
        <f t="array" ref="E30">XLOOKUP($A30,LinkedIn_content_raw!$A$2:$A1000,LinkedIn_content_raw!$E$2:$E1000)</f>
        <v>28</v>
      </c>
    </row>
    <row r="31">
      <c r="A31" s="25">
        <f>LinkedIn_content_raw!$A32</f>
        <v>45503</v>
      </c>
      <c r="B31" s="24" t="str">
        <f t="shared" si="1"/>
        <v>LinkedIn</v>
      </c>
      <c r="C31" s="26">
        <f t="array" ref="C31">XLOOKUP($A31,LinkedIn_follows_raw!$A$2:$A1000,LinkedIn_follows_raw!$E$2:$E1000)</f>
        <v>3</v>
      </c>
      <c r="D31" s="26">
        <f t="array" ref="D31">sum(XLOOKUP($A31,LinkedIn_content_raw!$A$2:$A1000,LinkedIn_content_raw!$K$2:$K1000),XLOOKUP($A31,LinkedIn_content_raw!$A$2:$A1000,LinkedIn_content_raw!$N$2:$N1000),XLOOKUP($A31,LinkedIn_content_raw!$A$2:$A1000,LinkedIn_content_raw!$Q$2:$Q1000))</f>
        <v>2</v>
      </c>
      <c r="E31" s="26">
        <f t="array" ref="E31">XLOOKUP($A31,LinkedIn_content_raw!$A$2:$A1000,LinkedIn_content_raw!$E$2:$E1000)</f>
        <v>20</v>
      </c>
    </row>
    <row r="32">
      <c r="A32" s="25">
        <f>LinkedIn_content_raw!$A33</f>
        <v>45504</v>
      </c>
      <c r="B32" s="24" t="str">
        <f t="shared" si="1"/>
        <v>LinkedIn</v>
      </c>
      <c r="C32" s="26">
        <f t="array" ref="C32">XLOOKUP($A32,LinkedIn_follows_raw!$A$2:$A1000,LinkedIn_follows_raw!$E$2:$E1000)</f>
        <v>2</v>
      </c>
      <c r="D32" s="26">
        <f t="array" ref="D32">sum(XLOOKUP($A32,LinkedIn_content_raw!$A$2:$A1000,LinkedIn_content_raw!$K$2:$K1000),XLOOKUP($A32,LinkedIn_content_raw!$A$2:$A1000,LinkedIn_content_raw!$N$2:$N1000),XLOOKUP($A32,LinkedIn_content_raw!$A$2:$A1000,LinkedIn_content_raw!$Q$2:$Q1000))</f>
        <v>12</v>
      </c>
      <c r="E32" s="26">
        <f t="array" ref="E32">XLOOKUP($A32,LinkedIn_content_raw!$A$2:$A1000,LinkedIn_content_raw!$E$2:$E1000)</f>
        <v>156</v>
      </c>
    </row>
    <row r="33">
      <c r="A33" s="25">
        <f>LinkedIn_content_raw!$A34</f>
        <v>45505</v>
      </c>
      <c r="B33" s="24" t="str">
        <f t="shared" si="1"/>
        <v>LinkedIn</v>
      </c>
      <c r="C33" s="26">
        <f t="array" ref="C33">XLOOKUP($A33,LinkedIn_follows_raw!$A$2:$A1000,LinkedIn_follows_raw!$E$2:$E1000)</f>
        <v>1</v>
      </c>
      <c r="D33" s="26">
        <f t="array" ref="D33">sum(XLOOKUP($A33,LinkedIn_content_raw!$A$2:$A1000,LinkedIn_content_raw!$K$2:$K1000),XLOOKUP($A33,LinkedIn_content_raw!$A$2:$A1000,LinkedIn_content_raw!$N$2:$N1000),XLOOKUP($A33,LinkedIn_content_raw!$A$2:$A1000,LinkedIn_content_raw!$Q$2:$Q1000))</f>
        <v>1</v>
      </c>
      <c r="E33" s="26">
        <f t="array" ref="E33">XLOOKUP($A33,LinkedIn_content_raw!$A$2:$A1000,LinkedIn_content_raw!$E$2:$E1000)</f>
        <v>34</v>
      </c>
    </row>
    <row r="34">
      <c r="A34" s="25">
        <f>LinkedIn_content_raw!$A35</f>
        <v>45506</v>
      </c>
      <c r="B34" s="24" t="str">
        <f t="shared" si="1"/>
        <v>LinkedIn</v>
      </c>
      <c r="C34" s="26">
        <f t="array" ref="C34">XLOOKUP($A34,LinkedIn_follows_raw!$A$2:$A1000,LinkedIn_follows_raw!$E$2:$E1000)</f>
        <v>0</v>
      </c>
      <c r="D34" s="26">
        <f t="array" ref="D34">sum(XLOOKUP($A34,LinkedIn_content_raw!$A$2:$A1000,LinkedIn_content_raw!$K$2:$K1000),XLOOKUP($A34,LinkedIn_content_raw!$A$2:$A1000,LinkedIn_content_raw!$N$2:$N1000),XLOOKUP($A34,LinkedIn_content_raw!$A$2:$A1000,LinkedIn_content_raw!$Q$2:$Q1000))</f>
        <v>7</v>
      </c>
      <c r="E34" s="26">
        <f t="array" ref="E34">XLOOKUP($A34,LinkedIn_content_raw!$A$2:$A1000,LinkedIn_content_raw!$E$2:$E1000)</f>
        <v>42</v>
      </c>
    </row>
    <row r="35">
      <c r="A35" s="25">
        <f>LinkedIn_content_raw!$A36</f>
        <v>45507</v>
      </c>
      <c r="B35" s="24" t="str">
        <f t="shared" si="1"/>
        <v>LinkedIn</v>
      </c>
      <c r="C35" s="26">
        <f t="array" ref="C35">XLOOKUP($A35,LinkedIn_follows_raw!$A$2:$A1000,LinkedIn_follows_raw!$E$2:$E1000)</f>
        <v>0</v>
      </c>
      <c r="D35" s="26">
        <f t="array" ref="D35">sum(XLOOKUP($A35,LinkedIn_content_raw!$A$2:$A1000,LinkedIn_content_raw!$K$2:$K1000),XLOOKUP($A35,LinkedIn_content_raw!$A$2:$A1000,LinkedIn_content_raw!$N$2:$N1000),XLOOKUP($A35,LinkedIn_content_raw!$A$2:$A1000,LinkedIn_content_raw!$Q$2:$Q1000))</f>
        <v>3</v>
      </c>
      <c r="E35" s="26">
        <f t="array" ref="E35">XLOOKUP($A35,LinkedIn_content_raw!$A$2:$A1000,LinkedIn_content_raw!$E$2:$E1000)</f>
        <v>30</v>
      </c>
    </row>
    <row r="36">
      <c r="A36" s="25">
        <f>LinkedIn_content_raw!$A37</f>
        <v>45508</v>
      </c>
      <c r="B36" s="24" t="str">
        <f t="shared" si="1"/>
        <v>LinkedIn</v>
      </c>
      <c r="C36" s="26">
        <f t="array" ref="C36">XLOOKUP($A36,LinkedIn_follows_raw!$A$2:$A1000,LinkedIn_follows_raw!$E$2:$E1000)</f>
        <v>0</v>
      </c>
      <c r="D36" s="26">
        <f t="array" ref="D36">sum(XLOOKUP($A36,LinkedIn_content_raw!$A$2:$A1000,LinkedIn_content_raw!$K$2:$K1000),XLOOKUP($A36,LinkedIn_content_raw!$A$2:$A1000,LinkedIn_content_raw!$N$2:$N1000),XLOOKUP($A36,LinkedIn_content_raw!$A$2:$A1000,LinkedIn_content_raw!$Q$2:$Q1000))</f>
        <v>3</v>
      </c>
      <c r="E36" s="26">
        <f t="array" ref="E36">XLOOKUP($A36,LinkedIn_content_raw!$A$2:$A1000,LinkedIn_content_raw!$E$2:$E1000)</f>
        <v>19</v>
      </c>
    </row>
    <row r="37">
      <c r="A37" s="25">
        <f>LinkedIn_content_raw!$A38</f>
        <v>45509</v>
      </c>
      <c r="B37" s="24" t="str">
        <f t="shared" si="1"/>
        <v>LinkedIn</v>
      </c>
      <c r="C37" s="26">
        <f t="array" ref="C37">XLOOKUP($A37,LinkedIn_follows_raw!$A$2:$A1000,LinkedIn_follows_raw!$E$2:$E1000)</f>
        <v>1</v>
      </c>
      <c r="D37" s="26">
        <f t="array" ref="D37">sum(XLOOKUP($A37,LinkedIn_content_raw!$A$2:$A1000,LinkedIn_content_raw!$K$2:$K1000),XLOOKUP($A37,LinkedIn_content_raw!$A$2:$A1000,LinkedIn_content_raw!$N$2:$N1000),XLOOKUP($A37,LinkedIn_content_raw!$A$2:$A1000,LinkedIn_content_raw!$Q$2:$Q1000))</f>
        <v>0</v>
      </c>
      <c r="E37" s="26">
        <f t="array" ref="E37">XLOOKUP($A37,LinkedIn_content_raw!$A$2:$A1000,LinkedIn_content_raw!$E$2:$E1000)</f>
        <v>30</v>
      </c>
    </row>
    <row r="38">
      <c r="A38" s="25">
        <f>LinkedIn_content_raw!$A39</f>
        <v>45510</v>
      </c>
      <c r="B38" s="24" t="str">
        <f t="shared" si="1"/>
        <v>LinkedIn</v>
      </c>
      <c r="C38" s="26">
        <f t="array" ref="C38">XLOOKUP($A38,LinkedIn_follows_raw!$A$2:$A1000,LinkedIn_follows_raw!$E$2:$E1000)</f>
        <v>0</v>
      </c>
      <c r="D38" s="26">
        <f t="array" ref="D38">sum(XLOOKUP($A38,LinkedIn_content_raw!$A$2:$A1000,LinkedIn_content_raw!$K$2:$K1000),XLOOKUP($A38,LinkedIn_content_raw!$A$2:$A1000,LinkedIn_content_raw!$N$2:$N1000),XLOOKUP($A38,LinkedIn_content_raw!$A$2:$A1000,LinkedIn_content_raw!$Q$2:$Q1000))</f>
        <v>3</v>
      </c>
      <c r="E38" s="26">
        <f t="array" ref="E38">XLOOKUP($A38,LinkedIn_content_raw!$A$2:$A1000,LinkedIn_content_raw!$E$2:$E1000)</f>
        <v>18</v>
      </c>
    </row>
    <row r="39">
      <c r="A39" s="25">
        <f>LinkedIn_content_raw!$A40</f>
        <v>45511</v>
      </c>
      <c r="B39" s="24" t="str">
        <f t="shared" si="1"/>
        <v>LinkedIn</v>
      </c>
      <c r="C39" s="26">
        <f t="array" ref="C39">XLOOKUP($A39,LinkedIn_follows_raw!$A$2:$A1000,LinkedIn_follows_raw!$E$2:$E1000)</f>
        <v>2</v>
      </c>
      <c r="D39" s="26">
        <f t="array" ref="D39">sum(XLOOKUP($A39,LinkedIn_content_raw!$A$2:$A1000,LinkedIn_content_raw!$K$2:$K1000),XLOOKUP($A39,LinkedIn_content_raw!$A$2:$A1000,LinkedIn_content_raw!$N$2:$N1000),XLOOKUP($A39,LinkedIn_content_raw!$A$2:$A1000,LinkedIn_content_raw!$Q$2:$Q1000))</f>
        <v>5</v>
      </c>
      <c r="E39" s="26">
        <f t="array" ref="E39">XLOOKUP($A39,LinkedIn_content_raw!$A$2:$A1000,LinkedIn_content_raw!$E$2:$E1000)</f>
        <v>133</v>
      </c>
    </row>
    <row r="40">
      <c r="A40" s="25">
        <f>LinkedIn_content_raw!$A41</f>
        <v>45512</v>
      </c>
      <c r="B40" s="24" t="str">
        <f t="shared" si="1"/>
        <v>LinkedIn</v>
      </c>
      <c r="C40" s="26">
        <f t="array" ref="C40">XLOOKUP($A40,LinkedIn_follows_raw!$A$2:$A1000,LinkedIn_follows_raw!$E$2:$E1000)</f>
        <v>-1</v>
      </c>
      <c r="D40" s="26">
        <f t="array" ref="D40">sum(XLOOKUP($A40,LinkedIn_content_raw!$A$2:$A1000,LinkedIn_content_raw!$K$2:$K1000),XLOOKUP($A40,LinkedIn_content_raw!$A$2:$A1000,LinkedIn_content_raw!$N$2:$N1000),XLOOKUP($A40,LinkedIn_content_raw!$A$2:$A1000,LinkedIn_content_raw!$Q$2:$Q1000))</f>
        <v>4</v>
      </c>
      <c r="E40" s="26">
        <f t="array" ref="E40">XLOOKUP($A40,LinkedIn_content_raw!$A$2:$A1000,LinkedIn_content_raw!$E$2:$E1000)</f>
        <v>49</v>
      </c>
    </row>
    <row r="41">
      <c r="A41" s="25">
        <f>LinkedIn_content_raw!$A42</f>
        <v>45513</v>
      </c>
      <c r="B41" s="24" t="str">
        <f t="shared" si="1"/>
        <v>LinkedIn</v>
      </c>
      <c r="C41" s="26">
        <f t="array" ref="C41">XLOOKUP($A41,LinkedIn_follows_raw!$A$2:$A1000,LinkedIn_follows_raw!$E$2:$E1000)</f>
        <v>3</v>
      </c>
      <c r="D41" s="26">
        <f t="array" ref="D41">sum(XLOOKUP($A41,LinkedIn_content_raw!$A$2:$A1000,LinkedIn_content_raw!$K$2:$K1000),XLOOKUP($A41,LinkedIn_content_raw!$A$2:$A1000,LinkedIn_content_raw!$N$2:$N1000),XLOOKUP($A41,LinkedIn_content_raw!$A$2:$A1000,LinkedIn_content_raw!$Q$2:$Q1000))</f>
        <v>3</v>
      </c>
      <c r="E41" s="26">
        <f t="array" ref="E41">XLOOKUP($A41,LinkedIn_content_raw!$A$2:$A1000,LinkedIn_content_raw!$E$2:$E1000)</f>
        <v>34</v>
      </c>
    </row>
    <row r="42">
      <c r="A42" s="25">
        <f>LinkedIn_content_raw!$A43</f>
        <v>45514</v>
      </c>
      <c r="B42" s="24" t="str">
        <f t="shared" si="1"/>
        <v>LinkedIn</v>
      </c>
      <c r="C42" s="26">
        <f t="array" ref="C42">XLOOKUP($A42,LinkedIn_follows_raw!$A$2:$A1000,LinkedIn_follows_raw!$E$2:$E1000)</f>
        <v>0</v>
      </c>
      <c r="D42" s="26">
        <f t="array" ref="D42">sum(XLOOKUP($A42,LinkedIn_content_raw!$A$2:$A1000,LinkedIn_content_raw!$K$2:$K1000),XLOOKUP($A42,LinkedIn_content_raw!$A$2:$A1000,LinkedIn_content_raw!$N$2:$N1000),XLOOKUP($A42,LinkedIn_content_raw!$A$2:$A1000,LinkedIn_content_raw!$Q$2:$Q1000))</f>
        <v>13</v>
      </c>
      <c r="E42" s="26">
        <f t="array" ref="E42">XLOOKUP($A42,LinkedIn_content_raw!$A$2:$A1000,LinkedIn_content_raw!$E$2:$E1000)</f>
        <v>182</v>
      </c>
    </row>
    <row r="43">
      <c r="A43" s="25">
        <f>LinkedIn_content_raw!$A44</f>
        <v>45515</v>
      </c>
      <c r="B43" s="24" t="str">
        <f t="shared" si="1"/>
        <v>LinkedIn</v>
      </c>
      <c r="C43" s="26">
        <f t="array" ref="C43">XLOOKUP($A43,LinkedIn_follows_raw!$A$2:$A1000,LinkedIn_follows_raw!$E$2:$E1000)</f>
        <v>-1</v>
      </c>
      <c r="D43" s="26">
        <f t="array" ref="D43">sum(XLOOKUP($A43,LinkedIn_content_raw!$A$2:$A1000,LinkedIn_content_raw!$K$2:$K1000),XLOOKUP($A43,LinkedIn_content_raw!$A$2:$A1000,LinkedIn_content_raw!$N$2:$N1000),XLOOKUP($A43,LinkedIn_content_raw!$A$2:$A1000,LinkedIn_content_raw!$Q$2:$Q1000))</f>
        <v>4</v>
      </c>
      <c r="E43" s="26">
        <f t="array" ref="E43">XLOOKUP($A43,LinkedIn_content_raw!$A$2:$A1000,LinkedIn_content_raw!$E$2:$E1000)</f>
        <v>44</v>
      </c>
    </row>
    <row r="44">
      <c r="A44" s="25">
        <f>LinkedIn_content_raw!$A45</f>
        <v>45516</v>
      </c>
      <c r="B44" s="24" t="str">
        <f t="shared" si="1"/>
        <v>LinkedIn</v>
      </c>
      <c r="C44" s="26">
        <f t="array" ref="C44">XLOOKUP($A44,LinkedIn_follows_raw!$A$2:$A1000,LinkedIn_follows_raw!$E$2:$E1000)</f>
        <v>2</v>
      </c>
      <c r="D44" s="26">
        <f t="array" ref="D44">sum(XLOOKUP($A44,LinkedIn_content_raw!$A$2:$A1000,LinkedIn_content_raw!$K$2:$K1000),XLOOKUP($A44,LinkedIn_content_raw!$A$2:$A1000,LinkedIn_content_raw!$N$2:$N1000),XLOOKUP($A44,LinkedIn_content_raw!$A$2:$A1000,LinkedIn_content_raw!$Q$2:$Q1000))</f>
        <v>7</v>
      </c>
      <c r="E44" s="26">
        <f t="array" ref="E44">XLOOKUP($A44,LinkedIn_content_raw!$A$2:$A1000,LinkedIn_content_raw!$E$2:$E1000)</f>
        <v>67</v>
      </c>
    </row>
    <row r="45">
      <c r="A45" s="25">
        <f>LinkedIn_content_raw!$A46</f>
        <v>45517</v>
      </c>
      <c r="B45" s="24" t="str">
        <f t="shared" si="1"/>
        <v>LinkedIn</v>
      </c>
      <c r="C45" s="26">
        <f t="array" ref="C45">XLOOKUP($A45,LinkedIn_follows_raw!$A$2:$A1000,LinkedIn_follows_raw!$E$2:$E1000)</f>
        <v>0</v>
      </c>
      <c r="D45" s="26">
        <f t="array" ref="D45">sum(XLOOKUP($A45,LinkedIn_content_raw!$A$2:$A1000,LinkedIn_content_raw!$K$2:$K1000),XLOOKUP($A45,LinkedIn_content_raw!$A$2:$A1000,LinkedIn_content_raw!$N$2:$N1000),XLOOKUP($A45,LinkedIn_content_raw!$A$2:$A1000,LinkedIn_content_raw!$Q$2:$Q1000))</f>
        <v>5</v>
      </c>
      <c r="E45" s="26">
        <f t="array" ref="E45">XLOOKUP($A45,LinkedIn_content_raw!$A$2:$A1000,LinkedIn_content_raw!$E$2:$E1000)</f>
        <v>106</v>
      </c>
    </row>
    <row r="46">
      <c r="A46" s="25">
        <f>LinkedIn_content_raw!$A47</f>
        <v>45518</v>
      </c>
      <c r="B46" s="24" t="str">
        <f t="shared" si="1"/>
        <v>LinkedIn</v>
      </c>
      <c r="C46" s="26">
        <f t="array" ref="C46">XLOOKUP($A46,LinkedIn_follows_raw!$A$2:$A1000,LinkedIn_follows_raw!$E$2:$E1000)</f>
        <v>1</v>
      </c>
      <c r="D46" s="26">
        <f t="array" ref="D46">sum(XLOOKUP($A46,LinkedIn_content_raw!$A$2:$A1000,LinkedIn_content_raw!$K$2:$K1000),XLOOKUP($A46,LinkedIn_content_raw!$A$2:$A1000,LinkedIn_content_raw!$N$2:$N1000),XLOOKUP($A46,LinkedIn_content_raw!$A$2:$A1000,LinkedIn_content_raw!$Q$2:$Q1000))</f>
        <v>6</v>
      </c>
      <c r="E46" s="26">
        <f t="array" ref="E46">XLOOKUP($A46,LinkedIn_content_raw!$A$2:$A1000,LinkedIn_content_raw!$E$2:$E1000)</f>
        <v>89</v>
      </c>
    </row>
    <row r="47">
      <c r="A47" s="25">
        <f>LinkedIn_content_raw!$A48</f>
        <v>45519</v>
      </c>
      <c r="B47" s="24" t="str">
        <f t="shared" si="1"/>
        <v>LinkedIn</v>
      </c>
      <c r="C47" s="26">
        <f t="array" ref="C47">XLOOKUP($A47,LinkedIn_follows_raw!$A$2:$A1000,LinkedIn_follows_raw!$E$2:$E1000)</f>
        <v>0</v>
      </c>
      <c r="D47" s="26">
        <f t="array" ref="D47">sum(XLOOKUP($A47,LinkedIn_content_raw!$A$2:$A1000,LinkedIn_content_raw!$K$2:$K1000),XLOOKUP($A47,LinkedIn_content_raw!$A$2:$A1000,LinkedIn_content_raw!$N$2:$N1000),XLOOKUP($A47,LinkedIn_content_raw!$A$2:$A1000,LinkedIn_content_raw!$Q$2:$Q1000))</f>
        <v>13</v>
      </c>
      <c r="E47" s="26">
        <f t="array" ref="E47">XLOOKUP($A47,LinkedIn_content_raw!$A$2:$A1000,LinkedIn_content_raw!$E$2:$E1000)</f>
        <v>142</v>
      </c>
    </row>
    <row r="48">
      <c r="A48" s="25">
        <f>LinkedIn_content_raw!$A49</f>
        <v>45520</v>
      </c>
      <c r="B48" s="24" t="str">
        <f t="shared" si="1"/>
        <v>LinkedIn</v>
      </c>
      <c r="C48" s="26">
        <f t="array" ref="C48">XLOOKUP($A48,LinkedIn_follows_raw!$A$2:$A1000,LinkedIn_follows_raw!$E$2:$E1000)</f>
        <v>5</v>
      </c>
      <c r="D48" s="26">
        <f t="array" ref="D48">sum(XLOOKUP($A48,LinkedIn_content_raw!$A$2:$A1000,LinkedIn_content_raw!$K$2:$K1000),XLOOKUP($A48,LinkedIn_content_raw!$A$2:$A1000,LinkedIn_content_raw!$N$2:$N1000),XLOOKUP($A48,LinkedIn_content_raw!$A$2:$A1000,LinkedIn_content_raw!$Q$2:$Q1000))</f>
        <v>21</v>
      </c>
      <c r="E48" s="26">
        <f t="array" ref="E48">XLOOKUP($A48,LinkedIn_content_raw!$A$2:$A1000,LinkedIn_content_raw!$E$2:$E1000)</f>
        <v>181</v>
      </c>
    </row>
    <row r="49">
      <c r="A49" s="25">
        <f>LinkedIn_content_raw!$A50</f>
        <v>45521</v>
      </c>
      <c r="B49" s="24" t="str">
        <f t="shared" si="1"/>
        <v>LinkedIn</v>
      </c>
      <c r="C49" s="26">
        <f t="array" ref="C49">XLOOKUP($A49,LinkedIn_follows_raw!$A$2:$A1000,LinkedIn_follows_raw!$E$2:$E1000)</f>
        <v>0</v>
      </c>
      <c r="D49" s="26">
        <f t="array" ref="D49">sum(XLOOKUP($A49,LinkedIn_content_raw!$A$2:$A1000,LinkedIn_content_raw!$K$2:$K1000),XLOOKUP($A49,LinkedIn_content_raw!$A$2:$A1000,LinkedIn_content_raw!$N$2:$N1000),XLOOKUP($A49,LinkedIn_content_raw!$A$2:$A1000,LinkedIn_content_raw!$Q$2:$Q1000))</f>
        <v>11</v>
      </c>
      <c r="E49" s="26">
        <f t="array" ref="E49">XLOOKUP($A49,LinkedIn_content_raw!$A$2:$A1000,LinkedIn_content_raw!$E$2:$E1000)</f>
        <v>100</v>
      </c>
    </row>
    <row r="50">
      <c r="A50" s="25">
        <f>LinkedIn_content_raw!$A51</f>
        <v>45522</v>
      </c>
      <c r="B50" s="24" t="str">
        <f t="shared" si="1"/>
        <v>LinkedIn</v>
      </c>
      <c r="C50" s="26">
        <f t="array" ref="C50">XLOOKUP($A50,LinkedIn_follows_raw!$A$2:$A1000,LinkedIn_follows_raw!$E$2:$E1000)</f>
        <v>0</v>
      </c>
      <c r="D50" s="26">
        <f t="array" ref="D50">sum(XLOOKUP($A50,LinkedIn_content_raw!$A$2:$A1000,LinkedIn_content_raw!$K$2:$K1000),XLOOKUP($A50,LinkedIn_content_raw!$A$2:$A1000,LinkedIn_content_raw!$N$2:$N1000),XLOOKUP($A50,LinkedIn_content_raw!$A$2:$A1000,LinkedIn_content_raw!$Q$2:$Q1000))</f>
        <v>7</v>
      </c>
      <c r="E50" s="26">
        <f t="array" ref="E50">XLOOKUP($A50,LinkedIn_content_raw!$A$2:$A1000,LinkedIn_content_raw!$E$2:$E1000)</f>
        <v>40</v>
      </c>
    </row>
    <row r="51">
      <c r="A51" s="25">
        <f>LinkedIn_content_raw!$A52</f>
        <v>45523</v>
      </c>
      <c r="B51" s="24" t="str">
        <f t="shared" si="1"/>
        <v>LinkedIn</v>
      </c>
      <c r="C51" s="26">
        <f t="array" ref="C51">XLOOKUP($A51,LinkedIn_follows_raw!$A$2:$A1000,LinkedIn_follows_raw!$E$2:$E1000)</f>
        <v>3</v>
      </c>
      <c r="D51" s="26">
        <f t="array" ref="D51">sum(XLOOKUP($A51,LinkedIn_content_raw!$A$2:$A1000,LinkedIn_content_raw!$K$2:$K1000),XLOOKUP($A51,LinkedIn_content_raw!$A$2:$A1000,LinkedIn_content_raw!$N$2:$N1000),XLOOKUP($A51,LinkedIn_content_raw!$A$2:$A1000,LinkedIn_content_raw!$Q$2:$Q1000))</f>
        <v>4</v>
      </c>
      <c r="E51" s="26">
        <f t="array" ref="E51">XLOOKUP($A51,LinkedIn_content_raw!$A$2:$A1000,LinkedIn_content_raw!$E$2:$E1000)</f>
        <v>55</v>
      </c>
    </row>
    <row r="52">
      <c r="A52" s="25">
        <f>LinkedIn_content_raw!$A53</f>
        <v>45524</v>
      </c>
      <c r="B52" s="24" t="str">
        <f t="shared" si="1"/>
        <v>LinkedIn</v>
      </c>
      <c r="C52" s="26">
        <f t="array" ref="C52">XLOOKUP($A52,LinkedIn_follows_raw!$A$2:$A1000,LinkedIn_follows_raw!$E$2:$E1000)</f>
        <v>0</v>
      </c>
      <c r="D52" s="26">
        <f t="array" ref="D52">sum(XLOOKUP($A52,LinkedIn_content_raw!$A$2:$A1000,LinkedIn_content_raw!$K$2:$K1000),XLOOKUP($A52,LinkedIn_content_raw!$A$2:$A1000,LinkedIn_content_raw!$N$2:$N1000),XLOOKUP($A52,LinkedIn_content_raw!$A$2:$A1000,LinkedIn_content_raw!$Q$2:$Q1000))</f>
        <v>11</v>
      </c>
      <c r="E52" s="26">
        <f t="array" ref="E52">XLOOKUP($A52,LinkedIn_content_raw!$A$2:$A1000,LinkedIn_content_raw!$E$2:$E1000)</f>
        <v>72</v>
      </c>
    </row>
    <row r="53">
      <c r="A53" s="25">
        <f>LinkedIn_content_raw!$A54</f>
        <v>45525</v>
      </c>
      <c r="B53" s="24" t="str">
        <f t="shared" si="1"/>
        <v>LinkedIn</v>
      </c>
      <c r="C53" s="26">
        <f t="array" ref="C53">XLOOKUP($A53,LinkedIn_follows_raw!$A$2:$A1000,LinkedIn_follows_raw!$E$2:$E1000)</f>
        <v>3</v>
      </c>
      <c r="D53" s="26">
        <f t="array" ref="D53">sum(XLOOKUP($A53,LinkedIn_content_raw!$A$2:$A1000,LinkedIn_content_raw!$K$2:$K1000),XLOOKUP($A53,LinkedIn_content_raw!$A$2:$A1000,LinkedIn_content_raw!$N$2:$N1000),XLOOKUP($A53,LinkedIn_content_raw!$A$2:$A1000,LinkedIn_content_raw!$Q$2:$Q1000))</f>
        <v>27</v>
      </c>
      <c r="E53" s="26">
        <f t="array" ref="E53">XLOOKUP($A53,LinkedIn_content_raw!$A$2:$A1000,LinkedIn_content_raw!$E$2:$E1000)</f>
        <v>152</v>
      </c>
    </row>
    <row r="54">
      <c r="A54" s="25">
        <f>LinkedIn_content_raw!$A55</f>
        <v>45526</v>
      </c>
      <c r="B54" s="24" t="str">
        <f t="shared" si="1"/>
        <v>LinkedIn</v>
      </c>
      <c r="C54" s="26">
        <f t="array" ref="C54">XLOOKUP($A54,LinkedIn_follows_raw!$A$2:$A1000,LinkedIn_follows_raw!$E$2:$E1000)</f>
        <v>0</v>
      </c>
      <c r="D54" s="26">
        <f t="array" ref="D54">sum(XLOOKUP($A54,LinkedIn_content_raw!$A$2:$A1000,LinkedIn_content_raw!$K$2:$K1000),XLOOKUP($A54,LinkedIn_content_raw!$A$2:$A1000,LinkedIn_content_raw!$N$2:$N1000),XLOOKUP($A54,LinkedIn_content_raw!$A$2:$A1000,LinkedIn_content_raw!$Q$2:$Q1000))</f>
        <v>20</v>
      </c>
      <c r="E54" s="26">
        <f t="array" ref="E54">XLOOKUP($A54,LinkedIn_content_raw!$A$2:$A1000,LinkedIn_content_raw!$E$2:$E1000)</f>
        <v>125</v>
      </c>
    </row>
    <row r="55">
      <c r="A55" s="25">
        <f>LinkedIn_content_raw!$A56</f>
        <v>45527</v>
      </c>
      <c r="B55" s="24" t="str">
        <f t="shared" si="1"/>
        <v>LinkedIn</v>
      </c>
      <c r="C55" s="26">
        <f t="array" ref="C55">XLOOKUP($A55,LinkedIn_follows_raw!$A$2:$A1000,LinkedIn_follows_raw!$E$2:$E1000)</f>
        <v>-1</v>
      </c>
      <c r="D55" s="26">
        <f t="array" ref="D55">sum(XLOOKUP($A55,LinkedIn_content_raw!$A$2:$A1000,LinkedIn_content_raw!$K$2:$K1000),XLOOKUP($A55,LinkedIn_content_raw!$A$2:$A1000,LinkedIn_content_raw!$N$2:$N1000),XLOOKUP($A55,LinkedIn_content_raw!$A$2:$A1000,LinkedIn_content_raw!$Q$2:$Q1000))</f>
        <v>28</v>
      </c>
      <c r="E55" s="26">
        <f t="array" ref="E55">XLOOKUP($A55,LinkedIn_content_raw!$A$2:$A1000,LinkedIn_content_raw!$E$2:$E1000)</f>
        <v>168</v>
      </c>
    </row>
    <row r="56">
      <c r="A56" s="25">
        <f>LinkedIn_content_raw!$A57</f>
        <v>45528</v>
      </c>
      <c r="B56" s="24" t="str">
        <f t="shared" si="1"/>
        <v>LinkedIn</v>
      </c>
      <c r="C56" s="26">
        <f t="array" ref="C56">XLOOKUP($A56,LinkedIn_follows_raw!$A$2:$A1000,LinkedIn_follows_raw!$E$2:$E1000)</f>
        <v>0</v>
      </c>
      <c r="D56" s="26">
        <f t="array" ref="D56">sum(XLOOKUP($A56,LinkedIn_content_raw!$A$2:$A1000,LinkedIn_content_raw!$K$2:$K1000),XLOOKUP($A56,LinkedIn_content_raw!$A$2:$A1000,LinkedIn_content_raw!$N$2:$N1000),XLOOKUP($A56,LinkedIn_content_raw!$A$2:$A1000,LinkedIn_content_raw!$Q$2:$Q1000))</f>
        <v>8</v>
      </c>
      <c r="E56" s="26">
        <f t="array" ref="E56">XLOOKUP($A56,LinkedIn_content_raw!$A$2:$A1000,LinkedIn_content_raw!$E$2:$E1000)</f>
        <v>92</v>
      </c>
    </row>
    <row r="57">
      <c r="A57" s="25">
        <f>LinkedIn_content_raw!$A58</f>
        <v>45529</v>
      </c>
      <c r="B57" s="24" t="str">
        <f t="shared" si="1"/>
        <v>LinkedIn</v>
      </c>
      <c r="C57" s="26">
        <f t="array" ref="C57">XLOOKUP($A57,LinkedIn_follows_raw!$A$2:$A1000,LinkedIn_follows_raw!$E$2:$E1000)</f>
        <v>2</v>
      </c>
      <c r="D57" s="26">
        <f t="array" ref="D57">sum(XLOOKUP($A57,LinkedIn_content_raw!$A$2:$A1000,LinkedIn_content_raw!$K$2:$K1000),XLOOKUP($A57,LinkedIn_content_raw!$A$2:$A1000,LinkedIn_content_raw!$N$2:$N1000),XLOOKUP($A57,LinkedIn_content_raw!$A$2:$A1000,LinkedIn_content_raw!$Q$2:$Q1000))</f>
        <v>8</v>
      </c>
      <c r="E57" s="26">
        <f t="array" ref="E57">XLOOKUP($A57,LinkedIn_content_raw!$A$2:$A1000,LinkedIn_content_raw!$E$2:$E1000)</f>
        <v>69</v>
      </c>
    </row>
    <row r="58">
      <c r="A58" s="25">
        <f>LinkedIn_content_raw!$A59</f>
        <v>45530</v>
      </c>
      <c r="B58" s="24" t="str">
        <f t="shared" si="1"/>
        <v>LinkedIn</v>
      </c>
      <c r="C58" s="26">
        <f t="array" ref="C58">XLOOKUP($A58,LinkedIn_follows_raw!$A$2:$A1000,LinkedIn_follows_raw!$E$2:$E1000)</f>
        <v>1</v>
      </c>
      <c r="D58" s="26">
        <f t="array" ref="D58">sum(XLOOKUP($A58,LinkedIn_content_raw!$A$2:$A1000,LinkedIn_content_raw!$K$2:$K1000),XLOOKUP($A58,LinkedIn_content_raw!$A$2:$A1000,LinkedIn_content_raw!$N$2:$N1000),XLOOKUP($A58,LinkedIn_content_raw!$A$2:$A1000,LinkedIn_content_raw!$Q$2:$Q1000))</f>
        <v>2</v>
      </c>
      <c r="E58" s="26">
        <f t="array" ref="E58">XLOOKUP($A58,LinkedIn_content_raw!$A$2:$A1000,LinkedIn_content_raw!$E$2:$E1000)</f>
        <v>61</v>
      </c>
    </row>
    <row r="59">
      <c r="A59" s="25">
        <f>LinkedIn_content_raw!$A60</f>
        <v>45531</v>
      </c>
      <c r="B59" s="24" t="str">
        <f t="shared" si="1"/>
        <v>LinkedIn</v>
      </c>
      <c r="C59" s="26">
        <f t="array" ref="C59">XLOOKUP($A59,LinkedIn_follows_raw!$A$2:$A1000,LinkedIn_follows_raw!$E$2:$E1000)</f>
        <v>1</v>
      </c>
      <c r="D59" s="26">
        <f t="array" ref="D59">sum(XLOOKUP($A59,LinkedIn_content_raw!$A$2:$A1000,LinkedIn_content_raw!$K$2:$K1000),XLOOKUP($A59,LinkedIn_content_raw!$A$2:$A1000,LinkedIn_content_raw!$N$2:$N1000),XLOOKUP($A59,LinkedIn_content_raw!$A$2:$A1000,LinkedIn_content_raw!$Q$2:$Q1000))</f>
        <v>4</v>
      </c>
      <c r="E59" s="26">
        <f t="array" ref="E59">XLOOKUP($A59,LinkedIn_content_raw!$A$2:$A1000,LinkedIn_content_raw!$E$2:$E1000)</f>
        <v>60</v>
      </c>
    </row>
    <row r="60">
      <c r="A60" s="25">
        <f>LinkedIn_content_raw!$A61</f>
        <v>45532</v>
      </c>
      <c r="B60" s="24" t="str">
        <f t="shared" si="1"/>
        <v>LinkedIn</v>
      </c>
      <c r="C60" s="26">
        <f t="array" ref="C60">XLOOKUP($A60,LinkedIn_follows_raw!$A$2:$A1000,LinkedIn_follows_raw!$E$2:$E1000)</f>
        <v>0</v>
      </c>
      <c r="D60" s="26">
        <f t="array" ref="D60">sum(XLOOKUP($A60,LinkedIn_content_raw!$A$2:$A1000,LinkedIn_content_raw!$K$2:$K1000),XLOOKUP($A60,LinkedIn_content_raw!$A$2:$A1000,LinkedIn_content_raw!$N$2:$N1000),XLOOKUP($A60,LinkedIn_content_raw!$A$2:$A1000,LinkedIn_content_raw!$Q$2:$Q1000))</f>
        <v>18</v>
      </c>
      <c r="E60" s="26">
        <f t="array" ref="E60">XLOOKUP($A60,LinkedIn_content_raw!$A$2:$A1000,LinkedIn_content_raw!$E$2:$E1000)</f>
        <v>109</v>
      </c>
    </row>
    <row r="61">
      <c r="A61" s="25">
        <f>LinkedIn_content_raw!$A62</f>
        <v>45533</v>
      </c>
      <c r="B61" s="24" t="str">
        <f t="shared" si="1"/>
        <v>LinkedIn</v>
      </c>
      <c r="C61" s="26">
        <f t="array" ref="C61">XLOOKUP($A61,LinkedIn_follows_raw!$A$2:$A1000,LinkedIn_follows_raw!$E$2:$E1000)</f>
        <v>0</v>
      </c>
      <c r="D61" s="26">
        <f t="array" ref="D61">sum(XLOOKUP($A61,LinkedIn_content_raw!$A$2:$A1000,LinkedIn_content_raw!$K$2:$K1000),XLOOKUP($A61,LinkedIn_content_raw!$A$2:$A1000,LinkedIn_content_raw!$N$2:$N1000),XLOOKUP($A61,LinkedIn_content_raw!$A$2:$A1000,LinkedIn_content_raw!$Q$2:$Q1000))</f>
        <v>12</v>
      </c>
      <c r="E61" s="26">
        <f t="array" ref="E61">XLOOKUP($A61,LinkedIn_content_raw!$A$2:$A1000,LinkedIn_content_raw!$E$2:$E1000)</f>
        <v>107</v>
      </c>
    </row>
    <row r="62">
      <c r="A62" s="25">
        <f>LinkedIn_content_raw!$A63</f>
        <v>45534</v>
      </c>
      <c r="B62" s="24" t="str">
        <f t="shared" si="1"/>
        <v>LinkedIn</v>
      </c>
      <c r="C62" s="26">
        <f t="array" ref="C62">XLOOKUP($A62,LinkedIn_follows_raw!$A$2:$A1000,LinkedIn_follows_raw!$E$2:$E1000)</f>
        <v>2</v>
      </c>
      <c r="D62" s="26">
        <f t="array" ref="D62">sum(XLOOKUP($A62,LinkedIn_content_raw!$A$2:$A1000,LinkedIn_content_raw!$K$2:$K1000),XLOOKUP($A62,LinkedIn_content_raw!$A$2:$A1000,LinkedIn_content_raw!$N$2:$N1000),XLOOKUP($A62,LinkedIn_content_raw!$A$2:$A1000,LinkedIn_content_raw!$Q$2:$Q1000))</f>
        <v>12</v>
      </c>
      <c r="E62" s="26">
        <f t="array" ref="E62">XLOOKUP($A62,LinkedIn_content_raw!$A$2:$A1000,LinkedIn_content_raw!$E$2:$E1000)</f>
        <v>119</v>
      </c>
    </row>
    <row r="63">
      <c r="A63" s="25">
        <f>LinkedIn_content_raw!$A64</f>
        <v>45535</v>
      </c>
      <c r="B63" s="24" t="str">
        <f t="shared" si="1"/>
        <v>LinkedIn</v>
      </c>
      <c r="C63" s="26">
        <f t="array" ref="C63">XLOOKUP($A63,LinkedIn_follows_raw!$A$2:$A1000,LinkedIn_follows_raw!$E$2:$E1000)</f>
        <v>0</v>
      </c>
      <c r="D63" s="26">
        <f t="array" ref="D63">sum(XLOOKUP($A63,LinkedIn_content_raw!$A$2:$A1000,LinkedIn_content_raw!$K$2:$K1000),XLOOKUP($A63,LinkedIn_content_raw!$A$2:$A1000,LinkedIn_content_raw!$N$2:$N1000),XLOOKUP($A63,LinkedIn_content_raw!$A$2:$A1000,LinkedIn_content_raw!$Q$2:$Q1000))</f>
        <v>10</v>
      </c>
      <c r="E63" s="26">
        <f t="array" ref="E63">XLOOKUP($A63,LinkedIn_content_raw!$A$2:$A1000,LinkedIn_content_raw!$E$2:$E1000)</f>
        <v>74</v>
      </c>
    </row>
    <row r="64">
      <c r="A64" s="25">
        <f>LinkedIn_content_raw!$A65</f>
        <v>45536</v>
      </c>
      <c r="B64" s="24" t="str">
        <f t="shared" si="1"/>
        <v>LinkedIn</v>
      </c>
      <c r="C64" s="26">
        <f t="array" ref="C64">XLOOKUP($A64,LinkedIn_follows_raw!$A$2:$A1000,LinkedIn_follows_raw!$E$2:$E1000)</f>
        <v>0</v>
      </c>
      <c r="D64" s="26">
        <f t="array" ref="D64">sum(XLOOKUP($A64,LinkedIn_content_raw!$A$2:$A1000,LinkedIn_content_raw!$K$2:$K1000),XLOOKUP($A64,LinkedIn_content_raw!$A$2:$A1000,LinkedIn_content_raw!$N$2:$N1000),XLOOKUP($A64,LinkedIn_content_raw!$A$2:$A1000,LinkedIn_content_raw!$Q$2:$Q1000))</f>
        <v>2</v>
      </c>
      <c r="E64" s="26">
        <f t="array" ref="E64">XLOOKUP($A64,LinkedIn_content_raw!$A$2:$A1000,LinkedIn_content_raw!$E$2:$E1000)</f>
        <v>28</v>
      </c>
    </row>
    <row r="65">
      <c r="A65" s="25">
        <f>LinkedIn_content_raw!$A66</f>
        <v>45537</v>
      </c>
      <c r="B65" s="24" t="str">
        <f t="shared" si="1"/>
        <v>LinkedIn</v>
      </c>
      <c r="C65" s="26">
        <f t="array" ref="C65">XLOOKUP($A65,LinkedIn_follows_raw!$A$2:$A1000,LinkedIn_follows_raw!$E$2:$E1000)</f>
        <v>1</v>
      </c>
      <c r="D65" s="26">
        <f t="array" ref="D65">sum(XLOOKUP($A65,LinkedIn_content_raw!$A$2:$A1000,LinkedIn_content_raw!$K$2:$K1000),XLOOKUP($A65,LinkedIn_content_raw!$A$2:$A1000,LinkedIn_content_raw!$N$2:$N1000),XLOOKUP($A65,LinkedIn_content_raw!$A$2:$A1000,LinkedIn_content_raw!$Q$2:$Q1000))</f>
        <v>4</v>
      </c>
      <c r="E65" s="26">
        <f t="array" ref="E65">XLOOKUP($A65,LinkedIn_content_raw!$A$2:$A1000,LinkedIn_content_raw!$E$2:$E1000)</f>
        <v>36</v>
      </c>
    </row>
    <row r="66">
      <c r="A66" s="25">
        <f>LinkedIn_content_raw!$A67</f>
        <v>45538</v>
      </c>
      <c r="B66" s="24" t="str">
        <f t="shared" si="1"/>
        <v>LinkedIn</v>
      </c>
      <c r="C66" s="26">
        <f t="array" ref="C66">XLOOKUP($A66,LinkedIn_follows_raw!$A$2:$A1000,LinkedIn_follows_raw!$E$2:$E1000)</f>
        <v>1</v>
      </c>
      <c r="D66" s="26">
        <f t="array" ref="D66">sum(XLOOKUP($A66,LinkedIn_content_raw!$A$2:$A1000,LinkedIn_content_raw!$K$2:$K1000),XLOOKUP($A66,LinkedIn_content_raw!$A$2:$A1000,LinkedIn_content_raw!$N$2:$N1000),XLOOKUP($A66,LinkedIn_content_raw!$A$2:$A1000,LinkedIn_content_raw!$Q$2:$Q1000))</f>
        <v>26</v>
      </c>
      <c r="E66" s="26">
        <f t="array" ref="E66">XLOOKUP($A66,LinkedIn_content_raw!$A$2:$A1000,LinkedIn_content_raw!$E$2:$E1000)</f>
        <v>144</v>
      </c>
    </row>
    <row r="67">
      <c r="A67" s="25">
        <f>LinkedIn_content_raw!$A68</f>
        <v>45539</v>
      </c>
      <c r="B67" s="24" t="str">
        <f t="shared" si="1"/>
        <v>LinkedIn</v>
      </c>
      <c r="C67" s="26">
        <f t="array" ref="C67">XLOOKUP($A67,LinkedIn_follows_raw!$A$2:$A1000,LinkedIn_follows_raw!$E$2:$E1000)</f>
        <v>-1</v>
      </c>
      <c r="D67" s="26">
        <f t="array" ref="D67">sum(XLOOKUP($A67,LinkedIn_content_raw!$A$2:$A1000,LinkedIn_content_raw!$K$2:$K1000),XLOOKUP($A67,LinkedIn_content_raw!$A$2:$A1000,LinkedIn_content_raw!$N$2:$N1000),XLOOKUP($A67,LinkedIn_content_raw!$A$2:$A1000,LinkedIn_content_raw!$Q$2:$Q1000))</f>
        <v>29</v>
      </c>
      <c r="E67" s="26">
        <f t="array" ref="E67">XLOOKUP($A67,LinkedIn_content_raw!$A$2:$A1000,LinkedIn_content_raw!$E$2:$E1000)</f>
        <v>261</v>
      </c>
    </row>
    <row r="68">
      <c r="A68" s="25">
        <f>LinkedIn_content_raw!$A69</f>
        <v>45540</v>
      </c>
      <c r="B68" s="24" t="str">
        <f t="shared" si="1"/>
        <v>LinkedIn</v>
      </c>
      <c r="C68" s="26">
        <f t="array" ref="C68">XLOOKUP($A68,LinkedIn_follows_raw!$A$2:$A1000,LinkedIn_follows_raw!$E$2:$E1000)</f>
        <v>2</v>
      </c>
      <c r="D68" s="26">
        <f t="array" ref="D68">sum(XLOOKUP($A68,LinkedIn_content_raw!$A$2:$A1000,LinkedIn_content_raw!$K$2:$K1000),XLOOKUP($A68,LinkedIn_content_raw!$A$2:$A1000,LinkedIn_content_raw!$N$2:$N1000),XLOOKUP($A68,LinkedIn_content_raw!$A$2:$A1000,LinkedIn_content_raw!$Q$2:$Q1000))</f>
        <v>22</v>
      </c>
      <c r="E68" s="26">
        <f t="array" ref="E68">XLOOKUP($A68,LinkedIn_content_raw!$A$2:$A1000,LinkedIn_content_raw!$E$2:$E1000)</f>
        <v>285</v>
      </c>
    </row>
    <row r="69">
      <c r="A69" s="25">
        <f>LinkedIn_content_raw!$A70</f>
        <v>45541</v>
      </c>
      <c r="B69" s="24" t="str">
        <f t="shared" si="1"/>
        <v>LinkedIn</v>
      </c>
      <c r="C69" s="26">
        <f t="array" ref="C69">XLOOKUP($A69,LinkedIn_follows_raw!$A$2:$A1000,LinkedIn_follows_raw!$E$2:$E1000)</f>
        <v>0</v>
      </c>
      <c r="D69" s="26">
        <f t="array" ref="D69">sum(XLOOKUP($A69,LinkedIn_content_raw!$A$2:$A1000,LinkedIn_content_raw!$K$2:$K1000),XLOOKUP($A69,LinkedIn_content_raw!$A$2:$A1000,LinkedIn_content_raw!$N$2:$N1000),XLOOKUP($A69,LinkedIn_content_raw!$A$2:$A1000,LinkedIn_content_raw!$Q$2:$Q1000))</f>
        <v>12</v>
      </c>
      <c r="E69" s="26">
        <f t="array" ref="E69">XLOOKUP($A69,LinkedIn_content_raw!$A$2:$A1000,LinkedIn_content_raw!$E$2:$E1000)</f>
        <v>188</v>
      </c>
    </row>
    <row r="70">
      <c r="A70" s="25">
        <f>LinkedIn_content_raw!$A71</f>
        <v>45542</v>
      </c>
      <c r="B70" s="24" t="str">
        <f t="shared" si="1"/>
        <v>LinkedIn</v>
      </c>
      <c r="C70" s="26">
        <f t="array" ref="C70">XLOOKUP($A70,LinkedIn_follows_raw!$A$2:$A1000,LinkedIn_follows_raw!$E$2:$E1000)</f>
        <v>0</v>
      </c>
      <c r="D70" s="26">
        <f t="array" ref="D70">sum(XLOOKUP($A70,LinkedIn_content_raw!$A$2:$A1000,LinkedIn_content_raw!$K$2:$K1000),XLOOKUP($A70,LinkedIn_content_raw!$A$2:$A1000,LinkedIn_content_raw!$N$2:$N1000),XLOOKUP($A70,LinkedIn_content_raw!$A$2:$A1000,LinkedIn_content_raw!$Q$2:$Q1000))</f>
        <v>10</v>
      </c>
      <c r="E70" s="26">
        <f t="array" ref="E70">XLOOKUP($A70,LinkedIn_content_raw!$A$2:$A1000,LinkedIn_content_raw!$E$2:$E1000)</f>
        <v>107</v>
      </c>
    </row>
    <row r="71">
      <c r="A71" s="25">
        <f>LinkedIn_content_raw!$A72</f>
        <v>45543</v>
      </c>
      <c r="B71" s="24" t="str">
        <f t="shared" si="1"/>
        <v>LinkedIn</v>
      </c>
      <c r="C71" s="26">
        <f t="array" ref="C71">XLOOKUP($A71,LinkedIn_follows_raw!$A$2:$A1000,LinkedIn_follows_raw!$E$2:$E1000)</f>
        <v>0</v>
      </c>
      <c r="D71" s="26">
        <f t="array" ref="D71">sum(XLOOKUP($A71,LinkedIn_content_raw!$A$2:$A1000,LinkedIn_content_raw!$K$2:$K1000),XLOOKUP($A71,LinkedIn_content_raw!$A$2:$A1000,LinkedIn_content_raw!$N$2:$N1000),XLOOKUP($A71,LinkedIn_content_raw!$A$2:$A1000,LinkedIn_content_raw!$Q$2:$Q1000))</f>
        <v>6</v>
      </c>
      <c r="E71" s="26">
        <f t="array" ref="E71">XLOOKUP($A71,LinkedIn_content_raw!$A$2:$A1000,LinkedIn_content_raw!$E$2:$E1000)</f>
        <v>45</v>
      </c>
    </row>
    <row r="72">
      <c r="A72" s="25">
        <f>LinkedIn_content_raw!$A73</f>
        <v>45544</v>
      </c>
      <c r="B72" s="24" t="str">
        <f t="shared" si="1"/>
        <v>LinkedIn</v>
      </c>
      <c r="C72" s="26">
        <f t="array" ref="C72">XLOOKUP($A72,LinkedIn_follows_raw!$A$2:$A1000,LinkedIn_follows_raw!$E$2:$E1000)</f>
        <v>1</v>
      </c>
      <c r="D72" s="26">
        <f t="array" ref="D72">sum(XLOOKUP($A72,LinkedIn_content_raw!$A$2:$A1000,LinkedIn_content_raw!$K$2:$K1000),XLOOKUP($A72,LinkedIn_content_raw!$A$2:$A1000,LinkedIn_content_raw!$N$2:$N1000),XLOOKUP($A72,LinkedIn_content_raw!$A$2:$A1000,LinkedIn_content_raw!$Q$2:$Q1000))</f>
        <v>7</v>
      </c>
      <c r="E72" s="26">
        <f t="array" ref="E72">XLOOKUP($A72,LinkedIn_content_raw!$A$2:$A1000,LinkedIn_content_raw!$E$2:$E1000)</f>
        <v>112</v>
      </c>
    </row>
    <row r="73">
      <c r="A73" s="25">
        <f>LinkedIn_content_raw!$A74</f>
        <v>45545</v>
      </c>
      <c r="B73" s="24" t="str">
        <f t="shared" si="1"/>
        <v>LinkedIn</v>
      </c>
      <c r="C73" s="26">
        <f t="array" ref="C73">XLOOKUP($A73,LinkedIn_follows_raw!$A$2:$A1000,LinkedIn_follows_raw!$E$2:$E1000)</f>
        <v>0</v>
      </c>
      <c r="D73" s="26">
        <f t="array" ref="D73">sum(XLOOKUP($A73,LinkedIn_content_raw!$A$2:$A1000,LinkedIn_content_raw!$K$2:$K1000),XLOOKUP($A73,LinkedIn_content_raw!$A$2:$A1000,LinkedIn_content_raw!$N$2:$N1000),XLOOKUP($A73,LinkedIn_content_raw!$A$2:$A1000,LinkedIn_content_raw!$Q$2:$Q1000))</f>
        <v>26</v>
      </c>
      <c r="E73" s="26">
        <f t="array" ref="E73">XLOOKUP($A73,LinkedIn_content_raw!$A$2:$A1000,LinkedIn_content_raw!$E$2:$E1000)</f>
        <v>173</v>
      </c>
    </row>
    <row r="74">
      <c r="A74" s="25">
        <f>LinkedIn_content_raw!$A75</f>
        <v>45546</v>
      </c>
      <c r="B74" s="24" t="str">
        <f t="shared" si="1"/>
        <v>LinkedIn</v>
      </c>
      <c r="C74" s="26">
        <f t="array" ref="C74">XLOOKUP($A74,LinkedIn_follows_raw!$A$2:$A1000,LinkedIn_follows_raw!$E$2:$E1000)</f>
        <v>1</v>
      </c>
      <c r="D74" s="26">
        <f t="array" ref="D74">sum(XLOOKUP($A74,LinkedIn_content_raw!$A$2:$A1000,LinkedIn_content_raw!$K$2:$K1000),XLOOKUP($A74,LinkedIn_content_raw!$A$2:$A1000,LinkedIn_content_raw!$N$2:$N1000),XLOOKUP($A74,LinkedIn_content_raw!$A$2:$A1000,LinkedIn_content_raw!$Q$2:$Q1000))</f>
        <v>47</v>
      </c>
      <c r="E74" s="26">
        <f t="array" ref="E74">XLOOKUP($A74,LinkedIn_content_raw!$A$2:$A1000,LinkedIn_content_raw!$E$2:$E1000)</f>
        <v>134</v>
      </c>
    </row>
    <row r="75">
      <c r="A75" s="25">
        <f>LinkedIn_content_raw!$A76</f>
        <v>45547</v>
      </c>
      <c r="B75" s="24" t="str">
        <f t="shared" si="1"/>
        <v>LinkedIn</v>
      </c>
      <c r="C75" s="26">
        <f t="array" ref="C75">XLOOKUP($A75,LinkedIn_follows_raw!$A$2:$A1000,LinkedIn_follows_raw!$E$2:$E1000)</f>
        <v>4</v>
      </c>
      <c r="D75" s="26">
        <f t="array" ref="D75">sum(XLOOKUP($A75,LinkedIn_content_raw!$A$2:$A1000,LinkedIn_content_raw!$K$2:$K1000),XLOOKUP($A75,LinkedIn_content_raw!$A$2:$A1000,LinkedIn_content_raw!$N$2:$N1000),XLOOKUP($A75,LinkedIn_content_raw!$A$2:$A1000,LinkedIn_content_raw!$Q$2:$Q1000))</f>
        <v>2</v>
      </c>
      <c r="E75" s="26">
        <f t="array" ref="E75">XLOOKUP($A75,LinkedIn_content_raw!$A$2:$A1000,LinkedIn_content_raw!$E$2:$E1000)</f>
        <v>86</v>
      </c>
    </row>
    <row r="76">
      <c r="A76" s="25">
        <f>LinkedIn_content_raw!$A77</f>
        <v>45548</v>
      </c>
      <c r="B76" s="24" t="str">
        <f t="shared" si="1"/>
        <v>LinkedIn</v>
      </c>
      <c r="C76" s="26">
        <f t="array" ref="C76">XLOOKUP($A76,LinkedIn_follows_raw!$A$2:$A1000,LinkedIn_follows_raw!$E$2:$E1000)</f>
        <v>2</v>
      </c>
      <c r="D76" s="26">
        <f t="array" ref="D76">sum(XLOOKUP($A76,LinkedIn_content_raw!$A$2:$A1000,LinkedIn_content_raw!$K$2:$K1000),XLOOKUP($A76,LinkedIn_content_raw!$A$2:$A1000,LinkedIn_content_raw!$N$2:$N1000),XLOOKUP($A76,LinkedIn_content_raw!$A$2:$A1000,LinkedIn_content_raw!$Q$2:$Q1000))</f>
        <v>15</v>
      </c>
      <c r="E76" s="26">
        <f t="array" ref="E76">XLOOKUP($A76,LinkedIn_content_raw!$A$2:$A1000,LinkedIn_content_raw!$E$2:$E1000)</f>
        <v>71</v>
      </c>
    </row>
    <row r="77">
      <c r="A77" s="25">
        <f>LinkedIn_content_raw!$A78</f>
        <v>45549</v>
      </c>
      <c r="B77" s="24" t="str">
        <f t="shared" si="1"/>
        <v>LinkedIn</v>
      </c>
      <c r="C77" s="26">
        <f t="array" ref="C77">XLOOKUP($A77,LinkedIn_follows_raw!$A$2:$A1000,LinkedIn_follows_raw!$E$2:$E1000)</f>
        <v>1</v>
      </c>
      <c r="D77" s="26">
        <f t="array" ref="D77">sum(XLOOKUP($A77,LinkedIn_content_raw!$A$2:$A1000,LinkedIn_content_raw!$K$2:$K1000),XLOOKUP($A77,LinkedIn_content_raw!$A$2:$A1000,LinkedIn_content_raw!$N$2:$N1000),XLOOKUP($A77,LinkedIn_content_raw!$A$2:$A1000,LinkedIn_content_raw!$Q$2:$Q1000))</f>
        <v>21</v>
      </c>
      <c r="E77" s="26">
        <f t="array" ref="E77">XLOOKUP($A77,LinkedIn_content_raw!$A$2:$A1000,LinkedIn_content_raw!$E$2:$E1000)</f>
        <v>120</v>
      </c>
    </row>
    <row r="78">
      <c r="A78" s="25">
        <f>LinkedIn_content_raw!$A79</f>
        <v>45550</v>
      </c>
      <c r="B78" s="24" t="str">
        <f t="shared" si="1"/>
        <v>LinkedIn</v>
      </c>
      <c r="C78" s="26">
        <f t="array" ref="C78">XLOOKUP($A78,LinkedIn_follows_raw!$A$2:$A1000,LinkedIn_follows_raw!$E$2:$E1000)</f>
        <v>2</v>
      </c>
      <c r="D78" s="26">
        <f t="array" ref="D78">sum(XLOOKUP($A78,LinkedIn_content_raw!$A$2:$A1000,LinkedIn_content_raw!$K$2:$K1000),XLOOKUP($A78,LinkedIn_content_raw!$A$2:$A1000,LinkedIn_content_raw!$N$2:$N1000),XLOOKUP($A78,LinkedIn_content_raw!$A$2:$A1000,LinkedIn_content_raw!$Q$2:$Q1000))</f>
        <v>3</v>
      </c>
      <c r="E78" s="26">
        <f t="array" ref="E78">XLOOKUP($A78,LinkedIn_content_raw!$A$2:$A1000,LinkedIn_content_raw!$E$2:$E1000)</f>
        <v>53</v>
      </c>
    </row>
    <row r="79">
      <c r="A79" s="25">
        <f>LinkedIn_content_raw!$A80</f>
        <v>45551</v>
      </c>
      <c r="B79" s="24" t="str">
        <f t="shared" si="1"/>
        <v>LinkedIn</v>
      </c>
      <c r="C79" s="26">
        <f t="array" ref="C79">XLOOKUP($A79,LinkedIn_follows_raw!$A$2:$A1000,LinkedIn_follows_raw!$E$2:$E1000)</f>
        <v>1</v>
      </c>
      <c r="D79" s="26">
        <f t="array" ref="D79">sum(XLOOKUP($A79,LinkedIn_content_raw!$A$2:$A1000,LinkedIn_content_raw!$K$2:$K1000),XLOOKUP($A79,LinkedIn_content_raw!$A$2:$A1000,LinkedIn_content_raw!$N$2:$N1000),XLOOKUP($A79,LinkedIn_content_raw!$A$2:$A1000,LinkedIn_content_raw!$Q$2:$Q1000))</f>
        <v>12</v>
      </c>
      <c r="E79" s="26">
        <f t="array" ref="E79">XLOOKUP($A79,LinkedIn_content_raw!$A$2:$A1000,LinkedIn_content_raw!$E$2:$E1000)</f>
        <v>66</v>
      </c>
    </row>
    <row r="80">
      <c r="A80" s="25">
        <f>LinkedIn_content_raw!$A81</f>
        <v>45552</v>
      </c>
      <c r="B80" s="24" t="str">
        <f t="shared" si="1"/>
        <v>LinkedIn</v>
      </c>
      <c r="C80" s="26">
        <f t="array" ref="C80">XLOOKUP($A80,LinkedIn_follows_raw!$A$2:$A1000,LinkedIn_follows_raw!$E$2:$E1000)</f>
        <v>2</v>
      </c>
      <c r="D80" s="26">
        <f t="array" ref="D80">sum(XLOOKUP($A80,LinkedIn_content_raw!$A$2:$A1000,LinkedIn_content_raw!$K$2:$K1000),XLOOKUP($A80,LinkedIn_content_raw!$A$2:$A1000,LinkedIn_content_raw!$N$2:$N1000),XLOOKUP($A80,LinkedIn_content_raw!$A$2:$A1000,LinkedIn_content_raw!$Q$2:$Q1000))</f>
        <v>13</v>
      </c>
      <c r="E80" s="26">
        <f t="array" ref="E80">XLOOKUP($A80,LinkedIn_content_raw!$A$2:$A1000,LinkedIn_content_raw!$E$2:$E1000)</f>
        <v>117</v>
      </c>
    </row>
    <row r="81">
      <c r="A81" s="25">
        <f>LinkedIn_content_raw!$A82</f>
        <v>45553</v>
      </c>
      <c r="B81" s="24" t="str">
        <f t="shared" si="1"/>
        <v>LinkedIn</v>
      </c>
      <c r="C81" s="26">
        <f t="array" ref="C81">XLOOKUP($A81,LinkedIn_follows_raw!$A$2:$A1000,LinkedIn_follows_raw!$E$2:$E1000)</f>
        <v>1</v>
      </c>
      <c r="D81" s="26">
        <f t="array" ref="D81">sum(XLOOKUP($A81,LinkedIn_content_raw!$A$2:$A1000,LinkedIn_content_raw!$K$2:$K1000),XLOOKUP($A81,LinkedIn_content_raw!$A$2:$A1000,LinkedIn_content_raw!$N$2:$N1000),XLOOKUP($A81,LinkedIn_content_raw!$A$2:$A1000,LinkedIn_content_raw!$Q$2:$Q1000))</f>
        <v>9</v>
      </c>
      <c r="E81" s="26">
        <f t="array" ref="E81">XLOOKUP($A81,LinkedIn_content_raw!$A$2:$A1000,LinkedIn_content_raw!$E$2:$E1000)</f>
        <v>91</v>
      </c>
    </row>
    <row r="82">
      <c r="A82" s="25">
        <f>LinkedIn_content_raw!$A83</f>
        <v>45554</v>
      </c>
      <c r="B82" s="24" t="str">
        <f t="shared" si="1"/>
        <v>LinkedIn</v>
      </c>
      <c r="C82" s="26">
        <f t="array" ref="C82">XLOOKUP($A82,LinkedIn_follows_raw!$A$2:$A1000,LinkedIn_follows_raw!$E$2:$E1000)</f>
        <v>5</v>
      </c>
      <c r="D82" s="26">
        <f t="array" ref="D82">sum(XLOOKUP($A82,LinkedIn_content_raw!$A$2:$A1000,LinkedIn_content_raw!$K$2:$K1000),XLOOKUP($A82,LinkedIn_content_raw!$A$2:$A1000,LinkedIn_content_raw!$N$2:$N1000),XLOOKUP($A82,LinkedIn_content_raw!$A$2:$A1000,LinkedIn_content_raw!$Q$2:$Q1000))</f>
        <v>7</v>
      </c>
      <c r="E82" s="26">
        <f t="array" ref="E82">XLOOKUP($A82,LinkedIn_content_raw!$A$2:$A1000,LinkedIn_content_raw!$E$2:$E1000)</f>
        <v>100</v>
      </c>
    </row>
    <row r="83">
      <c r="A83" s="25">
        <f>LinkedIn_content_raw!$A84</f>
        <v>45555</v>
      </c>
      <c r="B83" s="24" t="str">
        <f t="shared" si="1"/>
        <v>LinkedIn</v>
      </c>
      <c r="C83" s="26">
        <f t="array" ref="C83">XLOOKUP($A83,LinkedIn_follows_raw!$A$2:$A1000,LinkedIn_follows_raw!$E$2:$E1000)</f>
        <v>0</v>
      </c>
      <c r="D83" s="26">
        <f t="array" ref="D83">sum(XLOOKUP($A83,LinkedIn_content_raw!$A$2:$A1000,LinkedIn_content_raw!$K$2:$K1000),XLOOKUP($A83,LinkedIn_content_raw!$A$2:$A1000,LinkedIn_content_raw!$N$2:$N1000),XLOOKUP($A83,LinkedIn_content_raw!$A$2:$A1000,LinkedIn_content_raw!$Q$2:$Q1000))</f>
        <v>18</v>
      </c>
      <c r="E83" s="26">
        <f t="array" ref="E83">XLOOKUP($A83,LinkedIn_content_raw!$A$2:$A1000,LinkedIn_content_raw!$E$2:$E1000)</f>
        <v>86</v>
      </c>
    </row>
    <row r="84">
      <c r="A84" s="25">
        <f>LinkedIn_content_raw!$A85</f>
        <v>45556</v>
      </c>
      <c r="B84" s="24" t="str">
        <f t="shared" si="1"/>
        <v>LinkedIn</v>
      </c>
      <c r="C84" s="26">
        <f t="array" ref="C84">XLOOKUP($A84,LinkedIn_follows_raw!$A$2:$A1000,LinkedIn_follows_raw!$E$2:$E1000)</f>
        <v>0</v>
      </c>
      <c r="D84" s="26">
        <f t="array" ref="D84">sum(XLOOKUP($A84,LinkedIn_content_raw!$A$2:$A1000,LinkedIn_content_raw!$K$2:$K1000),XLOOKUP($A84,LinkedIn_content_raw!$A$2:$A1000,LinkedIn_content_raw!$N$2:$N1000),XLOOKUP($A84,LinkedIn_content_raw!$A$2:$A1000,LinkedIn_content_raw!$Q$2:$Q1000))</f>
        <v>9</v>
      </c>
      <c r="E84" s="26">
        <f t="array" ref="E84">XLOOKUP($A84,LinkedIn_content_raw!$A$2:$A1000,LinkedIn_content_raw!$E$2:$E1000)</f>
        <v>42</v>
      </c>
    </row>
    <row r="85">
      <c r="A85" s="25">
        <f>LinkedIn_content_raw!$A86</f>
        <v>45557</v>
      </c>
      <c r="B85" s="24" t="str">
        <f t="shared" si="1"/>
        <v>LinkedIn</v>
      </c>
      <c r="C85" s="26">
        <f t="array" ref="C85">XLOOKUP($A85,LinkedIn_follows_raw!$A$2:$A1000,LinkedIn_follows_raw!$E$2:$E1000)</f>
        <v>0</v>
      </c>
      <c r="D85" s="26">
        <f t="array" ref="D85">sum(XLOOKUP($A85,LinkedIn_content_raw!$A$2:$A1000,LinkedIn_content_raw!$K$2:$K1000),XLOOKUP($A85,LinkedIn_content_raw!$A$2:$A1000,LinkedIn_content_raw!$N$2:$N1000),XLOOKUP($A85,LinkedIn_content_raw!$A$2:$A1000,LinkedIn_content_raw!$Q$2:$Q1000))</f>
        <v>2</v>
      </c>
      <c r="E85" s="26">
        <f t="array" ref="E85">XLOOKUP($A85,LinkedIn_content_raw!$A$2:$A1000,LinkedIn_content_raw!$E$2:$E1000)</f>
        <v>20</v>
      </c>
    </row>
    <row r="86">
      <c r="A86" s="25">
        <f>LinkedIn_content_raw!$A87</f>
        <v>45558</v>
      </c>
      <c r="B86" s="24" t="str">
        <f t="shared" si="1"/>
        <v>LinkedIn</v>
      </c>
      <c r="C86" s="26">
        <f t="array" ref="C86">XLOOKUP($A86,LinkedIn_follows_raw!$A$2:$A1000,LinkedIn_follows_raw!$E$2:$E1000)</f>
        <v>1</v>
      </c>
      <c r="D86" s="26">
        <f t="array" ref="D86">sum(XLOOKUP($A86,LinkedIn_content_raw!$A$2:$A1000,LinkedIn_content_raw!$K$2:$K1000),XLOOKUP($A86,LinkedIn_content_raw!$A$2:$A1000,LinkedIn_content_raw!$N$2:$N1000),XLOOKUP($A86,LinkedIn_content_raw!$A$2:$A1000,LinkedIn_content_raw!$Q$2:$Q1000))</f>
        <v>4</v>
      </c>
      <c r="E86" s="26">
        <f t="array" ref="E86">XLOOKUP($A86,LinkedIn_content_raw!$A$2:$A1000,LinkedIn_content_raw!$E$2:$E1000)</f>
        <v>49</v>
      </c>
    </row>
    <row r="87">
      <c r="A87" s="25">
        <f>LinkedIn_content_raw!$A88</f>
        <v>45559</v>
      </c>
      <c r="B87" s="24" t="str">
        <f t="shared" si="1"/>
        <v>LinkedIn</v>
      </c>
      <c r="C87" s="26">
        <f t="array" ref="C87">XLOOKUP($A87,LinkedIn_follows_raw!$A$2:$A1000,LinkedIn_follows_raw!$E$2:$E1000)</f>
        <v>0</v>
      </c>
      <c r="D87" s="26">
        <f t="array" ref="D87">sum(XLOOKUP($A87,LinkedIn_content_raw!$A$2:$A1000,LinkedIn_content_raw!$K$2:$K1000),XLOOKUP($A87,LinkedIn_content_raw!$A$2:$A1000,LinkedIn_content_raw!$N$2:$N1000),XLOOKUP($A87,LinkedIn_content_raw!$A$2:$A1000,LinkedIn_content_raw!$Q$2:$Q1000))</f>
        <v>3</v>
      </c>
      <c r="E87" s="26">
        <f t="array" ref="E87">XLOOKUP($A87,LinkedIn_content_raw!$A$2:$A1000,LinkedIn_content_raw!$E$2:$E1000)</f>
        <v>23</v>
      </c>
    </row>
    <row r="88">
      <c r="A88" s="25">
        <f>LinkedIn_content_raw!$A89</f>
        <v>45560</v>
      </c>
      <c r="B88" s="24" t="str">
        <f t="shared" si="1"/>
        <v>LinkedIn</v>
      </c>
      <c r="C88" s="26">
        <f t="array" ref="C88">XLOOKUP($A88,LinkedIn_follows_raw!$A$2:$A1000,LinkedIn_follows_raw!$E$2:$E1000)</f>
        <v>3</v>
      </c>
      <c r="D88" s="26">
        <f t="array" ref="D88">sum(XLOOKUP($A88,LinkedIn_content_raw!$A$2:$A1000,LinkedIn_content_raw!$K$2:$K1000),XLOOKUP($A88,LinkedIn_content_raw!$A$2:$A1000,LinkedIn_content_raw!$N$2:$N1000),XLOOKUP($A88,LinkedIn_content_raw!$A$2:$A1000,LinkedIn_content_raw!$Q$2:$Q1000))</f>
        <v>14</v>
      </c>
      <c r="E88" s="26">
        <f t="array" ref="E88">XLOOKUP($A88,LinkedIn_content_raw!$A$2:$A1000,LinkedIn_content_raw!$E$2:$E1000)</f>
        <v>74</v>
      </c>
    </row>
    <row r="89">
      <c r="A89" s="25">
        <f>LinkedIn_content_raw!$A90</f>
        <v>45561</v>
      </c>
      <c r="B89" s="24" t="str">
        <f t="shared" si="1"/>
        <v>LinkedIn</v>
      </c>
      <c r="C89" s="26">
        <f t="array" ref="C89">XLOOKUP($A89,LinkedIn_follows_raw!$A$2:$A1000,LinkedIn_follows_raw!$E$2:$E1000)</f>
        <v>1</v>
      </c>
      <c r="D89" s="26">
        <f t="array" ref="D89">sum(XLOOKUP($A89,LinkedIn_content_raw!$A$2:$A1000,LinkedIn_content_raw!$K$2:$K1000),XLOOKUP($A89,LinkedIn_content_raw!$A$2:$A1000,LinkedIn_content_raw!$N$2:$N1000),XLOOKUP($A89,LinkedIn_content_raw!$A$2:$A1000,LinkedIn_content_raw!$Q$2:$Q1000))</f>
        <v>5</v>
      </c>
      <c r="E89" s="26">
        <f t="array" ref="E89">XLOOKUP($A89,LinkedIn_content_raw!$A$2:$A1000,LinkedIn_content_raw!$E$2:$E1000)</f>
        <v>77</v>
      </c>
    </row>
    <row r="90">
      <c r="A90" s="25">
        <f>LinkedIn_content_raw!$A91</f>
        <v>45562</v>
      </c>
      <c r="B90" s="24" t="str">
        <f t="shared" si="1"/>
        <v>LinkedIn</v>
      </c>
      <c r="C90" s="26">
        <f t="array" ref="C90">XLOOKUP($A90,LinkedIn_follows_raw!$A$2:$A1000,LinkedIn_follows_raw!$E$2:$E1000)</f>
        <v>4</v>
      </c>
      <c r="D90" s="26">
        <f t="array" ref="D90">sum(XLOOKUP($A90,LinkedIn_content_raw!$A$2:$A1000,LinkedIn_content_raw!$K$2:$K1000),XLOOKUP($A90,LinkedIn_content_raw!$A$2:$A1000,LinkedIn_content_raw!$N$2:$N1000),XLOOKUP($A90,LinkedIn_content_raw!$A$2:$A1000,LinkedIn_content_raw!$Q$2:$Q1000))</f>
        <v>17</v>
      </c>
      <c r="E90" s="26">
        <f t="array" ref="E90">XLOOKUP($A90,LinkedIn_content_raw!$A$2:$A1000,LinkedIn_content_raw!$E$2:$E1000)</f>
        <v>121</v>
      </c>
    </row>
    <row r="91">
      <c r="A91" s="25">
        <f>LinkedIn_content_raw!$A92</f>
        <v>45563</v>
      </c>
      <c r="B91" s="24" t="str">
        <f t="shared" si="1"/>
        <v>LinkedIn</v>
      </c>
      <c r="C91" s="26">
        <f t="array" ref="C91">XLOOKUP($A91,LinkedIn_follows_raw!$A$2:$A1000,LinkedIn_follows_raw!$E$2:$E1000)</f>
        <v>3</v>
      </c>
      <c r="D91" s="26">
        <f t="array" ref="D91">sum(XLOOKUP($A91,LinkedIn_content_raw!$A$2:$A1000,LinkedIn_content_raw!$K$2:$K1000),XLOOKUP($A91,LinkedIn_content_raw!$A$2:$A1000,LinkedIn_content_raw!$N$2:$N1000),XLOOKUP($A91,LinkedIn_content_raw!$A$2:$A1000,LinkedIn_content_raw!$Q$2:$Q1000))</f>
        <v>11</v>
      </c>
      <c r="E91" s="26">
        <f t="array" ref="E91">XLOOKUP($A91,LinkedIn_content_raw!$A$2:$A1000,LinkedIn_content_raw!$E$2:$E1000)</f>
        <v>140</v>
      </c>
    </row>
    <row r="92">
      <c r="A92" s="25">
        <f>LinkedIn_content_raw!$A93</f>
        <v>45564</v>
      </c>
      <c r="B92" s="24" t="str">
        <f t="shared" si="1"/>
        <v>LinkedIn</v>
      </c>
      <c r="C92" s="26">
        <f t="array" ref="C92">XLOOKUP($A92,LinkedIn_follows_raw!$A$2:$A1000,LinkedIn_follows_raw!$E$2:$E1000)</f>
        <v>1</v>
      </c>
      <c r="D92" s="26">
        <f t="array" ref="D92">sum(XLOOKUP($A92,LinkedIn_content_raw!$A$2:$A1000,LinkedIn_content_raw!$K$2:$K1000),XLOOKUP($A92,LinkedIn_content_raw!$A$2:$A1000,LinkedIn_content_raw!$N$2:$N1000),XLOOKUP($A92,LinkedIn_content_raw!$A$2:$A1000,LinkedIn_content_raw!$Q$2:$Q1000))</f>
        <v>4</v>
      </c>
      <c r="E92" s="26">
        <f t="array" ref="E92">XLOOKUP($A92,LinkedIn_content_raw!$A$2:$A1000,LinkedIn_content_raw!$E$2:$E1000)</f>
        <v>86</v>
      </c>
    </row>
    <row r="93">
      <c r="A93" s="25">
        <f>LinkedIn_content_raw!$A94</f>
        <v>45565</v>
      </c>
      <c r="B93" s="24" t="str">
        <f t="shared" si="1"/>
        <v>LinkedIn</v>
      </c>
      <c r="C93" s="26">
        <f t="array" ref="C93">XLOOKUP($A93,LinkedIn_follows_raw!$A$2:$A1000,LinkedIn_follows_raw!$E$2:$E1000)</f>
        <v>2</v>
      </c>
      <c r="D93" s="26">
        <f t="array" ref="D93">sum(XLOOKUP($A93,LinkedIn_content_raw!$A$2:$A1000,LinkedIn_content_raw!$K$2:$K1000),XLOOKUP($A93,LinkedIn_content_raw!$A$2:$A1000,LinkedIn_content_raw!$N$2:$N1000),XLOOKUP($A93,LinkedIn_content_raw!$A$2:$A1000,LinkedIn_content_raw!$Q$2:$Q1000))</f>
        <v>9</v>
      </c>
      <c r="E93" s="26">
        <f t="array" ref="E93">XLOOKUP($A93,LinkedIn_content_raw!$A$2:$A1000,LinkedIn_content_raw!$E$2:$E1000)</f>
        <v>94</v>
      </c>
    </row>
    <row r="94">
      <c r="A94" s="25">
        <f>LinkedIn_content_raw!$A95</f>
        <v>45566</v>
      </c>
      <c r="B94" s="24" t="str">
        <f t="shared" si="1"/>
        <v>LinkedIn</v>
      </c>
      <c r="C94" s="26">
        <f t="array" ref="C94">XLOOKUP($A94,LinkedIn_follows_raw!$A$2:$A1000,LinkedIn_follows_raw!$E$2:$E1000)</f>
        <v>1</v>
      </c>
      <c r="D94" s="26">
        <f t="array" ref="D94">sum(XLOOKUP($A94,LinkedIn_content_raw!$A$2:$A1000,LinkedIn_content_raw!$K$2:$K1000),XLOOKUP($A94,LinkedIn_content_raw!$A$2:$A1000,LinkedIn_content_raw!$N$2:$N1000),XLOOKUP($A94,LinkedIn_content_raw!$A$2:$A1000,LinkedIn_content_raw!$Q$2:$Q1000))</f>
        <v>20</v>
      </c>
      <c r="E94" s="26">
        <f t="array" ref="E94">XLOOKUP($A94,LinkedIn_content_raw!$A$2:$A1000,LinkedIn_content_raw!$E$2:$E1000)</f>
        <v>130</v>
      </c>
    </row>
    <row r="95">
      <c r="A95" s="25">
        <f>LinkedIn_content_raw!$A96</f>
        <v>45567</v>
      </c>
      <c r="B95" s="24" t="str">
        <f t="shared" si="1"/>
        <v>LinkedIn</v>
      </c>
      <c r="C95" s="26">
        <f t="array" ref="C95">XLOOKUP($A95,LinkedIn_follows_raw!$A$2:$A1000,LinkedIn_follows_raw!$E$2:$E1000)</f>
        <v>1</v>
      </c>
      <c r="D95" s="26">
        <f t="array" ref="D95">sum(XLOOKUP($A95,LinkedIn_content_raw!$A$2:$A1000,LinkedIn_content_raw!$K$2:$K1000),XLOOKUP($A95,LinkedIn_content_raw!$A$2:$A1000,LinkedIn_content_raw!$N$2:$N1000),XLOOKUP($A95,LinkedIn_content_raw!$A$2:$A1000,LinkedIn_content_raw!$Q$2:$Q1000))</f>
        <v>15</v>
      </c>
      <c r="E95" s="26">
        <f t="array" ref="E95">XLOOKUP($A95,LinkedIn_content_raw!$A$2:$A1000,LinkedIn_content_raw!$E$2:$E1000)</f>
        <v>121</v>
      </c>
    </row>
    <row r="96">
      <c r="A96" s="25">
        <f>LinkedIn_content_raw!$A97</f>
        <v>45568</v>
      </c>
      <c r="B96" s="24" t="str">
        <f t="shared" si="1"/>
        <v>LinkedIn</v>
      </c>
      <c r="C96" s="26">
        <f t="array" ref="C96">XLOOKUP($A96,LinkedIn_follows_raw!$A$2:$A1000,LinkedIn_follows_raw!$E$2:$E1000)</f>
        <v>0</v>
      </c>
      <c r="D96" s="26">
        <f t="array" ref="D96">sum(XLOOKUP($A96,LinkedIn_content_raw!$A$2:$A1000,LinkedIn_content_raw!$K$2:$K1000),XLOOKUP($A96,LinkedIn_content_raw!$A$2:$A1000,LinkedIn_content_raw!$N$2:$N1000),XLOOKUP($A96,LinkedIn_content_raw!$A$2:$A1000,LinkedIn_content_raw!$Q$2:$Q1000))</f>
        <v>13</v>
      </c>
      <c r="E96" s="26">
        <f t="array" ref="E96">XLOOKUP($A96,LinkedIn_content_raw!$A$2:$A1000,LinkedIn_content_raw!$E$2:$E1000)</f>
        <v>103</v>
      </c>
    </row>
    <row r="97">
      <c r="A97" s="25">
        <f>LinkedIn_content_raw!$A98</f>
        <v>45569</v>
      </c>
      <c r="B97" s="24" t="str">
        <f t="shared" si="1"/>
        <v>LinkedIn</v>
      </c>
      <c r="C97" s="26">
        <f t="array" ref="C97">XLOOKUP($A97,LinkedIn_follows_raw!$A$2:$A1000,LinkedIn_follows_raw!$E$2:$E1000)</f>
        <v>0</v>
      </c>
      <c r="D97" s="26">
        <f t="array" ref="D97">sum(XLOOKUP($A97,LinkedIn_content_raw!$A$2:$A1000,LinkedIn_content_raw!$K$2:$K1000),XLOOKUP($A97,LinkedIn_content_raw!$A$2:$A1000,LinkedIn_content_raw!$N$2:$N1000),XLOOKUP($A97,LinkedIn_content_raw!$A$2:$A1000,LinkedIn_content_raw!$Q$2:$Q1000))</f>
        <v>26</v>
      </c>
      <c r="E97" s="26">
        <f t="array" ref="E97">XLOOKUP($A97,LinkedIn_content_raw!$A$2:$A1000,LinkedIn_content_raw!$E$2:$E1000)</f>
        <v>144</v>
      </c>
    </row>
    <row r="98">
      <c r="A98" s="25">
        <f>LinkedIn_content_raw!$A99</f>
        <v>45570</v>
      </c>
      <c r="B98" s="24" t="str">
        <f t="shared" si="1"/>
        <v>LinkedIn</v>
      </c>
      <c r="C98" s="26">
        <f t="array" ref="C98">XLOOKUP($A98,LinkedIn_follows_raw!$A$2:$A1000,LinkedIn_follows_raw!$E$2:$E1000)</f>
        <v>1</v>
      </c>
      <c r="D98" s="26">
        <f t="array" ref="D98">sum(XLOOKUP($A98,LinkedIn_content_raw!$A$2:$A1000,LinkedIn_content_raw!$K$2:$K1000),XLOOKUP($A98,LinkedIn_content_raw!$A$2:$A1000,LinkedIn_content_raw!$N$2:$N1000),XLOOKUP($A98,LinkedIn_content_raw!$A$2:$A1000,LinkedIn_content_raw!$Q$2:$Q1000))</f>
        <v>40</v>
      </c>
      <c r="E98" s="26">
        <f t="array" ref="E98">XLOOKUP($A98,LinkedIn_content_raw!$A$2:$A1000,LinkedIn_content_raw!$E$2:$E1000)</f>
        <v>133</v>
      </c>
    </row>
    <row r="99">
      <c r="A99" s="25">
        <f>LinkedIn_content_raw!$A100</f>
        <v>45571</v>
      </c>
      <c r="B99" s="24" t="str">
        <f t="shared" si="1"/>
        <v>LinkedIn</v>
      </c>
      <c r="C99" s="26">
        <f t="array" ref="C99">XLOOKUP($A99,LinkedIn_follows_raw!$A$2:$A1000,LinkedIn_follows_raw!$E$2:$E1000)</f>
        <v>1</v>
      </c>
      <c r="D99" s="26">
        <f t="array" ref="D99">sum(XLOOKUP($A99,LinkedIn_content_raw!$A$2:$A1000,LinkedIn_content_raw!$K$2:$K1000),XLOOKUP($A99,LinkedIn_content_raw!$A$2:$A1000,LinkedIn_content_raw!$N$2:$N1000),XLOOKUP($A99,LinkedIn_content_raw!$A$2:$A1000,LinkedIn_content_raw!$Q$2:$Q1000))</f>
        <v>4</v>
      </c>
      <c r="E99" s="26">
        <f t="array" ref="E99">XLOOKUP($A99,LinkedIn_content_raw!$A$2:$A1000,LinkedIn_content_raw!$E$2:$E1000)</f>
        <v>96</v>
      </c>
    </row>
    <row r="100">
      <c r="A100" s="25">
        <f>LinkedIn_content_raw!$A101</f>
        <v>45572</v>
      </c>
      <c r="B100" s="24" t="str">
        <f t="shared" si="1"/>
        <v>LinkedIn</v>
      </c>
      <c r="C100" s="26">
        <f t="array" ref="C100">XLOOKUP($A100,LinkedIn_follows_raw!$A$2:$A1000,LinkedIn_follows_raw!$E$2:$E1000)</f>
        <v>0</v>
      </c>
      <c r="D100" s="26">
        <f t="array" ref="D100">sum(XLOOKUP($A100,LinkedIn_content_raw!$A$2:$A1000,LinkedIn_content_raw!$K$2:$K1000),XLOOKUP($A100,LinkedIn_content_raw!$A$2:$A1000,LinkedIn_content_raw!$N$2:$N1000),XLOOKUP($A100,LinkedIn_content_raw!$A$2:$A1000,LinkedIn_content_raw!$Q$2:$Q1000))</f>
        <v>4</v>
      </c>
      <c r="E100" s="26">
        <f t="array" ref="E100">XLOOKUP($A100,LinkedIn_content_raw!$A$2:$A1000,LinkedIn_content_raw!$E$2:$E1000)</f>
        <v>96</v>
      </c>
    </row>
    <row r="101">
      <c r="A101" s="25">
        <f>LinkedIn_content_raw!$A102</f>
        <v>45573</v>
      </c>
      <c r="B101" s="24" t="str">
        <f t="shared" si="1"/>
        <v>LinkedIn</v>
      </c>
      <c r="C101" s="26">
        <f t="array" ref="C101">XLOOKUP($A101,LinkedIn_follows_raw!$A$2:$A1000,LinkedIn_follows_raw!$E$2:$E1000)</f>
        <v>1</v>
      </c>
      <c r="D101" s="26">
        <f t="array" ref="D101">sum(XLOOKUP($A101,LinkedIn_content_raw!$A$2:$A1000,LinkedIn_content_raw!$K$2:$K1000),XLOOKUP($A101,LinkedIn_content_raw!$A$2:$A1000,LinkedIn_content_raw!$N$2:$N1000),XLOOKUP($A101,LinkedIn_content_raw!$A$2:$A1000,LinkedIn_content_raw!$Q$2:$Q1000))</f>
        <v>4</v>
      </c>
      <c r="E101" s="26">
        <f t="array" ref="E101">XLOOKUP($A101,LinkedIn_content_raw!$A$2:$A1000,LinkedIn_content_raw!$E$2:$E1000)</f>
        <v>63</v>
      </c>
    </row>
    <row r="102">
      <c r="A102" s="25">
        <f>LinkedIn_content_raw!$A103</f>
        <v>45574</v>
      </c>
      <c r="B102" s="24" t="str">
        <f t="shared" si="1"/>
        <v>LinkedIn</v>
      </c>
      <c r="C102" s="26">
        <f t="array" ref="C102">XLOOKUP($A102,LinkedIn_follows_raw!$A$2:$A1000,LinkedIn_follows_raw!$E$2:$E1000)</f>
        <v>2</v>
      </c>
      <c r="D102" s="26">
        <f t="array" ref="D102">sum(XLOOKUP($A102,LinkedIn_content_raw!$A$2:$A1000,LinkedIn_content_raw!$K$2:$K1000),XLOOKUP($A102,LinkedIn_content_raw!$A$2:$A1000,LinkedIn_content_raw!$N$2:$N1000),XLOOKUP($A102,LinkedIn_content_raw!$A$2:$A1000,LinkedIn_content_raw!$Q$2:$Q1000))</f>
        <v>6</v>
      </c>
      <c r="E102" s="26">
        <f t="array" ref="E102">XLOOKUP($A102,LinkedIn_content_raw!$A$2:$A1000,LinkedIn_content_raw!$E$2:$E1000)</f>
        <v>42</v>
      </c>
    </row>
    <row r="103">
      <c r="A103" s="27">
        <f>LinkedIn_content_raw!$A104</f>
        <v>45575</v>
      </c>
      <c r="B103" s="24" t="str">
        <f t="shared" si="1"/>
        <v>LinkedIn</v>
      </c>
      <c r="C103" s="26">
        <f t="array" ref="C103">XLOOKUP($A103,LinkedIn_follows_raw!$A$2:$A1000,LinkedIn_follows_raw!$E$2:$E1000)</f>
        <v>1</v>
      </c>
      <c r="D103" s="26">
        <f t="array" ref="D103">sum(XLOOKUP($A103,LinkedIn_content_raw!$A$2:$A1000,LinkedIn_content_raw!$K$2:$K1000),XLOOKUP($A103,LinkedIn_content_raw!$A$2:$A1000,LinkedIn_content_raw!$N$2:$N1000),XLOOKUP($A103,LinkedIn_content_raw!$A$2:$A1000,LinkedIn_content_raw!$Q$2:$Q1000))</f>
        <v>4</v>
      </c>
      <c r="E103" s="26">
        <f t="array" ref="E103">XLOOKUP($A103,LinkedIn_content_raw!$A$2:$A1000,LinkedIn_content_raw!$E$2:$E1000)</f>
        <v>58</v>
      </c>
    </row>
    <row r="104">
      <c r="A104" s="27">
        <f>LinkedIn_content_raw!$A105</f>
        <v>45576</v>
      </c>
      <c r="B104" s="24" t="str">
        <f t="shared" si="1"/>
        <v>LinkedIn</v>
      </c>
      <c r="C104" s="26">
        <f t="array" ref="C104">XLOOKUP($A104,LinkedIn_follows_raw!$A$2:$A1000,LinkedIn_follows_raw!$E$2:$E1000)</f>
        <v>1</v>
      </c>
      <c r="D104" s="26">
        <f t="array" ref="D104">sum(XLOOKUP($A104,LinkedIn_content_raw!$A$2:$A1000,LinkedIn_content_raw!$K$2:$K1000),XLOOKUP($A104,LinkedIn_content_raw!$A$2:$A1000,LinkedIn_content_raw!$N$2:$N1000),XLOOKUP($A104,LinkedIn_content_raw!$A$2:$A1000,LinkedIn_content_raw!$Q$2:$Q1000))</f>
        <v>12</v>
      </c>
      <c r="E104" s="26">
        <f t="array" ref="E104">XLOOKUP($A104,LinkedIn_content_raw!$A$2:$A1000,LinkedIn_content_raw!$E$2:$E1000)</f>
        <v>67</v>
      </c>
    </row>
    <row r="105">
      <c r="A105" s="27">
        <f>LinkedIn_content_raw!$A106</f>
        <v>45577</v>
      </c>
      <c r="B105" s="24" t="str">
        <f t="shared" si="1"/>
        <v>LinkedIn</v>
      </c>
      <c r="C105" s="26">
        <f t="array" ref="C105">XLOOKUP($A105,LinkedIn_follows_raw!$A$2:$A1000,LinkedIn_follows_raw!$E$2:$E1000)</f>
        <v>0</v>
      </c>
      <c r="D105" s="26">
        <f t="array" ref="D105">sum(XLOOKUP($A105,LinkedIn_content_raw!$A$2:$A1000,LinkedIn_content_raw!$K$2:$K1000),XLOOKUP($A105,LinkedIn_content_raw!$A$2:$A1000,LinkedIn_content_raw!$N$2:$N1000),XLOOKUP($A105,LinkedIn_content_raw!$A$2:$A1000,LinkedIn_content_raw!$Q$2:$Q1000))</f>
        <v>3</v>
      </c>
      <c r="E105" s="26">
        <f t="array" ref="E105">XLOOKUP($A105,LinkedIn_content_raw!$A$2:$A1000,LinkedIn_content_raw!$E$2:$E1000)</f>
        <v>44</v>
      </c>
    </row>
    <row r="106">
      <c r="A106" s="27">
        <f>LinkedIn_content_raw!$A107</f>
        <v>45578</v>
      </c>
      <c r="B106" s="24" t="str">
        <f t="shared" si="1"/>
        <v>LinkedIn</v>
      </c>
      <c r="C106" s="26">
        <f t="array" ref="C106">XLOOKUP($A106,LinkedIn_follows_raw!$A$2:$A1000,LinkedIn_follows_raw!$E$2:$E1000)</f>
        <v>2</v>
      </c>
      <c r="D106" s="26">
        <f t="array" ref="D106">sum(XLOOKUP($A106,LinkedIn_content_raw!$A$2:$A1000,LinkedIn_content_raw!$K$2:$K1000),XLOOKUP($A106,LinkedIn_content_raw!$A$2:$A1000,LinkedIn_content_raw!$N$2:$N1000),XLOOKUP($A106,LinkedIn_content_raw!$A$2:$A1000,LinkedIn_content_raw!$Q$2:$Q1000))</f>
        <v>2</v>
      </c>
      <c r="E106" s="26">
        <f t="array" ref="E106">XLOOKUP($A106,LinkedIn_content_raw!$A$2:$A1000,LinkedIn_content_raw!$E$2:$E1000)</f>
        <v>24</v>
      </c>
    </row>
    <row r="107">
      <c r="A107" s="27">
        <f>LinkedIn_content_raw!$A108</f>
        <v>45579</v>
      </c>
      <c r="B107" s="24" t="str">
        <f t="shared" si="1"/>
        <v>LinkedIn</v>
      </c>
      <c r="C107" s="26">
        <f t="array" ref="C107">XLOOKUP($A107,LinkedIn_follows_raw!$A$2:$A1000,LinkedIn_follows_raw!$E$2:$E1000)</f>
        <v>3</v>
      </c>
      <c r="D107" s="26">
        <f t="array" ref="D107">sum(XLOOKUP($A107,LinkedIn_content_raw!$A$2:$A1000,LinkedIn_content_raw!$K$2:$K1000),XLOOKUP($A107,LinkedIn_content_raw!$A$2:$A1000,LinkedIn_content_raw!$N$2:$N1000),XLOOKUP($A107,LinkedIn_content_raw!$A$2:$A1000,LinkedIn_content_raw!$Q$2:$Q1000))</f>
        <v>6</v>
      </c>
      <c r="E107" s="26">
        <f t="array" ref="E107">XLOOKUP($A107,LinkedIn_content_raw!$A$2:$A1000,LinkedIn_content_raw!$E$2:$E1000)</f>
        <v>47</v>
      </c>
    </row>
    <row r="108">
      <c r="A108" s="27">
        <f>LinkedIn_content_raw!$A109</f>
        <v>45580</v>
      </c>
      <c r="B108" s="24" t="str">
        <f t="shared" si="1"/>
        <v>LinkedIn</v>
      </c>
      <c r="C108" s="26">
        <f t="array" ref="C108">XLOOKUP($A108,LinkedIn_follows_raw!$A$2:$A1000,LinkedIn_follows_raw!$E$2:$E1000)</f>
        <v>2</v>
      </c>
      <c r="D108" s="26">
        <f t="array" ref="D108">sum(XLOOKUP($A108,LinkedIn_content_raw!$A$2:$A1000,LinkedIn_content_raw!$K$2:$K1000),XLOOKUP($A108,LinkedIn_content_raw!$A$2:$A1000,LinkedIn_content_raw!$N$2:$N1000),XLOOKUP($A108,LinkedIn_content_raw!$A$2:$A1000,LinkedIn_content_raw!$Q$2:$Q1000))</f>
        <v>13</v>
      </c>
      <c r="E108" s="26">
        <f t="array" ref="E108">XLOOKUP($A108,LinkedIn_content_raw!$A$2:$A1000,LinkedIn_content_raw!$E$2:$E1000)</f>
        <v>101</v>
      </c>
    </row>
    <row r="109">
      <c r="A109" s="27">
        <f>LinkedIn_content_raw!$A110</f>
        <v>45581</v>
      </c>
      <c r="B109" s="24" t="str">
        <f t="shared" si="1"/>
        <v>LinkedIn</v>
      </c>
      <c r="C109" s="26">
        <f t="array" ref="C109">XLOOKUP($A109,LinkedIn_follows_raw!$A$2:$A1000,LinkedIn_follows_raw!$E$2:$E1000)</f>
        <v>0</v>
      </c>
      <c r="D109" s="26">
        <f t="array" ref="D109">sum(XLOOKUP($A109,LinkedIn_content_raw!$A$2:$A1000,LinkedIn_content_raw!$K$2:$K1000),XLOOKUP($A109,LinkedIn_content_raw!$A$2:$A1000,LinkedIn_content_raw!$N$2:$N1000),XLOOKUP($A109,LinkedIn_content_raw!$A$2:$A1000,LinkedIn_content_raw!$Q$2:$Q1000))</f>
        <v>5</v>
      </c>
      <c r="E109" s="26">
        <f t="array" ref="E109">XLOOKUP($A109,LinkedIn_content_raw!$A$2:$A1000,LinkedIn_content_raw!$E$2:$E1000)</f>
        <v>65</v>
      </c>
    </row>
    <row r="110">
      <c r="A110" s="27">
        <f>LinkedIn_content_raw!$A111</f>
        <v>45582</v>
      </c>
      <c r="B110" s="24" t="str">
        <f t="shared" si="1"/>
        <v>LinkedIn</v>
      </c>
      <c r="C110" s="26">
        <f t="array" ref="C110">XLOOKUP($A110,LinkedIn_follows_raw!$A$2:$A1000,LinkedIn_follows_raw!$E$2:$E1000)</f>
        <v>0</v>
      </c>
      <c r="D110" s="26">
        <f t="array" ref="D110">sum(XLOOKUP($A110,LinkedIn_content_raw!$A$2:$A1000,LinkedIn_content_raw!$K$2:$K1000),XLOOKUP($A110,LinkedIn_content_raw!$A$2:$A1000,LinkedIn_content_raw!$N$2:$N1000),XLOOKUP($A110,LinkedIn_content_raw!$A$2:$A1000,LinkedIn_content_raw!$Q$2:$Q1000))</f>
        <v>0</v>
      </c>
      <c r="E110" s="26">
        <f t="array" ref="E110">XLOOKUP($A110,LinkedIn_content_raw!$A$2:$A1000,LinkedIn_content_raw!$E$2:$E1000)</f>
        <v>36</v>
      </c>
    </row>
    <row r="111">
      <c r="A111" s="27">
        <f>LinkedIn_content_raw!$A112</f>
        <v>45583</v>
      </c>
      <c r="B111" s="24" t="str">
        <f t="shared" si="1"/>
        <v>LinkedIn</v>
      </c>
      <c r="C111" s="26">
        <f t="array" ref="C111">XLOOKUP($A111,LinkedIn_follows_raw!$A$2:$A1000,LinkedIn_follows_raw!$E$2:$E1000)</f>
        <v>0</v>
      </c>
      <c r="D111" s="26">
        <f t="array" ref="D111">sum(XLOOKUP($A111,LinkedIn_content_raw!$A$2:$A1000,LinkedIn_content_raw!$K$2:$K1000),XLOOKUP($A111,LinkedIn_content_raw!$A$2:$A1000,LinkedIn_content_raw!$N$2:$N1000),XLOOKUP($A111,LinkedIn_content_raw!$A$2:$A1000,LinkedIn_content_raw!$Q$2:$Q1000))</f>
        <v>9</v>
      </c>
      <c r="E111" s="26">
        <f t="array" ref="E111">XLOOKUP($A111,LinkedIn_content_raw!$A$2:$A1000,LinkedIn_content_raw!$E$2:$E1000)</f>
        <v>79</v>
      </c>
    </row>
    <row r="112">
      <c r="A112" s="27">
        <f>LinkedIn_content_raw!$A113</f>
        <v>45584</v>
      </c>
      <c r="B112" s="24" t="str">
        <f t="shared" si="1"/>
        <v>LinkedIn</v>
      </c>
      <c r="C112" s="26">
        <f t="array" ref="C112">XLOOKUP($A112,LinkedIn_follows_raw!$A$2:$A1000,LinkedIn_follows_raw!$E$2:$E1000)</f>
        <v>0</v>
      </c>
      <c r="D112" s="26">
        <f t="array" ref="D112">sum(XLOOKUP($A112,LinkedIn_content_raw!$A$2:$A1000,LinkedIn_content_raw!$K$2:$K1000),XLOOKUP($A112,LinkedIn_content_raw!$A$2:$A1000,LinkedIn_content_raw!$N$2:$N1000),XLOOKUP($A112,LinkedIn_content_raw!$A$2:$A1000,LinkedIn_content_raw!$Q$2:$Q1000))</f>
        <v>12</v>
      </c>
      <c r="E112" s="26">
        <f t="array" ref="E112">XLOOKUP($A112,LinkedIn_content_raw!$A$2:$A1000,LinkedIn_content_raw!$E$2:$E1000)</f>
        <v>36</v>
      </c>
    </row>
    <row r="113">
      <c r="A113" s="27">
        <f>LinkedIn_content_raw!$A114</f>
        <v>45585</v>
      </c>
      <c r="B113" s="24" t="str">
        <f t="shared" si="1"/>
        <v>LinkedIn</v>
      </c>
      <c r="C113" s="26">
        <f t="array" ref="C113">XLOOKUP($A113,LinkedIn_follows_raw!$A$2:$A1000,LinkedIn_follows_raw!$E$2:$E1000)</f>
        <v>1</v>
      </c>
      <c r="D113" s="26">
        <f t="array" ref="D113">sum(XLOOKUP($A113,LinkedIn_content_raw!$A$2:$A1000,LinkedIn_content_raw!$K$2:$K1000),XLOOKUP($A113,LinkedIn_content_raw!$A$2:$A1000,LinkedIn_content_raw!$N$2:$N1000),XLOOKUP($A113,LinkedIn_content_raw!$A$2:$A1000,LinkedIn_content_raw!$Q$2:$Q1000))</f>
        <v>7</v>
      </c>
      <c r="E113" s="26">
        <f t="array" ref="E113">XLOOKUP($A113,LinkedIn_content_raw!$A$2:$A1000,LinkedIn_content_raw!$E$2:$E1000)</f>
        <v>39</v>
      </c>
    </row>
    <row r="114">
      <c r="A114" s="27">
        <f>LinkedIn_content_raw!$A115</f>
        <v>45586</v>
      </c>
      <c r="B114" s="24" t="str">
        <f t="shared" si="1"/>
        <v>LinkedIn</v>
      </c>
      <c r="C114" s="26">
        <f t="array" ref="C114">XLOOKUP($A114,LinkedIn_follows_raw!$A$2:$A1000,LinkedIn_follows_raw!$E$2:$E1000)</f>
        <v>0</v>
      </c>
      <c r="D114" s="26">
        <f t="array" ref="D114">sum(XLOOKUP($A114,LinkedIn_content_raw!$A$2:$A1000,LinkedIn_content_raw!$K$2:$K1000),XLOOKUP($A114,LinkedIn_content_raw!$A$2:$A1000,LinkedIn_content_raw!$N$2:$N1000),XLOOKUP($A114,LinkedIn_content_raw!$A$2:$A1000,LinkedIn_content_raw!$Q$2:$Q1000))</f>
        <v>0</v>
      </c>
      <c r="E114" s="26">
        <f t="array" ref="E114">XLOOKUP($A114,LinkedIn_content_raw!$A$2:$A1000,LinkedIn_content_raw!$E$2:$E1000)</f>
        <v>60</v>
      </c>
    </row>
    <row r="115">
      <c r="A115" s="27">
        <f>LinkedIn_content_raw!$A116</f>
        <v>45587</v>
      </c>
      <c r="B115" s="24" t="str">
        <f t="shared" si="1"/>
        <v>LinkedIn</v>
      </c>
      <c r="C115" s="26">
        <f t="array" ref="C115">XLOOKUP($A115,LinkedIn_follows_raw!$A$2:$A1000,LinkedIn_follows_raw!$E$2:$E1000)</f>
        <v>1</v>
      </c>
      <c r="D115" s="26">
        <f t="array" ref="D115">sum(XLOOKUP($A115,LinkedIn_content_raw!$A$2:$A1000,LinkedIn_content_raw!$K$2:$K1000),XLOOKUP($A115,LinkedIn_content_raw!$A$2:$A1000,LinkedIn_content_raw!$N$2:$N1000),XLOOKUP($A115,LinkedIn_content_raw!$A$2:$A1000,LinkedIn_content_raw!$Q$2:$Q1000))</f>
        <v>4</v>
      </c>
      <c r="E115" s="26">
        <f t="array" ref="E115">XLOOKUP($A115,LinkedIn_content_raw!$A$2:$A1000,LinkedIn_content_raw!$E$2:$E1000)</f>
        <v>41</v>
      </c>
    </row>
    <row r="116">
      <c r="A116" s="27">
        <f>LinkedIn_content_raw!$A117</f>
        <v>45588</v>
      </c>
      <c r="B116" s="24" t="str">
        <f t="shared" si="1"/>
        <v>LinkedIn</v>
      </c>
      <c r="C116" s="26">
        <f t="array" ref="C116">XLOOKUP($A116,LinkedIn_follows_raw!$A$2:$A1000,LinkedIn_follows_raw!$E$2:$E1000)</f>
        <v>0</v>
      </c>
      <c r="D116" s="26">
        <f t="array" ref="D116">sum(XLOOKUP($A116,LinkedIn_content_raw!$A$2:$A1000,LinkedIn_content_raw!$K$2:$K1000),XLOOKUP($A116,LinkedIn_content_raw!$A$2:$A1000,LinkedIn_content_raw!$N$2:$N1000),XLOOKUP($A116,LinkedIn_content_raw!$A$2:$A1000,LinkedIn_content_raw!$Q$2:$Q1000))</f>
        <v>0</v>
      </c>
      <c r="E116" s="26">
        <f t="array" ref="E116">XLOOKUP($A116,LinkedIn_content_raw!$A$2:$A1000,LinkedIn_content_raw!$E$2:$E1000)</f>
        <v>30</v>
      </c>
    </row>
    <row r="117">
      <c r="A117" s="27">
        <f>LinkedIn_content_raw!$A118</f>
        <v>45589</v>
      </c>
      <c r="B117" s="24" t="str">
        <f t="shared" si="1"/>
        <v>LinkedIn</v>
      </c>
      <c r="C117" s="26">
        <f t="array" ref="C117">XLOOKUP($A117,LinkedIn_follows_raw!$A$2:$A1000,LinkedIn_follows_raw!$E$2:$E1000)</f>
        <v>0</v>
      </c>
      <c r="D117" s="26">
        <f t="array" ref="D117">sum(XLOOKUP($A117,LinkedIn_content_raw!$A$2:$A1000,LinkedIn_content_raw!$K$2:$K1000),XLOOKUP($A117,LinkedIn_content_raw!$A$2:$A1000,LinkedIn_content_raw!$N$2:$N1000),XLOOKUP($A117,LinkedIn_content_raw!$A$2:$A1000,LinkedIn_content_raw!$Q$2:$Q1000))</f>
        <v>1</v>
      </c>
      <c r="E117" s="26">
        <f t="array" ref="E117">XLOOKUP($A117,LinkedIn_content_raw!$A$2:$A1000,LinkedIn_content_raw!$E$2:$E1000)</f>
        <v>20</v>
      </c>
    </row>
    <row r="118">
      <c r="A118" s="27">
        <f>LinkedIn_content_raw!$A119</f>
        <v>45590</v>
      </c>
      <c r="B118" s="24" t="str">
        <f t="shared" si="1"/>
        <v>LinkedIn</v>
      </c>
      <c r="C118" s="26">
        <f t="array" ref="C118">XLOOKUP($A118,LinkedIn_follows_raw!$A$2:$A1000,LinkedIn_follows_raw!$E$2:$E1000)</f>
        <v>0</v>
      </c>
      <c r="D118" s="26">
        <f t="array" ref="D118">sum(XLOOKUP($A118,LinkedIn_content_raw!$A$2:$A1000,LinkedIn_content_raw!$K$2:$K1000),XLOOKUP($A118,LinkedIn_content_raw!$A$2:$A1000,LinkedIn_content_raw!$N$2:$N1000),XLOOKUP($A118,LinkedIn_content_raw!$A$2:$A1000,LinkedIn_content_raw!$Q$2:$Q1000))</f>
        <v>47</v>
      </c>
      <c r="E118" s="26">
        <f t="array" ref="E118">XLOOKUP($A118,LinkedIn_content_raw!$A$2:$A1000,LinkedIn_content_raw!$E$2:$E1000)</f>
        <v>401</v>
      </c>
    </row>
    <row r="119">
      <c r="A119" s="27">
        <f>LinkedIn_content_raw!$A120</f>
        <v>45591</v>
      </c>
      <c r="B119" s="24" t="str">
        <f t="shared" si="1"/>
        <v>LinkedIn</v>
      </c>
      <c r="C119" s="26">
        <f t="array" ref="C119">XLOOKUP($A119,LinkedIn_follows_raw!$A$2:$A1000,LinkedIn_follows_raw!$E$2:$E1000)</f>
        <v>1</v>
      </c>
      <c r="D119" s="26">
        <f t="array" ref="D119">sum(XLOOKUP($A119,LinkedIn_content_raw!$A$2:$A1000,LinkedIn_content_raw!$K$2:$K1000),XLOOKUP($A119,LinkedIn_content_raw!$A$2:$A1000,LinkedIn_content_raw!$N$2:$N1000),XLOOKUP($A119,LinkedIn_content_raw!$A$2:$A1000,LinkedIn_content_raw!$Q$2:$Q1000))</f>
        <v>2</v>
      </c>
      <c r="E119" s="26">
        <f t="array" ref="E119">XLOOKUP($A119,LinkedIn_content_raw!$A$2:$A1000,LinkedIn_content_raw!$E$2:$E1000)</f>
        <v>129</v>
      </c>
    </row>
    <row r="120">
      <c r="A120" s="27">
        <f>LinkedIn_content_raw!$A121</f>
        <v>45592</v>
      </c>
      <c r="B120" s="24" t="str">
        <f t="shared" si="1"/>
        <v>LinkedIn</v>
      </c>
      <c r="C120" s="26">
        <f t="array" ref="C120">XLOOKUP($A120,LinkedIn_follows_raw!$A$2:$A1000,LinkedIn_follows_raw!$E$2:$E1000)</f>
        <v>0</v>
      </c>
      <c r="D120" s="26">
        <f t="array" ref="D120">sum(XLOOKUP($A120,LinkedIn_content_raw!$A$2:$A1000,LinkedIn_content_raw!$K$2:$K1000),XLOOKUP($A120,LinkedIn_content_raw!$A$2:$A1000,LinkedIn_content_raw!$N$2:$N1000),XLOOKUP($A120,LinkedIn_content_raw!$A$2:$A1000,LinkedIn_content_raw!$Q$2:$Q1000))</f>
        <v>5</v>
      </c>
      <c r="E120" s="26">
        <f t="array" ref="E120">XLOOKUP($A120,LinkedIn_content_raw!$A$2:$A1000,LinkedIn_content_raw!$E$2:$E1000)</f>
        <v>80</v>
      </c>
    </row>
    <row r="121">
      <c r="A121" s="27">
        <f>LinkedIn_content_raw!$A122</f>
        <v>45593</v>
      </c>
      <c r="B121" s="24" t="str">
        <f t="shared" si="1"/>
        <v>LinkedIn</v>
      </c>
      <c r="C121" s="26">
        <f t="array" ref="C121">XLOOKUP($A121,LinkedIn_follows_raw!$A$2:$A1000,LinkedIn_follows_raw!$E$2:$E1000)</f>
        <v>1</v>
      </c>
      <c r="D121" s="26">
        <f t="array" ref="D121">sum(XLOOKUP($A121,LinkedIn_content_raw!$A$2:$A1000,LinkedIn_content_raw!$K$2:$K1000),XLOOKUP($A121,LinkedIn_content_raw!$A$2:$A1000,LinkedIn_content_raw!$N$2:$N1000),XLOOKUP($A121,LinkedIn_content_raw!$A$2:$A1000,LinkedIn_content_raw!$Q$2:$Q1000))</f>
        <v>4</v>
      </c>
      <c r="E121" s="26">
        <f t="array" ref="E121">XLOOKUP($A121,LinkedIn_content_raw!$A$2:$A1000,LinkedIn_content_raw!$E$2:$E1000)</f>
        <v>66</v>
      </c>
    </row>
    <row r="122">
      <c r="A122" s="27">
        <f>LinkedIn_content_raw!$A123</f>
        <v>45594</v>
      </c>
      <c r="B122" s="24" t="str">
        <f t="shared" si="1"/>
        <v>LinkedIn</v>
      </c>
      <c r="C122" s="26">
        <f t="array" ref="C122">XLOOKUP($A122,LinkedIn_follows_raw!$A$2:$A1000,LinkedIn_follows_raw!$E$2:$E1000)</f>
        <v>2</v>
      </c>
      <c r="D122" s="26">
        <f t="array" ref="D122">sum(XLOOKUP($A122,LinkedIn_content_raw!$A$2:$A1000,LinkedIn_content_raw!$K$2:$K1000),XLOOKUP($A122,LinkedIn_content_raw!$A$2:$A1000,LinkedIn_content_raw!$N$2:$N1000),XLOOKUP($A122,LinkedIn_content_raw!$A$2:$A1000,LinkedIn_content_raw!$Q$2:$Q1000))</f>
        <v>2</v>
      </c>
      <c r="E122" s="26">
        <f t="array" ref="E122">XLOOKUP($A122,LinkedIn_content_raw!$A$2:$A1000,LinkedIn_content_raw!$E$2:$E1000)</f>
        <v>63</v>
      </c>
    </row>
    <row r="123">
      <c r="A123" s="27">
        <f>LinkedIn_content_raw!$A124</f>
        <v>45595</v>
      </c>
      <c r="B123" s="24" t="str">
        <f t="shared" si="1"/>
        <v>LinkedIn</v>
      </c>
      <c r="C123" s="26">
        <f t="array" ref="C123">XLOOKUP($A123,LinkedIn_follows_raw!$A$2:$A1000,LinkedIn_follows_raw!$E$2:$E1000)</f>
        <v>0</v>
      </c>
      <c r="D123" s="26">
        <f t="array" ref="D123">sum(XLOOKUP($A123,LinkedIn_content_raw!$A$2:$A1000,LinkedIn_content_raw!$K$2:$K1000),XLOOKUP($A123,LinkedIn_content_raw!$A$2:$A1000,LinkedIn_content_raw!$N$2:$N1000),XLOOKUP($A123,LinkedIn_content_raw!$A$2:$A1000,LinkedIn_content_raw!$Q$2:$Q1000))</f>
        <v>6</v>
      </c>
      <c r="E123" s="26">
        <f t="array" ref="E123">XLOOKUP($A123,LinkedIn_content_raw!$A$2:$A1000,LinkedIn_content_raw!$E$2:$E1000)</f>
        <v>71</v>
      </c>
    </row>
    <row r="124">
      <c r="A124" s="27">
        <f>LinkedIn_content_raw!$A125</f>
        <v>45596</v>
      </c>
      <c r="B124" s="24" t="str">
        <f t="shared" si="1"/>
        <v>LinkedIn</v>
      </c>
      <c r="C124" s="26">
        <f t="array" ref="C124">XLOOKUP($A124,LinkedIn_follows_raw!$A$2:$A1000,LinkedIn_follows_raw!$E$2:$E1000)</f>
        <v>3</v>
      </c>
      <c r="D124" s="26">
        <f t="array" ref="D124">sum(XLOOKUP($A124,LinkedIn_content_raw!$A$2:$A1000,LinkedIn_content_raw!$K$2:$K1000),XLOOKUP($A124,LinkedIn_content_raw!$A$2:$A1000,LinkedIn_content_raw!$N$2:$N1000),XLOOKUP($A124,LinkedIn_content_raw!$A$2:$A1000,LinkedIn_content_raw!$Q$2:$Q1000))</f>
        <v>20</v>
      </c>
      <c r="E124" s="26">
        <f t="array" ref="E124">XLOOKUP($A124,LinkedIn_content_raw!$A$2:$A1000,LinkedIn_content_raw!$E$2:$E1000)</f>
        <v>121</v>
      </c>
    </row>
    <row r="125">
      <c r="A125" s="25">
        <f>LinkedIn_content_raw!$A126</f>
        <v>45597</v>
      </c>
      <c r="B125" s="24" t="str">
        <f t="shared" si="1"/>
        <v>LinkedIn</v>
      </c>
      <c r="C125" s="26">
        <f t="array" ref="C125">XLOOKUP($A125,LinkedIn_follows_raw!$A$2:$A1000,LinkedIn_follows_raw!$E$2:$E1000)</f>
        <v>0</v>
      </c>
      <c r="D125" s="26">
        <f t="array" ref="D125">sum(XLOOKUP($A125,LinkedIn_content_raw!$A$2:$A1000,LinkedIn_content_raw!$K$2:$K1000),XLOOKUP($A125,LinkedIn_content_raw!$A$2:$A1000,LinkedIn_content_raw!$N$2:$N1000),XLOOKUP($A125,LinkedIn_content_raw!$A$2:$A1000,LinkedIn_content_raw!$Q$2:$Q1000))</f>
        <v>7</v>
      </c>
      <c r="E125" s="26">
        <f t="array" ref="E125">XLOOKUP($A125,LinkedIn_content_raw!$A$2:$A1000,LinkedIn_content_raw!$E$2:$E1000)</f>
        <v>54</v>
      </c>
    </row>
    <row r="126">
      <c r="A126" s="25">
        <f>LinkedIn_content_raw!$A127</f>
        <v>45598</v>
      </c>
      <c r="B126" s="24" t="str">
        <f t="shared" si="1"/>
        <v>LinkedIn</v>
      </c>
      <c r="C126" s="26">
        <f t="array" ref="C126">XLOOKUP($A126,LinkedIn_follows_raw!$A$2:$A1000,LinkedIn_follows_raw!$E$2:$E1000)</f>
        <v>1</v>
      </c>
      <c r="D126" s="26">
        <f t="array" ref="D126">sum(XLOOKUP($A126,LinkedIn_content_raw!$A$2:$A1000,LinkedIn_content_raw!$K$2:$K1000),XLOOKUP($A126,LinkedIn_content_raw!$A$2:$A1000,LinkedIn_content_raw!$N$2:$N1000),XLOOKUP($A126,LinkedIn_content_raw!$A$2:$A1000,LinkedIn_content_raw!$Q$2:$Q1000))</f>
        <v>0</v>
      </c>
      <c r="E126" s="26">
        <f t="array" ref="E126">XLOOKUP($A126,LinkedIn_content_raw!$A$2:$A1000,LinkedIn_content_raw!$E$2:$E1000)</f>
        <v>29</v>
      </c>
    </row>
    <row r="127">
      <c r="A127" s="25">
        <f>LinkedIn_content_raw!$A128</f>
        <v>45599</v>
      </c>
      <c r="B127" s="24" t="str">
        <f t="shared" si="1"/>
        <v>LinkedIn</v>
      </c>
      <c r="C127" s="26">
        <f t="array" ref="C127">XLOOKUP($A127,LinkedIn_follows_raw!$A$2:$A1000,LinkedIn_follows_raw!$E$2:$E1000)</f>
        <v>0</v>
      </c>
      <c r="D127" s="26">
        <f t="array" ref="D127">sum(XLOOKUP($A127,LinkedIn_content_raw!$A$2:$A1000,LinkedIn_content_raw!$K$2:$K1000),XLOOKUP($A127,LinkedIn_content_raw!$A$2:$A1000,LinkedIn_content_raw!$N$2:$N1000),XLOOKUP($A127,LinkedIn_content_raw!$A$2:$A1000,LinkedIn_content_raw!$Q$2:$Q1000))</f>
        <v>2</v>
      </c>
      <c r="E127" s="26">
        <f t="array" ref="E127">XLOOKUP($A127,LinkedIn_content_raw!$A$2:$A1000,LinkedIn_content_raw!$E$2:$E1000)</f>
        <v>34</v>
      </c>
    </row>
    <row r="128">
      <c r="A128" s="25">
        <f>LinkedIn_content_raw!$A129</f>
        <v>45600</v>
      </c>
      <c r="B128" s="24" t="str">
        <f t="shared" si="1"/>
        <v>LinkedIn</v>
      </c>
      <c r="C128" s="26">
        <f t="array" ref="C128">XLOOKUP($A128,LinkedIn_follows_raw!$A$2:$A1000,LinkedIn_follows_raw!$E$2:$E1000)</f>
        <v>1</v>
      </c>
      <c r="D128" s="26">
        <f t="array" ref="D128">sum(XLOOKUP($A128,LinkedIn_content_raw!$A$2:$A1000,LinkedIn_content_raw!$K$2:$K1000),XLOOKUP($A128,LinkedIn_content_raw!$A$2:$A1000,LinkedIn_content_raw!$N$2:$N1000),XLOOKUP($A128,LinkedIn_content_raw!$A$2:$A1000,LinkedIn_content_raw!$Q$2:$Q1000))</f>
        <v>3</v>
      </c>
      <c r="E128" s="26">
        <f t="array" ref="E128">XLOOKUP($A128,LinkedIn_content_raw!$A$2:$A1000,LinkedIn_content_raw!$E$2:$E1000)</f>
        <v>50</v>
      </c>
    </row>
    <row r="129">
      <c r="A129" s="25">
        <f>LinkedIn_content_raw!$A130</f>
        <v>45601</v>
      </c>
      <c r="B129" s="24" t="str">
        <f t="shared" si="1"/>
        <v>LinkedIn</v>
      </c>
      <c r="C129" s="26">
        <f t="array" ref="C129">XLOOKUP($A129,LinkedIn_follows_raw!$A$2:$A1000,LinkedIn_follows_raw!$E$2:$E1000)</f>
        <v>0</v>
      </c>
      <c r="D129" s="26">
        <f t="array" ref="D129">sum(XLOOKUP($A129,LinkedIn_content_raw!$A$2:$A1000,LinkedIn_content_raw!$K$2:$K1000),XLOOKUP($A129,LinkedIn_content_raw!$A$2:$A1000,LinkedIn_content_raw!$N$2:$N1000),XLOOKUP($A129,LinkedIn_content_raw!$A$2:$A1000,LinkedIn_content_raw!$Q$2:$Q1000))</f>
        <v>4</v>
      </c>
      <c r="E129" s="26">
        <f t="array" ref="E129">XLOOKUP($A129,LinkedIn_content_raw!$A$2:$A1000,LinkedIn_content_raw!$E$2:$E1000)</f>
        <v>82</v>
      </c>
    </row>
    <row r="130">
      <c r="A130" s="25">
        <f>LinkedIn_content_raw!$A131</f>
        <v>45602</v>
      </c>
      <c r="B130" s="24" t="str">
        <f t="shared" si="1"/>
        <v>LinkedIn</v>
      </c>
      <c r="C130" s="26">
        <f t="array" ref="C130">XLOOKUP($A130,LinkedIn_follows_raw!$A$2:$A1000,LinkedIn_follows_raw!$E$2:$E1000)</f>
        <v>2</v>
      </c>
      <c r="D130" s="26">
        <f t="array" ref="D130">sum(XLOOKUP($A130,LinkedIn_content_raw!$A$2:$A1000,LinkedIn_content_raw!$K$2:$K1000),XLOOKUP($A130,LinkedIn_content_raw!$A$2:$A1000,LinkedIn_content_raw!$N$2:$N1000),XLOOKUP($A130,LinkedIn_content_raw!$A$2:$A1000,LinkedIn_content_raw!$Q$2:$Q1000))</f>
        <v>3</v>
      </c>
      <c r="E130" s="26">
        <f t="array" ref="E130">XLOOKUP($A130,LinkedIn_content_raw!$A$2:$A1000,LinkedIn_content_raw!$E$2:$E1000)</f>
        <v>55</v>
      </c>
    </row>
    <row r="131">
      <c r="A131" s="25">
        <f>LinkedIn_content_raw!$A132</f>
        <v>45603</v>
      </c>
      <c r="B131" s="24" t="str">
        <f t="shared" si="1"/>
        <v>LinkedIn</v>
      </c>
      <c r="C131" s="26">
        <f t="array" ref="C131">XLOOKUP($A131,LinkedIn_follows_raw!$A$2:$A1000,LinkedIn_follows_raw!$E$2:$E1000)</f>
        <v>0</v>
      </c>
      <c r="D131" s="26">
        <f t="array" ref="D131">sum(XLOOKUP($A131,LinkedIn_content_raw!$A$2:$A1000,LinkedIn_content_raw!$K$2:$K1000),XLOOKUP($A131,LinkedIn_content_raw!$A$2:$A1000,LinkedIn_content_raw!$N$2:$N1000),XLOOKUP($A131,LinkedIn_content_raw!$A$2:$A1000,LinkedIn_content_raw!$Q$2:$Q1000))</f>
        <v>6</v>
      </c>
      <c r="E131" s="26">
        <f t="array" ref="E131">XLOOKUP($A131,LinkedIn_content_raw!$A$2:$A1000,LinkedIn_content_raw!$E$2:$E1000)</f>
        <v>88</v>
      </c>
    </row>
    <row r="132">
      <c r="A132" s="25">
        <f>LinkedIn_content_raw!$A133</f>
        <v>45604</v>
      </c>
      <c r="B132" s="24" t="str">
        <f t="shared" si="1"/>
        <v>LinkedIn</v>
      </c>
      <c r="C132" s="26">
        <f t="array" ref="C132">XLOOKUP($A132,LinkedIn_follows_raw!$A$2:$A1000,LinkedIn_follows_raw!$E$2:$E1000)</f>
        <v>2</v>
      </c>
      <c r="D132" s="26">
        <f t="array" ref="D132">sum(XLOOKUP($A132,LinkedIn_content_raw!$A$2:$A1000,LinkedIn_content_raw!$K$2:$K1000),XLOOKUP($A132,LinkedIn_content_raw!$A$2:$A1000,LinkedIn_content_raw!$N$2:$N1000),XLOOKUP($A132,LinkedIn_content_raw!$A$2:$A1000,LinkedIn_content_raw!$Q$2:$Q1000))</f>
        <v>3</v>
      </c>
      <c r="E132" s="26">
        <f t="array" ref="E132">XLOOKUP($A132,LinkedIn_content_raw!$A$2:$A1000,LinkedIn_content_raw!$E$2:$E1000)</f>
        <v>50</v>
      </c>
    </row>
    <row r="133">
      <c r="A133" s="25">
        <f>LinkedIn_content_raw!$A134</f>
        <v>45605</v>
      </c>
      <c r="B133" s="24" t="str">
        <f t="shared" si="1"/>
        <v>LinkedIn</v>
      </c>
      <c r="C133" s="26">
        <f t="array" ref="C133">XLOOKUP($A133,LinkedIn_follows_raw!$A$2:$A1000,LinkedIn_follows_raw!$E$2:$E1000)</f>
        <v>0</v>
      </c>
      <c r="D133" s="26">
        <f t="array" ref="D133">sum(XLOOKUP($A133,LinkedIn_content_raw!$A$2:$A1000,LinkedIn_content_raw!$K$2:$K1000),XLOOKUP($A133,LinkedIn_content_raw!$A$2:$A1000,LinkedIn_content_raw!$N$2:$N1000),XLOOKUP($A133,LinkedIn_content_raw!$A$2:$A1000,LinkedIn_content_raw!$Q$2:$Q1000))</f>
        <v>2</v>
      </c>
      <c r="E133" s="26">
        <f t="array" ref="E133">XLOOKUP($A133,LinkedIn_content_raw!$A$2:$A1000,LinkedIn_content_raw!$E$2:$E1000)</f>
        <v>45</v>
      </c>
    </row>
    <row r="134">
      <c r="A134" s="27">
        <f>LinkedIn_content_raw!$A135</f>
        <v>45606</v>
      </c>
      <c r="B134" s="24" t="str">
        <f t="shared" si="1"/>
        <v>LinkedIn</v>
      </c>
      <c r="C134" s="26">
        <f t="array" ref="C134">XLOOKUP($A134,LinkedIn_follows_raw!$A$2:$A1000,LinkedIn_follows_raw!$E$2:$E1000)</f>
        <v>1</v>
      </c>
      <c r="D134" s="26">
        <f t="array" ref="D134">sum(XLOOKUP($A134,LinkedIn_content_raw!$A$2:$A1000,LinkedIn_content_raw!$K$2:$K1000),XLOOKUP($A134,LinkedIn_content_raw!$A$2:$A1000,LinkedIn_content_raw!$N$2:$N1000),XLOOKUP($A134,LinkedIn_content_raw!$A$2:$A1000,LinkedIn_content_raw!$Q$2:$Q1000))</f>
        <v>6</v>
      </c>
      <c r="E134" s="26">
        <f t="array" ref="E134">XLOOKUP($A134,LinkedIn_content_raw!$A$2:$A1000,LinkedIn_content_raw!$E$2:$E1000)</f>
        <v>46</v>
      </c>
    </row>
    <row r="135">
      <c r="A135" s="27">
        <f>LinkedIn_content_raw!$A136</f>
        <v>45607</v>
      </c>
      <c r="B135" s="24" t="str">
        <f t="shared" si="1"/>
        <v>LinkedIn</v>
      </c>
      <c r="C135" s="26">
        <f t="array" ref="C135">XLOOKUP($A135,LinkedIn_follows_raw!$A$2:$A1000,LinkedIn_follows_raw!$E$2:$E1000)</f>
        <v>1</v>
      </c>
      <c r="D135" s="26">
        <f t="array" ref="D135">sum(XLOOKUP($A135,LinkedIn_content_raw!$A$2:$A1000,LinkedIn_content_raw!$K$2:$K1000),XLOOKUP($A135,LinkedIn_content_raw!$A$2:$A1000,LinkedIn_content_raw!$N$2:$N1000),XLOOKUP($A135,LinkedIn_content_raw!$A$2:$A1000,LinkedIn_content_raw!$Q$2:$Q1000))</f>
        <v>4</v>
      </c>
      <c r="E135" s="26">
        <f t="array" ref="E135">XLOOKUP($A135,LinkedIn_content_raw!$A$2:$A1000,LinkedIn_content_raw!$E$2:$E1000)</f>
        <v>56</v>
      </c>
    </row>
    <row r="136">
      <c r="A136" s="27">
        <f>LinkedIn_content_raw!$A137</f>
        <v>45608</v>
      </c>
      <c r="B136" s="24" t="str">
        <f t="shared" si="1"/>
        <v>LinkedIn</v>
      </c>
      <c r="C136" s="26">
        <f t="array" ref="C136">XLOOKUP($A136,LinkedIn_follows_raw!$A$2:$A1000,LinkedIn_follows_raw!$E$2:$E1000)</f>
        <v>2</v>
      </c>
      <c r="D136" s="26">
        <f t="array" ref="D136">sum(XLOOKUP($A136,LinkedIn_content_raw!$A$2:$A1000,LinkedIn_content_raw!$K$2:$K1000),XLOOKUP($A136,LinkedIn_content_raw!$A$2:$A1000,LinkedIn_content_raw!$N$2:$N1000),XLOOKUP($A136,LinkedIn_content_raw!$A$2:$A1000,LinkedIn_content_raw!$Q$2:$Q1000))</f>
        <v>4</v>
      </c>
      <c r="E136" s="26">
        <f t="array" ref="E136">XLOOKUP($A136,LinkedIn_content_raw!$A$2:$A1000,LinkedIn_content_raw!$E$2:$E1000)</f>
        <v>46</v>
      </c>
    </row>
    <row r="137">
      <c r="A137" s="27">
        <f>LinkedIn_content_raw!$A138</f>
        <v>45609</v>
      </c>
      <c r="B137" s="24" t="str">
        <f t="shared" si="1"/>
        <v>LinkedIn</v>
      </c>
      <c r="C137" s="26">
        <f t="array" ref="C137">XLOOKUP($A137,LinkedIn_follows_raw!$A$2:$A1000,LinkedIn_follows_raw!$E$2:$E1000)</f>
        <v>1</v>
      </c>
      <c r="D137" s="26">
        <f t="array" ref="D137">sum(XLOOKUP($A137,LinkedIn_content_raw!$A$2:$A1000,LinkedIn_content_raw!$K$2:$K1000),XLOOKUP($A137,LinkedIn_content_raw!$A$2:$A1000,LinkedIn_content_raw!$N$2:$N1000),XLOOKUP($A137,LinkedIn_content_raw!$A$2:$A1000,LinkedIn_content_raw!$Q$2:$Q1000))</f>
        <v>1</v>
      </c>
      <c r="E137" s="26">
        <f t="array" ref="E137">XLOOKUP($A137,LinkedIn_content_raw!$A$2:$A1000,LinkedIn_content_raw!$E$2:$E1000)</f>
        <v>41</v>
      </c>
    </row>
    <row r="138">
      <c r="A138" s="27">
        <f>LinkedIn_content_raw!$A139</f>
        <v>45610</v>
      </c>
      <c r="B138" s="24" t="str">
        <f t="shared" si="1"/>
        <v>LinkedIn</v>
      </c>
      <c r="C138" s="26">
        <f t="array" ref="C138">XLOOKUP($A138,LinkedIn_follows_raw!$A$2:$A1000,LinkedIn_follows_raw!$E$2:$E1000)</f>
        <v>2</v>
      </c>
      <c r="D138" s="26">
        <f t="array" ref="D138">sum(XLOOKUP($A138,LinkedIn_content_raw!$A$2:$A1000,LinkedIn_content_raw!$K$2:$K1000),XLOOKUP($A138,LinkedIn_content_raw!$A$2:$A1000,LinkedIn_content_raw!$N$2:$N1000),XLOOKUP($A138,LinkedIn_content_raw!$A$2:$A1000,LinkedIn_content_raw!$Q$2:$Q1000))</f>
        <v>1</v>
      </c>
      <c r="E138" s="26">
        <f t="array" ref="E138">XLOOKUP($A138,LinkedIn_content_raw!$A$2:$A1000,LinkedIn_content_raw!$E$2:$E1000)</f>
        <v>21</v>
      </c>
    </row>
    <row r="139">
      <c r="A139" s="27">
        <f>LinkedIn_content_raw!$A140</f>
        <v>45611</v>
      </c>
      <c r="B139" s="24" t="str">
        <f t="shared" si="1"/>
        <v>LinkedIn</v>
      </c>
      <c r="C139" s="26">
        <f t="array" ref="C139">XLOOKUP($A139,LinkedIn_follows_raw!$A$2:$A1000,LinkedIn_follows_raw!$E$2:$E1000)</f>
        <v>2</v>
      </c>
      <c r="D139" s="26">
        <f t="array" ref="D139">sum(XLOOKUP($A139,LinkedIn_content_raw!$A$2:$A1000,LinkedIn_content_raw!$K$2:$K1000),XLOOKUP($A139,LinkedIn_content_raw!$A$2:$A1000,LinkedIn_content_raw!$N$2:$N1000),XLOOKUP($A139,LinkedIn_content_raw!$A$2:$A1000,LinkedIn_content_raw!$Q$2:$Q1000))</f>
        <v>1</v>
      </c>
      <c r="E139" s="26">
        <f t="array" ref="E139">XLOOKUP($A139,LinkedIn_content_raw!$A$2:$A1000,LinkedIn_content_raw!$E$2:$E1000)</f>
        <v>50</v>
      </c>
    </row>
    <row r="140">
      <c r="A140" s="27">
        <f>LinkedIn_content_raw!$A141</f>
        <v>45612</v>
      </c>
      <c r="B140" s="24" t="str">
        <f t="shared" si="1"/>
        <v>LinkedIn</v>
      </c>
      <c r="C140" s="26">
        <f t="array" ref="C140">XLOOKUP($A140,LinkedIn_follows_raw!$A$2:$A1000,LinkedIn_follows_raw!$E$2:$E1000)</f>
        <v>1</v>
      </c>
      <c r="D140" s="26">
        <f t="array" ref="D140">sum(XLOOKUP($A140,LinkedIn_content_raw!$A$2:$A1000,LinkedIn_content_raw!$K$2:$K1000),XLOOKUP($A140,LinkedIn_content_raw!$A$2:$A1000,LinkedIn_content_raw!$N$2:$N1000),XLOOKUP($A140,LinkedIn_content_raw!$A$2:$A1000,LinkedIn_content_raw!$Q$2:$Q1000))</f>
        <v>18</v>
      </c>
      <c r="E140" s="26">
        <f t="array" ref="E140">XLOOKUP($A140,LinkedIn_content_raw!$A$2:$A1000,LinkedIn_content_raw!$E$2:$E1000)</f>
        <v>109</v>
      </c>
    </row>
    <row r="141">
      <c r="A141" s="27">
        <f>LinkedIn_content_raw!$A142</f>
        <v>45613</v>
      </c>
      <c r="B141" s="24" t="str">
        <f t="shared" si="1"/>
        <v>LinkedIn</v>
      </c>
      <c r="C141" s="26">
        <f t="array" ref="C141">XLOOKUP($A141,LinkedIn_follows_raw!$A$2:$A1000,LinkedIn_follows_raw!$E$2:$E1000)</f>
        <v>0</v>
      </c>
      <c r="D141" s="26">
        <f t="array" ref="D141">sum(XLOOKUP($A141,LinkedIn_content_raw!$A$2:$A1000,LinkedIn_content_raw!$K$2:$K1000),XLOOKUP($A141,LinkedIn_content_raw!$A$2:$A1000,LinkedIn_content_raw!$N$2:$N1000),XLOOKUP($A141,LinkedIn_content_raw!$A$2:$A1000,LinkedIn_content_raw!$Q$2:$Q1000))</f>
        <v>2</v>
      </c>
      <c r="E141" s="26">
        <f t="array" ref="E141">XLOOKUP($A141,LinkedIn_content_raw!$A$2:$A1000,LinkedIn_content_raw!$E$2:$E1000)</f>
        <v>28</v>
      </c>
    </row>
    <row r="142">
      <c r="A142" s="27">
        <f>LinkedIn_content_raw!$A143</f>
        <v>45614</v>
      </c>
      <c r="B142" s="24" t="str">
        <f t="shared" si="1"/>
        <v>LinkedIn</v>
      </c>
      <c r="C142" s="26">
        <f t="array" ref="C142">XLOOKUP($A142,LinkedIn_follows_raw!$A$2:$A1000,LinkedIn_follows_raw!$E$2:$E1000)</f>
        <v>2</v>
      </c>
      <c r="D142" s="26">
        <f t="array" ref="D142">sum(XLOOKUP($A142,LinkedIn_content_raw!$A$2:$A1000,LinkedIn_content_raw!$K$2:$K1000),XLOOKUP($A142,LinkedIn_content_raw!$A$2:$A1000,LinkedIn_content_raw!$N$2:$N1000),XLOOKUP($A142,LinkedIn_content_raw!$A$2:$A1000,LinkedIn_content_raw!$Q$2:$Q1000))</f>
        <v>10</v>
      </c>
      <c r="E142" s="26">
        <f t="array" ref="E142">XLOOKUP($A142,LinkedIn_content_raw!$A$2:$A1000,LinkedIn_content_raw!$E$2:$E1000)</f>
        <v>36</v>
      </c>
    </row>
    <row r="143">
      <c r="A143" s="27">
        <f>LinkedIn_content_raw!$A144</f>
        <v>45615</v>
      </c>
      <c r="B143" s="24" t="str">
        <f t="shared" si="1"/>
        <v>LinkedIn</v>
      </c>
      <c r="C143" s="26">
        <f t="array" ref="C143">XLOOKUP($A143,LinkedIn_follows_raw!$A$2:$A1000,LinkedIn_follows_raw!$E$2:$E1000)</f>
        <v>1</v>
      </c>
      <c r="D143" s="26">
        <f t="array" ref="D143">sum(XLOOKUP($A143,LinkedIn_content_raw!$A$2:$A1000,LinkedIn_content_raw!$K$2:$K1000),XLOOKUP($A143,LinkedIn_content_raw!$A$2:$A1000,LinkedIn_content_raw!$N$2:$N1000),XLOOKUP($A143,LinkedIn_content_raw!$A$2:$A1000,LinkedIn_content_raw!$Q$2:$Q1000))</f>
        <v>4</v>
      </c>
      <c r="E143" s="26">
        <f t="array" ref="E143">XLOOKUP($A143,LinkedIn_content_raw!$A$2:$A1000,LinkedIn_content_raw!$E$2:$E1000)</f>
        <v>47</v>
      </c>
    </row>
    <row r="144">
      <c r="A144" s="27">
        <f>LinkedIn_content_raw!$A145</f>
        <v>45616</v>
      </c>
      <c r="B144" s="24" t="str">
        <f t="shared" si="1"/>
        <v>LinkedIn</v>
      </c>
      <c r="C144" s="26">
        <f t="array" ref="C144">XLOOKUP($A144,LinkedIn_follows_raw!$A$2:$A1000,LinkedIn_follows_raw!$E$2:$E1000)</f>
        <v>2</v>
      </c>
      <c r="D144" s="26">
        <f t="array" ref="D144">sum(XLOOKUP($A144,LinkedIn_content_raw!$A$2:$A1000,LinkedIn_content_raw!$K$2:$K1000),XLOOKUP($A144,LinkedIn_content_raw!$A$2:$A1000,LinkedIn_content_raw!$N$2:$N1000),XLOOKUP($A144,LinkedIn_content_raw!$A$2:$A1000,LinkedIn_content_raw!$Q$2:$Q1000))</f>
        <v>3</v>
      </c>
      <c r="E144" s="26">
        <f t="array" ref="E144">XLOOKUP($A144,LinkedIn_content_raw!$A$2:$A1000,LinkedIn_content_raw!$E$2:$E1000)</f>
        <v>38</v>
      </c>
    </row>
    <row r="145">
      <c r="A145" s="27">
        <f>LinkedIn_content_raw!$A146</f>
        <v>45617</v>
      </c>
      <c r="B145" s="24" t="str">
        <f t="shared" si="1"/>
        <v>LinkedIn</v>
      </c>
      <c r="C145" s="26">
        <f t="array" ref="C145">XLOOKUP($A145,LinkedIn_follows_raw!$A$2:$A1000,LinkedIn_follows_raw!$E$2:$E1000)</f>
        <v>6</v>
      </c>
      <c r="D145" s="26">
        <f t="array" ref="D145">sum(XLOOKUP($A145,LinkedIn_content_raw!$A$2:$A1000,LinkedIn_content_raw!$K$2:$K1000),XLOOKUP($A145,LinkedIn_content_raw!$A$2:$A1000,LinkedIn_content_raw!$N$2:$N1000),XLOOKUP($A145,LinkedIn_content_raw!$A$2:$A1000,LinkedIn_content_raw!$Q$2:$Q1000))</f>
        <v>46</v>
      </c>
      <c r="E145" s="26">
        <f t="array" ref="E145">XLOOKUP($A145,LinkedIn_content_raw!$A$2:$A1000,LinkedIn_content_raw!$E$2:$E1000)</f>
        <v>361</v>
      </c>
    </row>
    <row r="146">
      <c r="A146" s="27">
        <f>LinkedIn_content_raw!$A147</f>
        <v>45618</v>
      </c>
      <c r="B146" s="24" t="str">
        <f t="shared" si="1"/>
        <v>LinkedIn</v>
      </c>
      <c r="C146" s="26">
        <f t="array" ref="C146">XLOOKUP($A146,LinkedIn_follows_raw!$A$2:$A1000,LinkedIn_follows_raw!$E$2:$E1000)</f>
        <v>2</v>
      </c>
      <c r="D146" s="26">
        <f t="array" ref="D146">sum(XLOOKUP($A146,LinkedIn_content_raw!$A$2:$A1000,LinkedIn_content_raw!$K$2:$K1000),XLOOKUP($A146,LinkedIn_content_raw!$A$2:$A1000,LinkedIn_content_raw!$N$2:$N1000),XLOOKUP($A146,LinkedIn_content_raw!$A$2:$A1000,LinkedIn_content_raw!$Q$2:$Q1000))</f>
        <v>15</v>
      </c>
      <c r="E146" s="26">
        <f t="array" ref="E146">XLOOKUP($A146,LinkedIn_content_raw!$A$2:$A1000,LinkedIn_content_raw!$E$2:$E1000)</f>
        <v>265</v>
      </c>
    </row>
    <row r="147">
      <c r="A147" s="27">
        <f>LinkedIn_content_raw!$A148</f>
        <v>45619</v>
      </c>
      <c r="B147" s="24" t="str">
        <f t="shared" si="1"/>
        <v>LinkedIn</v>
      </c>
      <c r="C147" s="26">
        <f t="array" ref="C147">XLOOKUP($A147,LinkedIn_follows_raw!$A$2:$A1000,LinkedIn_follows_raw!$E$2:$E1000)</f>
        <v>1</v>
      </c>
      <c r="D147" s="26">
        <f t="array" ref="D147">sum(XLOOKUP($A147,LinkedIn_content_raw!$A$2:$A1000,LinkedIn_content_raw!$K$2:$K1000),XLOOKUP($A147,LinkedIn_content_raw!$A$2:$A1000,LinkedIn_content_raw!$N$2:$N1000),XLOOKUP($A147,LinkedIn_content_raw!$A$2:$A1000,LinkedIn_content_raw!$Q$2:$Q1000))</f>
        <v>17</v>
      </c>
      <c r="E147" s="26">
        <f t="array" ref="E147">XLOOKUP($A147,LinkedIn_content_raw!$A$2:$A1000,LinkedIn_content_raw!$E$2:$E1000)</f>
        <v>167</v>
      </c>
    </row>
    <row r="148">
      <c r="A148" s="27">
        <f>LinkedIn_content_raw!$A149</f>
        <v>45620</v>
      </c>
      <c r="B148" s="24" t="str">
        <f t="shared" si="1"/>
        <v>LinkedIn</v>
      </c>
      <c r="C148" s="26">
        <f t="array" ref="C148">XLOOKUP($A148,LinkedIn_follows_raw!$A$2:$A1000,LinkedIn_follows_raw!$E$2:$E1000)</f>
        <v>0</v>
      </c>
      <c r="D148" s="26">
        <f t="array" ref="D148">sum(XLOOKUP($A148,LinkedIn_content_raw!$A$2:$A1000,LinkedIn_content_raw!$K$2:$K1000),XLOOKUP($A148,LinkedIn_content_raw!$A$2:$A1000,LinkedIn_content_raw!$N$2:$N1000),XLOOKUP($A148,LinkedIn_content_raw!$A$2:$A1000,LinkedIn_content_raw!$Q$2:$Q1000))</f>
        <v>6</v>
      </c>
      <c r="E148" s="26">
        <f t="array" ref="E148">XLOOKUP($A148,LinkedIn_content_raw!$A$2:$A1000,LinkedIn_content_raw!$E$2:$E1000)</f>
        <v>66</v>
      </c>
    </row>
    <row r="149">
      <c r="A149" s="27">
        <f>LinkedIn_content_raw!$A150</f>
        <v>45621</v>
      </c>
      <c r="B149" s="24" t="str">
        <f t="shared" si="1"/>
        <v>LinkedIn</v>
      </c>
      <c r="C149" s="26">
        <f t="array" ref="C149">XLOOKUP($A149,LinkedIn_follows_raw!$A$2:$A1000,LinkedIn_follows_raw!$E$2:$E1000)</f>
        <v>1</v>
      </c>
      <c r="D149" s="26">
        <f t="array" ref="D149">sum(XLOOKUP($A149,LinkedIn_content_raw!$A$2:$A1000,LinkedIn_content_raw!$K$2:$K1000),XLOOKUP($A149,LinkedIn_content_raw!$A$2:$A1000,LinkedIn_content_raw!$N$2:$N1000),XLOOKUP($A149,LinkedIn_content_raw!$A$2:$A1000,LinkedIn_content_raw!$Q$2:$Q1000))</f>
        <v>5</v>
      </c>
      <c r="E149" s="26">
        <f t="array" ref="E149">XLOOKUP($A149,LinkedIn_content_raw!$A$2:$A1000,LinkedIn_content_raw!$E$2:$E1000)</f>
        <v>68</v>
      </c>
    </row>
    <row r="150">
      <c r="A150" s="27">
        <f>LinkedIn_content_raw!$A151</f>
        <v>45622</v>
      </c>
      <c r="B150" s="24" t="str">
        <f t="shared" si="1"/>
        <v>LinkedIn</v>
      </c>
      <c r="C150" s="26">
        <f t="array" ref="C150">XLOOKUP($A150,LinkedIn_follows_raw!$A$2:$A1000,LinkedIn_follows_raw!$E$2:$E1000)</f>
        <v>1</v>
      </c>
      <c r="D150" s="26">
        <f t="array" ref="D150">sum(XLOOKUP($A150,LinkedIn_content_raw!$A$2:$A1000,LinkedIn_content_raw!$K$2:$K1000),XLOOKUP($A150,LinkedIn_content_raw!$A$2:$A1000,LinkedIn_content_raw!$N$2:$N1000),XLOOKUP($A150,LinkedIn_content_raw!$A$2:$A1000,LinkedIn_content_raw!$Q$2:$Q1000))</f>
        <v>3</v>
      </c>
      <c r="E150" s="26">
        <f t="array" ref="E150">XLOOKUP($A150,LinkedIn_content_raw!$A$2:$A1000,LinkedIn_content_raw!$E$2:$E1000)</f>
        <v>59</v>
      </c>
    </row>
    <row r="151">
      <c r="A151" s="27">
        <f>LinkedIn_content_raw!$A152</f>
        <v>45623</v>
      </c>
      <c r="B151" s="24" t="str">
        <f t="shared" si="1"/>
        <v>LinkedIn</v>
      </c>
      <c r="C151" s="26">
        <f t="array" ref="C151">XLOOKUP($A151,LinkedIn_follows_raw!$A$2:$A1000,LinkedIn_follows_raw!$E$2:$E1000)</f>
        <v>0</v>
      </c>
      <c r="D151" s="26">
        <f t="array" ref="D151">sum(XLOOKUP($A151,LinkedIn_content_raw!$A$2:$A1000,LinkedIn_content_raw!$K$2:$K1000),XLOOKUP($A151,LinkedIn_content_raw!$A$2:$A1000,LinkedIn_content_raw!$N$2:$N1000),XLOOKUP($A151,LinkedIn_content_raw!$A$2:$A1000,LinkedIn_content_raw!$Q$2:$Q1000))</f>
        <v>3</v>
      </c>
      <c r="E151" s="26">
        <f t="array" ref="E151">XLOOKUP($A151,LinkedIn_content_raw!$A$2:$A1000,LinkedIn_content_raw!$E$2:$E1000)</f>
        <v>41</v>
      </c>
    </row>
    <row r="152">
      <c r="A152" s="27">
        <f>LinkedIn_content_raw!$A153</f>
        <v>45624</v>
      </c>
      <c r="B152" s="24" t="str">
        <f t="shared" si="1"/>
        <v>LinkedIn</v>
      </c>
      <c r="C152" s="26">
        <f t="array" ref="C152">XLOOKUP($A152,LinkedIn_follows_raw!$A$2:$A1000,LinkedIn_follows_raw!$E$2:$E1000)</f>
        <v>1</v>
      </c>
      <c r="D152" s="26">
        <f t="array" ref="D152">sum(XLOOKUP($A152,LinkedIn_content_raw!$A$2:$A1000,LinkedIn_content_raw!$K$2:$K1000),XLOOKUP($A152,LinkedIn_content_raw!$A$2:$A1000,LinkedIn_content_raw!$N$2:$N1000),XLOOKUP($A152,LinkedIn_content_raw!$A$2:$A1000,LinkedIn_content_raw!$Q$2:$Q1000))</f>
        <v>5</v>
      </c>
      <c r="E152" s="26">
        <f t="array" ref="E152">XLOOKUP($A152,LinkedIn_content_raw!$A$2:$A1000,LinkedIn_content_raw!$E$2:$E1000)</f>
        <v>37</v>
      </c>
    </row>
    <row r="153">
      <c r="A153" s="27">
        <f>LinkedIn_content_raw!$A154</f>
        <v>45625</v>
      </c>
      <c r="B153" s="24" t="str">
        <f t="shared" si="1"/>
        <v>LinkedIn</v>
      </c>
      <c r="C153" s="26">
        <f t="array" ref="C153">XLOOKUP($A153,LinkedIn_follows_raw!$A$2:$A1000,LinkedIn_follows_raw!$E$2:$E1000)</f>
        <v>0</v>
      </c>
      <c r="D153" s="26">
        <f t="array" ref="D153">sum(XLOOKUP($A153,LinkedIn_content_raw!$A$2:$A1000,LinkedIn_content_raw!$K$2:$K1000),XLOOKUP($A153,LinkedIn_content_raw!$A$2:$A1000,LinkedIn_content_raw!$N$2:$N1000),XLOOKUP($A153,LinkedIn_content_raw!$A$2:$A1000,LinkedIn_content_raw!$Q$2:$Q1000))</f>
        <v>2</v>
      </c>
      <c r="E153" s="26">
        <f t="array" ref="E153">XLOOKUP($A153,LinkedIn_content_raw!$A$2:$A1000,LinkedIn_content_raw!$E$2:$E1000)</f>
        <v>30</v>
      </c>
    </row>
    <row r="154">
      <c r="A154" s="27">
        <f>LinkedIn_content_raw!$A155</f>
        <v>45626</v>
      </c>
      <c r="B154" s="24" t="str">
        <f t="shared" si="1"/>
        <v>LinkedIn</v>
      </c>
      <c r="C154" s="26">
        <f t="array" ref="C154">XLOOKUP($A154,LinkedIn_follows_raw!$A$2:$A1000,LinkedIn_follows_raw!$E$2:$E1000)</f>
        <v>0</v>
      </c>
      <c r="D154" s="26">
        <f t="array" ref="D154">sum(XLOOKUP($A154,LinkedIn_content_raw!$A$2:$A1000,LinkedIn_content_raw!$K$2:$K1000),XLOOKUP($A154,LinkedIn_content_raw!$A$2:$A1000,LinkedIn_content_raw!$N$2:$N1000),XLOOKUP($A154,LinkedIn_content_raw!$A$2:$A1000,LinkedIn_content_raw!$Q$2:$Q1000))</f>
        <v>0</v>
      </c>
      <c r="E154" s="26">
        <f t="array" ref="E154">XLOOKUP($A154,LinkedIn_content_raw!$A$2:$A1000,LinkedIn_content_raw!$E$2:$E1000)</f>
        <v>22</v>
      </c>
    </row>
    <row r="155">
      <c r="A155" s="25">
        <f>LinkedIn_content_raw!$A156</f>
        <v>45627</v>
      </c>
      <c r="B155" s="24" t="str">
        <f t="shared" si="1"/>
        <v>LinkedIn</v>
      </c>
      <c r="C155" s="26">
        <f t="array" ref="C155">XLOOKUP($A155,LinkedIn_follows_raw!$A$2:$A1000,LinkedIn_follows_raw!$E$2:$E1000)</f>
        <v>-1</v>
      </c>
      <c r="D155" s="26">
        <f t="array" ref="D155">sum(XLOOKUP($A155,LinkedIn_content_raw!$A$2:$A1000,LinkedIn_content_raw!$K$2:$K1000),XLOOKUP($A155,LinkedIn_content_raw!$A$2:$A1000,LinkedIn_content_raw!$N$2:$N1000),XLOOKUP($A155,LinkedIn_content_raw!$A$2:$A1000,LinkedIn_content_raw!$Q$2:$Q1000))</f>
        <v>1</v>
      </c>
      <c r="E155" s="26">
        <f t="array" ref="E155">XLOOKUP($A155,LinkedIn_content_raw!$A$2:$A1000,LinkedIn_content_raw!$E$2:$E1000)</f>
        <v>19</v>
      </c>
    </row>
    <row r="156">
      <c r="A156" s="25">
        <f>LinkedIn_content_raw!$A157</f>
        <v>45628</v>
      </c>
      <c r="B156" s="24" t="str">
        <f t="shared" si="1"/>
        <v>LinkedIn</v>
      </c>
      <c r="C156" s="26">
        <f t="array" ref="C156">XLOOKUP($A156,LinkedIn_follows_raw!$A$2:$A1000,LinkedIn_follows_raw!$E$2:$E1000)</f>
        <v>1</v>
      </c>
      <c r="D156" s="26">
        <f t="array" ref="D156">sum(XLOOKUP($A156,LinkedIn_content_raw!$A$2:$A1000,LinkedIn_content_raw!$K$2:$K1000),XLOOKUP($A156,LinkedIn_content_raw!$A$2:$A1000,LinkedIn_content_raw!$N$2:$N1000),XLOOKUP($A156,LinkedIn_content_raw!$A$2:$A1000,LinkedIn_content_raw!$Q$2:$Q1000))</f>
        <v>1</v>
      </c>
      <c r="E156" s="26">
        <f t="array" ref="E156">XLOOKUP($A156,LinkedIn_content_raw!$A$2:$A1000,LinkedIn_content_raw!$E$2:$E1000)</f>
        <v>40</v>
      </c>
    </row>
    <row r="157">
      <c r="A157" s="25">
        <f>LinkedIn_content_raw!$A158</f>
        <v>45629</v>
      </c>
      <c r="B157" s="24" t="str">
        <f t="shared" si="1"/>
        <v>LinkedIn</v>
      </c>
      <c r="C157" s="26">
        <f t="array" ref="C157">XLOOKUP($A157,LinkedIn_follows_raw!$A$2:$A1000,LinkedIn_follows_raw!$E$2:$E1000)</f>
        <v>0</v>
      </c>
      <c r="D157" s="26">
        <f t="array" ref="D157">sum(XLOOKUP($A157,LinkedIn_content_raw!$A$2:$A1000,LinkedIn_content_raw!$K$2:$K1000),XLOOKUP($A157,LinkedIn_content_raw!$A$2:$A1000,LinkedIn_content_raw!$N$2:$N1000),XLOOKUP($A157,LinkedIn_content_raw!$A$2:$A1000,LinkedIn_content_raw!$Q$2:$Q1000))</f>
        <v>5</v>
      </c>
      <c r="E157" s="26">
        <f t="array" ref="E157">XLOOKUP($A157,LinkedIn_content_raw!$A$2:$A1000,LinkedIn_content_raw!$E$2:$E1000)</f>
        <v>60</v>
      </c>
    </row>
    <row r="158">
      <c r="A158" s="25">
        <f>LinkedIn_content_raw!$A159</f>
        <v>45630</v>
      </c>
      <c r="B158" s="24" t="str">
        <f t="shared" si="1"/>
        <v>LinkedIn</v>
      </c>
      <c r="C158" s="26">
        <f t="array" ref="C158">XLOOKUP($A158,LinkedIn_follows_raw!$A$2:$A1000,LinkedIn_follows_raw!$E$2:$E1000)</f>
        <v>2</v>
      </c>
      <c r="D158" s="26">
        <f t="array" ref="D158">sum(XLOOKUP($A158,LinkedIn_content_raw!$A$2:$A1000,LinkedIn_content_raw!$K$2:$K1000),XLOOKUP($A158,LinkedIn_content_raw!$A$2:$A1000,LinkedIn_content_raw!$N$2:$N1000),XLOOKUP($A158,LinkedIn_content_raw!$A$2:$A1000,LinkedIn_content_raw!$Q$2:$Q1000))</f>
        <v>6</v>
      </c>
      <c r="E158" s="26">
        <f t="array" ref="E158">XLOOKUP($A158,LinkedIn_content_raw!$A$2:$A1000,LinkedIn_content_raw!$E$2:$E1000)</f>
        <v>45</v>
      </c>
    </row>
    <row r="159">
      <c r="A159" s="25">
        <f>LinkedIn_content_raw!$A160</f>
        <v>45631</v>
      </c>
      <c r="B159" s="24" t="str">
        <f t="shared" si="1"/>
        <v>LinkedIn</v>
      </c>
      <c r="C159" s="26">
        <f t="array" ref="C159">XLOOKUP($A159,LinkedIn_follows_raw!$A$2:$A1000,LinkedIn_follows_raw!$E$2:$E1000)</f>
        <v>0</v>
      </c>
      <c r="D159" s="26">
        <f t="array" ref="D159">sum(XLOOKUP($A159,LinkedIn_content_raw!$A$2:$A1000,LinkedIn_content_raw!$K$2:$K1000),XLOOKUP($A159,LinkedIn_content_raw!$A$2:$A1000,LinkedIn_content_raw!$N$2:$N1000),XLOOKUP($A159,LinkedIn_content_raw!$A$2:$A1000,LinkedIn_content_raw!$Q$2:$Q1000))</f>
        <v>22</v>
      </c>
      <c r="E159" s="26">
        <f t="array" ref="E159">XLOOKUP($A159,LinkedIn_content_raw!$A$2:$A1000,LinkedIn_content_raw!$E$2:$E1000)</f>
        <v>154</v>
      </c>
    </row>
    <row r="160">
      <c r="A160" s="25">
        <f>LinkedIn_content_raw!$A161</f>
        <v>45632</v>
      </c>
      <c r="B160" s="24" t="str">
        <f t="shared" si="1"/>
        <v>LinkedIn</v>
      </c>
      <c r="C160" s="26">
        <f t="array" ref="C160">XLOOKUP($A160,LinkedIn_follows_raw!$A$2:$A1000,LinkedIn_follows_raw!$E$2:$E1000)</f>
        <v>1</v>
      </c>
      <c r="D160" s="26">
        <f t="array" ref="D160">sum(XLOOKUP($A160,LinkedIn_content_raw!$A$2:$A1000,LinkedIn_content_raw!$K$2:$K1000),XLOOKUP($A160,LinkedIn_content_raw!$A$2:$A1000,LinkedIn_content_raw!$N$2:$N1000),XLOOKUP($A160,LinkedIn_content_raw!$A$2:$A1000,LinkedIn_content_raw!$Q$2:$Q1000))</f>
        <v>26</v>
      </c>
      <c r="E160" s="26">
        <f t="array" ref="E160">XLOOKUP($A160,LinkedIn_content_raw!$A$2:$A1000,LinkedIn_content_raw!$E$2:$E1000)</f>
        <v>119</v>
      </c>
    </row>
    <row r="161">
      <c r="A161" s="25">
        <f>LinkedIn_content_raw!$A162</f>
        <v>45633</v>
      </c>
      <c r="B161" s="24" t="str">
        <f t="shared" si="1"/>
        <v>LinkedIn</v>
      </c>
      <c r="C161" s="26">
        <f t="array" ref="C161">XLOOKUP($A161,LinkedIn_follows_raw!$A$2:$A1000,LinkedIn_follows_raw!$E$2:$E1000)</f>
        <v>-1</v>
      </c>
      <c r="D161" s="26">
        <f t="array" ref="D161">sum(XLOOKUP($A161,LinkedIn_content_raw!$A$2:$A1000,LinkedIn_content_raw!$K$2:$K1000),XLOOKUP($A161,LinkedIn_content_raw!$A$2:$A1000,LinkedIn_content_raw!$N$2:$N1000),XLOOKUP($A161,LinkedIn_content_raw!$A$2:$A1000,LinkedIn_content_raw!$Q$2:$Q1000))</f>
        <v>8</v>
      </c>
      <c r="E161" s="26">
        <f t="array" ref="E161">XLOOKUP($A161,LinkedIn_content_raw!$A$2:$A1000,LinkedIn_content_raw!$E$2:$E1000)</f>
        <v>50</v>
      </c>
    </row>
    <row r="162">
      <c r="A162" s="25">
        <f>LinkedIn_content_raw!$A163</f>
        <v>45634</v>
      </c>
      <c r="B162" s="24" t="str">
        <f t="shared" si="1"/>
        <v>LinkedIn</v>
      </c>
      <c r="C162" s="26">
        <f t="array" ref="C162">XLOOKUP($A162,LinkedIn_follows_raw!$A$2:$A1000,LinkedIn_follows_raw!$E$2:$E1000)</f>
        <v>2</v>
      </c>
      <c r="D162" s="26">
        <f t="array" ref="D162">sum(XLOOKUP($A162,LinkedIn_content_raw!$A$2:$A1000,LinkedIn_content_raw!$K$2:$K1000),XLOOKUP($A162,LinkedIn_content_raw!$A$2:$A1000,LinkedIn_content_raw!$N$2:$N1000),XLOOKUP($A162,LinkedIn_content_raw!$A$2:$A1000,LinkedIn_content_raw!$Q$2:$Q1000))</f>
        <v>3</v>
      </c>
      <c r="E162" s="26">
        <f t="array" ref="E162">XLOOKUP($A162,LinkedIn_content_raw!$A$2:$A1000,LinkedIn_content_raw!$E$2:$E1000)</f>
        <v>32</v>
      </c>
    </row>
    <row r="163">
      <c r="A163" s="25">
        <f>LinkedIn_content_raw!$A164</f>
        <v>45635</v>
      </c>
      <c r="B163" s="24" t="str">
        <f t="shared" si="1"/>
        <v>LinkedIn</v>
      </c>
      <c r="C163" s="26">
        <f t="array" ref="C163">XLOOKUP($A163,LinkedIn_follows_raw!$A$2:$A1000,LinkedIn_follows_raw!$E$2:$E1000)</f>
        <v>1</v>
      </c>
      <c r="D163" s="26">
        <f t="array" ref="D163">sum(XLOOKUP($A163,LinkedIn_content_raw!$A$2:$A1000,LinkedIn_content_raw!$K$2:$K1000),XLOOKUP($A163,LinkedIn_content_raw!$A$2:$A1000,LinkedIn_content_raw!$N$2:$N1000),XLOOKUP($A163,LinkedIn_content_raw!$A$2:$A1000,LinkedIn_content_raw!$Q$2:$Q1000))</f>
        <v>7</v>
      </c>
      <c r="E163" s="26">
        <f t="array" ref="E163">XLOOKUP($A163,LinkedIn_content_raw!$A$2:$A1000,LinkedIn_content_raw!$E$2:$E1000)</f>
        <v>120</v>
      </c>
    </row>
    <row r="164">
      <c r="A164" s="27">
        <f>LinkedIn_content_raw!$A165</f>
        <v>45636</v>
      </c>
      <c r="B164" s="24" t="str">
        <f t="shared" si="1"/>
        <v>LinkedIn</v>
      </c>
      <c r="C164" s="26">
        <f t="array" ref="C164">XLOOKUP($A164,LinkedIn_follows_raw!$A$2:$A1000,LinkedIn_follows_raw!$E$2:$E1000)</f>
        <v>0</v>
      </c>
      <c r="D164" s="26">
        <f t="array" ref="D164">sum(XLOOKUP($A164,LinkedIn_content_raw!$A$2:$A1000,LinkedIn_content_raw!$K$2:$K1000),XLOOKUP($A164,LinkedIn_content_raw!$A$2:$A1000,LinkedIn_content_raw!$N$2:$N1000),XLOOKUP($A164,LinkedIn_content_raw!$A$2:$A1000,LinkedIn_content_raw!$Q$2:$Q1000))</f>
        <v>7</v>
      </c>
      <c r="E164" s="26">
        <f t="array" ref="E164">XLOOKUP($A164,LinkedIn_content_raw!$A$2:$A1000,LinkedIn_content_raw!$E$2:$E1000)</f>
        <v>108</v>
      </c>
    </row>
    <row r="165">
      <c r="A165" s="27">
        <f>LinkedIn_content_raw!$A166</f>
        <v>45637</v>
      </c>
      <c r="B165" s="24" t="str">
        <f t="shared" si="1"/>
        <v>LinkedIn</v>
      </c>
      <c r="C165" s="26">
        <f t="array" ref="C165">XLOOKUP($A165,LinkedIn_follows_raw!$A$2:$A1000,LinkedIn_follows_raw!$E$2:$E1000)</f>
        <v>0</v>
      </c>
      <c r="D165" s="26">
        <f t="array" ref="D165">sum(XLOOKUP($A165,LinkedIn_content_raw!$A$2:$A1000,LinkedIn_content_raw!$K$2:$K1000),XLOOKUP($A165,LinkedIn_content_raw!$A$2:$A1000,LinkedIn_content_raw!$N$2:$N1000),XLOOKUP($A165,LinkedIn_content_raw!$A$2:$A1000,LinkedIn_content_raw!$Q$2:$Q1000))</f>
        <v>9</v>
      </c>
      <c r="E165" s="26">
        <f t="array" ref="E165">XLOOKUP($A165,LinkedIn_content_raw!$A$2:$A1000,LinkedIn_content_raw!$E$2:$E1000)</f>
        <v>86</v>
      </c>
    </row>
    <row r="166">
      <c r="A166" s="27">
        <f>LinkedIn_content_raw!$A167</f>
        <v>45638</v>
      </c>
      <c r="B166" s="24" t="str">
        <f t="shared" si="1"/>
        <v>LinkedIn</v>
      </c>
      <c r="C166" s="26">
        <f t="array" ref="C166">XLOOKUP($A166,LinkedIn_follows_raw!$A$2:$A1000,LinkedIn_follows_raw!$E$2:$E1000)</f>
        <v>0</v>
      </c>
      <c r="D166" s="26">
        <f t="array" ref="D166">sum(XLOOKUP($A166,LinkedIn_content_raw!$A$2:$A1000,LinkedIn_content_raw!$K$2:$K1000),XLOOKUP($A166,LinkedIn_content_raw!$A$2:$A1000,LinkedIn_content_raw!$N$2:$N1000),XLOOKUP($A166,LinkedIn_content_raw!$A$2:$A1000,LinkedIn_content_raw!$Q$2:$Q1000))</f>
        <v>9</v>
      </c>
      <c r="E166" s="26">
        <f t="array" ref="E166">XLOOKUP($A166,LinkedIn_content_raw!$A$2:$A1000,LinkedIn_content_raw!$E$2:$E1000)</f>
        <v>46</v>
      </c>
    </row>
    <row r="167">
      <c r="A167" s="27">
        <f>LinkedIn_content_raw!$A168</f>
        <v>45639</v>
      </c>
      <c r="B167" s="24" t="str">
        <f t="shared" si="1"/>
        <v>LinkedIn</v>
      </c>
      <c r="C167" s="26">
        <f t="array" ref="C167">XLOOKUP($A167,LinkedIn_follows_raw!$A$2:$A1000,LinkedIn_follows_raw!$E$2:$E1000)</f>
        <v>2</v>
      </c>
      <c r="D167" s="26">
        <f t="array" ref="D167">sum(XLOOKUP($A167,LinkedIn_content_raw!$A$2:$A1000,LinkedIn_content_raw!$K$2:$K1000),XLOOKUP($A167,LinkedIn_content_raw!$A$2:$A1000,LinkedIn_content_raw!$N$2:$N1000),XLOOKUP($A167,LinkedIn_content_raw!$A$2:$A1000,LinkedIn_content_raw!$Q$2:$Q1000))</f>
        <v>4</v>
      </c>
      <c r="E167" s="26">
        <f t="array" ref="E167">XLOOKUP($A167,LinkedIn_content_raw!$A$2:$A1000,LinkedIn_content_raw!$E$2:$E1000)</f>
        <v>51</v>
      </c>
    </row>
    <row r="168">
      <c r="A168" s="27">
        <f>LinkedIn_content_raw!$A169</f>
        <v>45640</v>
      </c>
      <c r="B168" s="24" t="str">
        <f t="shared" si="1"/>
        <v>LinkedIn</v>
      </c>
      <c r="C168" s="26">
        <f t="array" ref="C168">XLOOKUP($A168,LinkedIn_follows_raw!$A$2:$A1000,LinkedIn_follows_raw!$E$2:$E1000)</f>
        <v>0</v>
      </c>
      <c r="D168" s="26">
        <f t="array" ref="D168">sum(XLOOKUP($A168,LinkedIn_content_raw!$A$2:$A1000,LinkedIn_content_raw!$K$2:$K1000),XLOOKUP($A168,LinkedIn_content_raw!$A$2:$A1000,LinkedIn_content_raw!$N$2:$N1000),XLOOKUP($A168,LinkedIn_content_raw!$A$2:$A1000,LinkedIn_content_raw!$Q$2:$Q1000))</f>
        <v>2</v>
      </c>
      <c r="E168" s="26">
        <f t="array" ref="E168">XLOOKUP($A168,LinkedIn_content_raw!$A$2:$A1000,LinkedIn_content_raw!$E$2:$E1000)</f>
        <v>40</v>
      </c>
    </row>
    <row r="169">
      <c r="A169" s="27">
        <f>LinkedIn_content_raw!$A170</f>
        <v>45641</v>
      </c>
      <c r="B169" s="24" t="str">
        <f t="shared" si="1"/>
        <v>LinkedIn</v>
      </c>
      <c r="C169" s="26">
        <f t="array" ref="C169">XLOOKUP($A169,LinkedIn_follows_raw!$A$2:$A1000,LinkedIn_follows_raw!$E$2:$E1000)</f>
        <v>0</v>
      </c>
      <c r="D169" s="26">
        <f t="array" ref="D169">sum(XLOOKUP($A169,LinkedIn_content_raw!$A$2:$A1000,LinkedIn_content_raw!$K$2:$K1000),XLOOKUP($A169,LinkedIn_content_raw!$A$2:$A1000,LinkedIn_content_raw!$N$2:$N1000),XLOOKUP($A169,LinkedIn_content_raw!$A$2:$A1000,LinkedIn_content_raw!$Q$2:$Q1000))</f>
        <v>2</v>
      </c>
      <c r="E169" s="26">
        <f t="array" ref="E169">XLOOKUP($A169,LinkedIn_content_raw!$A$2:$A1000,LinkedIn_content_raw!$E$2:$E1000)</f>
        <v>26</v>
      </c>
    </row>
    <row r="170">
      <c r="A170" s="27">
        <f>LinkedIn_content_raw!$A171</f>
        <v>45642</v>
      </c>
      <c r="B170" s="24" t="str">
        <f t="shared" si="1"/>
        <v>LinkedIn</v>
      </c>
      <c r="C170" s="26">
        <f t="array" ref="C170">XLOOKUP($A170,LinkedIn_follows_raw!$A$2:$A1000,LinkedIn_follows_raw!$E$2:$E1000)</f>
        <v>0</v>
      </c>
      <c r="D170" s="26">
        <f t="array" ref="D170">sum(XLOOKUP($A170,LinkedIn_content_raw!$A$2:$A1000,LinkedIn_content_raw!$K$2:$K1000),XLOOKUP($A170,LinkedIn_content_raw!$A$2:$A1000,LinkedIn_content_raw!$N$2:$N1000),XLOOKUP($A170,LinkedIn_content_raw!$A$2:$A1000,LinkedIn_content_raw!$Q$2:$Q1000))</f>
        <v>7</v>
      </c>
      <c r="E170" s="26">
        <f t="array" ref="E170">XLOOKUP($A170,LinkedIn_content_raw!$A$2:$A1000,LinkedIn_content_raw!$E$2:$E1000)</f>
        <v>49</v>
      </c>
    </row>
    <row r="171">
      <c r="A171" s="27">
        <f>LinkedIn_content_raw!$A172</f>
        <v>45643</v>
      </c>
      <c r="B171" s="24" t="str">
        <f t="shared" si="1"/>
        <v>LinkedIn</v>
      </c>
      <c r="C171" s="26">
        <f t="array" ref="C171">XLOOKUP($A171,LinkedIn_follows_raw!$A$2:$A1000,LinkedIn_follows_raw!$E$2:$E1000)</f>
        <v>0</v>
      </c>
      <c r="D171" s="26">
        <f t="array" ref="D171">sum(XLOOKUP($A171,LinkedIn_content_raw!$A$2:$A1000,LinkedIn_content_raw!$K$2:$K1000),XLOOKUP($A171,LinkedIn_content_raw!$A$2:$A1000,LinkedIn_content_raw!$N$2:$N1000),XLOOKUP($A171,LinkedIn_content_raw!$A$2:$A1000,LinkedIn_content_raw!$Q$2:$Q1000))</f>
        <v>8</v>
      </c>
      <c r="E171" s="26">
        <f t="array" ref="E171">XLOOKUP($A171,LinkedIn_content_raw!$A$2:$A1000,LinkedIn_content_raw!$E$2:$E1000)</f>
        <v>68</v>
      </c>
    </row>
    <row r="172">
      <c r="A172" s="27">
        <f>LinkedIn_content_raw!$A173</f>
        <v>45644</v>
      </c>
      <c r="B172" s="24" t="str">
        <f t="shared" si="1"/>
        <v>LinkedIn</v>
      </c>
      <c r="C172" s="26">
        <f t="array" ref="C172">XLOOKUP($A172,LinkedIn_follows_raw!$A$2:$A1000,LinkedIn_follows_raw!$E$2:$E1000)</f>
        <v>5</v>
      </c>
      <c r="D172" s="26">
        <f t="array" ref="D172">sum(XLOOKUP($A172,LinkedIn_content_raw!$A$2:$A1000,LinkedIn_content_raw!$K$2:$K1000),XLOOKUP($A172,LinkedIn_content_raw!$A$2:$A1000,LinkedIn_content_raw!$N$2:$N1000),XLOOKUP($A172,LinkedIn_content_raw!$A$2:$A1000,LinkedIn_content_raw!$Q$2:$Q1000))</f>
        <v>23</v>
      </c>
      <c r="E172" s="26">
        <f t="array" ref="E172">XLOOKUP($A172,LinkedIn_content_raw!$A$2:$A1000,LinkedIn_content_raw!$E$2:$E1000)</f>
        <v>201</v>
      </c>
    </row>
    <row r="173">
      <c r="A173" s="27">
        <f>LinkedIn_content_raw!$A174</f>
        <v>45645</v>
      </c>
      <c r="B173" s="24" t="str">
        <f t="shared" si="1"/>
        <v>LinkedIn</v>
      </c>
      <c r="C173" s="26">
        <f t="array" ref="C173">XLOOKUP($A173,LinkedIn_follows_raw!$A$2:$A1000,LinkedIn_follows_raw!$E$2:$E1000)</f>
        <v>0</v>
      </c>
      <c r="D173" s="26">
        <f t="array" ref="D173">sum(XLOOKUP($A173,LinkedIn_content_raw!$A$2:$A1000,LinkedIn_content_raw!$K$2:$K1000),XLOOKUP($A173,LinkedIn_content_raw!$A$2:$A1000,LinkedIn_content_raw!$N$2:$N1000),XLOOKUP($A173,LinkedIn_content_raw!$A$2:$A1000,LinkedIn_content_raw!$Q$2:$Q1000))</f>
        <v>18</v>
      </c>
      <c r="E173" s="26">
        <f t="array" ref="E173">XLOOKUP($A173,LinkedIn_content_raw!$A$2:$A1000,LinkedIn_content_raw!$E$2:$E1000)</f>
        <v>131</v>
      </c>
    </row>
    <row r="174">
      <c r="A174" s="27">
        <f>LinkedIn_content_raw!$A175</f>
        <v>45646</v>
      </c>
      <c r="B174" s="24" t="str">
        <f t="shared" si="1"/>
        <v>LinkedIn</v>
      </c>
      <c r="C174" s="26">
        <f t="array" ref="C174">XLOOKUP($A174,LinkedIn_follows_raw!$A$2:$A1000,LinkedIn_follows_raw!$E$2:$E1000)</f>
        <v>1</v>
      </c>
      <c r="D174" s="26">
        <f t="array" ref="D174">sum(XLOOKUP($A174,LinkedIn_content_raw!$A$2:$A1000,LinkedIn_content_raw!$K$2:$K1000),XLOOKUP($A174,LinkedIn_content_raw!$A$2:$A1000,LinkedIn_content_raw!$N$2:$N1000),XLOOKUP($A174,LinkedIn_content_raw!$A$2:$A1000,LinkedIn_content_raw!$Q$2:$Q1000))</f>
        <v>8</v>
      </c>
      <c r="E174" s="26">
        <f t="array" ref="E174">XLOOKUP($A174,LinkedIn_content_raw!$A$2:$A1000,LinkedIn_content_raw!$E$2:$E1000)</f>
        <v>115</v>
      </c>
    </row>
    <row r="175">
      <c r="A175" s="27">
        <f>LinkedIn_content_raw!$A176</f>
        <v>45647</v>
      </c>
      <c r="B175" s="24" t="str">
        <f t="shared" si="1"/>
        <v>LinkedIn</v>
      </c>
      <c r="C175" s="26">
        <f t="array" ref="C175">XLOOKUP($A175,LinkedIn_follows_raw!$A$2:$A1000,LinkedIn_follows_raw!$E$2:$E1000)</f>
        <v>1</v>
      </c>
      <c r="D175" s="26">
        <f t="array" ref="D175">sum(XLOOKUP($A175,LinkedIn_content_raw!$A$2:$A1000,LinkedIn_content_raw!$K$2:$K1000),XLOOKUP($A175,LinkedIn_content_raw!$A$2:$A1000,LinkedIn_content_raw!$N$2:$N1000),XLOOKUP($A175,LinkedIn_content_raw!$A$2:$A1000,LinkedIn_content_raw!$Q$2:$Q1000))</f>
        <v>21</v>
      </c>
      <c r="E175" s="26">
        <f t="array" ref="E175">XLOOKUP($A175,LinkedIn_content_raw!$A$2:$A1000,LinkedIn_content_raw!$E$2:$E1000)</f>
        <v>143</v>
      </c>
    </row>
    <row r="176">
      <c r="A176" s="27">
        <f>LinkedIn_content_raw!$A177</f>
        <v>45648</v>
      </c>
      <c r="B176" s="24" t="str">
        <f t="shared" si="1"/>
        <v>LinkedIn</v>
      </c>
      <c r="C176" s="26">
        <f t="array" ref="C176">XLOOKUP($A176,LinkedIn_follows_raw!$A$2:$A1000,LinkedIn_follows_raw!$E$2:$E1000)</f>
        <v>0</v>
      </c>
      <c r="D176" s="26">
        <f t="array" ref="D176">sum(XLOOKUP($A176,LinkedIn_content_raw!$A$2:$A1000,LinkedIn_content_raw!$K$2:$K1000),XLOOKUP($A176,LinkedIn_content_raw!$A$2:$A1000,LinkedIn_content_raw!$N$2:$N1000),XLOOKUP($A176,LinkedIn_content_raw!$A$2:$A1000,LinkedIn_content_raw!$Q$2:$Q1000))</f>
        <v>2</v>
      </c>
      <c r="E176" s="26">
        <f t="array" ref="E176">XLOOKUP($A176,LinkedIn_content_raw!$A$2:$A1000,LinkedIn_content_raw!$E$2:$E1000)</f>
        <v>50</v>
      </c>
    </row>
    <row r="177">
      <c r="A177" s="27">
        <f>LinkedIn_content_raw!$A178</f>
        <v>45649</v>
      </c>
      <c r="B177" s="24" t="str">
        <f t="shared" si="1"/>
        <v>LinkedIn</v>
      </c>
      <c r="C177" s="26">
        <f t="array" ref="C177">XLOOKUP($A177,LinkedIn_follows_raw!$A$2:$A1000,LinkedIn_follows_raw!$E$2:$E1000)</f>
        <v>0</v>
      </c>
      <c r="D177" s="26">
        <f t="array" ref="D177">sum(XLOOKUP($A177,LinkedIn_content_raw!$A$2:$A1000,LinkedIn_content_raw!$K$2:$K1000),XLOOKUP($A177,LinkedIn_content_raw!$A$2:$A1000,LinkedIn_content_raw!$N$2:$N1000),XLOOKUP($A177,LinkedIn_content_raw!$A$2:$A1000,LinkedIn_content_raw!$Q$2:$Q1000))</f>
        <v>2</v>
      </c>
      <c r="E177" s="26">
        <f t="array" ref="E177">XLOOKUP($A177,LinkedIn_content_raw!$A$2:$A1000,LinkedIn_content_raw!$E$2:$E1000)</f>
        <v>63</v>
      </c>
    </row>
    <row r="178">
      <c r="A178" s="27">
        <f>LinkedIn_content_raw!$A179</f>
        <v>45650</v>
      </c>
      <c r="B178" s="24" t="str">
        <f t="shared" si="1"/>
        <v>LinkedIn</v>
      </c>
      <c r="C178" s="26">
        <f t="array" ref="C178">XLOOKUP($A178,LinkedIn_follows_raw!$A$2:$A1000,LinkedIn_follows_raw!$E$2:$E1000)</f>
        <v>1</v>
      </c>
      <c r="D178" s="26">
        <f t="array" ref="D178">sum(XLOOKUP($A178,LinkedIn_content_raw!$A$2:$A1000,LinkedIn_content_raw!$K$2:$K1000),XLOOKUP($A178,LinkedIn_content_raw!$A$2:$A1000,LinkedIn_content_raw!$N$2:$N1000),XLOOKUP($A178,LinkedIn_content_raw!$A$2:$A1000,LinkedIn_content_raw!$Q$2:$Q1000))</f>
        <v>5</v>
      </c>
      <c r="E178" s="26">
        <f t="array" ref="E178">XLOOKUP($A178,LinkedIn_content_raw!$A$2:$A1000,LinkedIn_content_raw!$E$2:$E1000)</f>
        <v>40</v>
      </c>
    </row>
    <row r="179">
      <c r="A179" s="27">
        <f>LinkedIn_content_raw!$A180</f>
        <v>45651</v>
      </c>
      <c r="B179" s="24" t="str">
        <f t="shared" si="1"/>
        <v>LinkedIn</v>
      </c>
      <c r="C179" s="26">
        <f t="array" ref="C179">XLOOKUP($A179,LinkedIn_follows_raw!$A$2:$A1000,LinkedIn_follows_raw!$E$2:$E1000)</f>
        <v>1</v>
      </c>
      <c r="D179" s="26">
        <f t="array" ref="D179">sum(XLOOKUP($A179,LinkedIn_content_raw!$A$2:$A1000,LinkedIn_content_raw!$K$2:$K1000),XLOOKUP($A179,LinkedIn_content_raw!$A$2:$A1000,LinkedIn_content_raw!$N$2:$N1000),XLOOKUP($A179,LinkedIn_content_raw!$A$2:$A1000,LinkedIn_content_raw!$Q$2:$Q1000))</f>
        <v>1</v>
      </c>
      <c r="E179" s="26">
        <f t="array" ref="E179">XLOOKUP($A179,LinkedIn_content_raw!$A$2:$A1000,LinkedIn_content_raw!$E$2:$E1000)</f>
        <v>22</v>
      </c>
    </row>
    <row r="180">
      <c r="A180" s="27">
        <f>LinkedIn_content_raw!$A181</f>
        <v>45652</v>
      </c>
      <c r="B180" s="24" t="str">
        <f t="shared" si="1"/>
        <v>LinkedIn</v>
      </c>
      <c r="C180" s="26">
        <f t="array" ref="C180">XLOOKUP($A180,LinkedIn_follows_raw!$A$2:$A1000,LinkedIn_follows_raw!$E$2:$E1000)</f>
        <v>2</v>
      </c>
      <c r="D180" s="26">
        <f t="array" ref="D180">sum(XLOOKUP($A180,LinkedIn_content_raw!$A$2:$A1000,LinkedIn_content_raw!$K$2:$K1000),XLOOKUP($A180,LinkedIn_content_raw!$A$2:$A1000,LinkedIn_content_raw!$N$2:$N1000),XLOOKUP($A180,LinkedIn_content_raw!$A$2:$A1000,LinkedIn_content_raw!$Q$2:$Q1000))</f>
        <v>1</v>
      </c>
      <c r="E180" s="26">
        <f t="array" ref="E180">XLOOKUP($A180,LinkedIn_content_raw!$A$2:$A1000,LinkedIn_content_raw!$E$2:$E1000)</f>
        <v>36</v>
      </c>
    </row>
    <row r="181">
      <c r="A181" s="27">
        <f>LinkedIn_content_raw!$A182</f>
        <v>45653</v>
      </c>
      <c r="B181" s="24" t="str">
        <f t="shared" si="1"/>
        <v>LinkedIn</v>
      </c>
      <c r="C181" s="26">
        <f t="array" ref="C181">XLOOKUP($A181,LinkedIn_follows_raw!$A$2:$A1000,LinkedIn_follows_raw!$E$2:$E1000)</f>
        <v>1</v>
      </c>
      <c r="D181" s="26">
        <f t="array" ref="D181">sum(XLOOKUP($A181,LinkedIn_content_raw!$A$2:$A1000,LinkedIn_content_raw!$K$2:$K1000),XLOOKUP($A181,LinkedIn_content_raw!$A$2:$A1000,LinkedIn_content_raw!$N$2:$N1000),XLOOKUP($A181,LinkedIn_content_raw!$A$2:$A1000,LinkedIn_content_raw!$Q$2:$Q1000))</f>
        <v>1</v>
      </c>
      <c r="E181" s="26">
        <f t="array" ref="E181">XLOOKUP($A181,LinkedIn_content_raw!$A$2:$A1000,LinkedIn_content_raw!$E$2:$E1000)</f>
        <v>40</v>
      </c>
    </row>
    <row r="182">
      <c r="A182" s="27">
        <f>LinkedIn_content_raw!$A183</f>
        <v>45654</v>
      </c>
      <c r="B182" s="24" t="str">
        <f t="shared" si="1"/>
        <v>LinkedIn</v>
      </c>
      <c r="C182" s="26">
        <f t="array" ref="C182">XLOOKUP($A182,LinkedIn_follows_raw!$A$2:$A1000,LinkedIn_follows_raw!$E$2:$E1000)</f>
        <v>1</v>
      </c>
      <c r="D182" s="26">
        <f t="array" ref="D182">sum(XLOOKUP($A182,LinkedIn_content_raw!$A$2:$A1000,LinkedIn_content_raw!$K$2:$K1000),XLOOKUP($A182,LinkedIn_content_raw!$A$2:$A1000,LinkedIn_content_raw!$N$2:$N1000),XLOOKUP($A182,LinkedIn_content_raw!$A$2:$A1000,LinkedIn_content_raw!$Q$2:$Q1000))</f>
        <v>3</v>
      </c>
      <c r="E182" s="26">
        <f t="array" ref="E182">XLOOKUP($A182,LinkedIn_content_raw!$A$2:$A1000,LinkedIn_content_raw!$E$2:$E1000)</f>
        <v>29</v>
      </c>
    </row>
    <row r="183">
      <c r="A183" s="27">
        <f>LinkedIn_content_raw!$A184</f>
        <v>45655</v>
      </c>
      <c r="B183" s="24" t="str">
        <f t="shared" si="1"/>
        <v>LinkedIn</v>
      </c>
      <c r="C183" s="26">
        <f t="array" ref="C183">XLOOKUP($A183,LinkedIn_follows_raw!$A$2:$A1000,LinkedIn_follows_raw!$E$2:$E1000)</f>
        <v>0</v>
      </c>
      <c r="D183" s="26">
        <f t="array" ref="D183">sum(XLOOKUP($A183,LinkedIn_content_raw!$A$2:$A1000,LinkedIn_content_raw!$K$2:$K1000),XLOOKUP($A183,LinkedIn_content_raw!$A$2:$A1000,LinkedIn_content_raw!$N$2:$N1000),XLOOKUP($A183,LinkedIn_content_raw!$A$2:$A1000,LinkedIn_content_raw!$Q$2:$Q1000))</f>
        <v>3</v>
      </c>
      <c r="E183" s="26">
        <f t="array" ref="E183">XLOOKUP($A183,LinkedIn_content_raw!$A$2:$A1000,LinkedIn_content_raw!$E$2:$E1000)</f>
        <v>37</v>
      </c>
    </row>
    <row r="184">
      <c r="A184" s="27">
        <f>LinkedIn_content_raw!$A185</f>
        <v>45656</v>
      </c>
      <c r="B184" s="24" t="str">
        <f t="shared" si="1"/>
        <v>LinkedIn</v>
      </c>
      <c r="C184" s="26">
        <f t="array" ref="C184">XLOOKUP($A184,LinkedIn_follows_raw!$A$2:$A1000,LinkedIn_follows_raw!$E$2:$E1000)</f>
        <v>1</v>
      </c>
      <c r="D184" s="26">
        <f t="array" ref="D184">sum(XLOOKUP($A184,LinkedIn_content_raw!$A$2:$A1000,LinkedIn_content_raw!$K$2:$K1000),XLOOKUP($A184,LinkedIn_content_raw!$A$2:$A1000,LinkedIn_content_raw!$N$2:$N1000),XLOOKUP($A184,LinkedIn_content_raw!$A$2:$A1000,LinkedIn_content_raw!$Q$2:$Q1000))</f>
        <v>4</v>
      </c>
      <c r="E184" s="26">
        <f t="array" ref="E184">XLOOKUP($A184,LinkedIn_content_raw!$A$2:$A1000,LinkedIn_content_raw!$E$2:$E1000)</f>
        <v>40</v>
      </c>
    </row>
    <row r="185">
      <c r="A185" s="27">
        <f>LinkedIn_content_raw!$A186</f>
        <v>45657</v>
      </c>
      <c r="B185" s="24" t="str">
        <f t="shared" si="1"/>
        <v>LinkedIn</v>
      </c>
      <c r="C185" s="26">
        <f t="array" ref="C185">XLOOKUP($A185,LinkedIn_follows_raw!$A$2:$A1000,LinkedIn_follows_raw!$E$2:$E1000)</f>
        <v>1</v>
      </c>
      <c r="D185" s="26">
        <f t="array" ref="D185">sum(XLOOKUP($A185,LinkedIn_content_raw!$A$2:$A1000,LinkedIn_content_raw!$K$2:$K1000),XLOOKUP($A185,LinkedIn_content_raw!$A$2:$A1000,LinkedIn_content_raw!$N$2:$N1000),XLOOKUP($A185,LinkedIn_content_raw!$A$2:$A1000,LinkedIn_content_raw!$Q$2:$Q1000))</f>
        <v>0</v>
      </c>
      <c r="E185" s="26">
        <f t="array" ref="E185">XLOOKUP($A185,LinkedIn_content_raw!$A$2:$A1000,LinkedIn_content_raw!$E$2:$E1000)</f>
        <v>29</v>
      </c>
    </row>
    <row r="186">
      <c r="A186" s="25">
        <f>LinkedIn_content_raw!$A187</f>
        <v>45658</v>
      </c>
      <c r="B186" s="24" t="str">
        <f t="shared" si="1"/>
        <v>LinkedIn</v>
      </c>
      <c r="C186" s="26">
        <f t="array" ref="C186">XLOOKUP($A186,LinkedIn_follows_raw!$A$2:$A1000,LinkedIn_follows_raw!$E$2:$E1000)</f>
        <v>0</v>
      </c>
      <c r="D186" s="26">
        <f t="array" ref="D186">sum(XLOOKUP($A186,LinkedIn_content_raw!$A$2:$A1000,LinkedIn_content_raw!$K$2:$K1000),XLOOKUP($A186,LinkedIn_content_raw!$A$2:$A1000,LinkedIn_content_raw!$N$2:$N1000),XLOOKUP($A186,LinkedIn_content_raw!$A$2:$A1000,LinkedIn_content_raw!$Q$2:$Q1000))</f>
        <v>7</v>
      </c>
      <c r="E186" s="26">
        <f t="array" ref="E186">XLOOKUP($A186,LinkedIn_content_raw!$A$2:$A1000,LinkedIn_content_raw!$E$2:$E1000)</f>
        <v>62</v>
      </c>
    </row>
    <row r="187">
      <c r="A187" s="25">
        <f>LinkedIn_content_raw!$A188</f>
        <v>45659</v>
      </c>
      <c r="B187" s="24" t="str">
        <f t="shared" si="1"/>
        <v>LinkedIn</v>
      </c>
      <c r="C187" s="26">
        <f t="array" ref="C187">XLOOKUP($A187,LinkedIn_follows_raw!$A$2:$A1000,LinkedIn_follows_raw!$E$2:$E1000)</f>
        <v>0</v>
      </c>
      <c r="D187" s="26">
        <f t="array" ref="D187">sum(XLOOKUP($A187,LinkedIn_content_raw!$A$2:$A1000,LinkedIn_content_raw!$K$2:$K1000),XLOOKUP($A187,LinkedIn_content_raw!$A$2:$A1000,LinkedIn_content_raw!$N$2:$N1000),XLOOKUP($A187,LinkedIn_content_raw!$A$2:$A1000,LinkedIn_content_raw!$Q$2:$Q1000))</f>
        <v>10</v>
      </c>
      <c r="E187" s="26">
        <f t="array" ref="E187">XLOOKUP($A187,LinkedIn_content_raw!$A$2:$A1000,LinkedIn_content_raw!$E$2:$E1000)</f>
        <v>69</v>
      </c>
    </row>
    <row r="188">
      <c r="A188" s="25">
        <f>LinkedIn_content_raw!$A189</f>
        <v>45660</v>
      </c>
      <c r="B188" s="24" t="str">
        <f t="shared" si="1"/>
        <v>LinkedIn</v>
      </c>
      <c r="C188" s="26">
        <f t="array" ref="C188">XLOOKUP($A188,LinkedIn_follows_raw!$A$2:$A1000,LinkedIn_follows_raw!$E$2:$E1000)</f>
        <v>2</v>
      </c>
      <c r="D188" s="26">
        <f t="array" ref="D188">sum(XLOOKUP($A188,LinkedIn_content_raw!$A$2:$A1000,LinkedIn_content_raw!$K$2:$K1000),XLOOKUP($A188,LinkedIn_content_raw!$A$2:$A1000,LinkedIn_content_raw!$N$2:$N1000),XLOOKUP($A188,LinkedIn_content_raw!$A$2:$A1000,LinkedIn_content_raw!$Q$2:$Q1000))</f>
        <v>7</v>
      </c>
      <c r="E188" s="26">
        <f t="array" ref="E188">XLOOKUP($A188,LinkedIn_content_raw!$A$2:$A1000,LinkedIn_content_raw!$E$2:$E1000)</f>
        <v>85</v>
      </c>
    </row>
    <row r="189">
      <c r="A189" s="25">
        <f>LinkedIn_content_raw!$A190</f>
        <v>45661</v>
      </c>
      <c r="B189" s="24" t="str">
        <f t="shared" si="1"/>
        <v>LinkedIn</v>
      </c>
      <c r="C189" s="26">
        <f t="array" ref="C189">XLOOKUP($A189,LinkedIn_follows_raw!$A$2:$A1000,LinkedIn_follows_raw!$E$2:$E1000)</f>
        <v>1</v>
      </c>
      <c r="D189" s="26">
        <f t="array" ref="D189">sum(XLOOKUP($A189,LinkedIn_content_raw!$A$2:$A1000,LinkedIn_content_raw!$K$2:$K1000),XLOOKUP($A189,LinkedIn_content_raw!$A$2:$A1000,LinkedIn_content_raw!$N$2:$N1000),XLOOKUP($A189,LinkedIn_content_raw!$A$2:$A1000,LinkedIn_content_raw!$Q$2:$Q1000))</f>
        <v>0</v>
      </c>
      <c r="E189" s="26">
        <f t="array" ref="E189">XLOOKUP($A189,LinkedIn_content_raw!$A$2:$A1000,LinkedIn_content_raw!$E$2:$E1000)</f>
        <v>22</v>
      </c>
    </row>
    <row r="190">
      <c r="A190" s="25">
        <f>LinkedIn_content_raw!$A191</f>
        <v>45662</v>
      </c>
      <c r="B190" s="24" t="str">
        <f t="shared" si="1"/>
        <v>LinkedIn</v>
      </c>
      <c r="C190" s="26">
        <f t="array" ref="C190">XLOOKUP($A190,LinkedIn_follows_raw!$A$2:$A1000,LinkedIn_follows_raw!$E$2:$E1000)</f>
        <v>1</v>
      </c>
      <c r="D190" s="26">
        <f t="array" ref="D190">sum(XLOOKUP($A190,LinkedIn_content_raw!$A$2:$A1000,LinkedIn_content_raw!$K$2:$K1000),XLOOKUP($A190,LinkedIn_content_raw!$A$2:$A1000,LinkedIn_content_raw!$N$2:$N1000),XLOOKUP($A190,LinkedIn_content_raw!$A$2:$A1000,LinkedIn_content_raw!$Q$2:$Q1000))</f>
        <v>1</v>
      </c>
      <c r="E190" s="26">
        <f t="array" ref="E190">XLOOKUP($A190,LinkedIn_content_raw!$A$2:$A1000,LinkedIn_content_raw!$E$2:$E1000)</f>
        <v>24</v>
      </c>
    </row>
    <row r="191">
      <c r="A191" s="25">
        <f>LinkedIn_content_raw!$A192</f>
        <v>45663</v>
      </c>
      <c r="B191" s="24" t="str">
        <f t="shared" si="1"/>
        <v>LinkedIn</v>
      </c>
      <c r="C191" s="26">
        <f t="array" ref="C191">XLOOKUP($A191,LinkedIn_follows_raw!$A$2:$A1000,LinkedIn_follows_raw!$E$2:$E1000)</f>
        <v>3</v>
      </c>
      <c r="D191" s="26">
        <f t="array" ref="D191">sum(XLOOKUP($A191,LinkedIn_content_raw!$A$2:$A1000,LinkedIn_content_raw!$K$2:$K1000),XLOOKUP($A191,LinkedIn_content_raw!$A$2:$A1000,LinkedIn_content_raw!$N$2:$N1000),XLOOKUP($A191,LinkedIn_content_raw!$A$2:$A1000,LinkedIn_content_raw!$Q$2:$Q1000))</f>
        <v>5</v>
      </c>
      <c r="E191" s="26">
        <f t="array" ref="E191">XLOOKUP($A191,LinkedIn_content_raw!$A$2:$A1000,LinkedIn_content_raw!$E$2:$E1000)</f>
        <v>33</v>
      </c>
    </row>
    <row r="192">
      <c r="A192" s="25">
        <f>LinkedIn_content_raw!$A193</f>
        <v>45664</v>
      </c>
      <c r="B192" s="24" t="str">
        <f t="shared" si="1"/>
        <v>LinkedIn</v>
      </c>
      <c r="C192" s="26">
        <f t="array" ref="C192">XLOOKUP($A192,LinkedIn_follows_raw!$A$2:$A1000,LinkedIn_follows_raw!$E$2:$E1000)</f>
        <v>2</v>
      </c>
      <c r="D192" s="26">
        <f t="array" ref="D192">sum(XLOOKUP($A192,LinkedIn_content_raw!$A$2:$A1000,LinkedIn_content_raw!$K$2:$K1000),XLOOKUP($A192,LinkedIn_content_raw!$A$2:$A1000,LinkedIn_content_raw!$N$2:$N1000),XLOOKUP($A192,LinkedIn_content_raw!$A$2:$A1000,LinkedIn_content_raw!$Q$2:$Q1000))</f>
        <v>1</v>
      </c>
      <c r="E192" s="26">
        <f t="array" ref="E192">XLOOKUP($A192,LinkedIn_content_raw!$A$2:$A1000,LinkedIn_content_raw!$E$2:$E1000)</f>
        <v>33</v>
      </c>
    </row>
    <row r="193">
      <c r="A193" s="25">
        <f>LinkedIn_content_raw!$A194</f>
        <v>45665</v>
      </c>
      <c r="B193" s="24" t="str">
        <f t="shared" si="1"/>
        <v>LinkedIn</v>
      </c>
      <c r="C193" s="26">
        <f t="array" ref="C193">XLOOKUP($A193,LinkedIn_follows_raw!$A$2:$A1000,LinkedIn_follows_raw!$E$2:$E1000)</f>
        <v>10</v>
      </c>
      <c r="D193" s="26">
        <f t="array" ref="D193">sum(XLOOKUP($A193,LinkedIn_content_raw!$A$2:$A1000,LinkedIn_content_raw!$K$2:$K1000),XLOOKUP($A193,LinkedIn_content_raw!$A$2:$A1000,LinkedIn_content_raw!$N$2:$N1000),XLOOKUP($A193,LinkedIn_content_raw!$A$2:$A1000,LinkedIn_content_raw!$Q$2:$Q1000))</f>
        <v>1</v>
      </c>
      <c r="E193" s="26">
        <f t="array" ref="E193">XLOOKUP($A193,LinkedIn_content_raw!$A$2:$A1000,LinkedIn_content_raw!$E$2:$E1000)</f>
        <v>30</v>
      </c>
    </row>
    <row r="194">
      <c r="A194" s="25">
        <f>LinkedIn_content_raw!$A195</f>
        <v>45666</v>
      </c>
      <c r="B194" s="24" t="str">
        <f t="shared" si="1"/>
        <v>LinkedIn</v>
      </c>
      <c r="C194" s="26">
        <f t="array" ref="C194">XLOOKUP($A194,LinkedIn_follows_raw!$A$2:$A1000,LinkedIn_follows_raw!$E$2:$E1000)</f>
        <v>1</v>
      </c>
      <c r="D194" s="26">
        <f t="array" ref="D194">sum(XLOOKUP($A194,LinkedIn_content_raw!$A$2:$A1000,LinkedIn_content_raw!$K$2:$K1000),XLOOKUP($A194,LinkedIn_content_raw!$A$2:$A1000,LinkedIn_content_raw!$N$2:$N1000),XLOOKUP($A194,LinkedIn_content_raw!$A$2:$A1000,LinkedIn_content_raw!$Q$2:$Q1000))</f>
        <v>1</v>
      </c>
      <c r="E194" s="26">
        <f t="array" ref="E194">XLOOKUP($A194,LinkedIn_content_raw!$A$2:$A1000,LinkedIn_content_raw!$E$2:$E1000)</f>
        <v>23</v>
      </c>
    </row>
    <row r="195">
      <c r="A195" s="25">
        <f>LinkedIn_content_raw!$A196</f>
        <v>45667</v>
      </c>
      <c r="B195" s="24" t="str">
        <f t="shared" si="1"/>
        <v>LinkedIn</v>
      </c>
      <c r="C195" s="26">
        <f t="array" ref="C195">XLOOKUP($A195,LinkedIn_follows_raw!$A$2:$A1000,LinkedIn_follows_raw!$E$2:$E1000)</f>
        <v>2</v>
      </c>
      <c r="D195" s="26">
        <f t="array" ref="D195">sum(XLOOKUP($A195,LinkedIn_content_raw!$A$2:$A1000,LinkedIn_content_raw!$K$2:$K1000),XLOOKUP($A195,LinkedIn_content_raw!$A$2:$A1000,LinkedIn_content_raw!$N$2:$N1000),XLOOKUP($A195,LinkedIn_content_raw!$A$2:$A1000,LinkedIn_content_raw!$Q$2:$Q1000))</f>
        <v>2</v>
      </c>
      <c r="E195" s="26">
        <f t="array" ref="E195">XLOOKUP($A195,LinkedIn_content_raw!$A$2:$A1000,LinkedIn_content_raw!$E$2:$E1000)</f>
        <v>21</v>
      </c>
    </row>
    <row r="196">
      <c r="A196" s="25">
        <f>LinkedIn_content_raw!$A197</f>
        <v>45668</v>
      </c>
      <c r="B196" s="24" t="str">
        <f t="shared" si="1"/>
        <v>LinkedIn</v>
      </c>
      <c r="C196" s="26">
        <f t="array" ref="C196">XLOOKUP($A196,LinkedIn_follows_raw!$A$2:$A1000,LinkedIn_follows_raw!$E$2:$E1000)</f>
        <v>1</v>
      </c>
      <c r="D196" s="26">
        <f t="array" ref="D196">sum(XLOOKUP($A196,LinkedIn_content_raw!$A$2:$A1000,LinkedIn_content_raw!$K$2:$K1000),XLOOKUP($A196,LinkedIn_content_raw!$A$2:$A1000,LinkedIn_content_raw!$N$2:$N1000),XLOOKUP($A196,LinkedIn_content_raw!$A$2:$A1000,LinkedIn_content_raw!$Q$2:$Q1000))</f>
        <v>2</v>
      </c>
      <c r="E196" s="26">
        <f t="array" ref="E196">XLOOKUP($A196,LinkedIn_content_raw!$A$2:$A1000,LinkedIn_content_raw!$E$2:$E1000)</f>
        <v>22</v>
      </c>
    </row>
    <row r="197">
      <c r="A197" s="25">
        <f>LinkedIn_content_raw!$A198</f>
        <v>45669</v>
      </c>
      <c r="B197" s="24" t="str">
        <f t="shared" si="1"/>
        <v>LinkedIn</v>
      </c>
      <c r="C197" s="26">
        <f t="array" ref="C197">XLOOKUP($A197,LinkedIn_follows_raw!$A$2:$A1000,LinkedIn_follows_raw!$E$2:$E1000)</f>
        <v>1</v>
      </c>
      <c r="D197" s="26">
        <f t="array" ref="D197">sum(XLOOKUP($A197,LinkedIn_content_raw!$A$2:$A1000,LinkedIn_content_raw!$K$2:$K1000),XLOOKUP($A197,LinkedIn_content_raw!$A$2:$A1000,LinkedIn_content_raw!$N$2:$N1000),XLOOKUP($A197,LinkedIn_content_raw!$A$2:$A1000,LinkedIn_content_raw!$Q$2:$Q1000))</f>
        <v>0</v>
      </c>
      <c r="E197" s="26">
        <f t="array" ref="E197">XLOOKUP($A197,LinkedIn_content_raw!$A$2:$A1000,LinkedIn_content_raw!$E$2:$E1000)</f>
        <v>10</v>
      </c>
    </row>
    <row r="198">
      <c r="A198" s="25">
        <f>LinkedIn_content_raw!$A199</f>
        <v>45670</v>
      </c>
      <c r="B198" s="24" t="str">
        <f t="shared" si="1"/>
        <v>LinkedIn</v>
      </c>
      <c r="C198" s="26">
        <f t="array" ref="C198">XLOOKUP($A198,LinkedIn_follows_raw!$A$2:$A1000,LinkedIn_follows_raw!$E$2:$E1000)</f>
        <v>1</v>
      </c>
      <c r="D198" s="26">
        <f t="array" ref="D198">sum(XLOOKUP($A198,LinkedIn_content_raw!$A$2:$A1000,LinkedIn_content_raw!$K$2:$K1000),XLOOKUP($A198,LinkedIn_content_raw!$A$2:$A1000,LinkedIn_content_raw!$N$2:$N1000),XLOOKUP($A198,LinkedIn_content_raw!$A$2:$A1000,LinkedIn_content_raw!$Q$2:$Q1000))</f>
        <v>2</v>
      </c>
      <c r="E198" s="26">
        <f t="array" ref="E198">XLOOKUP($A198,LinkedIn_content_raw!$A$2:$A1000,LinkedIn_content_raw!$E$2:$E1000)</f>
        <v>46</v>
      </c>
    </row>
    <row r="199">
      <c r="A199" s="25">
        <f>LinkedIn_content_raw!$A200</f>
        <v>45671</v>
      </c>
      <c r="B199" s="24" t="str">
        <f t="shared" si="1"/>
        <v>LinkedIn</v>
      </c>
      <c r="C199" s="26">
        <f t="array" ref="C199">XLOOKUP($A199,LinkedIn_follows_raw!$A$2:$A1000,LinkedIn_follows_raw!$E$2:$E1000)</f>
        <v>-1</v>
      </c>
      <c r="D199" s="26">
        <f t="array" ref="D199">sum(XLOOKUP($A199,LinkedIn_content_raw!$A$2:$A1000,LinkedIn_content_raw!$K$2:$K1000),XLOOKUP($A199,LinkedIn_content_raw!$A$2:$A1000,LinkedIn_content_raw!$N$2:$N1000),XLOOKUP($A199,LinkedIn_content_raw!$A$2:$A1000,LinkedIn_content_raw!$Q$2:$Q1000))</f>
        <v>7</v>
      </c>
      <c r="E199" s="26">
        <f t="array" ref="E199">XLOOKUP($A199,LinkedIn_content_raw!$A$2:$A1000,LinkedIn_content_raw!$E$2:$E1000)</f>
        <v>55</v>
      </c>
    </row>
    <row r="200">
      <c r="A200" s="25">
        <f>LinkedIn_content_raw!$A201</f>
        <v>45672</v>
      </c>
      <c r="B200" s="24" t="str">
        <f t="shared" si="1"/>
        <v>LinkedIn</v>
      </c>
      <c r="C200" s="26">
        <f t="array" ref="C200">XLOOKUP($A200,LinkedIn_follows_raw!$A$2:$A1000,LinkedIn_follows_raw!$E$2:$E1000)</f>
        <v>1</v>
      </c>
      <c r="D200" s="26">
        <f t="array" ref="D200">sum(XLOOKUP($A200,LinkedIn_content_raw!$A$2:$A1000,LinkedIn_content_raw!$K$2:$K1000),XLOOKUP($A200,LinkedIn_content_raw!$A$2:$A1000,LinkedIn_content_raw!$N$2:$N1000),XLOOKUP($A200,LinkedIn_content_raw!$A$2:$A1000,LinkedIn_content_raw!$Q$2:$Q1000))</f>
        <v>1</v>
      </c>
      <c r="E200" s="26">
        <f t="array" ref="E200">XLOOKUP($A200,LinkedIn_content_raw!$A$2:$A1000,LinkedIn_content_raw!$E$2:$E1000)</f>
        <v>19</v>
      </c>
    </row>
    <row r="201">
      <c r="A201" s="25">
        <f>LinkedIn_content_raw!$A202</f>
        <v>45673</v>
      </c>
      <c r="B201" s="24" t="str">
        <f t="shared" si="1"/>
        <v>LinkedIn</v>
      </c>
      <c r="C201" s="26">
        <f t="array" ref="C201">XLOOKUP($A201,LinkedIn_follows_raw!$A$2:$A1000,LinkedIn_follows_raw!$E$2:$E1000)</f>
        <v>0</v>
      </c>
      <c r="D201" s="26">
        <f t="array" ref="D201">sum(XLOOKUP($A201,LinkedIn_content_raw!$A$2:$A1000,LinkedIn_content_raw!$K$2:$K1000),XLOOKUP($A201,LinkedIn_content_raw!$A$2:$A1000,LinkedIn_content_raw!$N$2:$N1000),XLOOKUP($A201,LinkedIn_content_raw!$A$2:$A1000,LinkedIn_content_raw!$Q$2:$Q1000))</f>
        <v>18</v>
      </c>
      <c r="E201" s="26">
        <f t="array" ref="E201">XLOOKUP($A201,LinkedIn_content_raw!$A$2:$A1000,LinkedIn_content_raw!$E$2:$E1000)</f>
        <v>124</v>
      </c>
    </row>
    <row r="202">
      <c r="A202" s="25">
        <f>LinkedIn_content_raw!$A203</f>
        <v>45674</v>
      </c>
      <c r="B202" s="24" t="str">
        <f t="shared" si="1"/>
        <v>LinkedIn</v>
      </c>
      <c r="C202" s="26">
        <f t="array" ref="C202">XLOOKUP($A202,LinkedIn_follows_raw!$A$2:$A1000,LinkedIn_follows_raw!$E$2:$E1000)</f>
        <v>2</v>
      </c>
      <c r="D202" s="26">
        <f t="array" ref="D202">sum(XLOOKUP($A202,LinkedIn_content_raw!$A$2:$A1000,LinkedIn_content_raw!$K$2:$K1000),XLOOKUP($A202,LinkedIn_content_raw!$A$2:$A1000,LinkedIn_content_raw!$N$2:$N1000),XLOOKUP($A202,LinkedIn_content_raw!$A$2:$A1000,LinkedIn_content_raw!$Q$2:$Q1000))</f>
        <v>10</v>
      </c>
      <c r="E202" s="26">
        <f t="array" ref="E202">XLOOKUP($A202,LinkedIn_content_raw!$A$2:$A1000,LinkedIn_content_raw!$E$2:$E1000)</f>
        <v>111</v>
      </c>
    </row>
    <row r="203">
      <c r="A203" s="25">
        <f>LinkedIn_content_raw!$A204</f>
        <v>45675</v>
      </c>
      <c r="B203" s="24" t="str">
        <f t="shared" si="1"/>
        <v>LinkedIn</v>
      </c>
      <c r="C203" s="26">
        <f t="array" ref="C203">XLOOKUP($A203,LinkedIn_follows_raw!$A$2:$A1000,LinkedIn_follows_raw!$E$2:$E1000)</f>
        <v>0</v>
      </c>
      <c r="D203" s="26">
        <f t="array" ref="D203">sum(XLOOKUP($A203,LinkedIn_content_raw!$A$2:$A1000,LinkedIn_content_raw!$K$2:$K1000),XLOOKUP($A203,LinkedIn_content_raw!$A$2:$A1000,LinkedIn_content_raw!$N$2:$N1000),XLOOKUP($A203,LinkedIn_content_raw!$A$2:$A1000,LinkedIn_content_raw!$Q$2:$Q1000))</f>
        <v>9</v>
      </c>
      <c r="E203" s="26">
        <f t="array" ref="E203">XLOOKUP($A203,LinkedIn_content_raw!$A$2:$A1000,LinkedIn_content_raw!$E$2:$E1000)</f>
        <v>93</v>
      </c>
    </row>
    <row r="204">
      <c r="A204" s="25">
        <f>LinkedIn_content_raw!$A205</f>
        <v>45676</v>
      </c>
      <c r="B204" s="24" t="str">
        <f t="shared" si="1"/>
        <v>LinkedIn</v>
      </c>
      <c r="C204" s="26">
        <f t="array" ref="C204">XLOOKUP($A204,LinkedIn_follows_raw!$A$2:$A1000,LinkedIn_follows_raw!$E$2:$E1000)</f>
        <v>0</v>
      </c>
      <c r="D204" s="26">
        <f t="array" ref="D204">sum(XLOOKUP($A204,LinkedIn_content_raw!$A$2:$A1000,LinkedIn_content_raw!$K$2:$K1000),XLOOKUP($A204,LinkedIn_content_raw!$A$2:$A1000,LinkedIn_content_raw!$N$2:$N1000),XLOOKUP($A204,LinkedIn_content_raw!$A$2:$A1000,LinkedIn_content_raw!$Q$2:$Q1000))</f>
        <v>2</v>
      </c>
      <c r="E204" s="26">
        <f t="array" ref="E204">XLOOKUP($A204,LinkedIn_content_raw!$A$2:$A1000,LinkedIn_content_raw!$E$2:$E1000)</f>
        <v>29</v>
      </c>
    </row>
    <row r="205">
      <c r="A205" s="25">
        <f>LinkedIn_content_raw!$A206</f>
        <v>45677</v>
      </c>
      <c r="B205" s="24" t="str">
        <f t="shared" si="1"/>
        <v>LinkedIn</v>
      </c>
      <c r="C205" s="26">
        <f t="array" ref="C205">XLOOKUP($A205,LinkedIn_follows_raw!$A$2:$A1000,LinkedIn_follows_raw!$E$2:$E1000)</f>
        <v>1</v>
      </c>
      <c r="D205" s="26">
        <f t="array" ref="D205">sum(XLOOKUP($A205,LinkedIn_content_raw!$A$2:$A1000,LinkedIn_content_raw!$K$2:$K1000),XLOOKUP($A205,LinkedIn_content_raw!$A$2:$A1000,LinkedIn_content_raw!$N$2:$N1000),XLOOKUP($A205,LinkedIn_content_raw!$A$2:$A1000,LinkedIn_content_raw!$Q$2:$Q1000))</f>
        <v>0</v>
      </c>
      <c r="E205" s="26">
        <f t="array" ref="E205">XLOOKUP($A205,LinkedIn_content_raw!$A$2:$A1000,LinkedIn_content_raw!$E$2:$E1000)</f>
        <v>29</v>
      </c>
    </row>
    <row r="206">
      <c r="A206" s="25">
        <f>LinkedIn_content_raw!$A207</f>
        <v>45678</v>
      </c>
      <c r="B206" s="24" t="str">
        <f t="shared" si="1"/>
        <v>LinkedIn</v>
      </c>
      <c r="C206" s="26">
        <f t="array" ref="C206">XLOOKUP($A206,LinkedIn_follows_raw!$A$2:$A1000,LinkedIn_follows_raw!$E$2:$E1000)</f>
        <v>1</v>
      </c>
      <c r="D206" s="26">
        <f t="array" ref="D206">sum(XLOOKUP($A206,LinkedIn_content_raw!$A$2:$A1000,LinkedIn_content_raw!$K$2:$K1000),XLOOKUP($A206,LinkedIn_content_raw!$A$2:$A1000,LinkedIn_content_raw!$N$2:$N1000),XLOOKUP($A206,LinkedIn_content_raw!$A$2:$A1000,LinkedIn_content_raw!$Q$2:$Q1000))</f>
        <v>11</v>
      </c>
      <c r="E206" s="26">
        <f t="array" ref="E206">XLOOKUP($A206,LinkedIn_content_raw!$A$2:$A1000,LinkedIn_content_raw!$E$2:$E1000)</f>
        <v>118</v>
      </c>
    </row>
    <row r="207">
      <c r="A207" s="25">
        <f>LinkedIn_content_raw!$A208</f>
        <v>45679</v>
      </c>
      <c r="B207" s="24" t="str">
        <f t="shared" si="1"/>
        <v>LinkedIn</v>
      </c>
      <c r="C207" s="26">
        <f t="array" ref="C207">XLOOKUP($A207,LinkedIn_follows_raw!$A$2:$A1000,LinkedIn_follows_raw!$E$2:$E1000)</f>
        <v>1</v>
      </c>
      <c r="D207" s="26">
        <f t="array" ref="D207">sum(XLOOKUP($A207,LinkedIn_content_raw!$A$2:$A1000,LinkedIn_content_raw!$K$2:$K1000),XLOOKUP($A207,LinkedIn_content_raw!$A$2:$A1000,LinkedIn_content_raw!$N$2:$N1000),XLOOKUP($A207,LinkedIn_content_raw!$A$2:$A1000,LinkedIn_content_raw!$Q$2:$Q1000))</f>
        <v>6</v>
      </c>
      <c r="E207" s="26">
        <f t="array" ref="E207">XLOOKUP($A207,LinkedIn_content_raw!$A$2:$A1000,LinkedIn_content_raw!$E$2:$E1000)</f>
        <v>53</v>
      </c>
    </row>
    <row r="208">
      <c r="A208" s="25">
        <f>LinkedIn_content_raw!$A209</f>
        <v>45680</v>
      </c>
      <c r="B208" s="24" t="str">
        <f t="shared" si="1"/>
        <v>LinkedIn</v>
      </c>
      <c r="C208" s="26">
        <f t="array" ref="C208">XLOOKUP($A208,LinkedIn_follows_raw!$A$2:$A1000,LinkedIn_follows_raw!$E$2:$E1000)</f>
        <v>2</v>
      </c>
      <c r="D208" s="26">
        <f t="array" ref="D208">sum(XLOOKUP($A208,LinkedIn_content_raw!$A$2:$A1000,LinkedIn_content_raw!$K$2:$K1000),XLOOKUP($A208,LinkedIn_content_raw!$A$2:$A1000,LinkedIn_content_raw!$N$2:$N1000),XLOOKUP($A208,LinkedIn_content_raw!$A$2:$A1000,LinkedIn_content_raw!$Q$2:$Q1000))</f>
        <v>13</v>
      </c>
      <c r="E208" s="26">
        <f t="array" ref="E208">XLOOKUP($A208,LinkedIn_content_raw!$A$2:$A1000,LinkedIn_content_raw!$E$2:$E1000)</f>
        <v>43</v>
      </c>
    </row>
    <row r="209">
      <c r="A209" s="25">
        <f>LinkedIn_content_raw!$A210</f>
        <v>45681</v>
      </c>
      <c r="B209" s="24" t="str">
        <f t="shared" si="1"/>
        <v>LinkedIn</v>
      </c>
      <c r="C209" s="26">
        <f t="array" ref="C209">XLOOKUP($A209,LinkedIn_follows_raw!$A$2:$A1000,LinkedIn_follows_raw!$E$2:$E1000)</f>
        <v>0</v>
      </c>
      <c r="D209" s="26">
        <f t="array" ref="D209">sum(XLOOKUP($A209,LinkedIn_content_raw!$A$2:$A1000,LinkedIn_content_raw!$K$2:$K1000),XLOOKUP($A209,LinkedIn_content_raw!$A$2:$A1000,LinkedIn_content_raw!$N$2:$N1000),XLOOKUP($A209,LinkedIn_content_raw!$A$2:$A1000,LinkedIn_content_raw!$Q$2:$Q1000))</f>
        <v>0</v>
      </c>
      <c r="E209" s="26">
        <f t="array" ref="E209">XLOOKUP($A209,LinkedIn_content_raw!$A$2:$A1000,LinkedIn_content_raw!$E$2:$E1000)</f>
        <v>30</v>
      </c>
    </row>
    <row r="210">
      <c r="A210" s="25">
        <f>LinkedIn_content_raw!$A211</f>
        <v>45682</v>
      </c>
      <c r="B210" s="24" t="str">
        <f t="shared" si="1"/>
        <v>LinkedIn</v>
      </c>
      <c r="C210" s="26">
        <f t="array" ref="C210">XLOOKUP($A210,LinkedIn_follows_raw!$A$2:$A1000,LinkedIn_follows_raw!$E$2:$E1000)</f>
        <v>0</v>
      </c>
      <c r="D210" s="26">
        <f t="array" ref="D210">sum(XLOOKUP($A210,LinkedIn_content_raw!$A$2:$A1000,LinkedIn_content_raw!$K$2:$K1000),XLOOKUP($A210,LinkedIn_content_raw!$A$2:$A1000,LinkedIn_content_raw!$N$2:$N1000),XLOOKUP($A210,LinkedIn_content_raw!$A$2:$A1000,LinkedIn_content_raw!$Q$2:$Q1000))</f>
        <v>1</v>
      </c>
      <c r="E210" s="26">
        <f t="array" ref="E210">XLOOKUP($A210,LinkedIn_content_raw!$A$2:$A1000,LinkedIn_content_raw!$E$2:$E1000)</f>
        <v>18</v>
      </c>
    </row>
    <row r="211">
      <c r="A211" s="25">
        <f>LinkedIn_content_raw!$A212</f>
        <v>45683</v>
      </c>
      <c r="B211" s="24" t="str">
        <f t="shared" si="1"/>
        <v>LinkedIn</v>
      </c>
      <c r="C211" s="26">
        <f t="array" ref="C211">XLOOKUP($A211,LinkedIn_follows_raw!$A$2:$A1000,LinkedIn_follows_raw!$E$2:$E1000)</f>
        <v>1</v>
      </c>
      <c r="D211" s="26">
        <f t="array" ref="D211">sum(XLOOKUP($A211,LinkedIn_content_raw!$A$2:$A1000,LinkedIn_content_raw!$K$2:$K1000),XLOOKUP($A211,LinkedIn_content_raw!$A$2:$A1000,LinkedIn_content_raw!$N$2:$N1000),XLOOKUP($A211,LinkedIn_content_raw!$A$2:$A1000,LinkedIn_content_raw!$Q$2:$Q1000))</f>
        <v>1</v>
      </c>
      <c r="E211" s="26">
        <f t="array" ref="E211">XLOOKUP($A211,LinkedIn_content_raw!$A$2:$A1000,LinkedIn_content_raw!$E$2:$E1000)</f>
        <v>12</v>
      </c>
    </row>
    <row r="212">
      <c r="A212" s="25">
        <f>LinkedIn_content_raw!$A213</f>
        <v>45684</v>
      </c>
      <c r="B212" s="24" t="str">
        <f t="shared" si="1"/>
        <v>LinkedIn</v>
      </c>
      <c r="C212" s="26">
        <f t="array" ref="C212">XLOOKUP($A212,LinkedIn_follows_raw!$A$2:$A1000,LinkedIn_follows_raw!$E$2:$E1000)</f>
        <v>2</v>
      </c>
      <c r="D212" s="26">
        <f t="array" ref="D212">sum(XLOOKUP($A212,LinkedIn_content_raw!$A$2:$A1000,LinkedIn_content_raw!$K$2:$K1000),XLOOKUP($A212,LinkedIn_content_raw!$A$2:$A1000,LinkedIn_content_raw!$N$2:$N1000),XLOOKUP($A212,LinkedIn_content_raw!$A$2:$A1000,LinkedIn_content_raw!$Q$2:$Q1000))</f>
        <v>0</v>
      </c>
      <c r="E212" s="26">
        <f t="array" ref="E212">XLOOKUP($A212,LinkedIn_content_raw!$A$2:$A1000,LinkedIn_content_raw!$E$2:$E1000)</f>
        <v>11</v>
      </c>
    </row>
    <row r="213">
      <c r="A213" s="25">
        <f>LinkedIn_content_raw!$A214</f>
        <v>45685</v>
      </c>
      <c r="B213" s="24" t="str">
        <f t="shared" si="1"/>
        <v>LinkedIn</v>
      </c>
      <c r="C213" s="26">
        <f t="array" ref="C213">XLOOKUP($A213,LinkedIn_follows_raw!$A$2:$A1000,LinkedIn_follows_raw!$E$2:$E1000)</f>
        <v>0</v>
      </c>
      <c r="D213" s="26">
        <f t="array" ref="D213">sum(XLOOKUP($A213,LinkedIn_content_raw!$A$2:$A1000,LinkedIn_content_raw!$K$2:$K1000),XLOOKUP($A213,LinkedIn_content_raw!$A$2:$A1000,LinkedIn_content_raw!$N$2:$N1000),XLOOKUP($A213,LinkedIn_content_raw!$A$2:$A1000,LinkedIn_content_raw!$Q$2:$Q1000))</f>
        <v>2</v>
      </c>
      <c r="E213" s="26">
        <f t="array" ref="E213">XLOOKUP($A213,LinkedIn_content_raw!$A$2:$A1000,LinkedIn_content_raw!$E$2:$E1000)</f>
        <v>13</v>
      </c>
    </row>
    <row r="214">
      <c r="A214" s="25">
        <f>LinkedIn_content_raw!$A215</f>
        <v>45686</v>
      </c>
      <c r="B214" s="24" t="str">
        <f t="shared" si="1"/>
        <v>LinkedIn</v>
      </c>
      <c r="C214" s="26">
        <f t="array" ref="C214">XLOOKUP($A214,LinkedIn_follows_raw!$A$2:$A1000,LinkedIn_follows_raw!$E$2:$E1000)</f>
        <v>0</v>
      </c>
      <c r="D214" s="26">
        <f t="array" ref="D214">sum(XLOOKUP($A214,LinkedIn_content_raw!$A$2:$A1000,LinkedIn_content_raw!$K$2:$K1000),XLOOKUP($A214,LinkedIn_content_raw!$A$2:$A1000,LinkedIn_content_raw!$N$2:$N1000),XLOOKUP($A214,LinkedIn_content_raw!$A$2:$A1000,LinkedIn_content_raw!$Q$2:$Q1000))</f>
        <v>0</v>
      </c>
      <c r="E214" s="26">
        <f t="array" ref="E214">XLOOKUP($A214,LinkedIn_content_raw!$A$2:$A1000,LinkedIn_content_raw!$E$2:$E1000)</f>
        <v>25</v>
      </c>
    </row>
    <row r="215">
      <c r="A215" s="25">
        <f>LinkedIn_content_raw!$A216</f>
        <v>45687</v>
      </c>
      <c r="B215" s="24" t="str">
        <f t="shared" si="1"/>
        <v>LinkedIn</v>
      </c>
      <c r="C215" s="26">
        <f t="array" ref="C215">XLOOKUP($A215,LinkedIn_follows_raw!$A$2:$A1000,LinkedIn_follows_raw!$E$2:$E1000)</f>
        <v>2</v>
      </c>
      <c r="D215" s="26">
        <f t="array" ref="D215">sum(XLOOKUP($A215,LinkedIn_content_raw!$A$2:$A1000,LinkedIn_content_raw!$K$2:$K1000),XLOOKUP($A215,LinkedIn_content_raw!$A$2:$A1000,LinkedIn_content_raw!$N$2:$N1000),XLOOKUP($A215,LinkedIn_content_raw!$A$2:$A1000,LinkedIn_content_raw!$Q$2:$Q1000))</f>
        <v>6</v>
      </c>
      <c r="E215" s="26">
        <f t="array" ref="E215">XLOOKUP($A215,LinkedIn_content_raw!$A$2:$A1000,LinkedIn_content_raw!$E$2:$E1000)</f>
        <v>53</v>
      </c>
    </row>
    <row r="216">
      <c r="A216" s="25">
        <f>LinkedIn_content_raw!$A217</f>
        <v>45688</v>
      </c>
      <c r="B216" s="24" t="str">
        <f t="shared" si="1"/>
        <v>LinkedIn</v>
      </c>
      <c r="C216" s="26">
        <f t="array" ref="C216">XLOOKUP($A216,LinkedIn_follows_raw!$A$2:$A1000,LinkedIn_follows_raw!$E$2:$E1000)</f>
        <v>1</v>
      </c>
      <c r="D216" s="26">
        <f t="array" ref="D216">sum(XLOOKUP($A216,LinkedIn_content_raw!$A$2:$A1000,LinkedIn_content_raw!$K$2:$K1000),XLOOKUP($A216,LinkedIn_content_raw!$A$2:$A1000,LinkedIn_content_raw!$N$2:$N1000),XLOOKUP($A216,LinkedIn_content_raw!$A$2:$A1000,LinkedIn_content_raw!$Q$2:$Q1000))</f>
        <v>5</v>
      </c>
      <c r="E216" s="26">
        <f t="array" ref="E216">XLOOKUP($A216,LinkedIn_content_raw!$A$2:$A1000,LinkedIn_content_raw!$E$2:$E1000)</f>
        <v>79</v>
      </c>
    </row>
    <row r="217">
      <c r="A217" s="25">
        <f>LinkedIn_content_raw!$A218</f>
        <v>45689</v>
      </c>
      <c r="B217" s="24" t="str">
        <f t="shared" si="1"/>
        <v>LinkedIn</v>
      </c>
      <c r="C217" s="26">
        <f t="array" ref="C217">XLOOKUP($A217,LinkedIn_follows_raw!$A$2:$A1000,LinkedIn_follows_raw!$E$2:$E1000)</f>
        <v>0</v>
      </c>
      <c r="D217" s="26">
        <f t="array" ref="D217">sum(XLOOKUP($A217,LinkedIn_content_raw!$A$2:$A1000,LinkedIn_content_raw!$K$2:$K1000),XLOOKUP($A217,LinkedIn_content_raw!$A$2:$A1000,LinkedIn_content_raw!$N$2:$N1000),XLOOKUP($A217,LinkedIn_content_raw!$A$2:$A1000,LinkedIn_content_raw!$Q$2:$Q1000))</f>
        <v>7</v>
      </c>
      <c r="E217" s="26">
        <f t="array" ref="E217">XLOOKUP($A217,LinkedIn_content_raw!$A$2:$A1000,LinkedIn_content_raw!$E$2:$E1000)</f>
        <v>65</v>
      </c>
    </row>
    <row r="218">
      <c r="A218" s="25">
        <f>LinkedIn_content_raw!$A219</f>
        <v>45690</v>
      </c>
      <c r="B218" s="24" t="str">
        <f t="shared" si="1"/>
        <v>LinkedIn</v>
      </c>
      <c r="C218" s="26">
        <f t="array" ref="C218">XLOOKUP($A218,LinkedIn_follows_raw!$A$2:$A1000,LinkedIn_follows_raw!$E$2:$E1000)</f>
        <v>1</v>
      </c>
      <c r="D218" s="26">
        <f t="array" ref="D218">sum(XLOOKUP($A218,LinkedIn_content_raw!$A$2:$A1000,LinkedIn_content_raw!$K$2:$K1000),XLOOKUP($A218,LinkedIn_content_raw!$A$2:$A1000,LinkedIn_content_raw!$N$2:$N1000),XLOOKUP($A218,LinkedIn_content_raw!$A$2:$A1000,LinkedIn_content_raw!$Q$2:$Q1000))</f>
        <v>2</v>
      </c>
      <c r="E218" s="26">
        <f t="array" ref="E218">XLOOKUP($A218,LinkedIn_content_raw!$A$2:$A1000,LinkedIn_content_raw!$E$2:$E1000)</f>
        <v>35</v>
      </c>
    </row>
    <row r="219">
      <c r="A219" s="25">
        <f>LinkedIn_content_raw!$A220</f>
        <v>45691</v>
      </c>
      <c r="B219" s="24" t="str">
        <f t="shared" si="1"/>
        <v>LinkedIn</v>
      </c>
      <c r="C219" s="26">
        <f t="array" ref="C219">XLOOKUP($A219,LinkedIn_follows_raw!$A$2:$A1000,LinkedIn_follows_raw!$E$2:$E1000)</f>
        <v>0</v>
      </c>
      <c r="D219" s="26">
        <f t="array" ref="D219">sum(XLOOKUP($A219,LinkedIn_content_raw!$A$2:$A1000,LinkedIn_content_raw!$K$2:$K1000),XLOOKUP($A219,LinkedIn_content_raw!$A$2:$A1000,LinkedIn_content_raw!$N$2:$N1000),XLOOKUP($A219,LinkedIn_content_raw!$A$2:$A1000,LinkedIn_content_raw!$Q$2:$Q1000))</f>
        <v>3</v>
      </c>
      <c r="E219" s="26">
        <f t="array" ref="E219">XLOOKUP($A219,LinkedIn_content_raw!$A$2:$A1000,LinkedIn_content_raw!$E$2:$E1000)</f>
        <v>35</v>
      </c>
    </row>
    <row r="220">
      <c r="A220" s="25">
        <f>LinkedIn_content_raw!$A221</f>
        <v>45692</v>
      </c>
      <c r="B220" s="24" t="str">
        <f t="shared" si="1"/>
        <v>LinkedIn</v>
      </c>
      <c r="C220" s="26">
        <f t="array" ref="C220">XLOOKUP($A220,LinkedIn_follows_raw!$A$2:$A1000,LinkedIn_follows_raw!$E$2:$E1000)</f>
        <v>1</v>
      </c>
      <c r="D220" s="26">
        <f t="array" ref="D220">sum(XLOOKUP($A220,LinkedIn_content_raw!$A$2:$A1000,LinkedIn_content_raw!$K$2:$K1000),XLOOKUP($A220,LinkedIn_content_raw!$A$2:$A1000,LinkedIn_content_raw!$N$2:$N1000),XLOOKUP($A220,LinkedIn_content_raw!$A$2:$A1000,LinkedIn_content_raw!$Q$2:$Q1000))</f>
        <v>3</v>
      </c>
      <c r="E220" s="26">
        <f t="array" ref="E220">XLOOKUP($A220,LinkedIn_content_raw!$A$2:$A1000,LinkedIn_content_raw!$E$2:$E1000)</f>
        <v>30</v>
      </c>
    </row>
    <row r="221">
      <c r="A221" s="25">
        <f>LinkedIn_content_raw!$A222</f>
        <v>45693</v>
      </c>
      <c r="B221" s="24" t="str">
        <f t="shared" si="1"/>
        <v>LinkedIn</v>
      </c>
      <c r="C221" s="26">
        <f t="array" ref="C221">XLOOKUP($A221,LinkedIn_follows_raw!$A$2:$A1000,LinkedIn_follows_raw!$E$2:$E1000)</f>
        <v>1</v>
      </c>
      <c r="D221" s="26">
        <f t="array" ref="D221">sum(XLOOKUP($A221,LinkedIn_content_raw!$A$2:$A1000,LinkedIn_content_raw!$K$2:$K1000),XLOOKUP($A221,LinkedIn_content_raw!$A$2:$A1000,LinkedIn_content_raw!$N$2:$N1000),XLOOKUP($A221,LinkedIn_content_raw!$A$2:$A1000,LinkedIn_content_raw!$Q$2:$Q1000))</f>
        <v>0</v>
      </c>
      <c r="E221" s="26">
        <f t="array" ref="E221">XLOOKUP($A221,LinkedIn_content_raw!$A$2:$A1000,LinkedIn_content_raw!$E$2:$E1000)</f>
        <v>20</v>
      </c>
    </row>
    <row r="222">
      <c r="A222" s="25">
        <f>LinkedIn_content_raw!$A223</f>
        <v>45694</v>
      </c>
      <c r="B222" s="24" t="str">
        <f t="shared" si="1"/>
        <v>LinkedIn</v>
      </c>
      <c r="C222" s="26">
        <f t="array" ref="C222">XLOOKUP($A222,LinkedIn_follows_raw!$A$2:$A1000,LinkedIn_follows_raw!$E$2:$E1000)</f>
        <v>4</v>
      </c>
      <c r="D222" s="26">
        <f t="array" ref="D222">sum(XLOOKUP($A222,LinkedIn_content_raw!$A$2:$A1000,LinkedIn_content_raw!$K$2:$K1000),XLOOKUP($A222,LinkedIn_content_raw!$A$2:$A1000,LinkedIn_content_raw!$N$2:$N1000),XLOOKUP($A222,LinkedIn_content_raw!$A$2:$A1000,LinkedIn_content_raw!$Q$2:$Q1000))</f>
        <v>5</v>
      </c>
      <c r="E222" s="26">
        <f t="array" ref="E222">XLOOKUP($A222,LinkedIn_content_raw!$A$2:$A1000,LinkedIn_content_raw!$E$2:$E1000)</f>
        <v>64</v>
      </c>
    </row>
    <row r="223">
      <c r="A223" s="25">
        <f>LinkedIn_content_raw!$A224</f>
        <v>45695</v>
      </c>
      <c r="B223" s="24" t="str">
        <f t="shared" si="1"/>
        <v>LinkedIn</v>
      </c>
      <c r="C223" s="26">
        <f t="array" ref="C223">XLOOKUP($A223,LinkedIn_follows_raw!$A$2:$A1000,LinkedIn_follows_raw!$E$2:$E1000)</f>
        <v>6</v>
      </c>
      <c r="D223" s="26">
        <f t="array" ref="D223">sum(XLOOKUP($A223,LinkedIn_content_raw!$A$2:$A1000,LinkedIn_content_raw!$K$2:$K1000),XLOOKUP($A223,LinkedIn_content_raw!$A$2:$A1000,LinkedIn_content_raw!$N$2:$N1000),XLOOKUP($A223,LinkedIn_content_raw!$A$2:$A1000,LinkedIn_content_raw!$Q$2:$Q1000))</f>
        <v>22</v>
      </c>
      <c r="E223" s="26">
        <f t="array" ref="E223">XLOOKUP($A223,LinkedIn_content_raw!$A$2:$A1000,LinkedIn_content_raw!$E$2:$E1000)</f>
        <v>133</v>
      </c>
    </row>
    <row r="224">
      <c r="A224" s="25">
        <f>LinkedIn_content_raw!$A225</f>
        <v>45696</v>
      </c>
      <c r="B224" s="24" t="str">
        <f t="shared" si="1"/>
        <v>LinkedIn</v>
      </c>
      <c r="C224" s="26">
        <f t="array" ref="C224">XLOOKUP($A224,LinkedIn_follows_raw!$A$2:$A1000,LinkedIn_follows_raw!$E$2:$E1000)</f>
        <v>1</v>
      </c>
      <c r="D224" s="26">
        <f t="array" ref="D224">sum(XLOOKUP($A224,LinkedIn_content_raw!$A$2:$A1000,LinkedIn_content_raw!$K$2:$K1000),XLOOKUP($A224,LinkedIn_content_raw!$A$2:$A1000,LinkedIn_content_raw!$N$2:$N1000),XLOOKUP($A224,LinkedIn_content_raw!$A$2:$A1000,LinkedIn_content_raw!$Q$2:$Q1000))</f>
        <v>8</v>
      </c>
      <c r="E224" s="26">
        <f t="array" ref="E224">XLOOKUP($A224,LinkedIn_content_raw!$A$2:$A1000,LinkedIn_content_raw!$E$2:$E1000)</f>
        <v>87</v>
      </c>
    </row>
    <row r="225">
      <c r="A225" s="25">
        <f>LinkedIn_content_raw!$A226</f>
        <v>45697</v>
      </c>
      <c r="B225" s="24" t="str">
        <f t="shared" si="1"/>
        <v>LinkedIn</v>
      </c>
      <c r="C225" s="26">
        <f t="array" ref="C225">XLOOKUP($A225,LinkedIn_follows_raw!$A$2:$A1000,LinkedIn_follows_raw!$E$2:$E1000)</f>
        <v>2</v>
      </c>
      <c r="D225" s="26">
        <f t="array" ref="D225">sum(XLOOKUP($A225,LinkedIn_content_raw!$A$2:$A1000,LinkedIn_content_raw!$K$2:$K1000),XLOOKUP($A225,LinkedIn_content_raw!$A$2:$A1000,LinkedIn_content_raw!$N$2:$N1000),XLOOKUP($A225,LinkedIn_content_raw!$A$2:$A1000,LinkedIn_content_raw!$Q$2:$Q1000))</f>
        <v>6</v>
      </c>
      <c r="E225" s="26">
        <f t="array" ref="E225">XLOOKUP($A225,LinkedIn_content_raw!$A$2:$A1000,LinkedIn_content_raw!$E$2:$E1000)</f>
        <v>45</v>
      </c>
    </row>
    <row r="226">
      <c r="A226" s="25">
        <f>LinkedIn_content_raw!$A227</f>
        <v>45698</v>
      </c>
      <c r="B226" s="24" t="str">
        <f t="shared" si="1"/>
        <v>LinkedIn</v>
      </c>
      <c r="C226" s="26">
        <f t="array" ref="C226">XLOOKUP($A226,LinkedIn_follows_raw!$A$2:$A1000,LinkedIn_follows_raw!$E$2:$E1000)</f>
        <v>2</v>
      </c>
      <c r="D226" s="26">
        <f t="array" ref="D226">sum(XLOOKUP($A226,LinkedIn_content_raw!$A$2:$A1000,LinkedIn_content_raw!$K$2:$K1000),XLOOKUP($A226,LinkedIn_content_raw!$A$2:$A1000,LinkedIn_content_raw!$N$2:$N1000),XLOOKUP($A226,LinkedIn_content_raw!$A$2:$A1000,LinkedIn_content_raw!$Q$2:$Q1000))</f>
        <v>3</v>
      </c>
      <c r="E226" s="26">
        <f t="array" ref="E226">XLOOKUP($A226,LinkedIn_content_raw!$A$2:$A1000,LinkedIn_content_raw!$E$2:$E1000)</f>
        <v>39</v>
      </c>
    </row>
    <row r="227">
      <c r="A227" s="25">
        <f>LinkedIn_content_raw!$A228</f>
        <v>45699</v>
      </c>
      <c r="B227" s="24" t="str">
        <f t="shared" si="1"/>
        <v>LinkedIn</v>
      </c>
      <c r="C227" s="26">
        <f t="array" ref="C227">XLOOKUP($A227,LinkedIn_follows_raw!$A$2:$A1000,LinkedIn_follows_raw!$E$2:$E1000)</f>
        <v>1</v>
      </c>
      <c r="D227" s="26">
        <f t="array" ref="D227">sum(XLOOKUP($A227,LinkedIn_content_raw!$A$2:$A1000,LinkedIn_content_raw!$K$2:$K1000),XLOOKUP($A227,LinkedIn_content_raw!$A$2:$A1000,LinkedIn_content_raw!$N$2:$N1000),XLOOKUP($A227,LinkedIn_content_raw!$A$2:$A1000,LinkedIn_content_raw!$Q$2:$Q1000))</f>
        <v>1</v>
      </c>
      <c r="E227" s="26">
        <f t="array" ref="E227">XLOOKUP($A227,LinkedIn_content_raw!$A$2:$A1000,LinkedIn_content_raw!$E$2:$E1000)</f>
        <v>25</v>
      </c>
    </row>
    <row r="228">
      <c r="A228" s="25">
        <f>LinkedIn_content_raw!$A229</f>
        <v>45700</v>
      </c>
      <c r="B228" s="24" t="str">
        <f t="shared" si="1"/>
        <v>LinkedIn</v>
      </c>
      <c r="C228" s="26">
        <f t="array" ref="C228">XLOOKUP($A228,LinkedIn_follows_raw!$A$2:$A1000,LinkedIn_follows_raw!$E$2:$E1000)</f>
        <v>3</v>
      </c>
      <c r="D228" s="26">
        <f t="array" ref="D228">sum(XLOOKUP($A228,LinkedIn_content_raw!$A$2:$A1000,LinkedIn_content_raw!$K$2:$K1000),XLOOKUP($A228,LinkedIn_content_raw!$A$2:$A1000,LinkedIn_content_raw!$N$2:$N1000),XLOOKUP($A228,LinkedIn_content_raw!$A$2:$A1000,LinkedIn_content_raw!$Q$2:$Q1000))</f>
        <v>1</v>
      </c>
      <c r="E228" s="26">
        <f t="array" ref="E228">XLOOKUP($A228,LinkedIn_content_raw!$A$2:$A1000,LinkedIn_content_raw!$E$2:$E1000)</f>
        <v>33</v>
      </c>
    </row>
    <row r="229">
      <c r="A229" s="25">
        <f>LinkedIn_content_raw!$A230</f>
        <v>45701</v>
      </c>
      <c r="B229" s="24" t="str">
        <f t="shared" si="1"/>
        <v>LinkedIn</v>
      </c>
      <c r="C229" s="26">
        <f t="array" ref="C229">XLOOKUP($A229,LinkedIn_follows_raw!$A$2:$A1000,LinkedIn_follows_raw!$E$2:$E1000)</f>
        <v>2</v>
      </c>
      <c r="D229" s="26">
        <f t="array" ref="D229">sum(XLOOKUP($A229,LinkedIn_content_raw!$A$2:$A1000,LinkedIn_content_raw!$K$2:$K1000),XLOOKUP($A229,LinkedIn_content_raw!$A$2:$A1000,LinkedIn_content_raw!$N$2:$N1000),XLOOKUP($A229,LinkedIn_content_raw!$A$2:$A1000,LinkedIn_content_raw!$Q$2:$Q1000))</f>
        <v>17</v>
      </c>
      <c r="E229" s="26">
        <f t="array" ref="E229">XLOOKUP($A229,LinkedIn_content_raw!$A$2:$A1000,LinkedIn_content_raw!$E$2:$E1000)</f>
        <v>100</v>
      </c>
    </row>
    <row r="230">
      <c r="A230" s="25">
        <f>LinkedIn_content_raw!$A231</f>
        <v>45702</v>
      </c>
      <c r="B230" s="24" t="str">
        <f t="shared" si="1"/>
        <v>LinkedIn</v>
      </c>
      <c r="C230" s="26">
        <f t="array" ref="C230">XLOOKUP($A230,LinkedIn_follows_raw!$A$2:$A1000,LinkedIn_follows_raw!$E$2:$E1000)</f>
        <v>5</v>
      </c>
      <c r="D230" s="26">
        <f t="array" ref="D230">sum(XLOOKUP($A230,LinkedIn_content_raw!$A$2:$A1000,LinkedIn_content_raw!$K$2:$K1000),XLOOKUP($A230,LinkedIn_content_raw!$A$2:$A1000,LinkedIn_content_raw!$N$2:$N1000),XLOOKUP($A230,LinkedIn_content_raw!$A$2:$A1000,LinkedIn_content_raw!$Q$2:$Q1000))</f>
        <v>21</v>
      </c>
      <c r="E230" s="26">
        <f t="array" ref="E230">XLOOKUP($A230,LinkedIn_content_raw!$A$2:$A1000,LinkedIn_content_raw!$E$2:$E1000)</f>
        <v>277</v>
      </c>
    </row>
    <row r="231">
      <c r="A231" s="25">
        <f>LinkedIn_content_raw!$A232</f>
        <v>45703</v>
      </c>
      <c r="B231" s="24" t="str">
        <f t="shared" si="1"/>
        <v>LinkedIn</v>
      </c>
      <c r="C231" s="26">
        <f t="array" ref="C231">XLOOKUP($A231,LinkedIn_follows_raw!$A$2:$A1000,LinkedIn_follows_raw!$E$2:$E1000)</f>
        <v>0</v>
      </c>
      <c r="D231" s="26">
        <f t="array" ref="D231">sum(XLOOKUP($A231,LinkedIn_content_raw!$A$2:$A1000,LinkedIn_content_raw!$K$2:$K1000),XLOOKUP($A231,LinkedIn_content_raw!$A$2:$A1000,LinkedIn_content_raw!$N$2:$N1000),XLOOKUP($A231,LinkedIn_content_raw!$A$2:$A1000,LinkedIn_content_raw!$Q$2:$Q1000))</f>
        <v>21</v>
      </c>
      <c r="E231" s="26">
        <f t="array" ref="E231">XLOOKUP($A231,LinkedIn_content_raw!$A$2:$A1000,LinkedIn_content_raw!$E$2:$E1000)</f>
        <v>203</v>
      </c>
    </row>
    <row r="232">
      <c r="A232" s="25">
        <f>LinkedIn_content_raw!$A233</f>
        <v>45704</v>
      </c>
      <c r="B232" s="24" t="str">
        <f t="shared" si="1"/>
        <v>LinkedIn</v>
      </c>
      <c r="C232" s="26">
        <f t="array" ref="C232">XLOOKUP($A232,LinkedIn_follows_raw!$A$2:$A1000,LinkedIn_follows_raw!$E$2:$E1000)</f>
        <v>2</v>
      </c>
      <c r="D232" s="26">
        <f t="array" ref="D232">sum(XLOOKUP($A232,LinkedIn_content_raw!$A$2:$A1000,LinkedIn_content_raw!$K$2:$K1000),XLOOKUP($A232,LinkedIn_content_raw!$A$2:$A1000,LinkedIn_content_raw!$N$2:$N1000),XLOOKUP($A232,LinkedIn_content_raw!$A$2:$A1000,LinkedIn_content_raw!$Q$2:$Q1000))</f>
        <v>9</v>
      </c>
      <c r="E232" s="26">
        <f t="array" ref="E232">XLOOKUP($A232,LinkedIn_content_raw!$A$2:$A1000,LinkedIn_content_raw!$E$2:$E1000)</f>
        <v>128</v>
      </c>
    </row>
    <row r="233">
      <c r="A233" s="25">
        <f>LinkedIn_content_raw!$A234</f>
        <v>45705</v>
      </c>
      <c r="B233" s="24" t="str">
        <f t="shared" si="1"/>
        <v>LinkedIn</v>
      </c>
      <c r="C233" s="26">
        <f t="array" ref="C233">XLOOKUP($A233,LinkedIn_follows_raw!$A$2:$A1000,LinkedIn_follows_raw!$E$2:$E1000)</f>
        <v>0</v>
      </c>
      <c r="D233" s="26">
        <f t="array" ref="D233">sum(XLOOKUP($A233,LinkedIn_content_raw!$A$2:$A1000,LinkedIn_content_raw!$K$2:$K1000),XLOOKUP($A233,LinkedIn_content_raw!$A$2:$A1000,LinkedIn_content_raw!$N$2:$N1000),XLOOKUP($A233,LinkedIn_content_raw!$A$2:$A1000,LinkedIn_content_raw!$Q$2:$Q1000))</f>
        <v>8</v>
      </c>
      <c r="E233" s="26">
        <f t="array" ref="E233">XLOOKUP($A233,LinkedIn_content_raw!$A$2:$A1000,LinkedIn_content_raw!$E$2:$E1000)</f>
        <v>128</v>
      </c>
    </row>
    <row r="234">
      <c r="A234" s="25">
        <f>LinkedIn_content_raw!$A235</f>
        <v>45706</v>
      </c>
      <c r="B234" s="24" t="str">
        <f t="shared" si="1"/>
        <v>LinkedIn</v>
      </c>
      <c r="C234" s="26">
        <f t="array" ref="C234">XLOOKUP($A234,LinkedIn_follows_raw!$A$2:$A1000,LinkedIn_follows_raw!$E$2:$E1000)</f>
        <v>2</v>
      </c>
      <c r="D234" s="26">
        <f t="array" ref="D234">sum(XLOOKUP($A234,LinkedIn_content_raw!$A$2:$A1000,LinkedIn_content_raw!$K$2:$K1000),XLOOKUP($A234,LinkedIn_content_raw!$A$2:$A1000,LinkedIn_content_raw!$N$2:$N1000),XLOOKUP($A234,LinkedIn_content_raw!$A$2:$A1000,LinkedIn_content_raw!$Q$2:$Q1000))</f>
        <v>9</v>
      </c>
      <c r="E234" s="26">
        <f t="array" ref="E234">XLOOKUP($A234,LinkedIn_content_raw!$A$2:$A1000,LinkedIn_content_raw!$E$2:$E1000)</f>
        <v>161</v>
      </c>
    </row>
    <row r="235">
      <c r="A235" s="25">
        <f>LinkedIn_content_raw!$A236</f>
        <v>45707</v>
      </c>
      <c r="B235" s="24" t="str">
        <f t="shared" si="1"/>
        <v>LinkedIn</v>
      </c>
      <c r="C235" s="26">
        <f t="array" ref="C235">XLOOKUP($A235,LinkedIn_follows_raw!$A$2:$A1000,LinkedIn_follows_raw!$E$2:$E1000)</f>
        <v>2</v>
      </c>
      <c r="D235" s="26">
        <f t="array" ref="D235">sum(XLOOKUP($A235,LinkedIn_content_raw!$A$2:$A1000,LinkedIn_content_raw!$K$2:$K1000),XLOOKUP($A235,LinkedIn_content_raw!$A$2:$A1000,LinkedIn_content_raw!$N$2:$N1000),XLOOKUP($A235,LinkedIn_content_raw!$A$2:$A1000,LinkedIn_content_raw!$Q$2:$Q1000))</f>
        <v>3</v>
      </c>
      <c r="E235" s="26">
        <f t="array" ref="E235">XLOOKUP($A235,LinkedIn_content_raw!$A$2:$A1000,LinkedIn_content_raw!$E$2:$E1000)</f>
        <v>152</v>
      </c>
    </row>
    <row r="236">
      <c r="A236" s="25">
        <f>LinkedIn_content_raw!$A237</f>
        <v>45708</v>
      </c>
      <c r="B236" s="24" t="str">
        <f t="shared" si="1"/>
        <v>LinkedIn</v>
      </c>
      <c r="C236" s="26">
        <f t="array" ref="C236">XLOOKUP($A236,LinkedIn_follows_raw!$A$2:$A1000,LinkedIn_follows_raw!$E$2:$E1000)</f>
        <v>6</v>
      </c>
      <c r="D236" s="26">
        <f t="array" ref="D236">sum(XLOOKUP($A236,LinkedIn_content_raw!$A$2:$A1000,LinkedIn_content_raw!$K$2:$K1000),XLOOKUP($A236,LinkedIn_content_raw!$A$2:$A1000,LinkedIn_content_raw!$N$2:$N1000),XLOOKUP($A236,LinkedIn_content_raw!$A$2:$A1000,LinkedIn_content_raw!$Q$2:$Q1000))</f>
        <v>12</v>
      </c>
      <c r="E236" s="26">
        <f t="array" ref="E236">XLOOKUP($A236,LinkedIn_content_raw!$A$2:$A1000,LinkedIn_content_raw!$E$2:$E1000)</f>
        <v>100</v>
      </c>
    </row>
    <row r="237">
      <c r="A237" s="25">
        <f>LinkedIn_content_raw!$A238</f>
        <v>45709</v>
      </c>
      <c r="B237" s="24" t="str">
        <f t="shared" si="1"/>
        <v>LinkedIn</v>
      </c>
      <c r="C237" s="26">
        <f t="array" ref="C237">XLOOKUP($A237,LinkedIn_follows_raw!$A$2:$A1000,LinkedIn_follows_raw!$E$2:$E1000)</f>
        <v>6</v>
      </c>
      <c r="D237" s="26">
        <f t="array" ref="D237">sum(XLOOKUP($A237,LinkedIn_content_raw!$A$2:$A1000,LinkedIn_content_raw!$K$2:$K1000),XLOOKUP($A237,LinkedIn_content_raw!$A$2:$A1000,LinkedIn_content_raw!$N$2:$N1000),XLOOKUP($A237,LinkedIn_content_raw!$A$2:$A1000,LinkedIn_content_raw!$Q$2:$Q1000))</f>
        <v>2</v>
      </c>
      <c r="E237" s="26">
        <f t="array" ref="E237">XLOOKUP($A237,LinkedIn_content_raw!$A$2:$A1000,LinkedIn_content_raw!$E$2:$E1000)</f>
        <v>69</v>
      </c>
    </row>
    <row r="238">
      <c r="A238" s="25">
        <f>LinkedIn_content_raw!$A239</f>
        <v>45710</v>
      </c>
      <c r="B238" s="24" t="str">
        <f t="shared" si="1"/>
        <v>LinkedIn</v>
      </c>
      <c r="C238" s="26">
        <f t="array" ref="C238">XLOOKUP($A238,LinkedIn_follows_raw!$A$2:$A1000,LinkedIn_follows_raw!$E$2:$E1000)</f>
        <v>3</v>
      </c>
      <c r="D238" s="26">
        <f t="array" ref="D238">sum(XLOOKUP($A238,LinkedIn_content_raw!$A$2:$A1000,LinkedIn_content_raw!$K$2:$K1000),XLOOKUP($A238,LinkedIn_content_raw!$A$2:$A1000,LinkedIn_content_raw!$N$2:$N1000),XLOOKUP($A238,LinkedIn_content_raw!$A$2:$A1000,LinkedIn_content_raw!$Q$2:$Q1000))</f>
        <v>5</v>
      </c>
      <c r="E238" s="26">
        <f t="array" ref="E238">XLOOKUP($A238,LinkedIn_content_raw!$A$2:$A1000,LinkedIn_content_raw!$E$2:$E1000)</f>
        <v>52</v>
      </c>
    </row>
    <row r="239">
      <c r="A239" s="25">
        <f>LinkedIn_content_raw!$A240</f>
        <v>45711</v>
      </c>
      <c r="B239" s="24" t="str">
        <f t="shared" si="1"/>
        <v>LinkedIn</v>
      </c>
      <c r="C239" s="26">
        <f t="array" ref="C239">XLOOKUP($A239,LinkedIn_follows_raw!$A$2:$A1000,LinkedIn_follows_raw!$E$2:$E1000)</f>
        <v>3</v>
      </c>
      <c r="D239" s="26">
        <f t="array" ref="D239">sum(XLOOKUP($A239,LinkedIn_content_raw!$A$2:$A1000,LinkedIn_content_raw!$K$2:$K1000),XLOOKUP($A239,LinkedIn_content_raw!$A$2:$A1000,LinkedIn_content_raw!$N$2:$N1000),XLOOKUP($A239,LinkedIn_content_raw!$A$2:$A1000,LinkedIn_content_raw!$Q$2:$Q1000))</f>
        <v>0</v>
      </c>
      <c r="E239" s="26">
        <f t="array" ref="E239">XLOOKUP($A239,LinkedIn_content_raw!$A$2:$A1000,LinkedIn_content_raw!$E$2:$E1000)</f>
        <v>47</v>
      </c>
    </row>
    <row r="240">
      <c r="A240" s="25">
        <f>LinkedIn_content_raw!$A241</f>
        <v>45712</v>
      </c>
      <c r="B240" s="24" t="str">
        <f t="shared" si="1"/>
        <v>LinkedIn</v>
      </c>
      <c r="C240" s="26">
        <f t="array" ref="C240">XLOOKUP($A240,LinkedIn_follows_raw!$A$2:$A1000,LinkedIn_follows_raw!$E$2:$E1000)</f>
        <v>3</v>
      </c>
      <c r="D240" s="26">
        <f t="array" ref="D240">sum(XLOOKUP($A240,LinkedIn_content_raw!$A$2:$A1000,LinkedIn_content_raw!$K$2:$K1000),XLOOKUP($A240,LinkedIn_content_raw!$A$2:$A1000,LinkedIn_content_raw!$N$2:$N1000),XLOOKUP($A240,LinkedIn_content_raw!$A$2:$A1000,LinkedIn_content_raw!$Q$2:$Q1000))</f>
        <v>2</v>
      </c>
      <c r="E240" s="26">
        <f t="array" ref="E240">XLOOKUP($A240,LinkedIn_content_raw!$A$2:$A1000,LinkedIn_content_raw!$E$2:$E1000)</f>
        <v>42</v>
      </c>
    </row>
    <row r="241">
      <c r="A241" s="25">
        <f>LinkedIn_content_raw!$A242</f>
        <v>45713</v>
      </c>
      <c r="B241" s="24" t="str">
        <f t="shared" si="1"/>
        <v>LinkedIn</v>
      </c>
      <c r="C241" s="26">
        <f t="array" ref="C241">XLOOKUP($A241,LinkedIn_follows_raw!$A$2:$A1000,LinkedIn_follows_raw!$E$2:$E1000)</f>
        <v>3</v>
      </c>
      <c r="D241" s="26">
        <f t="array" ref="D241">sum(XLOOKUP($A241,LinkedIn_content_raw!$A$2:$A1000,LinkedIn_content_raw!$K$2:$K1000),XLOOKUP($A241,LinkedIn_content_raw!$A$2:$A1000,LinkedIn_content_raw!$N$2:$N1000),XLOOKUP($A241,LinkedIn_content_raw!$A$2:$A1000,LinkedIn_content_raw!$Q$2:$Q1000))</f>
        <v>4</v>
      </c>
      <c r="E241" s="26">
        <f t="array" ref="E241">XLOOKUP($A241,LinkedIn_content_raw!$A$2:$A1000,LinkedIn_content_raw!$E$2:$E1000)</f>
        <v>44</v>
      </c>
    </row>
    <row r="242">
      <c r="A242" s="25">
        <f>LinkedIn_content_raw!$A243</f>
        <v>45714</v>
      </c>
      <c r="B242" s="24" t="str">
        <f t="shared" si="1"/>
        <v>LinkedIn</v>
      </c>
      <c r="C242" s="26">
        <f t="array" ref="C242">XLOOKUP($A242,LinkedIn_follows_raw!$A$2:$A1000,LinkedIn_follows_raw!$E$2:$E1000)</f>
        <v>6</v>
      </c>
      <c r="D242" s="26">
        <f t="array" ref="D242">sum(XLOOKUP($A242,LinkedIn_content_raw!$A$2:$A1000,LinkedIn_content_raw!$K$2:$K1000),XLOOKUP($A242,LinkedIn_content_raw!$A$2:$A1000,LinkedIn_content_raw!$N$2:$N1000),XLOOKUP($A242,LinkedIn_content_raw!$A$2:$A1000,LinkedIn_content_raw!$Q$2:$Q1000))</f>
        <v>2</v>
      </c>
      <c r="E242" s="26">
        <f t="array" ref="E242">XLOOKUP($A242,LinkedIn_content_raw!$A$2:$A1000,LinkedIn_content_raw!$E$2:$E1000)</f>
        <v>51</v>
      </c>
    </row>
    <row r="243">
      <c r="A243" s="25">
        <f>LinkedIn_content_raw!$A244</f>
        <v>45715</v>
      </c>
      <c r="B243" s="24" t="str">
        <f t="shared" si="1"/>
        <v>LinkedIn</v>
      </c>
      <c r="C243" s="26">
        <f t="array" ref="C243">XLOOKUP($A243,LinkedIn_follows_raw!$A$2:$A1000,LinkedIn_follows_raw!$E$2:$E1000)</f>
        <v>2</v>
      </c>
      <c r="D243" s="26">
        <f t="array" ref="D243">sum(XLOOKUP($A243,LinkedIn_content_raw!$A$2:$A1000,LinkedIn_content_raw!$K$2:$K1000),XLOOKUP($A243,LinkedIn_content_raw!$A$2:$A1000,LinkedIn_content_raw!$N$2:$N1000),XLOOKUP($A243,LinkedIn_content_raw!$A$2:$A1000,LinkedIn_content_raw!$Q$2:$Q1000))</f>
        <v>16</v>
      </c>
      <c r="E243" s="26">
        <f t="array" ref="E243">XLOOKUP($A243,LinkedIn_content_raw!$A$2:$A1000,LinkedIn_content_raw!$E$2:$E1000)</f>
        <v>98</v>
      </c>
    </row>
    <row r="244">
      <c r="A244" s="25">
        <f>LinkedIn_content_raw!$A245</f>
        <v>45716</v>
      </c>
      <c r="B244" s="24" t="str">
        <f t="shared" si="1"/>
        <v>LinkedIn</v>
      </c>
      <c r="C244" s="26">
        <f t="array" ref="C244">XLOOKUP($A244,LinkedIn_follows_raw!$A$2:$A1000,LinkedIn_follows_raw!$E$2:$E1000)</f>
        <v>2</v>
      </c>
      <c r="D244" s="26">
        <f t="array" ref="D244">sum(XLOOKUP($A244,LinkedIn_content_raw!$A$2:$A1000,LinkedIn_content_raw!$K$2:$K1000),XLOOKUP($A244,LinkedIn_content_raw!$A$2:$A1000,LinkedIn_content_raw!$N$2:$N1000),XLOOKUP($A244,LinkedIn_content_raw!$A$2:$A1000,LinkedIn_content_raw!$Q$2:$Q1000))</f>
        <v>22</v>
      </c>
      <c r="E244" s="26">
        <f t="array" ref="E244">XLOOKUP($A244,LinkedIn_content_raw!$A$2:$A1000,LinkedIn_content_raw!$E$2:$E1000)</f>
        <v>151</v>
      </c>
    </row>
    <row r="245">
      <c r="A245" s="25">
        <f>LinkedIn_content_raw!$A246</f>
        <v>45717</v>
      </c>
      <c r="B245" s="24" t="str">
        <f t="shared" si="1"/>
        <v>LinkedIn</v>
      </c>
      <c r="C245" s="26">
        <f t="array" ref="C245">XLOOKUP($A245,LinkedIn_follows_raw!$A$2:$A1000,LinkedIn_follows_raw!$E$2:$E1000)</f>
        <v>3</v>
      </c>
      <c r="D245" s="26">
        <f t="array" ref="D245">sum(XLOOKUP($A245,LinkedIn_content_raw!$A$2:$A1000,LinkedIn_content_raw!$K$2:$K1000),XLOOKUP($A245,LinkedIn_content_raw!$A$2:$A1000,LinkedIn_content_raw!$N$2:$N1000),XLOOKUP($A245,LinkedIn_content_raw!$A$2:$A1000,LinkedIn_content_raw!$Q$2:$Q1000))</f>
        <v>14</v>
      </c>
      <c r="E245" s="26">
        <f t="array" ref="E245">XLOOKUP($A245,LinkedIn_content_raw!$A$2:$A1000,LinkedIn_content_raw!$E$2:$E1000)</f>
        <v>114</v>
      </c>
    </row>
    <row r="246">
      <c r="A246" s="25">
        <f>LinkedIn_content_raw!$A247</f>
        <v>45718</v>
      </c>
      <c r="B246" s="24" t="str">
        <f t="shared" si="1"/>
        <v>LinkedIn</v>
      </c>
      <c r="C246" s="26">
        <f t="array" ref="C246">XLOOKUP($A246,LinkedIn_follows_raw!$A$2:$A1000,LinkedIn_follows_raw!$E$2:$E1000)</f>
        <v>1</v>
      </c>
      <c r="D246" s="26">
        <f t="array" ref="D246">sum(XLOOKUP($A246,LinkedIn_content_raw!$A$2:$A1000,LinkedIn_content_raw!$K$2:$K1000),XLOOKUP($A246,LinkedIn_content_raw!$A$2:$A1000,LinkedIn_content_raw!$N$2:$N1000),XLOOKUP($A246,LinkedIn_content_raw!$A$2:$A1000,LinkedIn_content_raw!$Q$2:$Q1000))</f>
        <v>11</v>
      </c>
      <c r="E246" s="26">
        <f t="array" ref="E246">XLOOKUP($A246,LinkedIn_content_raw!$A$2:$A1000,LinkedIn_content_raw!$E$2:$E1000)</f>
        <v>128</v>
      </c>
    </row>
    <row r="247">
      <c r="A247" s="25">
        <f>LinkedIn_content_raw!$A248</f>
        <v>45719</v>
      </c>
      <c r="B247" s="24" t="str">
        <f t="shared" si="1"/>
        <v>LinkedIn</v>
      </c>
      <c r="C247" s="26">
        <f t="array" ref="C247">XLOOKUP($A247,LinkedIn_follows_raw!$A$2:$A1000,LinkedIn_follows_raw!$E$2:$E1000)</f>
        <v>5</v>
      </c>
      <c r="D247" s="26">
        <f t="array" ref="D247">sum(XLOOKUP($A247,LinkedIn_content_raw!$A$2:$A1000,LinkedIn_content_raw!$K$2:$K1000),XLOOKUP($A247,LinkedIn_content_raw!$A$2:$A1000,LinkedIn_content_raw!$N$2:$N1000),XLOOKUP($A247,LinkedIn_content_raw!$A$2:$A1000,LinkedIn_content_raw!$Q$2:$Q1000))</f>
        <v>18</v>
      </c>
      <c r="E247" s="26">
        <f t="array" ref="E247">XLOOKUP($A247,LinkedIn_content_raw!$A$2:$A1000,LinkedIn_content_raw!$E$2:$E1000)</f>
        <v>116</v>
      </c>
    </row>
    <row r="248">
      <c r="A248" s="25">
        <f>LinkedIn_content_raw!$A249</f>
        <v>45720</v>
      </c>
      <c r="B248" s="24" t="str">
        <f t="shared" si="1"/>
        <v>LinkedIn</v>
      </c>
      <c r="C248" s="26">
        <f t="array" ref="C248">XLOOKUP($A248,LinkedIn_follows_raw!$A$2:$A1000,LinkedIn_follows_raw!$E$2:$E1000)</f>
        <v>0</v>
      </c>
      <c r="D248" s="26">
        <f t="array" ref="D248">sum(XLOOKUP($A248,LinkedIn_content_raw!$A$2:$A1000,LinkedIn_content_raw!$K$2:$K1000),XLOOKUP($A248,LinkedIn_content_raw!$A$2:$A1000,LinkedIn_content_raw!$N$2:$N1000),XLOOKUP($A248,LinkedIn_content_raw!$A$2:$A1000,LinkedIn_content_raw!$Q$2:$Q1000))</f>
        <v>25</v>
      </c>
      <c r="E248" s="26">
        <f t="array" ref="E248">XLOOKUP($A248,LinkedIn_content_raw!$A$2:$A1000,LinkedIn_content_raw!$E$2:$E1000)</f>
        <v>152</v>
      </c>
    </row>
    <row r="249">
      <c r="A249" s="25">
        <f>LinkedIn_content_raw!$A250</f>
        <v>45721</v>
      </c>
      <c r="B249" s="24" t="str">
        <f t="shared" si="1"/>
        <v>LinkedIn</v>
      </c>
      <c r="C249" s="26">
        <f t="array" ref="C249">XLOOKUP($A249,LinkedIn_follows_raw!$A$2:$A1000,LinkedIn_follows_raw!$E$2:$E1000)</f>
        <v>0</v>
      </c>
      <c r="D249" s="26">
        <f t="array" ref="D249">sum(XLOOKUP($A249,LinkedIn_content_raw!$A$2:$A1000,LinkedIn_content_raw!$K$2:$K1000),XLOOKUP($A249,LinkedIn_content_raw!$A$2:$A1000,LinkedIn_content_raw!$N$2:$N1000),XLOOKUP($A249,LinkedIn_content_raw!$A$2:$A1000,LinkedIn_content_raw!$Q$2:$Q1000))</f>
        <v>4</v>
      </c>
      <c r="E249" s="26">
        <f t="array" ref="E249">XLOOKUP($A249,LinkedIn_content_raw!$A$2:$A1000,LinkedIn_content_raw!$E$2:$E1000)</f>
        <v>76</v>
      </c>
    </row>
    <row r="250">
      <c r="A250" s="25">
        <f>LinkedIn_content_raw!$A251</f>
        <v>45722</v>
      </c>
      <c r="B250" s="24" t="str">
        <f t="shared" si="1"/>
        <v>LinkedIn</v>
      </c>
      <c r="C250" s="26">
        <f t="array" ref="C250">XLOOKUP($A250,LinkedIn_follows_raw!$A$2:$A1000,LinkedIn_follows_raw!$E$2:$E1000)</f>
        <v>2</v>
      </c>
      <c r="D250" s="26">
        <f t="array" ref="D250">sum(XLOOKUP($A250,LinkedIn_content_raw!$A$2:$A1000,LinkedIn_content_raw!$K$2:$K1000),XLOOKUP($A250,LinkedIn_content_raw!$A$2:$A1000,LinkedIn_content_raw!$N$2:$N1000),XLOOKUP($A250,LinkedIn_content_raw!$A$2:$A1000,LinkedIn_content_raw!$Q$2:$Q1000))</f>
        <v>8</v>
      </c>
      <c r="E250" s="26">
        <f t="array" ref="E250">XLOOKUP($A250,LinkedIn_content_raw!$A$2:$A1000,LinkedIn_content_raw!$E$2:$E1000)</f>
        <v>43</v>
      </c>
    </row>
    <row r="251">
      <c r="A251" s="25">
        <f>LinkedIn_content_raw!$A252</f>
        <v>45723</v>
      </c>
      <c r="B251" s="24" t="str">
        <f t="shared" si="1"/>
        <v>LinkedIn</v>
      </c>
      <c r="C251" s="26">
        <f t="array" ref="C251">XLOOKUP($A251,LinkedIn_follows_raw!$A$2:$A1000,LinkedIn_follows_raw!$E$2:$E1000)</f>
        <v>3</v>
      </c>
      <c r="D251" s="26">
        <f t="array" ref="D251">sum(XLOOKUP($A251,LinkedIn_content_raw!$A$2:$A1000,LinkedIn_content_raw!$K$2:$K1000),XLOOKUP($A251,LinkedIn_content_raw!$A$2:$A1000,LinkedIn_content_raw!$N$2:$N1000),XLOOKUP($A251,LinkedIn_content_raw!$A$2:$A1000,LinkedIn_content_raw!$Q$2:$Q1000))</f>
        <v>5</v>
      </c>
      <c r="E251" s="26">
        <f t="array" ref="E251">XLOOKUP($A251,LinkedIn_content_raw!$A$2:$A1000,LinkedIn_content_raw!$E$2:$E1000)</f>
        <v>39</v>
      </c>
    </row>
    <row r="252">
      <c r="A252" s="25">
        <f>LinkedIn_content_raw!$A253</f>
        <v>45724</v>
      </c>
      <c r="B252" s="24" t="str">
        <f t="shared" si="1"/>
        <v>LinkedIn</v>
      </c>
      <c r="C252" s="26">
        <f t="array" ref="C252">XLOOKUP($A252,LinkedIn_follows_raw!$A$2:$A1000,LinkedIn_follows_raw!$E$2:$E1000)</f>
        <v>0</v>
      </c>
      <c r="D252" s="26">
        <f t="array" ref="D252">sum(XLOOKUP($A252,LinkedIn_content_raw!$A$2:$A1000,LinkedIn_content_raw!$K$2:$K1000),XLOOKUP($A252,LinkedIn_content_raw!$A$2:$A1000,LinkedIn_content_raw!$N$2:$N1000),XLOOKUP($A252,LinkedIn_content_raw!$A$2:$A1000,LinkedIn_content_raw!$Q$2:$Q1000))</f>
        <v>3</v>
      </c>
      <c r="E252" s="26">
        <f t="array" ref="E252">XLOOKUP($A252,LinkedIn_content_raw!$A$2:$A1000,LinkedIn_content_raw!$E$2:$E1000)</f>
        <v>27</v>
      </c>
    </row>
    <row r="253">
      <c r="A253" s="25">
        <f>LinkedIn_content_raw!$A254</f>
        <v>45725</v>
      </c>
      <c r="B253" s="24" t="str">
        <f t="shared" si="1"/>
        <v>LinkedIn</v>
      </c>
      <c r="C253" s="26">
        <f t="array" ref="C253">XLOOKUP($A253,LinkedIn_follows_raw!$A$2:$A1000,LinkedIn_follows_raw!$E$2:$E1000)</f>
        <v>1</v>
      </c>
      <c r="D253" s="26">
        <f t="array" ref="D253">sum(XLOOKUP($A253,LinkedIn_content_raw!$A$2:$A1000,LinkedIn_content_raw!$K$2:$K1000),XLOOKUP($A253,LinkedIn_content_raw!$A$2:$A1000,LinkedIn_content_raw!$N$2:$N1000),XLOOKUP($A253,LinkedIn_content_raw!$A$2:$A1000,LinkedIn_content_raw!$Q$2:$Q1000))</f>
        <v>0</v>
      </c>
      <c r="E253" s="26">
        <f t="array" ref="E253">XLOOKUP($A253,LinkedIn_content_raw!$A$2:$A1000,LinkedIn_content_raw!$E$2:$E1000)</f>
        <v>22</v>
      </c>
    </row>
    <row r="254">
      <c r="A254" s="25">
        <f>LinkedIn_content_raw!$A255</f>
        <v>45726</v>
      </c>
      <c r="B254" s="24" t="str">
        <f t="shared" si="1"/>
        <v>LinkedIn</v>
      </c>
      <c r="C254" s="26">
        <f t="array" ref="C254">XLOOKUP($A254,LinkedIn_follows_raw!$A$2:$A1000,LinkedIn_follows_raw!$E$2:$E1000)</f>
        <v>2</v>
      </c>
      <c r="D254" s="26">
        <f t="array" ref="D254">sum(XLOOKUP($A254,LinkedIn_content_raw!$A$2:$A1000,LinkedIn_content_raw!$K$2:$K1000),XLOOKUP($A254,LinkedIn_content_raw!$A$2:$A1000,LinkedIn_content_raw!$N$2:$N1000),XLOOKUP($A254,LinkedIn_content_raw!$A$2:$A1000,LinkedIn_content_raw!$Q$2:$Q1000))</f>
        <v>3</v>
      </c>
      <c r="E254" s="26">
        <f t="array" ref="E254">XLOOKUP($A254,LinkedIn_content_raw!$A$2:$A1000,LinkedIn_content_raw!$E$2:$E1000)</f>
        <v>31</v>
      </c>
    </row>
    <row r="255">
      <c r="A255" s="25">
        <f>LinkedIn_content_raw!$A256</f>
        <v>45727</v>
      </c>
      <c r="B255" s="24" t="str">
        <f t="shared" si="1"/>
        <v>LinkedIn</v>
      </c>
      <c r="C255" s="26">
        <f t="array" ref="C255">XLOOKUP($A255,LinkedIn_follows_raw!$A$2:$A1000,LinkedIn_follows_raw!$E$2:$E1000)</f>
        <v>1</v>
      </c>
      <c r="D255" s="26">
        <f t="array" ref="D255">sum(XLOOKUP($A255,LinkedIn_content_raw!$A$2:$A1000,LinkedIn_content_raw!$K$2:$K1000),XLOOKUP($A255,LinkedIn_content_raw!$A$2:$A1000,LinkedIn_content_raw!$N$2:$N1000),XLOOKUP($A255,LinkedIn_content_raw!$A$2:$A1000,LinkedIn_content_raw!$Q$2:$Q1000))</f>
        <v>15</v>
      </c>
      <c r="E255" s="26">
        <f t="array" ref="E255">XLOOKUP($A255,LinkedIn_content_raw!$A$2:$A1000,LinkedIn_content_raw!$E$2:$E1000)</f>
        <v>60</v>
      </c>
    </row>
    <row r="256">
      <c r="A256" s="25">
        <f>LinkedIn_content_raw!$A257</f>
        <v>45728</v>
      </c>
      <c r="B256" s="24" t="str">
        <f t="shared" si="1"/>
        <v>LinkedIn</v>
      </c>
      <c r="C256" s="26">
        <f t="array" ref="C256">XLOOKUP($A256,LinkedIn_follows_raw!$A$2:$A1000,LinkedIn_follows_raw!$E$2:$E1000)</f>
        <v>3</v>
      </c>
      <c r="D256" s="26">
        <f t="array" ref="D256">sum(XLOOKUP($A256,LinkedIn_content_raw!$A$2:$A1000,LinkedIn_content_raw!$K$2:$K1000),XLOOKUP($A256,LinkedIn_content_raw!$A$2:$A1000,LinkedIn_content_raw!$N$2:$N1000),XLOOKUP($A256,LinkedIn_content_raw!$A$2:$A1000,LinkedIn_content_raw!$Q$2:$Q1000))</f>
        <v>5</v>
      </c>
      <c r="E256" s="26">
        <f t="array" ref="E256">XLOOKUP($A256,LinkedIn_content_raw!$A$2:$A1000,LinkedIn_content_raw!$E$2:$E1000)</f>
        <v>87</v>
      </c>
    </row>
    <row r="257">
      <c r="A257" s="25">
        <f>LinkedIn_content_raw!$A258</f>
        <v>45729</v>
      </c>
      <c r="B257" s="24" t="str">
        <f t="shared" si="1"/>
        <v>LinkedIn</v>
      </c>
      <c r="C257" s="26">
        <f t="array" ref="C257">XLOOKUP($A257,LinkedIn_follows_raw!$A$2:$A1000,LinkedIn_follows_raw!$E$2:$E1000)</f>
        <v>5</v>
      </c>
      <c r="D257" s="26">
        <f t="array" ref="D257">sum(XLOOKUP($A257,LinkedIn_content_raw!$A$2:$A1000,LinkedIn_content_raw!$K$2:$K1000),XLOOKUP($A257,LinkedIn_content_raw!$A$2:$A1000,LinkedIn_content_raw!$N$2:$N1000),XLOOKUP($A257,LinkedIn_content_raw!$A$2:$A1000,LinkedIn_content_raw!$Q$2:$Q1000))</f>
        <v>10</v>
      </c>
      <c r="E257" s="26">
        <f t="array" ref="E257">XLOOKUP($A257,LinkedIn_content_raw!$A$2:$A1000,LinkedIn_content_raw!$E$2:$E1000)</f>
        <v>33</v>
      </c>
    </row>
    <row r="258">
      <c r="A258" s="25">
        <f>LinkedIn_content_raw!$A259</f>
        <v>45730</v>
      </c>
      <c r="B258" s="24" t="str">
        <f t="shared" si="1"/>
        <v>LinkedIn</v>
      </c>
      <c r="C258" s="26">
        <f t="array" ref="C258">XLOOKUP($A258,LinkedIn_follows_raw!$A$2:$A1000,LinkedIn_follows_raw!$E$2:$E1000)</f>
        <v>3</v>
      </c>
      <c r="D258" s="26">
        <f t="array" ref="D258">sum(XLOOKUP($A258,LinkedIn_content_raw!$A$2:$A1000,LinkedIn_content_raw!$K$2:$K1000),XLOOKUP($A258,LinkedIn_content_raw!$A$2:$A1000,LinkedIn_content_raw!$N$2:$N1000),XLOOKUP($A258,LinkedIn_content_raw!$A$2:$A1000,LinkedIn_content_raw!$Q$2:$Q1000))</f>
        <v>18</v>
      </c>
      <c r="E258" s="26">
        <f t="array" ref="E258">XLOOKUP($A258,LinkedIn_content_raw!$A$2:$A1000,LinkedIn_content_raw!$E$2:$E1000)</f>
        <v>104</v>
      </c>
    </row>
    <row r="259">
      <c r="A259" s="25">
        <f>LinkedIn_content_raw!$A260</f>
        <v>45731</v>
      </c>
      <c r="B259" s="24" t="str">
        <f t="shared" si="1"/>
        <v>LinkedIn</v>
      </c>
      <c r="C259" s="26">
        <f t="array" ref="C259">XLOOKUP($A259,LinkedIn_follows_raw!$A$2:$A1000,LinkedIn_follows_raw!$E$2:$E1000)</f>
        <v>1</v>
      </c>
      <c r="D259" s="26">
        <f t="array" ref="D259">sum(XLOOKUP($A259,LinkedIn_content_raw!$A$2:$A1000,LinkedIn_content_raw!$K$2:$K1000),XLOOKUP($A259,LinkedIn_content_raw!$A$2:$A1000,LinkedIn_content_raw!$N$2:$N1000),XLOOKUP($A259,LinkedIn_content_raw!$A$2:$A1000,LinkedIn_content_raw!$Q$2:$Q1000))</f>
        <v>8</v>
      </c>
      <c r="E259" s="26">
        <f t="array" ref="E259">XLOOKUP($A259,LinkedIn_content_raw!$A$2:$A1000,LinkedIn_content_raw!$E$2:$E1000)</f>
        <v>42</v>
      </c>
    </row>
    <row r="260">
      <c r="A260" s="25">
        <f>LinkedIn_content_raw!$A261</f>
        <v>45732</v>
      </c>
      <c r="B260" s="24" t="str">
        <f t="shared" si="1"/>
        <v>LinkedIn</v>
      </c>
      <c r="C260" s="26">
        <f t="array" ref="C260">XLOOKUP($A260,LinkedIn_follows_raw!$A$2:$A1000,LinkedIn_follows_raw!$E$2:$E1000)</f>
        <v>-1</v>
      </c>
      <c r="D260" s="26">
        <f t="array" ref="D260">sum(XLOOKUP($A260,LinkedIn_content_raw!$A$2:$A1000,LinkedIn_content_raw!$K$2:$K1000),XLOOKUP($A260,LinkedIn_content_raw!$A$2:$A1000,LinkedIn_content_raw!$N$2:$N1000),XLOOKUP($A260,LinkedIn_content_raw!$A$2:$A1000,LinkedIn_content_raw!$Q$2:$Q1000))</f>
        <v>2</v>
      </c>
      <c r="E260" s="26">
        <f t="array" ref="E260">XLOOKUP($A260,LinkedIn_content_raw!$A$2:$A1000,LinkedIn_content_raw!$E$2:$E1000)</f>
        <v>36</v>
      </c>
    </row>
    <row r="261">
      <c r="A261" s="25">
        <f>LinkedIn_content_raw!$A262</f>
        <v>45733</v>
      </c>
      <c r="B261" s="24" t="str">
        <f t="shared" si="1"/>
        <v>LinkedIn</v>
      </c>
      <c r="C261" s="26">
        <f t="array" ref="C261">XLOOKUP($A261,LinkedIn_follows_raw!$A$2:$A1000,LinkedIn_follows_raw!$E$2:$E1000)</f>
        <v>2</v>
      </c>
      <c r="D261" s="26">
        <f t="array" ref="D261">sum(XLOOKUP($A261,LinkedIn_content_raw!$A$2:$A1000,LinkedIn_content_raw!$K$2:$K1000),XLOOKUP($A261,LinkedIn_content_raw!$A$2:$A1000,LinkedIn_content_raw!$N$2:$N1000),XLOOKUP($A261,LinkedIn_content_raw!$A$2:$A1000,LinkedIn_content_raw!$Q$2:$Q1000))</f>
        <v>2</v>
      </c>
      <c r="E261" s="26">
        <f t="array" ref="E261">XLOOKUP($A261,LinkedIn_content_raw!$A$2:$A1000,LinkedIn_content_raw!$E$2:$E1000)</f>
        <v>47</v>
      </c>
    </row>
    <row r="262">
      <c r="A262" s="25">
        <f>LinkedIn_content_raw!$A263</f>
        <v>45734</v>
      </c>
      <c r="B262" s="24" t="str">
        <f t="shared" si="1"/>
        <v>LinkedIn</v>
      </c>
      <c r="C262" s="26">
        <f t="array" ref="C262">XLOOKUP($A262,LinkedIn_follows_raw!$A$2:$A1000,LinkedIn_follows_raw!$E$2:$E1000)</f>
        <v>4</v>
      </c>
      <c r="D262" s="26">
        <f t="array" ref="D262">sum(XLOOKUP($A262,LinkedIn_content_raw!$A$2:$A1000,LinkedIn_content_raw!$K$2:$K1000),XLOOKUP($A262,LinkedIn_content_raw!$A$2:$A1000,LinkedIn_content_raw!$N$2:$N1000),XLOOKUP($A262,LinkedIn_content_raw!$A$2:$A1000,LinkedIn_content_raw!$Q$2:$Q1000))</f>
        <v>10</v>
      </c>
      <c r="E262" s="26">
        <f t="array" ref="E262">XLOOKUP($A262,LinkedIn_content_raw!$A$2:$A1000,LinkedIn_content_raw!$E$2:$E1000)</f>
        <v>37</v>
      </c>
    </row>
    <row r="263">
      <c r="A263" s="25">
        <f>LinkedIn_content_raw!$A264</f>
        <v>45735</v>
      </c>
      <c r="B263" s="24" t="str">
        <f t="shared" si="1"/>
        <v>LinkedIn</v>
      </c>
      <c r="C263" s="26">
        <f t="array" ref="C263">XLOOKUP($A263,LinkedIn_follows_raw!$A$2:$A1000,LinkedIn_follows_raw!$E$2:$E1000)</f>
        <v>3</v>
      </c>
      <c r="D263" s="26">
        <f t="array" ref="D263">sum(XLOOKUP($A263,LinkedIn_content_raw!$A$2:$A1000,LinkedIn_content_raw!$K$2:$K1000),XLOOKUP($A263,LinkedIn_content_raw!$A$2:$A1000,LinkedIn_content_raw!$N$2:$N1000),XLOOKUP($A263,LinkedIn_content_raw!$A$2:$A1000,LinkedIn_content_raw!$Q$2:$Q1000))</f>
        <v>7</v>
      </c>
      <c r="E263" s="26">
        <f t="array" ref="E263">XLOOKUP($A263,LinkedIn_content_raw!$A$2:$A1000,LinkedIn_content_raw!$E$2:$E1000)</f>
        <v>52</v>
      </c>
    </row>
    <row r="264">
      <c r="A264" s="25">
        <f>LinkedIn_content_raw!$A265</f>
        <v>45736</v>
      </c>
      <c r="B264" s="24" t="str">
        <f t="shared" si="1"/>
        <v>LinkedIn</v>
      </c>
      <c r="C264" s="26">
        <f t="array" ref="C264">XLOOKUP($A264,LinkedIn_follows_raw!$A$2:$A1000,LinkedIn_follows_raw!$E$2:$E1000)</f>
        <v>2</v>
      </c>
      <c r="D264" s="26">
        <f t="array" ref="D264">sum(XLOOKUP($A264,LinkedIn_content_raw!$A$2:$A1000,LinkedIn_content_raw!$K$2:$K1000),XLOOKUP($A264,LinkedIn_content_raw!$A$2:$A1000,LinkedIn_content_raw!$N$2:$N1000),XLOOKUP($A264,LinkedIn_content_raw!$A$2:$A1000,LinkedIn_content_raw!$Q$2:$Q1000))</f>
        <v>30</v>
      </c>
      <c r="E264" s="26">
        <f t="array" ref="E264">XLOOKUP($A264,LinkedIn_content_raw!$A$2:$A1000,LinkedIn_content_raw!$E$2:$E1000)</f>
        <v>158</v>
      </c>
    </row>
    <row r="265">
      <c r="A265" s="25">
        <f>LinkedIn_content_raw!$A266</f>
        <v>45737</v>
      </c>
      <c r="B265" s="24" t="str">
        <f t="shared" si="1"/>
        <v>LinkedIn</v>
      </c>
      <c r="C265" s="26">
        <f t="array" ref="C265">XLOOKUP($A265,LinkedIn_follows_raw!$A$2:$A1000,LinkedIn_follows_raw!$E$2:$E1000)</f>
        <v>0</v>
      </c>
      <c r="D265" s="26">
        <f t="array" ref="D265">sum(XLOOKUP($A265,LinkedIn_content_raw!$A$2:$A1000,LinkedIn_content_raw!$K$2:$K1000),XLOOKUP($A265,LinkedIn_content_raw!$A$2:$A1000,LinkedIn_content_raw!$N$2:$N1000),XLOOKUP($A265,LinkedIn_content_raw!$A$2:$A1000,LinkedIn_content_raw!$Q$2:$Q1000))</f>
        <v>8</v>
      </c>
      <c r="E265" s="26">
        <f t="array" ref="E265">XLOOKUP($A265,LinkedIn_content_raw!$A$2:$A1000,LinkedIn_content_raw!$E$2:$E1000)</f>
        <v>109</v>
      </c>
    </row>
    <row r="266">
      <c r="A266" s="25">
        <f>LinkedIn_content_raw!$A267</f>
        <v>45738</v>
      </c>
      <c r="B266" s="24" t="str">
        <f t="shared" si="1"/>
        <v>LinkedIn</v>
      </c>
      <c r="C266" s="26">
        <f t="array" ref="C266">XLOOKUP($A266,LinkedIn_follows_raw!$A$2:$A1000,LinkedIn_follows_raw!$E$2:$E1000)</f>
        <v>1</v>
      </c>
      <c r="D266" s="26">
        <f t="array" ref="D266">sum(XLOOKUP($A266,LinkedIn_content_raw!$A$2:$A1000,LinkedIn_content_raw!$K$2:$K1000),XLOOKUP($A266,LinkedIn_content_raw!$A$2:$A1000,LinkedIn_content_raw!$N$2:$N1000),XLOOKUP($A266,LinkedIn_content_raw!$A$2:$A1000,LinkedIn_content_raw!$Q$2:$Q1000))</f>
        <v>9</v>
      </c>
      <c r="E266" s="26">
        <f t="array" ref="E266">XLOOKUP($A266,LinkedIn_content_raw!$A$2:$A1000,LinkedIn_content_raw!$E$2:$E1000)</f>
        <v>78</v>
      </c>
    </row>
    <row r="267">
      <c r="A267" s="25">
        <f>LinkedIn_content_raw!$A268</f>
        <v>45739</v>
      </c>
      <c r="B267" s="24" t="str">
        <f t="shared" si="1"/>
        <v>LinkedIn</v>
      </c>
      <c r="C267" s="26">
        <f t="array" ref="C267">XLOOKUP($A267,LinkedIn_follows_raw!$A$2:$A1000,LinkedIn_follows_raw!$E$2:$E1000)</f>
        <v>0</v>
      </c>
      <c r="D267" s="26">
        <f t="array" ref="D267">sum(XLOOKUP($A267,LinkedIn_content_raw!$A$2:$A1000,LinkedIn_content_raw!$K$2:$K1000),XLOOKUP($A267,LinkedIn_content_raw!$A$2:$A1000,LinkedIn_content_raw!$N$2:$N1000),XLOOKUP($A267,LinkedIn_content_raw!$A$2:$A1000,LinkedIn_content_raw!$Q$2:$Q1000))</f>
        <v>4</v>
      </c>
      <c r="E267" s="26">
        <f t="array" ref="E267">XLOOKUP($A267,LinkedIn_content_raw!$A$2:$A1000,LinkedIn_content_raw!$E$2:$E1000)</f>
        <v>53</v>
      </c>
    </row>
    <row r="268">
      <c r="A268" s="25">
        <f>LinkedIn_content_raw!$A269</f>
        <v>45740</v>
      </c>
      <c r="B268" s="24" t="str">
        <f t="shared" si="1"/>
        <v>LinkedIn</v>
      </c>
      <c r="C268" s="26">
        <f t="array" ref="C268">XLOOKUP($A268,LinkedIn_follows_raw!$A$2:$A1000,LinkedIn_follows_raw!$E$2:$E1000)</f>
        <v>2</v>
      </c>
      <c r="D268" s="26">
        <f t="array" ref="D268">sum(XLOOKUP($A268,LinkedIn_content_raw!$A$2:$A1000,LinkedIn_content_raw!$K$2:$K1000),XLOOKUP($A268,LinkedIn_content_raw!$A$2:$A1000,LinkedIn_content_raw!$N$2:$N1000),XLOOKUP($A268,LinkedIn_content_raw!$A$2:$A1000,LinkedIn_content_raw!$Q$2:$Q1000))</f>
        <v>10</v>
      </c>
      <c r="E268" s="26">
        <f t="array" ref="E268">XLOOKUP($A268,LinkedIn_content_raw!$A$2:$A1000,LinkedIn_content_raw!$E$2:$E1000)</f>
        <v>150</v>
      </c>
    </row>
    <row r="269">
      <c r="A269" s="25">
        <f>LinkedIn_content_raw!$A270</f>
        <v>45741</v>
      </c>
      <c r="B269" s="24" t="str">
        <f t="shared" si="1"/>
        <v>LinkedIn</v>
      </c>
      <c r="C269" s="26">
        <f t="array" ref="C269">XLOOKUP($A269,LinkedIn_follows_raw!$A$2:$A1000,LinkedIn_follows_raw!$E$2:$E1000)</f>
        <v>3</v>
      </c>
      <c r="D269" s="26">
        <f t="array" ref="D269">sum(XLOOKUP($A269,LinkedIn_content_raw!$A$2:$A1000,LinkedIn_content_raw!$K$2:$K1000),XLOOKUP($A269,LinkedIn_content_raw!$A$2:$A1000,LinkedIn_content_raw!$N$2:$N1000),XLOOKUP($A269,LinkedIn_content_raw!$A$2:$A1000,LinkedIn_content_raw!$Q$2:$Q1000))</f>
        <v>18</v>
      </c>
      <c r="E269" s="26">
        <f t="array" ref="E269">XLOOKUP($A269,LinkedIn_content_raw!$A$2:$A1000,LinkedIn_content_raw!$E$2:$E1000)</f>
        <v>107</v>
      </c>
    </row>
    <row r="270">
      <c r="A270" s="25">
        <f>LinkedIn_content_raw!$A271</f>
        <v>45742</v>
      </c>
      <c r="B270" s="24" t="str">
        <f t="shared" si="1"/>
        <v>LinkedIn</v>
      </c>
      <c r="C270" s="26">
        <f t="array" ref="C270">XLOOKUP($A270,LinkedIn_follows_raw!$A$2:$A1000,LinkedIn_follows_raw!$E$2:$E1000)</f>
        <v>6</v>
      </c>
      <c r="D270" s="26">
        <f t="array" ref="D270">sum(XLOOKUP($A270,LinkedIn_content_raw!$A$2:$A1000,LinkedIn_content_raw!$K$2:$K1000),XLOOKUP($A270,LinkedIn_content_raw!$A$2:$A1000,LinkedIn_content_raw!$N$2:$N1000),XLOOKUP($A270,LinkedIn_content_raw!$A$2:$A1000,LinkedIn_content_raw!$Q$2:$Q1000))</f>
        <v>13</v>
      </c>
      <c r="E270" s="26">
        <f t="array" ref="E270">XLOOKUP($A270,LinkedIn_content_raw!$A$2:$A1000,LinkedIn_content_raw!$E$2:$E1000)</f>
        <v>127</v>
      </c>
    </row>
    <row r="271">
      <c r="A271" s="25">
        <f>LinkedIn_content_raw!$A272</f>
        <v>45743</v>
      </c>
      <c r="B271" s="24" t="str">
        <f t="shared" si="1"/>
        <v>LinkedIn</v>
      </c>
      <c r="C271" s="26">
        <f t="array" ref="C271">XLOOKUP($A271,LinkedIn_follows_raw!$A$2:$A1000,LinkedIn_follows_raw!$E$2:$E1000)</f>
        <v>2</v>
      </c>
      <c r="D271" s="26">
        <f t="array" ref="D271">sum(XLOOKUP($A271,LinkedIn_content_raw!$A$2:$A1000,LinkedIn_content_raw!$K$2:$K1000),XLOOKUP($A271,LinkedIn_content_raw!$A$2:$A1000,LinkedIn_content_raw!$N$2:$N1000),XLOOKUP($A271,LinkedIn_content_raw!$A$2:$A1000,LinkedIn_content_raw!$Q$2:$Q1000))</f>
        <v>24</v>
      </c>
      <c r="E271" s="26">
        <f t="array" ref="E271">XLOOKUP($A271,LinkedIn_content_raw!$A$2:$A1000,LinkedIn_content_raw!$E$2:$E1000)</f>
        <v>162</v>
      </c>
    </row>
    <row r="272">
      <c r="A272" s="25">
        <f>LinkedIn_content_raw!$A273</f>
        <v>45744</v>
      </c>
      <c r="B272" s="24" t="str">
        <f t="shared" si="1"/>
        <v>LinkedIn</v>
      </c>
      <c r="C272" s="26">
        <f t="array" ref="C272">XLOOKUP($A272,LinkedIn_follows_raw!$A$2:$A1000,LinkedIn_follows_raw!$E$2:$E1000)</f>
        <v>1</v>
      </c>
      <c r="D272" s="26">
        <f t="array" ref="D272">sum(XLOOKUP($A272,LinkedIn_content_raw!$A$2:$A1000,LinkedIn_content_raw!$K$2:$K1000),XLOOKUP($A272,LinkedIn_content_raw!$A$2:$A1000,LinkedIn_content_raw!$N$2:$N1000),XLOOKUP($A272,LinkedIn_content_raw!$A$2:$A1000,LinkedIn_content_raw!$Q$2:$Q1000))</f>
        <v>14</v>
      </c>
      <c r="E272" s="26">
        <f t="array" ref="E272">XLOOKUP($A272,LinkedIn_content_raw!$A$2:$A1000,LinkedIn_content_raw!$E$2:$E1000)</f>
        <v>133</v>
      </c>
    </row>
    <row r="273">
      <c r="A273" s="25">
        <f>LinkedIn_content_raw!$A274</f>
        <v>45745</v>
      </c>
      <c r="B273" s="24" t="str">
        <f t="shared" si="1"/>
        <v>LinkedIn</v>
      </c>
      <c r="C273" s="26">
        <f t="array" ref="C273">XLOOKUP($A273,LinkedIn_follows_raw!$A$2:$A1000,LinkedIn_follows_raw!$E$2:$E1000)</f>
        <v>1</v>
      </c>
      <c r="D273" s="26">
        <f t="array" ref="D273">sum(XLOOKUP($A273,LinkedIn_content_raw!$A$2:$A1000,LinkedIn_content_raw!$K$2:$K1000),XLOOKUP($A273,LinkedIn_content_raw!$A$2:$A1000,LinkedIn_content_raw!$N$2:$N1000),XLOOKUP($A273,LinkedIn_content_raw!$A$2:$A1000,LinkedIn_content_raw!$Q$2:$Q1000))</f>
        <v>8</v>
      </c>
      <c r="E273" s="26">
        <f t="array" ref="E273">XLOOKUP($A273,LinkedIn_content_raw!$A$2:$A1000,LinkedIn_content_raw!$E$2:$E1000)</f>
        <v>82</v>
      </c>
    </row>
    <row r="274">
      <c r="A274" s="25">
        <f>LinkedIn_content_raw!$A275</f>
        <v>45746</v>
      </c>
      <c r="B274" s="24" t="str">
        <f t="shared" si="1"/>
        <v>LinkedIn</v>
      </c>
      <c r="C274" s="26">
        <f t="array" ref="C274">XLOOKUP($A274,LinkedIn_follows_raw!$A$2:$A1000,LinkedIn_follows_raw!$E$2:$E1000)</f>
        <v>0</v>
      </c>
      <c r="D274" s="26">
        <f t="array" ref="D274">sum(XLOOKUP($A274,LinkedIn_content_raw!$A$2:$A1000,LinkedIn_content_raw!$K$2:$K1000),XLOOKUP($A274,LinkedIn_content_raw!$A$2:$A1000,LinkedIn_content_raw!$N$2:$N1000),XLOOKUP($A274,LinkedIn_content_raw!$A$2:$A1000,LinkedIn_content_raw!$Q$2:$Q1000))</f>
        <v>4</v>
      </c>
      <c r="E274" s="26">
        <f t="array" ref="E274">XLOOKUP($A274,LinkedIn_content_raw!$A$2:$A1000,LinkedIn_content_raw!$E$2:$E1000)</f>
        <v>50</v>
      </c>
    </row>
    <row r="275">
      <c r="A275" s="25">
        <f>LinkedIn_content_raw!$A276</f>
        <v>45747</v>
      </c>
      <c r="B275" s="24" t="str">
        <f t="shared" si="1"/>
        <v>LinkedIn</v>
      </c>
      <c r="C275" s="26">
        <f t="array" ref="C275">XLOOKUP($A275,LinkedIn_follows_raw!$A$2:$A1000,LinkedIn_follows_raw!$E$2:$E1000)</f>
        <v>0</v>
      </c>
      <c r="D275" s="26">
        <f t="array" ref="D275">sum(XLOOKUP($A275,LinkedIn_content_raw!$A$2:$A1000,LinkedIn_content_raw!$K$2:$K1000),XLOOKUP($A275,LinkedIn_content_raw!$A$2:$A1000,LinkedIn_content_raw!$N$2:$N1000),XLOOKUP($A275,LinkedIn_content_raw!$A$2:$A1000,LinkedIn_content_raw!$Q$2:$Q1000))</f>
        <v>8</v>
      </c>
      <c r="E275" s="26">
        <f t="array" ref="E275">XLOOKUP($A275,LinkedIn_content_raw!$A$2:$A1000,LinkedIn_content_raw!$E$2:$E1000)</f>
        <v>63</v>
      </c>
    </row>
    <row r="276">
      <c r="A276" s="25">
        <f>LinkedIn_content_raw!$A277</f>
        <v>45748</v>
      </c>
      <c r="B276" s="24" t="str">
        <f t="shared" si="1"/>
        <v>LinkedIn</v>
      </c>
      <c r="C276" s="26">
        <f t="array" ref="C276">XLOOKUP($A276,LinkedIn_follows_raw!$A$2:$A1000,LinkedIn_follows_raw!$E$2:$E1000)</f>
        <v>0</v>
      </c>
      <c r="D276" s="26">
        <f t="array" ref="D276">sum(XLOOKUP($A276,LinkedIn_content_raw!$A$2:$A1000,LinkedIn_content_raw!$K$2:$K1000),XLOOKUP($A276,LinkedIn_content_raw!$A$2:$A1000,LinkedIn_content_raw!$N$2:$N1000),XLOOKUP($A276,LinkedIn_content_raw!$A$2:$A1000,LinkedIn_content_raw!$Q$2:$Q1000))</f>
        <v>14</v>
      </c>
      <c r="E276" s="26">
        <f t="array" ref="E276">XLOOKUP($A276,LinkedIn_content_raw!$A$2:$A1000,LinkedIn_content_raw!$E$2:$E1000)</f>
        <v>113</v>
      </c>
    </row>
    <row r="277">
      <c r="A277" s="25">
        <f>LinkedIn_content_raw!$A278</f>
        <v>45749</v>
      </c>
      <c r="B277" s="24" t="str">
        <f t="shared" si="1"/>
        <v>LinkedIn</v>
      </c>
      <c r="C277" s="26">
        <f t="array" ref="C277">XLOOKUP($A277,LinkedIn_follows_raw!$A$2:$A1000,LinkedIn_follows_raw!$E$2:$E1000)</f>
        <v>2</v>
      </c>
      <c r="D277" s="26">
        <f t="array" ref="D277">sum(XLOOKUP($A277,LinkedIn_content_raw!$A$2:$A1000,LinkedIn_content_raw!$K$2:$K1000),XLOOKUP($A277,LinkedIn_content_raw!$A$2:$A1000,LinkedIn_content_raw!$N$2:$N1000),XLOOKUP($A277,LinkedIn_content_raw!$A$2:$A1000,LinkedIn_content_raw!$Q$2:$Q1000))</f>
        <v>24</v>
      </c>
      <c r="E277" s="26">
        <f t="array" ref="E277">XLOOKUP($A277,LinkedIn_content_raw!$A$2:$A1000,LinkedIn_content_raw!$E$2:$E1000)</f>
        <v>142</v>
      </c>
    </row>
    <row r="278">
      <c r="A278" s="25">
        <f>LinkedIn_content_raw!$A279</f>
        <v>45750</v>
      </c>
      <c r="B278" s="24" t="str">
        <f t="shared" si="1"/>
        <v>LinkedIn</v>
      </c>
      <c r="C278" s="26">
        <f t="array" ref="C278">XLOOKUP($A278,LinkedIn_follows_raw!$A$2:$A1000,LinkedIn_follows_raw!$E$2:$E1000)</f>
        <v>2</v>
      </c>
      <c r="D278" s="26">
        <f t="array" ref="D278">sum(XLOOKUP($A278,LinkedIn_content_raw!$A$2:$A1000,LinkedIn_content_raw!$K$2:$K1000),XLOOKUP($A278,LinkedIn_content_raw!$A$2:$A1000,LinkedIn_content_raw!$N$2:$N1000),XLOOKUP($A278,LinkedIn_content_raw!$A$2:$A1000,LinkedIn_content_raw!$Q$2:$Q1000))</f>
        <v>13</v>
      </c>
      <c r="E278" s="26">
        <f t="array" ref="E278">XLOOKUP($A278,LinkedIn_content_raw!$A$2:$A1000,LinkedIn_content_raw!$E$2:$E1000)</f>
        <v>88</v>
      </c>
    </row>
    <row r="279">
      <c r="A279" s="25">
        <f>LinkedIn_content_raw!$A280</f>
        <v>45751</v>
      </c>
      <c r="B279" s="24" t="str">
        <f t="shared" si="1"/>
        <v>LinkedIn</v>
      </c>
      <c r="C279" s="26">
        <f t="array" ref="C279">XLOOKUP($A279,LinkedIn_follows_raw!$A$2:$A1000,LinkedIn_follows_raw!$E$2:$E1000)</f>
        <v>2</v>
      </c>
      <c r="D279" s="26">
        <f t="array" ref="D279">sum(XLOOKUP($A279,LinkedIn_content_raw!$A$2:$A1000,LinkedIn_content_raw!$K$2:$K1000),XLOOKUP($A279,LinkedIn_content_raw!$A$2:$A1000,LinkedIn_content_raw!$N$2:$N1000),XLOOKUP($A279,LinkedIn_content_raw!$A$2:$A1000,LinkedIn_content_raw!$Q$2:$Q1000))</f>
        <v>6</v>
      </c>
      <c r="E279" s="26">
        <f t="array" ref="E279">XLOOKUP($A279,LinkedIn_content_raw!$A$2:$A1000,LinkedIn_content_raw!$E$2:$E1000)</f>
        <v>101</v>
      </c>
    </row>
    <row r="280">
      <c r="A280" s="25">
        <f>LinkedIn_content_raw!$A281</f>
        <v>45752</v>
      </c>
      <c r="B280" s="24" t="str">
        <f t="shared" si="1"/>
        <v>LinkedIn</v>
      </c>
      <c r="C280" s="26">
        <f t="array" ref="C280">XLOOKUP($A280,LinkedIn_follows_raw!$A$2:$A1000,LinkedIn_follows_raw!$E$2:$E1000)</f>
        <v>0</v>
      </c>
      <c r="D280" s="26">
        <f t="array" ref="D280">sum(XLOOKUP($A280,LinkedIn_content_raw!$A$2:$A1000,LinkedIn_content_raw!$K$2:$K1000),XLOOKUP($A280,LinkedIn_content_raw!$A$2:$A1000,LinkedIn_content_raw!$N$2:$N1000),XLOOKUP($A280,LinkedIn_content_raw!$A$2:$A1000,LinkedIn_content_raw!$Q$2:$Q1000))</f>
        <v>5</v>
      </c>
      <c r="E280" s="26">
        <f t="array" ref="E280">XLOOKUP($A280,LinkedIn_content_raw!$A$2:$A1000,LinkedIn_content_raw!$E$2:$E1000)</f>
        <v>93</v>
      </c>
    </row>
    <row r="281">
      <c r="A281" s="25">
        <f>LinkedIn_content_raw!$A282</f>
        <v>45753</v>
      </c>
      <c r="B281" s="24" t="str">
        <f t="shared" si="1"/>
        <v>LinkedIn</v>
      </c>
      <c r="C281" s="26">
        <f t="array" ref="C281">XLOOKUP($A281,LinkedIn_follows_raw!$A$2:$A1000,LinkedIn_follows_raw!$E$2:$E1000)</f>
        <v>0</v>
      </c>
      <c r="D281" s="26">
        <f t="array" ref="D281">sum(XLOOKUP($A281,LinkedIn_content_raw!$A$2:$A1000,LinkedIn_content_raw!$K$2:$K1000),XLOOKUP($A281,LinkedIn_content_raw!$A$2:$A1000,LinkedIn_content_raw!$N$2:$N1000),XLOOKUP($A281,LinkedIn_content_raw!$A$2:$A1000,LinkedIn_content_raw!$Q$2:$Q1000))</f>
        <v>5</v>
      </c>
      <c r="E281" s="26">
        <f t="array" ref="E281">XLOOKUP($A281,LinkedIn_content_raw!$A$2:$A1000,LinkedIn_content_raw!$E$2:$E1000)</f>
        <v>67</v>
      </c>
    </row>
    <row r="282">
      <c r="A282" s="25">
        <f>LinkedIn_content_raw!$A283</f>
        <v>45754</v>
      </c>
      <c r="B282" s="24" t="str">
        <f t="shared" si="1"/>
        <v>LinkedIn</v>
      </c>
      <c r="C282" s="26">
        <f t="array" ref="C282">XLOOKUP($A282,LinkedIn_follows_raw!$A$2:$A1000,LinkedIn_follows_raw!$E$2:$E1000)</f>
        <v>1</v>
      </c>
      <c r="D282" s="26">
        <f t="array" ref="D282">sum(XLOOKUP($A282,LinkedIn_content_raw!$A$2:$A1000,LinkedIn_content_raw!$K$2:$K1000),XLOOKUP($A282,LinkedIn_content_raw!$A$2:$A1000,LinkedIn_content_raw!$N$2:$N1000),XLOOKUP($A282,LinkedIn_content_raw!$A$2:$A1000,LinkedIn_content_raw!$Q$2:$Q1000))</f>
        <v>10</v>
      </c>
      <c r="E282" s="26">
        <f t="array" ref="E282">XLOOKUP($A282,LinkedIn_content_raw!$A$2:$A1000,LinkedIn_content_raw!$E$2:$E1000)</f>
        <v>78</v>
      </c>
    </row>
    <row r="283">
      <c r="A283" s="25">
        <f>LinkedIn_content_raw!$A284</f>
        <v>45755</v>
      </c>
      <c r="B283" s="24" t="str">
        <f t="shared" si="1"/>
        <v>LinkedIn</v>
      </c>
      <c r="C283" s="26">
        <f t="array" ref="C283">XLOOKUP($A283,LinkedIn_follows_raw!$A$2:$A1000,LinkedIn_follows_raw!$E$2:$E1000)</f>
        <v>0</v>
      </c>
      <c r="D283" s="26">
        <f t="array" ref="D283">sum(XLOOKUP($A283,LinkedIn_content_raw!$A$2:$A1000,LinkedIn_content_raw!$K$2:$K1000),XLOOKUP($A283,LinkedIn_content_raw!$A$2:$A1000,LinkedIn_content_raw!$N$2:$N1000),XLOOKUP($A283,LinkedIn_content_raw!$A$2:$A1000,LinkedIn_content_raw!$Q$2:$Q1000))</f>
        <v>6</v>
      </c>
      <c r="E283" s="26">
        <f t="array" ref="E283">XLOOKUP($A283,LinkedIn_content_raw!$A$2:$A1000,LinkedIn_content_raw!$E$2:$E1000)</f>
        <v>68</v>
      </c>
    </row>
    <row r="284">
      <c r="A284" s="25">
        <f>LinkedIn_content_raw!$A285</f>
        <v>45756</v>
      </c>
      <c r="B284" s="24" t="str">
        <f t="shared" si="1"/>
        <v>LinkedIn</v>
      </c>
      <c r="C284" s="26">
        <f t="array" ref="C284">XLOOKUP($A284,LinkedIn_follows_raw!$A$2:$A1000,LinkedIn_follows_raw!$E$2:$E1000)</f>
        <v>3</v>
      </c>
      <c r="D284" s="26">
        <f t="array" ref="D284">sum(XLOOKUP($A284,LinkedIn_content_raw!$A$2:$A1000,LinkedIn_content_raw!$K$2:$K1000),XLOOKUP($A284,LinkedIn_content_raw!$A$2:$A1000,LinkedIn_content_raw!$N$2:$N1000),XLOOKUP($A284,LinkedIn_content_raw!$A$2:$A1000,LinkedIn_content_raw!$Q$2:$Q1000))</f>
        <v>8</v>
      </c>
      <c r="E284" s="26">
        <f t="array" ref="E284">XLOOKUP($A284,LinkedIn_content_raw!$A$2:$A1000,LinkedIn_content_raw!$E$2:$E1000)</f>
        <v>67</v>
      </c>
    </row>
    <row r="285">
      <c r="A285" s="25">
        <f>LinkedIn_content_raw!$A286</f>
        <v>45757</v>
      </c>
      <c r="B285" s="24" t="str">
        <f t="shared" si="1"/>
        <v>LinkedIn</v>
      </c>
      <c r="C285" s="26">
        <f t="array" ref="C285">XLOOKUP($A285,LinkedIn_follows_raw!$A$2:$A1000,LinkedIn_follows_raw!$E$2:$E1000)</f>
        <v>2</v>
      </c>
      <c r="D285" s="26">
        <f t="array" ref="D285">sum(XLOOKUP($A285,LinkedIn_content_raw!$A$2:$A1000,LinkedIn_content_raw!$K$2:$K1000),XLOOKUP($A285,LinkedIn_content_raw!$A$2:$A1000,LinkedIn_content_raw!$N$2:$N1000),XLOOKUP($A285,LinkedIn_content_raw!$A$2:$A1000,LinkedIn_content_raw!$Q$2:$Q1000))</f>
        <v>16</v>
      </c>
      <c r="E285" s="26">
        <f t="array" ref="E285">XLOOKUP($A285,LinkedIn_content_raw!$A$2:$A1000,LinkedIn_content_raw!$E$2:$E1000)</f>
        <v>111</v>
      </c>
    </row>
    <row r="286">
      <c r="A286" s="25">
        <f>LinkedIn_content_raw!$A287</f>
        <v>45758</v>
      </c>
      <c r="B286" s="24" t="str">
        <f t="shared" si="1"/>
        <v>LinkedIn</v>
      </c>
      <c r="C286" s="26">
        <f t="array" ref="C286">XLOOKUP($A286,LinkedIn_follows_raw!$A$2:$A1000,LinkedIn_follows_raw!$E$2:$E1000)</f>
        <v>2</v>
      </c>
      <c r="D286" s="26">
        <f t="array" ref="D286">sum(XLOOKUP($A286,LinkedIn_content_raw!$A$2:$A1000,LinkedIn_content_raw!$K$2:$K1000),XLOOKUP($A286,LinkedIn_content_raw!$A$2:$A1000,LinkedIn_content_raw!$N$2:$N1000),XLOOKUP($A286,LinkedIn_content_raw!$A$2:$A1000,LinkedIn_content_raw!$Q$2:$Q1000))</f>
        <v>11</v>
      </c>
      <c r="E286" s="26">
        <f t="array" ref="E286">XLOOKUP($A286,LinkedIn_content_raw!$A$2:$A1000,LinkedIn_content_raw!$E$2:$E1000)</f>
        <v>64</v>
      </c>
    </row>
    <row r="287">
      <c r="A287" s="25">
        <f>LinkedIn_content_raw!$A288</f>
        <v>45759</v>
      </c>
      <c r="B287" s="24" t="str">
        <f t="shared" si="1"/>
        <v>LinkedIn</v>
      </c>
      <c r="C287" s="26">
        <f t="array" ref="C287">XLOOKUP($A287,LinkedIn_follows_raw!$A$2:$A1000,LinkedIn_follows_raw!$E$2:$E1000)</f>
        <v>0</v>
      </c>
      <c r="D287" s="26">
        <f t="array" ref="D287">sum(XLOOKUP($A287,LinkedIn_content_raw!$A$2:$A1000,LinkedIn_content_raw!$K$2:$K1000),XLOOKUP($A287,LinkedIn_content_raw!$A$2:$A1000,LinkedIn_content_raw!$N$2:$N1000),XLOOKUP($A287,LinkedIn_content_raw!$A$2:$A1000,LinkedIn_content_raw!$Q$2:$Q1000))</f>
        <v>7</v>
      </c>
      <c r="E287" s="26">
        <f t="array" ref="E287">XLOOKUP($A287,LinkedIn_content_raw!$A$2:$A1000,LinkedIn_content_raw!$E$2:$E1000)</f>
        <v>67</v>
      </c>
    </row>
    <row r="288">
      <c r="A288" s="25">
        <f>LinkedIn_content_raw!$A289</f>
        <v>45760</v>
      </c>
      <c r="B288" s="24" t="str">
        <f t="shared" si="1"/>
        <v>LinkedIn</v>
      </c>
      <c r="C288" s="26">
        <f t="array" ref="C288">XLOOKUP($A288,LinkedIn_follows_raw!$A$2:$A1000,LinkedIn_follows_raw!$E$2:$E1000)</f>
        <v>0</v>
      </c>
      <c r="D288" s="26">
        <f t="array" ref="D288">sum(XLOOKUP($A288,LinkedIn_content_raw!$A$2:$A1000,LinkedIn_content_raw!$K$2:$K1000),XLOOKUP($A288,LinkedIn_content_raw!$A$2:$A1000,LinkedIn_content_raw!$N$2:$N1000),XLOOKUP($A288,LinkedIn_content_raw!$A$2:$A1000,LinkedIn_content_raw!$Q$2:$Q1000))</f>
        <v>1</v>
      </c>
      <c r="E288" s="26">
        <f t="array" ref="E288">XLOOKUP($A288,LinkedIn_content_raw!$A$2:$A1000,LinkedIn_content_raw!$E$2:$E1000)</f>
        <v>33</v>
      </c>
    </row>
    <row r="289">
      <c r="A289" s="25">
        <f>LinkedIn_content_raw!$A290</f>
        <v>45761</v>
      </c>
      <c r="B289" s="24" t="str">
        <f t="shared" si="1"/>
        <v>LinkedIn</v>
      </c>
      <c r="C289" s="26">
        <f t="array" ref="C289">XLOOKUP($A289,LinkedIn_follows_raw!$A$2:$A1000,LinkedIn_follows_raw!$E$2:$E1000)</f>
        <v>0</v>
      </c>
      <c r="D289" s="26">
        <f t="array" ref="D289">sum(XLOOKUP($A289,LinkedIn_content_raw!$A$2:$A1000,LinkedIn_content_raw!$K$2:$K1000),XLOOKUP($A289,LinkedIn_content_raw!$A$2:$A1000,LinkedIn_content_raw!$N$2:$N1000),XLOOKUP($A289,LinkedIn_content_raw!$A$2:$A1000,LinkedIn_content_raw!$Q$2:$Q1000))</f>
        <v>1</v>
      </c>
      <c r="E289" s="26">
        <f t="array" ref="E289">XLOOKUP($A289,LinkedIn_content_raw!$A$2:$A1000,LinkedIn_content_raw!$E$2:$E1000)</f>
        <v>37</v>
      </c>
    </row>
    <row r="290">
      <c r="A290" s="25">
        <f>LinkedIn_content_raw!$A291</f>
        <v>45762</v>
      </c>
      <c r="B290" s="24" t="str">
        <f t="shared" si="1"/>
        <v>LinkedIn</v>
      </c>
      <c r="C290" s="26">
        <f t="array" ref="C290">XLOOKUP($A290,LinkedIn_follows_raw!$A$2:$A1000,LinkedIn_follows_raw!$E$2:$E1000)</f>
        <v>0</v>
      </c>
      <c r="D290" s="26">
        <f t="array" ref="D290">sum(XLOOKUP($A290,LinkedIn_content_raw!$A$2:$A1000,LinkedIn_content_raw!$K$2:$K1000),XLOOKUP($A290,LinkedIn_content_raw!$A$2:$A1000,LinkedIn_content_raw!$N$2:$N1000),XLOOKUP($A290,LinkedIn_content_raw!$A$2:$A1000,LinkedIn_content_raw!$Q$2:$Q1000))</f>
        <v>4</v>
      </c>
      <c r="E290" s="26">
        <f t="array" ref="E290">XLOOKUP($A290,LinkedIn_content_raw!$A$2:$A1000,LinkedIn_content_raw!$E$2:$E1000)</f>
        <v>53</v>
      </c>
    </row>
    <row r="291">
      <c r="A291" s="25">
        <f>LinkedIn_content_raw!$A292</f>
        <v>45763</v>
      </c>
      <c r="B291" s="24" t="str">
        <f t="shared" si="1"/>
        <v>LinkedIn</v>
      </c>
      <c r="C291" s="26">
        <f t="array" ref="C291">XLOOKUP($A291,LinkedIn_follows_raw!$A$2:$A1000,LinkedIn_follows_raw!$E$2:$E1000)</f>
        <v>3</v>
      </c>
      <c r="D291" s="26">
        <f t="array" ref="D291">sum(XLOOKUP($A291,LinkedIn_content_raw!$A$2:$A1000,LinkedIn_content_raw!$K$2:$K1000),XLOOKUP($A291,LinkedIn_content_raw!$A$2:$A1000,LinkedIn_content_raw!$N$2:$N1000),XLOOKUP($A291,LinkedIn_content_raw!$A$2:$A1000,LinkedIn_content_raw!$Q$2:$Q1000))</f>
        <v>11</v>
      </c>
      <c r="E291" s="26">
        <f t="array" ref="E291">XLOOKUP($A291,LinkedIn_content_raw!$A$2:$A1000,LinkedIn_content_raw!$E$2:$E1000)</f>
        <v>80</v>
      </c>
    </row>
    <row r="292">
      <c r="A292" s="25">
        <f>LinkedIn_content_raw!$A293</f>
        <v>45764</v>
      </c>
      <c r="B292" s="24" t="str">
        <f t="shared" si="1"/>
        <v>LinkedIn</v>
      </c>
      <c r="C292" s="26">
        <f t="array" ref="C292">XLOOKUP($A292,LinkedIn_follows_raw!$A$2:$A1000,LinkedIn_follows_raw!$E$2:$E1000)</f>
        <v>2</v>
      </c>
      <c r="D292" s="26">
        <f t="array" ref="D292">sum(XLOOKUP($A292,LinkedIn_content_raw!$A$2:$A1000,LinkedIn_content_raw!$K$2:$K1000),XLOOKUP($A292,LinkedIn_content_raw!$A$2:$A1000,LinkedIn_content_raw!$N$2:$N1000),XLOOKUP($A292,LinkedIn_content_raw!$A$2:$A1000,LinkedIn_content_raw!$Q$2:$Q1000))</f>
        <v>9</v>
      </c>
      <c r="E292" s="26">
        <f t="array" ref="E292">XLOOKUP($A292,LinkedIn_content_raw!$A$2:$A1000,LinkedIn_content_raw!$E$2:$E1000)</f>
        <v>116</v>
      </c>
    </row>
    <row r="293">
      <c r="A293" s="25">
        <f>LinkedIn_content_raw!$A294</f>
        <v>45765</v>
      </c>
      <c r="B293" s="24" t="str">
        <f t="shared" si="1"/>
        <v>LinkedIn</v>
      </c>
      <c r="C293" s="26">
        <f t="array" ref="C293">XLOOKUP($A293,LinkedIn_follows_raw!$A$2:$A1000,LinkedIn_follows_raw!$E$2:$E1000)</f>
        <v>0</v>
      </c>
      <c r="D293" s="26">
        <f t="array" ref="D293">sum(XLOOKUP($A293,LinkedIn_content_raw!$A$2:$A1000,LinkedIn_content_raw!$K$2:$K1000),XLOOKUP($A293,LinkedIn_content_raw!$A$2:$A1000,LinkedIn_content_raw!$N$2:$N1000),XLOOKUP($A293,LinkedIn_content_raw!$A$2:$A1000,LinkedIn_content_raw!$Q$2:$Q1000))</f>
        <v>6</v>
      </c>
      <c r="E293" s="26">
        <f t="array" ref="E293">XLOOKUP($A293,LinkedIn_content_raw!$A$2:$A1000,LinkedIn_content_raw!$E$2:$E1000)</f>
        <v>64</v>
      </c>
    </row>
    <row r="294">
      <c r="A294" s="25">
        <f>LinkedIn_content_raw!$A295</f>
        <v>45766</v>
      </c>
      <c r="B294" s="24" t="str">
        <f t="shared" si="1"/>
        <v>LinkedIn</v>
      </c>
      <c r="C294" s="26">
        <f t="array" ref="C294">XLOOKUP($A294,LinkedIn_follows_raw!$A$2:$A1000,LinkedIn_follows_raw!$E$2:$E1000)</f>
        <v>1</v>
      </c>
      <c r="D294" s="26">
        <f t="array" ref="D294">sum(XLOOKUP($A294,LinkedIn_content_raw!$A$2:$A1000,LinkedIn_content_raw!$K$2:$K1000),XLOOKUP($A294,LinkedIn_content_raw!$A$2:$A1000,LinkedIn_content_raw!$N$2:$N1000),XLOOKUP($A294,LinkedIn_content_raw!$A$2:$A1000,LinkedIn_content_raw!$Q$2:$Q1000))</f>
        <v>1</v>
      </c>
      <c r="E294" s="26">
        <f t="array" ref="E294">XLOOKUP($A294,LinkedIn_content_raw!$A$2:$A1000,LinkedIn_content_raw!$E$2:$E1000)</f>
        <v>32</v>
      </c>
    </row>
    <row r="295">
      <c r="A295" s="25">
        <f>LinkedIn_content_raw!$A296</f>
        <v>45767</v>
      </c>
      <c r="B295" s="24" t="str">
        <f t="shared" si="1"/>
        <v>LinkedIn</v>
      </c>
      <c r="C295" s="26">
        <f t="array" ref="C295">XLOOKUP($A295,LinkedIn_follows_raw!$A$2:$A1000,LinkedIn_follows_raw!$E$2:$E1000)</f>
        <v>1</v>
      </c>
      <c r="D295" s="26">
        <f t="array" ref="D295">sum(XLOOKUP($A295,LinkedIn_content_raw!$A$2:$A1000,LinkedIn_content_raw!$K$2:$K1000),XLOOKUP($A295,LinkedIn_content_raw!$A$2:$A1000,LinkedIn_content_raw!$N$2:$N1000),XLOOKUP($A295,LinkedIn_content_raw!$A$2:$A1000,LinkedIn_content_raw!$Q$2:$Q1000))</f>
        <v>1</v>
      </c>
      <c r="E295" s="26">
        <f t="array" ref="E295">XLOOKUP($A295,LinkedIn_content_raw!$A$2:$A1000,LinkedIn_content_raw!$E$2:$E1000)</f>
        <v>31</v>
      </c>
    </row>
    <row r="296">
      <c r="A296" s="25">
        <f>LinkedIn_content_raw!$A297</f>
        <v>45768</v>
      </c>
      <c r="B296" s="24" t="str">
        <f t="shared" si="1"/>
        <v>LinkedIn</v>
      </c>
      <c r="C296" s="26">
        <f t="array" ref="C296">XLOOKUP($A296,LinkedIn_follows_raw!$A$2:$A1000,LinkedIn_follows_raw!$E$2:$E1000)</f>
        <v>2</v>
      </c>
      <c r="D296" s="26">
        <f t="array" ref="D296">sum(XLOOKUP($A296,LinkedIn_content_raw!$A$2:$A1000,LinkedIn_content_raw!$K$2:$K1000),XLOOKUP($A296,LinkedIn_content_raw!$A$2:$A1000,LinkedIn_content_raw!$N$2:$N1000),XLOOKUP($A296,LinkedIn_content_raw!$A$2:$A1000,LinkedIn_content_raw!$Q$2:$Q1000))</f>
        <v>4</v>
      </c>
      <c r="E296" s="26">
        <f t="array" ref="E296">XLOOKUP($A296,LinkedIn_content_raw!$A$2:$A1000,LinkedIn_content_raw!$E$2:$E1000)</f>
        <v>92</v>
      </c>
    </row>
    <row r="297">
      <c r="A297" s="25">
        <f>LinkedIn_content_raw!$A298</f>
        <v>45769</v>
      </c>
      <c r="B297" s="24" t="str">
        <f t="shared" si="1"/>
        <v>LinkedIn</v>
      </c>
      <c r="C297" s="26">
        <f t="array" ref="C297">XLOOKUP($A297,LinkedIn_follows_raw!$A$2:$A1000,LinkedIn_follows_raw!$E$2:$E1000)</f>
        <v>-1</v>
      </c>
      <c r="D297" s="26">
        <f t="array" ref="D297">sum(XLOOKUP($A297,LinkedIn_content_raw!$A$2:$A1000,LinkedIn_content_raw!$K$2:$K1000),XLOOKUP($A297,LinkedIn_content_raw!$A$2:$A1000,LinkedIn_content_raw!$N$2:$N1000),XLOOKUP($A297,LinkedIn_content_raw!$A$2:$A1000,LinkedIn_content_raw!$Q$2:$Q1000))</f>
        <v>9</v>
      </c>
      <c r="E297" s="26">
        <f t="array" ref="E297">XLOOKUP($A297,LinkedIn_content_raw!$A$2:$A1000,LinkedIn_content_raw!$E$2:$E1000)</f>
        <v>68</v>
      </c>
    </row>
    <row r="298">
      <c r="A298" s="25">
        <f>LinkedIn_content_raw!$A299</f>
        <v>45770</v>
      </c>
      <c r="B298" s="24" t="str">
        <f t="shared" si="1"/>
        <v>LinkedIn</v>
      </c>
      <c r="C298" s="26">
        <f t="array" ref="C298">XLOOKUP($A298,LinkedIn_follows_raw!$A$2:$A1000,LinkedIn_follows_raw!$E$2:$E1000)</f>
        <v>3</v>
      </c>
      <c r="D298" s="26">
        <f t="array" ref="D298">sum(XLOOKUP($A298,LinkedIn_content_raw!$A$2:$A1000,LinkedIn_content_raw!$K$2:$K1000),XLOOKUP($A298,LinkedIn_content_raw!$A$2:$A1000,LinkedIn_content_raw!$N$2:$N1000),XLOOKUP($A298,LinkedIn_content_raw!$A$2:$A1000,LinkedIn_content_raw!$Q$2:$Q1000))</f>
        <v>2</v>
      </c>
      <c r="E298" s="26">
        <f t="array" ref="E298">XLOOKUP($A298,LinkedIn_content_raw!$A$2:$A1000,LinkedIn_content_raw!$E$2:$E1000)</f>
        <v>48</v>
      </c>
    </row>
    <row r="299">
      <c r="A299" s="25">
        <f>LinkedIn_content_raw!$A300</f>
        <v>45771</v>
      </c>
      <c r="B299" s="24" t="str">
        <f t="shared" si="1"/>
        <v>LinkedIn</v>
      </c>
      <c r="C299" s="26">
        <f t="array" ref="C299">XLOOKUP($A299,LinkedIn_follows_raw!$A$2:$A1000,LinkedIn_follows_raw!$E$2:$E1000)</f>
        <v>1</v>
      </c>
      <c r="D299" s="26">
        <f t="array" ref="D299">sum(XLOOKUP($A299,LinkedIn_content_raw!$A$2:$A1000,LinkedIn_content_raw!$K$2:$K1000),XLOOKUP($A299,LinkedIn_content_raw!$A$2:$A1000,LinkedIn_content_raw!$N$2:$N1000),XLOOKUP($A299,LinkedIn_content_raw!$A$2:$A1000,LinkedIn_content_raw!$Q$2:$Q1000))</f>
        <v>5</v>
      </c>
      <c r="E299" s="26">
        <f t="array" ref="E299">XLOOKUP($A299,LinkedIn_content_raw!$A$2:$A1000,LinkedIn_content_raw!$E$2:$E1000)</f>
        <v>32</v>
      </c>
    </row>
    <row r="300">
      <c r="A300" s="25">
        <f>LinkedIn_content_raw!$A301</f>
        <v>45772</v>
      </c>
      <c r="B300" s="24" t="str">
        <f t="shared" si="1"/>
        <v>LinkedIn</v>
      </c>
      <c r="C300" s="26">
        <f t="array" ref="C300">XLOOKUP($A300,LinkedIn_follows_raw!$A$2:$A1000,LinkedIn_follows_raw!$E$2:$E1000)</f>
        <v>0</v>
      </c>
      <c r="D300" s="26">
        <f t="array" ref="D300">sum(XLOOKUP($A300,LinkedIn_content_raw!$A$2:$A1000,LinkedIn_content_raw!$K$2:$K1000),XLOOKUP($A300,LinkedIn_content_raw!$A$2:$A1000,LinkedIn_content_raw!$N$2:$N1000),XLOOKUP($A300,LinkedIn_content_raw!$A$2:$A1000,LinkedIn_content_raw!$Q$2:$Q1000))</f>
        <v>5</v>
      </c>
      <c r="E300" s="26">
        <f t="array" ref="E300">XLOOKUP($A300,LinkedIn_content_raw!$A$2:$A1000,LinkedIn_content_raw!$E$2:$E1000)</f>
        <v>63</v>
      </c>
    </row>
    <row r="301">
      <c r="A301" s="25">
        <f>LinkedIn_content_raw!$A302</f>
        <v>45773</v>
      </c>
      <c r="B301" s="24" t="str">
        <f t="shared" si="1"/>
        <v>LinkedIn</v>
      </c>
      <c r="C301" s="26">
        <f t="array" ref="C301">XLOOKUP($A301,LinkedIn_follows_raw!$A$2:$A1000,LinkedIn_follows_raw!$E$2:$E1000)</f>
        <v>1</v>
      </c>
      <c r="D301" s="26">
        <f t="array" ref="D301">sum(XLOOKUP($A301,LinkedIn_content_raw!$A$2:$A1000,LinkedIn_content_raw!$K$2:$K1000),XLOOKUP($A301,LinkedIn_content_raw!$A$2:$A1000,LinkedIn_content_raw!$N$2:$N1000),XLOOKUP($A301,LinkedIn_content_raw!$A$2:$A1000,LinkedIn_content_raw!$Q$2:$Q1000))</f>
        <v>6</v>
      </c>
      <c r="E301" s="26">
        <f t="array" ref="E301">XLOOKUP($A301,LinkedIn_content_raw!$A$2:$A1000,LinkedIn_content_raw!$E$2:$E1000)</f>
        <v>67</v>
      </c>
    </row>
    <row r="302">
      <c r="A302" s="25">
        <f>LinkedIn_content_raw!$A303</f>
        <v>45774</v>
      </c>
      <c r="B302" s="24" t="str">
        <f t="shared" si="1"/>
        <v>LinkedIn</v>
      </c>
      <c r="C302" s="26">
        <f t="array" ref="C302">XLOOKUP($A302,LinkedIn_follows_raw!$A$2:$A1000,LinkedIn_follows_raw!$E$2:$E1000)</f>
        <v>0</v>
      </c>
      <c r="D302" s="26">
        <f t="array" ref="D302">sum(XLOOKUP($A302,LinkedIn_content_raw!$A$2:$A1000,LinkedIn_content_raw!$K$2:$K1000),XLOOKUP($A302,LinkedIn_content_raw!$A$2:$A1000,LinkedIn_content_raw!$N$2:$N1000),XLOOKUP($A302,LinkedIn_content_raw!$A$2:$A1000,LinkedIn_content_raw!$Q$2:$Q1000))</f>
        <v>7</v>
      </c>
      <c r="E302" s="26">
        <f t="array" ref="E302">XLOOKUP($A302,LinkedIn_content_raw!$A$2:$A1000,LinkedIn_content_raw!$E$2:$E1000)</f>
        <v>60</v>
      </c>
    </row>
    <row r="303">
      <c r="A303" s="25">
        <f>LinkedIn_content_raw!$A304</f>
        <v>45775</v>
      </c>
      <c r="B303" s="24" t="str">
        <f t="shared" si="1"/>
        <v>LinkedIn</v>
      </c>
      <c r="C303" s="26">
        <f t="array" ref="C303">XLOOKUP($A303,LinkedIn_follows_raw!$A$2:$A1000,LinkedIn_follows_raw!$E$2:$E1000)</f>
        <v>3</v>
      </c>
      <c r="D303" s="26">
        <f t="array" ref="D303">sum(XLOOKUP($A303,LinkedIn_content_raw!$A$2:$A1000,LinkedIn_content_raw!$K$2:$K1000),XLOOKUP($A303,LinkedIn_content_raw!$A$2:$A1000,LinkedIn_content_raw!$N$2:$N1000),XLOOKUP($A303,LinkedIn_content_raw!$A$2:$A1000,LinkedIn_content_raw!$Q$2:$Q1000))</f>
        <v>16</v>
      </c>
      <c r="E303" s="26">
        <f t="array" ref="E303">XLOOKUP($A303,LinkedIn_content_raw!$A$2:$A1000,LinkedIn_content_raw!$E$2:$E1000)</f>
        <v>84</v>
      </c>
    </row>
    <row r="304">
      <c r="A304" s="25">
        <f>LinkedIn_content_raw!$A305</f>
        <v>45776</v>
      </c>
      <c r="B304" s="24" t="str">
        <f t="shared" si="1"/>
        <v>LinkedIn</v>
      </c>
      <c r="C304" s="26">
        <f t="array" ref="C304">XLOOKUP($A304,LinkedIn_follows_raw!$A$2:$A1000,LinkedIn_follows_raw!$E$2:$E1000)</f>
        <v>1</v>
      </c>
      <c r="D304" s="26">
        <f t="array" ref="D304">sum(XLOOKUP($A304,LinkedIn_content_raw!$A$2:$A1000,LinkedIn_content_raw!$K$2:$K1000),XLOOKUP($A304,LinkedIn_content_raw!$A$2:$A1000,LinkedIn_content_raw!$N$2:$N1000),XLOOKUP($A304,LinkedIn_content_raw!$A$2:$A1000,LinkedIn_content_raw!$Q$2:$Q1000))</f>
        <v>21</v>
      </c>
      <c r="E304" s="26">
        <f t="array" ref="E304">XLOOKUP($A304,LinkedIn_content_raw!$A$2:$A1000,LinkedIn_content_raw!$E$2:$E1000)</f>
        <v>195</v>
      </c>
    </row>
    <row r="305">
      <c r="A305" s="25">
        <f>LinkedIn_content_raw!$A306</f>
        <v>45777</v>
      </c>
      <c r="B305" s="24" t="str">
        <f t="shared" si="1"/>
        <v>LinkedIn</v>
      </c>
      <c r="C305" s="26">
        <f t="array" ref="C305">XLOOKUP($A305,LinkedIn_follows_raw!$A$2:$A1000,LinkedIn_follows_raw!$E$2:$E1000)</f>
        <v>5</v>
      </c>
      <c r="D305" s="26">
        <f t="array" ref="D305">sum(XLOOKUP($A305,LinkedIn_content_raw!$A$2:$A1000,LinkedIn_content_raw!$K$2:$K1000),XLOOKUP($A305,LinkedIn_content_raw!$A$2:$A1000,LinkedIn_content_raw!$N$2:$N1000),XLOOKUP($A305,LinkedIn_content_raw!$A$2:$A1000,LinkedIn_content_raw!$Q$2:$Q1000))</f>
        <v>21</v>
      </c>
      <c r="E305" s="26">
        <f t="array" ref="E305">XLOOKUP($A305,LinkedIn_content_raw!$A$2:$A1000,LinkedIn_content_raw!$E$2:$E1000)</f>
        <v>276</v>
      </c>
    </row>
    <row r="306">
      <c r="A306" s="26" t="str">
        <f>LinkedIn_content_raw!$A307</f>
        <v/>
      </c>
      <c r="B306" s="24" t="str">
        <f t="shared" si="1"/>
        <v/>
      </c>
      <c r="C306" s="26" t="str">
        <f t="array" ref="C306">XLOOKUP($A306,LinkedIn_follows_raw!$A$2:$A1000,LinkedIn_follows_raw!$E$2:$E1000)</f>
        <v>#N/A</v>
      </c>
      <c r="D306" s="26" t="str">
        <f t="array" ref="D306">sum(XLOOKUP($A306,LinkedIn_content_raw!$A$2:$A1000,LinkedIn_content_raw!$K$2:$K1000),XLOOKUP($A306,LinkedIn_content_raw!$A$2:$A1000,LinkedIn_content_raw!$N$2:$N1000),XLOOKUP($A306,LinkedIn_content_raw!$A$2:$A1000,LinkedIn_content_raw!$Q$2:$Q1000))</f>
        <v>#N/A</v>
      </c>
      <c r="E306" s="26" t="str">
        <f t="array" ref="E306">XLOOKUP($A306,LinkedIn_content_raw!$A$2:$A1000,LinkedIn_content_raw!$E$2:$E1000)</f>
        <v>#N/A</v>
      </c>
    </row>
    <row r="307">
      <c r="A307" s="26" t="str">
        <f>LinkedIn_content_raw!$A308</f>
        <v/>
      </c>
      <c r="B307" s="24" t="str">
        <f t="shared" si="1"/>
        <v/>
      </c>
      <c r="C307" s="26" t="str">
        <f t="array" ref="C307">XLOOKUP($A307,LinkedIn_follows_raw!$A$2:$A1000,LinkedIn_follows_raw!$E$2:$E1000)</f>
        <v>#N/A</v>
      </c>
      <c r="D307" s="26" t="str">
        <f t="array" ref="D307">sum(XLOOKUP($A307,LinkedIn_content_raw!$A$2:$A1000,LinkedIn_content_raw!$K$2:$K1000),XLOOKUP($A307,LinkedIn_content_raw!$A$2:$A1000,LinkedIn_content_raw!$N$2:$N1000),XLOOKUP($A307,LinkedIn_content_raw!$A$2:$A1000,LinkedIn_content_raw!$Q$2:$Q1000))</f>
        <v>#N/A</v>
      </c>
      <c r="E307" s="26" t="str">
        <f t="array" ref="E307">XLOOKUP($A307,LinkedIn_content_raw!$A$2:$A1000,LinkedIn_content_raw!$E$2:$E1000)</f>
        <v>#N/A</v>
      </c>
    </row>
    <row r="308">
      <c r="A308" s="26" t="str">
        <f>LinkedIn_content_raw!$A309</f>
        <v/>
      </c>
      <c r="B308" s="24" t="str">
        <f t="shared" si="1"/>
        <v/>
      </c>
      <c r="C308" s="26" t="str">
        <f t="array" ref="C308">XLOOKUP($A308,LinkedIn_follows_raw!$A$2:$A1000,LinkedIn_follows_raw!$E$2:$E1000)</f>
        <v>#N/A</v>
      </c>
      <c r="D308" s="26" t="str">
        <f t="array" ref="D308">sum(XLOOKUP($A308,LinkedIn_content_raw!$A$2:$A1000,LinkedIn_content_raw!$K$2:$K1000),XLOOKUP($A308,LinkedIn_content_raw!$A$2:$A1000,LinkedIn_content_raw!$N$2:$N1000),XLOOKUP($A308,LinkedIn_content_raw!$A$2:$A1000,LinkedIn_content_raw!$Q$2:$Q1000))</f>
        <v>#N/A</v>
      </c>
      <c r="E308" s="26" t="str">
        <f t="array" ref="E308">XLOOKUP($A308,LinkedIn_content_raw!$A$2:$A1000,LinkedIn_content_raw!$E$2:$E1000)</f>
        <v>#N/A</v>
      </c>
    </row>
    <row r="309">
      <c r="A309" s="26" t="str">
        <f>LinkedIn_content_raw!$A310</f>
        <v/>
      </c>
      <c r="B309" s="24" t="str">
        <f t="shared" si="1"/>
        <v/>
      </c>
      <c r="C309" s="26" t="str">
        <f t="array" ref="C309">XLOOKUP($A309,LinkedIn_follows_raw!$A$2:$A1000,LinkedIn_follows_raw!$E$2:$E1000)</f>
        <v>#N/A</v>
      </c>
      <c r="D309" s="26" t="str">
        <f t="array" ref="D309">sum(XLOOKUP($A309,LinkedIn_content_raw!$A$2:$A1000,LinkedIn_content_raw!$K$2:$K1000),XLOOKUP($A309,LinkedIn_content_raw!$A$2:$A1000,LinkedIn_content_raw!$N$2:$N1000),XLOOKUP($A309,LinkedIn_content_raw!$A$2:$A1000,LinkedIn_content_raw!$Q$2:$Q1000))</f>
        <v>#N/A</v>
      </c>
      <c r="E309" s="26" t="str">
        <f t="array" ref="E309">XLOOKUP($A309,LinkedIn_content_raw!$A$2:$A1000,LinkedIn_content_raw!$E$2:$E1000)</f>
        <v>#N/A</v>
      </c>
    </row>
    <row r="310">
      <c r="A310" s="26" t="str">
        <f>LinkedIn_content_raw!$A311</f>
        <v/>
      </c>
      <c r="B310" s="24" t="str">
        <f t="shared" si="1"/>
        <v/>
      </c>
      <c r="C310" s="26" t="str">
        <f t="array" ref="C310">XLOOKUP($A310,LinkedIn_follows_raw!$A$2:$A1000,LinkedIn_follows_raw!$E$2:$E1000)</f>
        <v>#N/A</v>
      </c>
      <c r="D310" s="26" t="str">
        <f t="array" ref="D310">sum(XLOOKUP($A310,LinkedIn_content_raw!$A$2:$A1000,LinkedIn_content_raw!$K$2:$K1000),XLOOKUP($A310,LinkedIn_content_raw!$A$2:$A1000,LinkedIn_content_raw!$N$2:$N1000),XLOOKUP($A310,LinkedIn_content_raw!$A$2:$A1000,LinkedIn_content_raw!$Q$2:$Q1000))</f>
        <v>#N/A</v>
      </c>
      <c r="E310" s="26" t="str">
        <f t="array" ref="E310">XLOOKUP($A310,LinkedIn_content_raw!$A$2:$A1000,LinkedIn_content_raw!$E$2:$E1000)</f>
        <v>#N/A</v>
      </c>
    </row>
    <row r="311">
      <c r="A311" s="26" t="str">
        <f>LinkedIn_content_raw!$A312</f>
        <v/>
      </c>
      <c r="B311" s="24" t="str">
        <f t="shared" si="1"/>
        <v/>
      </c>
      <c r="C311" s="26" t="str">
        <f t="array" ref="C311">XLOOKUP($A311,LinkedIn_follows_raw!$A$2:$A1000,LinkedIn_follows_raw!$E$2:$E1000)</f>
        <v>#N/A</v>
      </c>
      <c r="D311" s="26" t="str">
        <f t="array" ref="D311">sum(XLOOKUP($A311,LinkedIn_content_raw!$A$2:$A1000,LinkedIn_content_raw!$K$2:$K1000),XLOOKUP($A311,LinkedIn_content_raw!$A$2:$A1000,LinkedIn_content_raw!$N$2:$N1000),XLOOKUP($A311,LinkedIn_content_raw!$A$2:$A1000,LinkedIn_content_raw!$Q$2:$Q1000))</f>
        <v>#N/A</v>
      </c>
      <c r="E311" s="26" t="str">
        <f t="array" ref="E311">XLOOKUP($A311,LinkedIn_content_raw!$A$2:$A1000,LinkedIn_content_raw!$E$2:$E1000)</f>
        <v>#N/A</v>
      </c>
    </row>
    <row r="312">
      <c r="A312" s="26" t="str">
        <f>LinkedIn_content_raw!$A313</f>
        <v/>
      </c>
      <c r="B312" s="24" t="str">
        <f t="shared" si="1"/>
        <v/>
      </c>
      <c r="C312" s="26" t="str">
        <f t="array" ref="C312">XLOOKUP($A312,LinkedIn_follows_raw!$A$2:$A1000,LinkedIn_follows_raw!$E$2:$E1000)</f>
        <v>#N/A</v>
      </c>
      <c r="D312" s="26" t="str">
        <f t="array" ref="D312">sum(XLOOKUP($A312,LinkedIn_content_raw!$A$2:$A1000,LinkedIn_content_raw!$K$2:$K1000),XLOOKUP($A312,LinkedIn_content_raw!$A$2:$A1000,LinkedIn_content_raw!$N$2:$N1000),XLOOKUP($A312,LinkedIn_content_raw!$A$2:$A1000,LinkedIn_content_raw!$Q$2:$Q1000))</f>
        <v>#N/A</v>
      </c>
      <c r="E312" s="26" t="str">
        <f t="array" ref="E312">XLOOKUP($A312,LinkedIn_content_raw!$A$2:$A1000,LinkedIn_content_raw!$E$2:$E1000)</f>
        <v>#N/A</v>
      </c>
    </row>
    <row r="313">
      <c r="A313" s="26" t="str">
        <f>LinkedIn_content_raw!$A314</f>
        <v/>
      </c>
      <c r="B313" s="24" t="str">
        <f t="shared" si="1"/>
        <v/>
      </c>
      <c r="C313" s="26" t="str">
        <f t="array" ref="C313">XLOOKUP($A313,LinkedIn_follows_raw!$A$2:$A1000,LinkedIn_follows_raw!$E$2:$E1000)</f>
        <v>#N/A</v>
      </c>
      <c r="D313" s="26" t="str">
        <f t="array" ref="D313">sum(XLOOKUP($A313,LinkedIn_content_raw!$A$2:$A1000,LinkedIn_content_raw!$K$2:$K1000),XLOOKUP($A313,LinkedIn_content_raw!$A$2:$A1000,LinkedIn_content_raw!$N$2:$N1000),XLOOKUP($A313,LinkedIn_content_raw!$A$2:$A1000,LinkedIn_content_raw!$Q$2:$Q1000))</f>
        <v>#N/A</v>
      </c>
      <c r="E313" s="26" t="str">
        <f t="array" ref="E313">XLOOKUP($A313,LinkedIn_content_raw!$A$2:$A1000,LinkedIn_content_raw!$E$2:$E1000)</f>
        <v>#N/A</v>
      </c>
    </row>
    <row r="314">
      <c r="A314" s="26" t="str">
        <f>LinkedIn_content_raw!$A315</f>
        <v/>
      </c>
      <c r="B314" s="24" t="str">
        <f t="shared" si="1"/>
        <v/>
      </c>
      <c r="C314" s="26" t="str">
        <f t="array" ref="C314">XLOOKUP($A314,LinkedIn_follows_raw!$A$2:$A1000,LinkedIn_follows_raw!$E$2:$E1000)</f>
        <v>#N/A</v>
      </c>
      <c r="D314" s="26" t="str">
        <f t="array" ref="D314">sum(XLOOKUP($A314,LinkedIn_content_raw!$A$2:$A1000,LinkedIn_content_raw!$K$2:$K1000),XLOOKUP($A314,LinkedIn_content_raw!$A$2:$A1000,LinkedIn_content_raw!$N$2:$N1000),XLOOKUP($A314,LinkedIn_content_raw!$A$2:$A1000,LinkedIn_content_raw!$Q$2:$Q1000))</f>
        <v>#N/A</v>
      </c>
      <c r="E314" s="26" t="str">
        <f t="array" ref="E314">XLOOKUP($A314,LinkedIn_content_raw!$A$2:$A1000,LinkedIn_content_raw!$E$2:$E1000)</f>
        <v>#N/A</v>
      </c>
    </row>
    <row r="315">
      <c r="A315" s="26" t="str">
        <f>LinkedIn_content_raw!$A316</f>
        <v/>
      </c>
      <c r="B315" s="24" t="str">
        <f t="shared" si="1"/>
        <v/>
      </c>
      <c r="C315" s="26" t="str">
        <f t="array" ref="C315">XLOOKUP($A315,LinkedIn_follows_raw!$A$2:$A1000,LinkedIn_follows_raw!$E$2:$E1000)</f>
        <v>#N/A</v>
      </c>
      <c r="D315" s="26" t="str">
        <f t="array" ref="D315">sum(XLOOKUP($A315,LinkedIn_content_raw!$A$2:$A1000,LinkedIn_content_raw!$K$2:$K1000),XLOOKUP($A315,LinkedIn_content_raw!$A$2:$A1000,LinkedIn_content_raw!$N$2:$N1000),XLOOKUP($A315,LinkedIn_content_raw!$A$2:$A1000,LinkedIn_content_raw!$Q$2:$Q1000))</f>
        <v>#N/A</v>
      </c>
      <c r="E315" s="26" t="str">
        <f t="array" ref="E315">XLOOKUP($A315,LinkedIn_content_raw!$A$2:$A1000,LinkedIn_content_raw!$E$2:$E1000)</f>
        <v>#N/A</v>
      </c>
    </row>
    <row r="316">
      <c r="A316" s="26" t="str">
        <f>LinkedIn_content_raw!$A317</f>
        <v/>
      </c>
      <c r="B316" s="24" t="str">
        <f t="shared" si="1"/>
        <v/>
      </c>
      <c r="C316" s="26" t="str">
        <f t="array" ref="C316">XLOOKUP($A316,LinkedIn_follows_raw!$A$2:$A1000,LinkedIn_follows_raw!$E$2:$E1000)</f>
        <v>#N/A</v>
      </c>
      <c r="D316" s="26" t="str">
        <f t="array" ref="D316">sum(XLOOKUP($A316,LinkedIn_content_raw!$A$2:$A1000,LinkedIn_content_raw!$K$2:$K1000),XLOOKUP($A316,LinkedIn_content_raw!$A$2:$A1000,LinkedIn_content_raw!$N$2:$N1000),XLOOKUP($A316,LinkedIn_content_raw!$A$2:$A1000,LinkedIn_content_raw!$Q$2:$Q1000))</f>
        <v>#N/A</v>
      </c>
      <c r="E316" s="26" t="str">
        <f t="array" ref="E316">XLOOKUP($A316,LinkedIn_content_raw!$A$2:$A1000,LinkedIn_content_raw!$E$2:$E1000)</f>
        <v>#N/A</v>
      </c>
    </row>
    <row r="317">
      <c r="A317" s="26" t="str">
        <f>LinkedIn_content_raw!$A318</f>
        <v/>
      </c>
      <c r="B317" s="24" t="str">
        <f t="shared" si="1"/>
        <v/>
      </c>
      <c r="C317" s="26" t="str">
        <f t="array" ref="C317">XLOOKUP($A317,LinkedIn_follows_raw!$A$2:$A1000,LinkedIn_follows_raw!$E$2:$E1000)</f>
        <v>#N/A</v>
      </c>
      <c r="D317" s="26" t="str">
        <f t="array" ref="D317">sum(XLOOKUP($A317,LinkedIn_content_raw!$A$2:$A1000,LinkedIn_content_raw!$K$2:$K1000),XLOOKUP($A317,LinkedIn_content_raw!$A$2:$A1000,LinkedIn_content_raw!$N$2:$N1000),XLOOKUP($A317,LinkedIn_content_raw!$A$2:$A1000,LinkedIn_content_raw!$Q$2:$Q1000))</f>
        <v>#N/A</v>
      </c>
      <c r="E317" s="26" t="str">
        <f t="array" ref="E317">XLOOKUP($A317,LinkedIn_content_raw!$A$2:$A1000,LinkedIn_content_raw!$E$2:$E1000)</f>
        <v>#N/A</v>
      </c>
    </row>
    <row r="318">
      <c r="A318" s="26" t="str">
        <f>LinkedIn_content_raw!$A319</f>
        <v/>
      </c>
      <c r="B318" s="24" t="str">
        <f t="shared" si="1"/>
        <v/>
      </c>
      <c r="C318" s="26" t="str">
        <f t="array" ref="C318">XLOOKUP($A318,LinkedIn_follows_raw!$A$2:$A1000,LinkedIn_follows_raw!$E$2:$E1000)</f>
        <v>#N/A</v>
      </c>
      <c r="D318" s="26" t="str">
        <f t="array" ref="D318">sum(XLOOKUP($A318,LinkedIn_content_raw!$A$2:$A1000,LinkedIn_content_raw!$K$2:$K1000),XLOOKUP($A318,LinkedIn_content_raw!$A$2:$A1000,LinkedIn_content_raw!$N$2:$N1000),XLOOKUP($A318,LinkedIn_content_raw!$A$2:$A1000,LinkedIn_content_raw!$Q$2:$Q1000))</f>
        <v>#N/A</v>
      </c>
      <c r="E318" s="26" t="str">
        <f t="array" ref="E318">XLOOKUP($A318,LinkedIn_content_raw!$A$2:$A1000,LinkedIn_content_raw!$E$2:$E1000)</f>
        <v>#N/A</v>
      </c>
    </row>
    <row r="319">
      <c r="A319" s="26" t="str">
        <f>LinkedIn_content_raw!$A320</f>
        <v/>
      </c>
      <c r="B319" s="24" t="str">
        <f t="shared" si="1"/>
        <v/>
      </c>
      <c r="C319" s="26" t="str">
        <f t="array" ref="C319">XLOOKUP($A319,LinkedIn_follows_raw!$A$2:$A1000,LinkedIn_follows_raw!$E$2:$E1000)</f>
        <v>#N/A</v>
      </c>
      <c r="D319" s="26" t="str">
        <f t="array" ref="D319">sum(XLOOKUP($A319,LinkedIn_content_raw!$A$2:$A1000,LinkedIn_content_raw!$K$2:$K1000),XLOOKUP($A319,LinkedIn_content_raw!$A$2:$A1000,LinkedIn_content_raw!$N$2:$N1000),XLOOKUP($A319,LinkedIn_content_raw!$A$2:$A1000,LinkedIn_content_raw!$Q$2:$Q1000))</f>
        <v>#N/A</v>
      </c>
      <c r="E319" s="26" t="str">
        <f t="array" ref="E319">XLOOKUP($A319,LinkedIn_content_raw!$A$2:$A1000,LinkedIn_content_raw!$E$2:$E1000)</f>
        <v>#N/A</v>
      </c>
    </row>
    <row r="320">
      <c r="A320" s="26" t="str">
        <f>LinkedIn_content_raw!$A321</f>
        <v/>
      </c>
      <c r="B320" s="24" t="str">
        <f t="shared" si="1"/>
        <v/>
      </c>
      <c r="C320" s="26" t="str">
        <f t="array" ref="C320">XLOOKUP($A320,LinkedIn_follows_raw!$A$2:$A1000,LinkedIn_follows_raw!$E$2:$E1000)</f>
        <v>#N/A</v>
      </c>
      <c r="D320" s="26" t="str">
        <f t="array" ref="D320">sum(XLOOKUP($A320,LinkedIn_content_raw!$A$2:$A1000,LinkedIn_content_raw!$K$2:$K1000),XLOOKUP($A320,LinkedIn_content_raw!$A$2:$A1000,LinkedIn_content_raw!$N$2:$N1000),XLOOKUP($A320,LinkedIn_content_raw!$A$2:$A1000,LinkedIn_content_raw!$Q$2:$Q1000))</f>
        <v>#N/A</v>
      </c>
      <c r="E320" s="26" t="str">
        <f t="array" ref="E320">XLOOKUP($A320,LinkedIn_content_raw!$A$2:$A1000,LinkedIn_content_raw!$E$2:$E1000)</f>
        <v>#N/A</v>
      </c>
    </row>
    <row r="321">
      <c r="A321" s="26" t="str">
        <f>LinkedIn_content_raw!$A322</f>
        <v/>
      </c>
      <c r="B321" s="24" t="str">
        <f t="shared" si="1"/>
        <v/>
      </c>
      <c r="C321" s="26" t="str">
        <f t="array" ref="C321">XLOOKUP($A321,LinkedIn_follows_raw!$A$2:$A1000,LinkedIn_follows_raw!$E$2:$E1000)</f>
        <v>#N/A</v>
      </c>
      <c r="D321" s="26" t="str">
        <f t="array" ref="D321">sum(XLOOKUP($A321,LinkedIn_content_raw!$A$2:$A1000,LinkedIn_content_raw!$K$2:$K1000),XLOOKUP($A321,LinkedIn_content_raw!$A$2:$A1000,LinkedIn_content_raw!$N$2:$N1000),XLOOKUP($A321,LinkedIn_content_raw!$A$2:$A1000,LinkedIn_content_raw!$Q$2:$Q1000))</f>
        <v>#N/A</v>
      </c>
      <c r="E321" s="26" t="str">
        <f t="array" ref="E321">XLOOKUP($A321,LinkedIn_content_raw!$A$2:$A1000,LinkedIn_content_raw!$E$2:$E1000)</f>
        <v>#N/A</v>
      </c>
    </row>
    <row r="322">
      <c r="A322" s="26" t="str">
        <f>LinkedIn_content_raw!$A323</f>
        <v/>
      </c>
      <c r="B322" s="24" t="str">
        <f t="shared" si="1"/>
        <v/>
      </c>
      <c r="C322" s="26" t="str">
        <f t="array" ref="C322">XLOOKUP($A322,LinkedIn_follows_raw!$A$2:$A1000,LinkedIn_follows_raw!$E$2:$E1000)</f>
        <v>#N/A</v>
      </c>
      <c r="D322" s="26" t="str">
        <f t="array" ref="D322">sum(XLOOKUP($A322,LinkedIn_content_raw!$A$2:$A1000,LinkedIn_content_raw!$K$2:$K1000),XLOOKUP($A322,LinkedIn_content_raw!$A$2:$A1000,LinkedIn_content_raw!$N$2:$N1000),XLOOKUP($A322,LinkedIn_content_raw!$A$2:$A1000,LinkedIn_content_raw!$Q$2:$Q1000))</f>
        <v>#N/A</v>
      </c>
      <c r="E322" s="26" t="str">
        <f t="array" ref="E322">XLOOKUP($A322,LinkedIn_content_raw!$A$2:$A1000,LinkedIn_content_raw!$E$2:$E1000)</f>
        <v>#N/A</v>
      </c>
    </row>
    <row r="323">
      <c r="A323" s="26" t="str">
        <f>LinkedIn_content_raw!$A324</f>
        <v/>
      </c>
      <c r="B323" s="24" t="str">
        <f t="shared" si="1"/>
        <v/>
      </c>
      <c r="C323" s="26" t="str">
        <f t="array" ref="C323">XLOOKUP($A323,LinkedIn_follows_raw!$A$2:$A1000,LinkedIn_follows_raw!$E$2:$E1000)</f>
        <v>#N/A</v>
      </c>
      <c r="D323" s="26" t="str">
        <f t="array" ref="D323">sum(XLOOKUP($A323,LinkedIn_content_raw!$A$2:$A1000,LinkedIn_content_raw!$K$2:$K1000),XLOOKUP($A323,LinkedIn_content_raw!$A$2:$A1000,LinkedIn_content_raw!$N$2:$N1000),XLOOKUP($A323,LinkedIn_content_raw!$A$2:$A1000,LinkedIn_content_raw!$Q$2:$Q1000))</f>
        <v>#N/A</v>
      </c>
      <c r="E323" s="26" t="str">
        <f t="array" ref="E323">XLOOKUP($A323,LinkedIn_content_raw!$A$2:$A1000,LinkedIn_content_raw!$E$2:$E1000)</f>
        <v>#N/A</v>
      </c>
    </row>
    <row r="324">
      <c r="A324" s="26" t="str">
        <f>LinkedIn_content_raw!$A325</f>
        <v/>
      </c>
      <c r="B324" s="24" t="str">
        <f t="shared" si="1"/>
        <v/>
      </c>
      <c r="C324" s="26" t="str">
        <f t="array" ref="C324">XLOOKUP($A324,LinkedIn_follows_raw!$A$2:$A1000,LinkedIn_follows_raw!$E$2:$E1000)</f>
        <v>#N/A</v>
      </c>
      <c r="D324" s="26" t="str">
        <f t="array" ref="D324">sum(XLOOKUP($A324,LinkedIn_content_raw!$A$2:$A1000,LinkedIn_content_raw!$K$2:$K1000),XLOOKUP($A324,LinkedIn_content_raw!$A$2:$A1000,LinkedIn_content_raw!$N$2:$N1000),XLOOKUP($A324,LinkedIn_content_raw!$A$2:$A1000,LinkedIn_content_raw!$Q$2:$Q1000))</f>
        <v>#N/A</v>
      </c>
      <c r="E324" s="26" t="str">
        <f t="array" ref="E324">XLOOKUP($A324,LinkedIn_content_raw!$A$2:$A1000,LinkedIn_content_raw!$E$2:$E1000)</f>
        <v>#N/A</v>
      </c>
    </row>
    <row r="325">
      <c r="A325" s="26" t="str">
        <f>LinkedIn_content_raw!$A326</f>
        <v/>
      </c>
      <c r="B325" s="24" t="str">
        <f t="shared" si="1"/>
        <v/>
      </c>
      <c r="C325" s="26" t="str">
        <f t="array" ref="C325">XLOOKUP($A325,LinkedIn_follows_raw!$A$2:$A1000,LinkedIn_follows_raw!$E$2:$E1000)</f>
        <v>#N/A</v>
      </c>
      <c r="D325" s="26" t="str">
        <f t="array" ref="D325">sum(XLOOKUP($A325,LinkedIn_content_raw!$A$2:$A1000,LinkedIn_content_raw!$K$2:$K1000),XLOOKUP($A325,LinkedIn_content_raw!$A$2:$A1000,LinkedIn_content_raw!$N$2:$N1000),XLOOKUP($A325,LinkedIn_content_raw!$A$2:$A1000,LinkedIn_content_raw!$Q$2:$Q1000))</f>
        <v>#N/A</v>
      </c>
      <c r="E325" s="26" t="str">
        <f t="array" ref="E325">XLOOKUP($A325,LinkedIn_content_raw!$A$2:$A1000,LinkedIn_content_raw!$E$2:$E1000)</f>
        <v>#N/A</v>
      </c>
    </row>
    <row r="326">
      <c r="A326" s="26" t="str">
        <f>LinkedIn_content_raw!$A327</f>
        <v/>
      </c>
      <c r="B326" s="24" t="str">
        <f t="shared" si="1"/>
        <v/>
      </c>
      <c r="C326" s="26" t="str">
        <f t="array" ref="C326">XLOOKUP($A326,LinkedIn_follows_raw!$A$2:$A1000,LinkedIn_follows_raw!$E$2:$E1000)</f>
        <v>#N/A</v>
      </c>
      <c r="D326" s="26" t="str">
        <f t="array" ref="D326">sum(XLOOKUP($A326,LinkedIn_content_raw!$A$2:$A1000,LinkedIn_content_raw!$K$2:$K1000),XLOOKUP($A326,LinkedIn_content_raw!$A$2:$A1000,LinkedIn_content_raw!$N$2:$N1000),XLOOKUP($A326,LinkedIn_content_raw!$A$2:$A1000,LinkedIn_content_raw!$Q$2:$Q1000))</f>
        <v>#N/A</v>
      </c>
      <c r="E326" s="26" t="str">
        <f t="array" ref="E326">XLOOKUP($A326,LinkedIn_content_raw!$A$2:$A1000,LinkedIn_content_raw!$E$2:$E1000)</f>
        <v>#N/A</v>
      </c>
    </row>
    <row r="327">
      <c r="A327" s="26" t="str">
        <f>LinkedIn_content_raw!$A328</f>
        <v/>
      </c>
      <c r="B327" s="24" t="str">
        <f t="shared" si="1"/>
        <v/>
      </c>
      <c r="C327" s="26" t="str">
        <f t="array" ref="C327">XLOOKUP($A327,LinkedIn_follows_raw!$A$2:$A1000,LinkedIn_follows_raw!$E$2:$E1000)</f>
        <v>#N/A</v>
      </c>
      <c r="D327" s="26" t="str">
        <f t="array" ref="D327">sum(XLOOKUP($A327,LinkedIn_content_raw!$A$2:$A1000,LinkedIn_content_raw!$K$2:$K1000),XLOOKUP($A327,LinkedIn_content_raw!$A$2:$A1000,LinkedIn_content_raw!$N$2:$N1000),XLOOKUP($A327,LinkedIn_content_raw!$A$2:$A1000,LinkedIn_content_raw!$Q$2:$Q1000))</f>
        <v>#N/A</v>
      </c>
      <c r="E327" s="26" t="str">
        <f t="array" ref="E327">XLOOKUP($A327,LinkedIn_content_raw!$A$2:$A1000,LinkedIn_content_raw!$E$2:$E1000)</f>
        <v>#N/A</v>
      </c>
    </row>
    <row r="328">
      <c r="A328" s="26" t="str">
        <f>LinkedIn_content_raw!$A329</f>
        <v/>
      </c>
      <c r="B328" s="24" t="str">
        <f t="shared" si="1"/>
        <v/>
      </c>
      <c r="C328" s="26" t="str">
        <f t="array" ref="C328">XLOOKUP($A328,LinkedIn_follows_raw!$A$2:$A1000,LinkedIn_follows_raw!$E$2:$E1000)</f>
        <v>#N/A</v>
      </c>
      <c r="D328" s="26" t="str">
        <f t="array" ref="D328">sum(XLOOKUP($A328,LinkedIn_content_raw!$A$2:$A1000,LinkedIn_content_raw!$K$2:$K1000),XLOOKUP($A328,LinkedIn_content_raw!$A$2:$A1000,LinkedIn_content_raw!$N$2:$N1000),XLOOKUP($A328,LinkedIn_content_raw!$A$2:$A1000,LinkedIn_content_raw!$Q$2:$Q1000))</f>
        <v>#N/A</v>
      </c>
      <c r="E328" s="26" t="str">
        <f t="array" ref="E328">XLOOKUP($A328,LinkedIn_content_raw!$A$2:$A1000,LinkedIn_content_raw!$E$2:$E1000)</f>
        <v>#N/A</v>
      </c>
    </row>
    <row r="329">
      <c r="A329" s="26" t="str">
        <f>LinkedIn_content_raw!$A330</f>
        <v/>
      </c>
      <c r="B329" s="24" t="str">
        <f t="shared" si="1"/>
        <v/>
      </c>
      <c r="C329" s="26" t="str">
        <f t="array" ref="C329">XLOOKUP($A329,LinkedIn_follows_raw!$A$2:$A1000,LinkedIn_follows_raw!$E$2:$E1000)</f>
        <v>#N/A</v>
      </c>
      <c r="D329" s="26" t="str">
        <f t="array" ref="D329">sum(XLOOKUP($A329,LinkedIn_content_raw!$A$2:$A1000,LinkedIn_content_raw!$K$2:$K1000),XLOOKUP($A329,LinkedIn_content_raw!$A$2:$A1000,LinkedIn_content_raw!$N$2:$N1000),XLOOKUP($A329,LinkedIn_content_raw!$A$2:$A1000,LinkedIn_content_raw!$Q$2:$Q1000))</f>
        <v>#N/A</v>
      </c>
      <c r="E329" s="26" t="str">
        <f t="array" ref="E329">XLOOKUP($A329,LinkedIn_content_raw!$A$2:$A1000,LinkedIn_content_raw!$E$2:$E1000)</f>
        <v>#N/A</v>
      </c>
    </row>
    <row r="330">
      <c r="A330" s="26" t="str">
        <f>LinkedIn_content_raw!$A331</f>
        <v/>
      </c>
      <c r="B330" s="24" t="str">
        <f t="shared" si="1"/>
        <v/>
      </c>
      <c r="C330" s="26" t="str">
        <f t="array" ref="C330">XLOOKUP($A330,LinkedIn_follows_raw!$A$2:$A1000,LinkedIn_follows_raw!$E$2:$E1000)</f>
        <v>#N/A</v>
      </c>
      <c r="D330" s="26" t="str">
        <f t="array" ref="D330">sum(XLOOKUP($A330,LinkedIn_content_raw!$A$2:$A1000,LinkedIn_content_raw!$K$2:$K1000),XLOOKUP($A330,LinkedIn_content_raw!$A$2:$A1000,LinkedIn_content_raw!$N$2:$N1000),XLOOKUP($A330,LinkedIn_content_raw!$A$2:$A1000,LinkedIn_content_raw!$Q$2:$Q1000))</f>
        <v>#N/A</v>
      </c>
      <c r="E330" s="26" t="str">
        <f t="array" ref="E330">XLOOKUP($A330,LinkedIn_content_raw!$A$2:$A1000,LinkedIn_content_raw!$E$2:$E1000)</f>
        <v>#N/A</v>
      </c>
    </row>
    <row r="331">
      <c r="A331" s="26" t="str">
        <f>LinkedIn_content_raw!$A332</f>
        <v/>
      </c>
      <c r="B331" s="24" t="str">
        <f t="shared" si="1"/>
        <v/>
      </c>
      <c r="C331" s="26" t="str">
        <f t="array" ref="C331">XLOOKUP($A331,LinkedIn_follows_raw!$A$2:$A1000,LinkedIn_follows_raw!$E$2:$E1000)</f>
        <v>#N/A</v>
      </c>
      <c r="D331" s="26" t="str">
        <f t="array" ref="D331">sum(XLOOKUP($A331,LinkedIn_content_raw!$A$2:$A1000,LinkedIn_content_raw!$K$2:$K1000),XLOOKUP($A331,LinkedIn_content_raw!$A$2:$A1000,LinkedIn_content_raw!$N$2:$N1000),XLOOKUP($A331,LinkedIn_content_raw!$A$2:$A1000,LinkedIn_content_raw!$Q$2:$Q1000))</f>
        <v>#N/A</v>
      </c>
      <c r="E331" s="26" t="str">
        <f t="array" ref="E331">XLOOKUP($A331,LinkedIn_content_raw!$A$2:$A1000,LinkedIn_content_raw!$E$2:$E1000)</f>
        <v>#N/A</v>
      </c>
    </row>
    <row r="332">
      <c r="A332" s="26" t="str">
        <f>LinkedIn_content_raw!$A333</f>
        <v/>
      </c>
      <c r="B332" s="24" t="str">
        <f t="shared" si="1"/>
        <v/>
      </c>
      <c r="C332" s="26" t="str">
        <f t="array" ref="C332">XLOOKUP($A332,LinkedIn_follows_raw!$A$2:$A1000,LinkedIn_follows_raw!$E$2:$E1000)</f>
        <v>#N/A</v>
      </c>
      <c r="D332" s="26" t="str">
        <f t="array" ref="D332">sum(XLOOKUP($A332,LinkedIn_content_raw!$A$2:$A1000,LinkedIn_content_raw!$K$2:$K1000),XLOOKUP($A332,LinkedIn_content_raw!$A$2:$A1000,LinkedIn_content_raw!$N$2:$N1000),XLOOKUP($A332,LinkedIn_content_raw!$A$2:$A1000,LinkedIn_content_raw!$Q$2:$Q1000))</f>
        <v>#N/A</v>
      </c>
      <c r="E332" s="26" t="str">
        <f t="array" ref="E332">XLOOKUP($A332,LinkedIn_content_raw!$A$2:$A1000,LinkedIn_content_raw!$E$2:$E1000)</f>
        <v>#N/A</v>
      </c>
    </row>
    <row r="333">
      <c r="A333" s="26" t="str">
        <f>LinkedIn_content_raw!$A334</f>
        <v/>
      </c>
      <c r="B333" s="24" t="str">
        <f t="shared" si="1"/>
        <v/>
      </c>
      <c r="C333" s="26" t="str">
        <f t="array" ref="C333">XLOOKUP($A333,LinkedIn_follows_raw!$A$2:$A1000,LinkedIn_follows_raw!$E$2:$E1000)</f>
        <v>#N/A</v>
      </c>
      <c r="D333" s="26" t="str">
        <f t="array" ref="D333">sum(XLOOKUP($A333,LinkedIn_content_raw!$A$2:$A1000,LinkedIn_content_raw!$K$2:$K1000),XLOOKUP($A333,LinkedIn_content_raw!$A$2:$A1000,LinkedIn_content_raw!$N$2:$N1000),XLOOKUP($A333,LinkedIn_content_raw!$A$2:$A1000,LinkedIn_content_raw!$Q$2:$Q1000))</f>
        <v>#N/A</v>
      </c>
      <c r="E333" s="26" t="str">
        <f t="array" ref="E333">XLOOKUP($A333,LinkedIn_content_raw!$A$2:$A1000,LinkedIn_content_raw!$E$2:$E1000)</f>
        <v>#N/A</v>
      </c>
    </row>
    <row r="334">
      <c r="A334" s="26" t="str">
        <f>LinkedIn_content_raw!$A335</f>
        <v/>
      </c>
      <c r="B334" s="24" t="str">
        <f t="shared" si="1"/>
        <v/>
      </c>
      <c r="C334" s="26" t="str">
        <f t="array" ref="C334">XLOOKUP($A334,LinkedIn_follows_raw!$A$2:$A1000,LinkedIn_follows_raw!$E$2:$E1000)</f>
        <v>#N/A</v>
      </c>
      <c r="D334" s="26" t="str">
        <f t="array" ref="D334">sum(XLOOKUP($A334,LinkedIn_content_raw!$A$2:$A1000,LinkedIn_content_raw!$K$2:$K1000),XLOOKUP($A334,LinkedIn_content_raw!$A$2:$A1000,LinkedIn_content_raw!$N$2:$N1000),XLOOKUP($A334,LinkedIn_content_raw!$A$2:$A1000,LinkedIn_content_raw!$Q$2:$Q1000))</f>
        <v>#N/A</v>
      </c>
      <c r="E334" s="26" t="str">
        <f t="array" ref="E334">XLOOKUP($A334,LinkedIn_content_raw!$A$2:$A1000,LinkedIn_content_raw!$E$2:$E1000)</f>
        <v>#N/A</v>
      </c>
    </row>
    <row r="335">
      <c r="A335" s="26" t="str">
        <f>LinkedIn_content_raw!$A336</f>
        <v/>
      </c>
      <c r="B335" s="24" t="str">
        <f t="shared" si="1"/>
        <v/>
      </c>
      <c r="C335" s="26" t="str">
        <f t="array" ref="C335">XLOOKUP($A335,LinkedIn_follows_raw!$A$2:$A1000,LinkedIn_follows_raw!$E$2:$E1000)</f>
        <v>#N/A</v>
      </c>
      <c r="D335" s="26" t="str">
        <f t="array" ref="D335">sum(XLOOKUP($A335,LinkedIn_content_raw!$A$2:$A1000,LinkedIn_content_raw!$K$2:$K1000),XLOOKUP($A335,LinkedIn_content_raw!$A$2:$A1000,LinkedIn_content_raw!$N$2:$N1000),XLOOKUP($A335,LinkedIn_content_raw!$A$2:$A1000,LinkedIn_content_raw!$Q$2:$Q1000))</f>
        <v>#N/A</v>
      </c>
      <c r="E335" s="26" t="str">
        <f t="array" ref="E335">XLOOKUP($A335,LinkedIn_content_raw!$A$2:$A1000,LinkedIn_content_raw!$E$2:$E1000)</f>
        <v>#N/A</v>
      </c>
    </row>
    <row r="336">
      <c r="A336" s="26" t="str">
        <f>LinkedIn_content_raw!$A337</f>
        <v/>
      </c>
      <c r="B336" s="24" t="str">
        <f t="shared" si="1"/>
        <v/>
      </c>
      <c r="C336" s="26" t="str">
        <f t="array" ref="C336">XLOOKUP($A336,LinkedIn_follows_raw!$A$2:$A1000,LinkedIn_follows_raw!$E$2:$E1000)</f>
        <v>#N/A</v>
      </c>
      <c r="D336" s="26" t="str">
        <f t="array" ref="D336">sum(XLOOKUP($A336,LinkedIn_content_raw!$A$2:$A1000,LinkedIn_content_raw!$K$2:$K1000),XLOOKUP($A336,LinkedIn_content_raw!$A$2:$A1000,LinkedIn_content_raw!$N$2:$N1000),XLOOKUP($A336,LinkedIn_content_raw!$A$2:$A1000,LinkedIn_content_raw!$Q$2:$Q1000))</f>
        <v>#N/A</v>
      </c>
      <c r="E336" s="26" t="str">
        <f t="array" ref="E336">XLOOKUP($A336,LinkedIn_content_raw!$A$2:$A1000,LinkedIn_content_raw!$E$2:$E1000)</f>
        <v>#N/A</v>
      </c>
    </row>
    <row r="337">
      <c r="A337" s="26" t="str">
        <f>LinkedIn_content_raw!$A338</f>
        <v/>
      </c>
      <c r="B337" s="24" t="str">
        <f t="shared" si="1"/>
        <v/>
      </c>
      <c r="C337" s="26" t="str">
        <f t="array" ref="C337">XLOOKUP($A337,LinkedIn_follows_raw!$A$2:$A1000,LinkedIn_follows_raw!$E$2:$E1000)</f>
        <v>#N/A</v>
      </c>
      <c r="D337" s="26" t="str">
        <f t="array" ref="D337">sum(XLOOKUP($A337,LinkedIn_content_raw!$A$2:$A1000,LinkedIn_content_raw!$K$2:$K1000),XLOOKUP($A337,LinkedIn_content_raw!$A$2:$A1000,LinkedIn_content_raw!$N$2:$N1000),XLOOKUP($A337,LinkedIn_content_raw!$A$2:$A1000,LinkedIn_content_raw!$Q$2:$Q1000))</f>
        <v>#N/A</v>
      </c>
      <c r="E337" s="26" t="str">
        <f t="array" ref="E337">XLOOKUP($A337,LinkedIn_content_raw!$A$2:$A1000,LinkedIn_content_raw!$E$2:$E1000)</f>
        <v>#N/A</v>
      </c>
    </row>
    <row r="338">
      <c r="A338" s="26" t="str">
        <f>LinkedIn_content_raw!$A339</f>
        <v/>
      </c>
      <c r="B338" s="24" t="str">
        <f t="shared" si="1"/>
        <v/>
      </c>
      <c r="C338" s="26" t="str">
        <f t="array" ref="C338">XLOOKUP($A338,LinkedIn_follows_raw!$A$2:$A1000,LinkedIn_follows_raw!$E$2:$E1000)</f>
        <v>#N/A</v>
      </c>
      <c r="D338" s="26" t="str">
        <f t="array" ref="D338">sum(XLOOKUP($A338,LinkedIn_content_raw!$A$2:$A1000,LinkedIn_content_raw!$K$2:$K1000),XLOOKUP($A338,LinkedIn_content_raw!$A$2:$A1000,LinkedIn_content_raw!$N$2:$N1000),XLOOKUP($A338,LinkedIn_content_raw!$A$2:$A1000,LinkedIn_content_raw!$Q$2:$Q1000))</f>
        <v>#N/A</v>
      </c>
      <c r="E338" s="26" t="str">
        <f t="array" ref="E338">XLOOKUP($A338,LinkedIn_content_raw!$A$2:$A1000,LinkedIn_content_raw!$E$2:$E1000)</f>
        <v>#N/A</v>
      </c>
    </row>
    <row r="339">
      <c r="A339" s="26" t="str">
        <f>LinkedIn_content_raw!$A340</f>
        <v/>
      </c>
      <c r="B339" s="24" t="str">
        <f t="shared" si="1"/>
        <v/>
      </c>
      <c r="C339" s="26" t="str">
        <f t="array" ref="C339">XLOOKUP($A339,LinkedIn_follows_raw!$A$2:$A1000,LinkedIn_follows_raw!$E$2:$E1000)</f>
        <v>#N/A</v>
      </c>
      <c r="D339" s="26" t="str">
        <f t="array" ref="D339">sum(XLOOKUP($A339,LinkedIn_content_raw!$A$2:$A1000,LinkedIn_content_raw!$K$2:$K1000),XLOOKUP($A339,LinkedIn_content_raw!$A$2:$A1000,LinkedIn_content_raw!$N$2:$N1000),XLOOKUP($A339,LinkedIn_content_raw!$A$2:$A1000,LinkedIn_content_raw!$Q$2:$Q1000))</f>
        <v>#N/A</v>
      </c>
      <c r="E339" s="26" t="str">
        <f t="array" ref="E339">XLOOKUP($A339,LinkedIn_content_raw!$A$2:$A1000,LinkedIn_content_raw!$E$2:$E1000)</f>
        <v>#N/A</v>
      </c>
    </row>
    <row r="340">
      <c r="A340" s="26" t="str">
        <f>LinkedIn_content_raw!$A341</f>
        <v/>
      </c>
      <c r="B340" s="24" t="str">
        <f t="shared" si="1"/>
        <v/>
      </c>
      <c r="C340" s="26" t="str">
        <f t="array" ref="C340">XLOOKUP($A340,LinkedIn_follows_raw!$A$2:$A1000,LinkedIn_follows_raw!$E$2:$E1000)</f>
        <v>#N/A</v>
      </c>
      <c r="D340" s="26" t="str">
        <f t="array" ref="D340">sum(XLOOKUP($A340,LinkedIn_content_raw!$A$2:$A1000,LinkedIn_content_raw!$K$2:$K1000),XLOOKUP($A340,LinkedIn_content_raw!$A$2:$A1000,LinkedIn_content_raw!$N$2:$N1000),XLOOKUP($A340,LinkedIn_content_raw!$A$2:$A1000,LinkedIn_content_raw!$Q$2:$Q1000))</f>
        <v>#N/A</v>
      </c>
      <c r="E340" s="26" t="str">
        <f t="array" ref="E340">XLOOKUP($A340,LinkedIn_content_raw!$A$2:$A1000,LinkedIn_content_raw!$E$2:$E1000)</f>
        <v>#N/A</v>
      </c>
    </row>
    <row r="341">
      <c r="A341" s="26" t="str">
        <f>LinkedIn_content_raw!$A342</f>
        <v/>
      </c>
      <c r="B341" s="24" t="str">
        <f t="shared" si="1"/>
        <v/>
      </c>
      <c r="C341" s="26" t="str">
        <f t="array" ref="C341">XLOOKUP($A341,LinkedIn_follows_raw!$A$2:$A1000,LinkedIn_follows_raw!$E$2:$E1000)</f>
        <v>#N/A</v>
      </c>
      <c r="D341" s="26" t="str">
        <f t="array" ref="D341">sum(XLOOKUP($A341,LinkedIn_content_raw!$A$2:$A1000,LinkedIn_content_raw!$K$2:$K1000),XLOOKUP($A341,LinkedIn_content_raw!$A$2:$A1000,LinkedIn_content_raw!$N$2:$N1000),XLOOKUP($A341,LinkedIn_content_raw!$A$2:$A1000,LinkedIn_content_raw!$Q$2:$Q1000))</f>
        <v>#N/A</v>
      </c>
      <c r="E341" s="26" t="str">
        <f t="array" ref="E341">XLOOKUP($A341,LinkedIn_content_raw!$A$2:$A1000,LinkedIn_content_raw!$E$2:$E1000)</f>
        <v>#N/A</v>
      </c>
    </row>
    <row r="342">
      <c r="A342" s="26" t="str">
        <f>LinkedIn_content_raw!$A343</f>
        <v/>
      </c>
      <c r="B342" s="24" t="str">
        <f t="shared" si="1"/>
        <v/>
      </c>
      <c r="C342" s="26" t="str">
        <f t="array" ref="C342">XLOOKUP($A342,LinkedIn_follows_raw!$A$2:$A1000,LinkedIn_follows_raw!$E$2:$E1000)</f>
        <v>#N/A</v>
      </c>
      <c r="D342" s="26" t="str">
        <f t="array" ref="D342">sum(XLOOKUP($A342,LinkedIn_content_raw!$A$2:$A1000,LinkedIn_content_raw!$K$2:$K1000),XLOOKUP($A342,LinkedIn_content_raw!$A$2:$A1000,LinkedIn_content_raw!$N$2:$N1000),XLOOKUP($A342,LinkedIn_content_raw!$A$2:$A1000,LinkedIn_content_raw!$Q$2:$Q1000))</f>
        <v>#N/A</v>
      </c>
      <c r="E342" s="26" t="str">
        <f t="array" ref="E342">XLOOKUP($A342,LinkedIn_content_raw!$A$2:$A1000,LinkedIn_content_raw!$E$2:$E1000)</f>
        <v>#N/A</v>
      </c>
    </row>
    <row r="343">
      <c r="A343" s="26" t="str">
        <f>LinkedIn_content_raw!$A344</f>
        <v/>
      </c>
      <c r="B343" s="24" t="str">
        <f t="shared" si="1"/>
        <v/>
      </c>
      <c r="C343" s="26" t="str">
        <f t="array" ref="C343">XLOOKUP($A343,LinkedIn_follows_raw!$A$2:$A1000,LinkedIn_follows_raw!$E$2:$E1000)</f>
        <v>#N/A</v>
      </c>
      <c r="D343" s="26" t="str">
        <f t="array" ref="D343">sum(XLOOKUP($A343,LinkedIn_content_raw!$A$2:$A1000,LinkedIn_content_raw!$K$2:$K1000),XLOOKUP($A343,LinkedIn_content_raw!$A$2:$A1000,LinkedIn_content_raw!$N$2:$N1000),XLOOKUP($A343,LinkedIn_content_raw!$A$2:$A1000,LinkedIn_content_raw!$Q$2:$Q1000))</f>
        <v>#N/A</v>
      </c>
      <c r="E343" s="26" t="str">
        <f t="array" ref="E343">XLOOKUP($A343,LinkedIn_content_raw!$A$2:$A1000,LinkedIn_content_raw!$E$2:$E1000)</f>
        <v>#N/A</v>
      </c>
    </row>
    <row r="344">
      <c r="A344" s="26" t="str">
        <f>LinkedIn_content_raw!$A345</f>
        <v/>
      </c>
      <c r="B344" s="24" t="str">
        <f t="shared" si="1"/>
        <v/>
      </c>
      <c r="C344" s="26" t="str">
        <f t="array" ref="C344">XLOOKUP($A344,LinkedIn_follows_raw!$A$2:$A1000,LinkedIn_follows_raw!$E$2:$E1000)</f>
        <v>#N/A</v>
      </c>
      <c r="D344" s="26" t="str">
        <f t="array" ref="D344">sum(XLOOKUP($A344,LinkedIn_content_raw!$A$2:$A1000,LinkedIn_content_raw!$K$2:$K1000),XLOOKUP($A344,LinkedIn_content_raw!$A$2:$A1000,LinkedIn_content_raw!$N$2:$N1000),XLOOKUP($A344,LinkedIn_content_raw!$A$2:$A1000,LinkedIn_content_raw!$Q$2:$Q1000))</f>
        <v>#N/A</v>
      </c>
      <c r="E344" s="26" t="str">
        <f t="array" ref="E344">XLOOKUP($A344,LinkedIn_content_raw!$A$2:$A1000,LinkedIn_content_raw!$E$2:$E1000)</f>
        <v>#N/A</v>
      </c>
    </row>
    <row r="345">
      <c r="A345" s="26" t="str">
        <f>LinkedIn_content_raw!$A346</f>
        <v/>
      </c>
      <c r="B345" s="24" t="str">
        <f t="shared" si="1"/>
        <v/>
      </c>
      <c r="C345" s="26" t="str">
        <f t="array" ref="C345">XLOOKUP($A345,LinkedIn_follows_raw!$A$2:$A1000,LinkedIn_follows_raw!$E$2:$E1000)</f>
        <v>#N/A</v>
      </c>
      <c r="D345" s="26" t="str">
        <f t="array" ref="D345">sum(XLOOKUP($A345,LinkedIn_content_raw!$A$2:$A1000,LinkedIn_content_raw!$K$2:$K1000),XLOOKUP($A345,LinkedIn_content_raw!$A$2:$A1000,LinkedIn_content_raw!$N$2:$N1000),XLOOKUP($A345,LinkedIn_content_raw!$A$2:$A1000,LinkedIn_content_raw!$Q$2:$Q1000))</f>
        <v>#N/A</v>
      </c>
      <c r="E345" s="26" t="str">
        <f t="array" ref="E345">XLOOKUP($A345,LinkedIn_content_raw!$A$2:$A1000,LinkedIn_content_raw!$E$2:$E1000)</f>
        <v>#N/A</v>
      </c>
    </row>
    <row r="346">
      <c r="A346" s="26" t="str">
        <f>LinkedIn_content_raw!$A347</f>
        <v/>
      </c>
      <c r="B346" s="24" t="str">
        <f t="shared" si="1"/>
        <v/>
      </c>
      <c r="C346" s="26" t="str">
        <f t="array" ref="C346">XLOOKUP($A346,LinkedIn_follows_raw!$A$2:$A1000,LinkedIn_follows_raw!$E$2:$E1000)</f>
        <v>#N/A</v>
      </c>
      <c r="D346" s="26" t="str">
        <f t="array" ref="D346">sum(XLOOKUP($A346,LinkedIn_content_raw!$A$2:$A1000,LinkedIn_content_raw!$K$2:$K1000),XLOOKUP($A346,LinkedIn_content_raw!$A$2:$A1000,LinkedIn_content_raw!$N$2:$N1000),XLOOKUP($A346,LinkedIn_content_raw!$A$2:$A1000,LinkedIn_content_raw!$Q$2:$Q1000))</f>
        <v>#N/A</v>
      </c>
      <c r="E346" s="26" t="str">
        <f t="array" ref="E346">XLOOKUP($A346,LinkedIn_content_raw!$A$2:$A1000,LinkedIn_content_raw!$E$2:$E1000)</f>
        <v>#N/A</v>
      </c>
    </row>
    <row r="347">
      <c r="A347" s="26" t="str">
        <f>LinkedIn_content_raw!$A348</f>
        <v/>
      </c>
      <c r="B347" s="24" t="str">
        <f t="shared" si="1"/>
        <v/>
      </c>
      <c r="C347" s="26" t="str">
        <f t="array" ref="C347">XLOOKUP($A347,LinkedIn_follows_raw!$A$2:$A1000,LinkedIn_follows_raw!$E$2:$E1000)</f>
        <v>#N/A</v>
      </c>
      <c r="D347" s="26" t="str">
        <f t="array" ref="D347">sum(XLOOKUP($A347,LinkedIn_content_raw!$A$2:$A1000,LinkedIn_content_raw!$K$2:$K1000),XLOOKUP($A347,LinkedIn_content_raw!$A$2:$A1000,LinkedIn_content_raw!$N$2:$N1000),XLOOKUP($A347,LinkedIn_content_raw!$A$2:$A1000,LinkedIn_content_raw!$Q$2:$Q1000))</f>
        <v>#N/A</v>
      </c>
      <c r="E347" s="26" t="str">
        <f t="array" ref="E347">XLOOKUP($A347,LinkedIn_content_raw!$A$2:$A1000,LinkedIn_content_raw!$E$2:$E1000)</f>
        <v>#N/A</v>
      </c>
    </row>
    <row r="348">
      <c r="A348" s="26" t="str">
        <f>LinkedIn_content_raw!$A349</f>
        <v/>
      </c>
      <c r="B348" s="24" t="str">
        <f t="shared" si="1"/>
        <v/>
      </c>
      <c r="C348" s="26" t="str">
        <f t="array" ref="C348">XLOOKUP($A348,LinkedIn_follows_raw!$A$2:$A1000,LinkedIn_follows_raw!$E$2:$E1000)</f>
        <v>#N/A</v>
      </c>
      <c r="D348" s="26" t="str">
        <f t="array" ref="D348">sum(XLOOKUP($A348,LinkedIn_content_raw!$A$2:$A1000,LinkedIn_content_raw!$K$2:$K1000),XLOOKUP($A348,LinkedIn_content_raw!$A$2:$A1000,LinkedIn_content_raw!$N$2:$N1000),XLOOKUP($A348,LinkedIn_content_raw!$A$2:$A1000,LinkedIn_content_raw!$Q$2:$Q1000))</f>
        <v>#N/A</v>
      </c>
      <c r="E348" s="26" t="str">
        <f t="array" ref="E348">XLOOKUP($A348,LinkedIn_content_raw!$A$2:$A1000,LinkedIn_content_raw!$E$2:$E1000)</f>
        <v>#N/A</v>
      </c>
    </row>
    <row r="349">
      <c r="A349" s="26" t="str">
        <f>LinkedIn_content_raw!$A350</f>
        <v/>
      </c>
      <c r="B349" s="24" t="str">
        <f t="shared" si="1"/>
        <v/>
      </c>
      <c r="C349" s="26" t="str">
        <f t="array" ref="C349">XLOOKUP($A349,LinkedIn_follows_raw!$A$2:$A1000,LinkedIn_follows_raw!$E$2:$E1000)</f>
        <v>#N/A</v>
      </c>
      <c r="D349" s="26" t="str">
        <f t="array" ref="D349">sum(XLOOKUP($A349,LinkedIn_content_raw!$A$2:$A1000,LinkedIn_content_raw!$K$2:$K1000),XLOOKUP($A349,LinkedIn_content_raw!$A$2:$A1000,LinkedIn_content_raw!$N$2:$N1000),XLOOKUP($A349,LinkedIn_content_raw!$A$2:$A1000,LinkedIn_content_raw!$Q$2:$Q1000))</f>
        <v>#N/A</v>
      </c>
      <c r="E349" s="26" t="str">
        <f t="array" ref="E349">XLOOKUP($A349,LinkedIn_content_raw!$A$2:$A1000,LinkedIn_content_raw!$E$2:$E1000)</f>
        <v>#N/A</v>
      </c>
    </row>
    <row r="350">
      <c r="A350" s="26" t="str">
        <f>LinkedIn_content_raw!$A351</f>
        <v/>
      </c>
      <c r="B350" s="24" t="str">
        <f t="shared" si="1"/>
        <v/>
      </c>
      <c r="C350" s="26" t="str">
        <f t="array" ref="C350">XLOOKUP($A350,LinkedIn_follows_raw!$A$2:$A1000,LinkedIn_follows_raw!$E$2:$E1000)</f>
        <v>#N/A</v>
      </c>
      <c r="D350" s="26" t="str">
        <f t="array" ref="D350">sum(XLOOKUP($A350,LinkedIn_content_raw!$A$2:$A1000,LinkedIn_content_raw!$K$2:$K1000),XLOOKUP($A350,LinkedIn_content_raw!$A$2:$A1000,LinkedIn_content_raw!$N$2:$N1000),XLOOKUP($A350,LinkedIn_content_raw!$A$2:$A1000,LinkedIn_content_raw!$Q$2:$Q1000))</f>
        <v>#N/A</v>
      </c>
      <c r="E350" s="26" t="str">
        <f t="array" ref="E350">XLOOKUP($A350,LinkedIn_content_raw!$A$2:$A1000,LinkedIn_content_raw!$E$2:$E1000)</f>
        <v>#N/A</v>
      </c>
    </row>
    <row r="351">
      <c r="A351" s="26" t="str">
        <f>LinkedIn_content_raw!$A352</f>
        <v/>
      </c>
      <c r="B351" s="24" t="str">
        <f t="shared" si="1"/>
        <v/>
      </c>
      <c r="C351" s="26" t="str">
        <f t="array" ref="C351">XLOOKUP($A351,LinkedIn_follows_raw!$A$2:$A1000,LinkedIn_follows_raw!$E$2:$E1000)</f>
        <v>#N/A</v>
      </c>
      <c r="D351" s="26" t="str">
        <f t="array" ref="D351">sum(XLOOKUP($A351,LinkedIn_content_raw!$A$2:$A1000,LinkedIn_content_raw!$K$2:$K1000),XLOOKUP($A351,LinkedIn_content_raw!$A$2:$A1000,LinkedIn_content_raw!$N$2:$N1000),XLOOKUP($A351,LinkedIn_content_raw!$A$2:$A1000,LinkedIn_content_raw!$Q$2:$Q1000))</f>
        <v>#N/A</v>
      </c>
      <c r="E351" s="26" t="str">
        <f t="array" ref="E351">XLOOKUP($A351,LinkedIn_content_raw!$A$2:$A1000,LinkedIn_content_raw!$E$2:$E1000)</f>
        <v>#N/A</v>
      </c>
    </row>
    <row r="352">
      <c r="A352" s="26" t="str">
        <f>LinkedIn_content_raw!$A353</f>
        <v/>
      </c>
      <c r="B352" s="24" t="str">
        <f t="shared" si="1"/>
        <v/>
      </c>
      <c r="C352" s="26" t="str">
        <f t="array" ref="C352">XLOOKUP($A352,LinkedIn_follows_raw!$A$2:$A1000,LinkedIn_follows_raw!$E$2:$E1000)</f>
        <v>#N/A</v>
      </c>
      <c r="D352" s="26" t="str">
        <f t="array" ref="D352">sum(XLOOKUP($A352,LinkedIn_content_raw!$A$2:$A1000,LinkedIn_content_raw!$K$2:$K1000),XLOOKUP($A352,LinkedIn_content_raw!$A$2:$A1000,LinkedIn_content_raw!$N$2:$N1000),XLOOKUP($A352,LinkedIn_content_raw!$A$2:$A1000,LinkedIn_content_raw!$Q$2:$Q1000))</f>
        <v>#N/A</v>
      </c>
      <c r="E352" s="26" t="str">
        <f t="array" ref="E352">XLOOKUP($A352,LinkedIn_content_raw!$A$2:$A1000,LinkedIn_content_raw!$E$2:$E1000)</f>
        <v>#N/A</v>
      </c>
    </row>
    <row r="353">
      <c r="A353" s="26" t="str">
        <f>LinkedIn_content_raw!$A354</f>
        <v/>
      </c>
      <c r="B353" s="24" t="str">
        <f t="shared" si="1"/>
        <v/>
      </c>
      <c r="C353" s="26" t="str">
        <f t="array" ref="C353">XLOOKUP($A353,LinkedIn_follows_raw!$A$2:$A1000,LinkedIn_follows_raw!$E$2:$E1000)</f>
        <v>#N/A</v>
      </c>
      <c r="D353" s="26" t="str">
        <f t="array" ref="D353">sum(XLOOKUP($A353,LinkedIn_content_raw!$A$2:$A1000,LinkedIn_content_raw!$K$2:$K1000),XLOOKUP($A353,LinkedIn_content_raw!$A$2:$A1000,LinkedIn_content_raw!$N$2:$N1000),XLOOKUP($A353,LinkedIn_content_raw!$A$2:$A1000,LinkedIn_content_raw!$Q$2:$Q1000))</f>
        <v>#N/A</v>
      </c>
      <c r="E353" s="26" t="str">
        <f t="array" ref="E353">XLOOKUP($A353,LinkedIn_content_raw!$A$2:$A1000,LinkedIn_content_raw!$E$2:$E1000)</f>
        <v>#N/A</v>
      </c>
    </row>
    <row r="354">
      <c r="A354" s="26" t="str">
        <f>LinkedIn_content_raw!$A355</f>
        <v/>
      </c>
      <c r="B354" s="24" t="str">
        <f t="shared" si="1"/>
        <v/>
      </c>
      <c r="C354" s="26" t="str">
        <f t="array" ref="C354">XLOOKUP($A354,LinkedIn_follows_raw!$A$2:$A1000,LinkedIn_follows_raw!$E$2:$E1000)</f>
        <v>#N/A</v>
      </c>
      <c r="D354" s="26" t="str">
        <f t="array" ref="D354">sum(XLOOKUP($A354,LinkedIn_content_raw!$A$2:$A1000,LinkedIn_content_raw!$K$2:$K1000),XLOOKUP($A354,LinkedIn_content_raw!$A$2:$A1000,LinkedIn_content_raw!$N$2:$N1000),XLOOKUP($A354,LinkedIn_content_raw!$A$2:$A1000,LinkedIn_content_raw!$Q$2:$Q1000))</f>
        <v>#N/A</v>
      </c>
      <c r="E354" s="26" t="str">
        <f t="array" ref="E354">XLOOKUP($A354,LinkedIn_content_raw!$A$2:$A1000,LinkedIn_content_raw!$E$2:$E1000)</f>
        <v>#N/A</v>
      </c>
    </row>
    <row r="355">
      <c r="A355" s="26" t="str">
        <f>LinkedIn_content_raw!$A356</f>
        <v/>
      </c>
      <c r="B355" s="24" t="str">
        <f t="shared" si="1"/>
        <v/>
      </c>
      <c r="C355" s="26" t="str">
        <f t="array" ref="C355">XLOOKUP($A355,LinkedIn_follows_raw!$A$2:$A1000,LinkedIn_follows_raw!$E$2:$E1000)</f>
        <v>#N/A</v>
      </c>
      <c r="D355" s="26" t="str">
        <f t="array" ref="D355">sum(XLOOKUP($A355,LinkedIn_content_raw!$A$2:$A1000,LinkedIn_content_raw!$K$2:$K1000),XLOOKUP($A355,LinkedIn_content_raw!$A$2:$A1000,LinkedIn_content_raw!$N$2:$N1000),XLOOKUP($A355,LinkedIn_content_raw!$A$2:$A1000,LinkedIn_content_raw!$Q$2:$Q1000))</f>
        <v>#N/A</v>
      </c>
      <c r="E355" s="26" t="str">
        <f t="array" ref="E355">XLOOKUP($A355,LinkedIn_content_raw!$A$2:$A1000,LinkedIn_content_raw!$E$2:$E1000)</f>
        <v>#N/A</v>
      </c>
    </row>
    <row r="356">
      <c r="A356" s="26" t="str">
        <f>LinkedIn_content_raw!$A357</f>
        <v/>
      </c>
      <c r="B356" s="24" t="str">
        <f t="shared" si="1"/>
        <v/>
      </c>
      <c r="C356" s="26" t="str">
        <f t="array" ref="C356">XLOOKUP($A356,LinkedIn_follows_raw!$A$2:$A1000,LinkedIn_follows_raw!$E$2:$E1000)</f>
        <v>#N/A</v>
      </c>
      <c r="D356" s="26" t="str">
        <f t="array" ref="D356">sum(XLOOKUP($A356,LinkedIn_content_raw!$A$2:$A1000,LinkedIn_content_raw!$K$2:$K1000),XLOOKUP($A356,LinkedIn_content_raw!$A$2:$A1000,LinkedIn_content_raw!$N$2:$N1000),XLOOKUP($A356,LinkedIn_content_raw!$A$2:$A1000,LinkedIn_content_raw!$Q$2:$Q1000))</f>
        <v>#N/A</v>
      </c>
      <c r="E356" s="26" t="str">
        <f t="array" ref="E356">XLOOKUP($A356,LinkedIn_content_raw!$A$2:$A1000,LinkedIn_content_raw!$E$2:$E1000)</f>
        <v>#N/A</v>
      </c>
    </row>
    <row r="357">
      <c r="A357" s="26" t="str">
        <f>LinkedIn_content_raw!$A358</f>
        <v/>
      </c>
      <c r="B357" s="24" t="str">
        <f t="shared" si="1"/>
        <v/>
      </c>
      <c r="C357" s="26" t="str">
        <f t="array" ref="C357">XLOOKUP($A357,LinkedIn_follows_raw!$A$2:$A1000,LinkedIn_follows_raw!$E$2:$E1000)</f>
        <v>#N/A</v>
      </c>
      <c r="D357" s="26" t="str">
        <f t="array" ref="D357">sum(XLOOKUP($A357,LinkedIn_content_raw!$A$2:$A1000,LinkedIn_content_raw!$K$2:$K1000),XLOOKUP($A357,LinkedIn_content_raw!$A$2:$A1000,LinkedIn_content_raw!$N$2:$N1000),XLOOKUP($A357,LinkedIn_content_raw!$A$2:$A1000,LinkedIn_content_raw!$Q$2:$Q1000))</f>
        <v>#N/A</v>
      </c>
      <c r="E357" s="26" t="str">
        <f t="array" ref="E357">XLOOKUP($A357,LinkedIn_content_raw!$A$2:$A1000,LinkedIn_content_raw!$E$2:$E1000)</f>
        <v>#N/A</v>
      </c>
    </row>
    <row r="358">
      <c r="A358" s="26" t="str">
        <f>LinkedIn_content_raw!$A359</f>
        <v/>
      </c>
      <c r="B358" s="24" t="str">
        <f t="shared" si="1"/>
        <v/>
      </c>
      <c r="C358" s="26" t="str">
        <f t="array" ref="C358">XLOOKUP($A358,LinkedIn_follows_raw!$A$2:$A1000,LinkedIn_follows_raw!$E$2:$E1000)</f>
        <v>#N/A</v>
      </c>
      <c r="D358" s="26" t="str">
        <f t="array" ref="D358">sum(XLOOKUP($A358,LinkedIn_content_raw!$A$2:$A1000,LinkedIn_content_raw!$K$2:$K1000),XLOOKUP($A358,LinkedIn_content_raw!$A$2:$A1000,LinkedIn_content_raw!$N$2:$N1000),XLOOKUP($A358,LinkedIn_content_raw!$A$2:$A1000,LinkedIn_content_raw!$Q$2:$Q1000))</f>
        <v>#N/A</v>
      </c>
      <c r="E358" s="26" t="str">
        <f t="array" ref="E358">XLOOKUP($A358,LinkedIn_content_raw!$A$2:$A1000,LinkedIn_content_raw!$E$2:$E1000)</f>
        <v>#N/A</v>
      </c>
    </row>
    <row r="359">
      <c r="A359" s="26" t="str">
        <f>LinkedIn_content_raw!$A360</f>
        <v/>
      </c>
      <c r="B359" s="24" t="str">
        <f t="shared" si="1"/>
        <v/>
      </c>
      <c r="C359" s="26" t="str">
        <f t="array" ref="C359">XLOOKUP($A359,LinkedIn_follows_raw!$A$2:$A1000,LinkedIn_follows_raw!$E$2:$E1000)</f>
        <v>#N/A</v>
      </c>
      <c r="D359" s="26" t="str">
        <f t="array" ref="D359">sum(XLOOKUP($A359,LinkedIn_content_raw!$A$2:$A1000,LinkedIn_content_raw!$K$2:$K1000),XLOOKUP($A359,LinkedIn_content_raw!$A$2:$A1000,LinkedIn_content_raw!$N$2:$N1000),XLOOKUP($A359,LinkedIn_content_raw!$A$2:$A1000,LinkedIn_content_raw!$Q$2:$Q1000))</f>
        <v>#N/A</v>
      </c>
      <c r="E359" s="26" t="str">
        <f t="array" ref="E359">XLOOKUP($A359,LinkedIn_content_raw!$A$2:$A1000,LinkedIn_content_raw!$E$2:$E1000)</f>
        <v>#N/A</v>
      </c>
    </row>
    <row r="360">
      <c r="A360" s="26" t="str">
        <f>LinkedIn_content_raw!$A361</f>
        <v/>
      </c>
      <c r="B360" s="24" t="str">
        <f t="shared" si="1"/>
        <v/>
      </c>
      <c r="C360" s="26" t="str">
        <f t="array" ref="C360">XLOOKUP($A360,LinkedIn_follows_raw!$A$2:$A1000,LinkedIn_follows_raw!$E$2:$E1000)</f>
        <v>#N/A</v>
      </c>
      <c r="D360" s="26" t="str">
        <f t="array" ref="D360">sum(XLOOKUP($A360,LinkedIn_content_raw!$A$2:$A1000,LinkedIn_content_raw!$K$2:$K1000),XLOOKUP($A360,LinkedIn_content_raw!$A$2:$A1000,LinkedIn_content_raw!$N$2:$N1000),XLOOKUP($A360,LinkedIn_content_raw!$A$2:$A1000,LinkedIn_content_raw!$Q$2:$Q1000))</f>
        <v>#N/A</v>
      </c>
      <c r="E360" s="26" t="str">
        <f t="array" ref="E360">XLOOKUP($A360,LinkedIn_content_raw!$A$2:$A1000,LinkedIn_content_raw!$E$2:$E1000)</f>
        <v>#N/A</v>
      </c>
    </row>
    <row r="361">
      <c r="A361" s="26" t="str">
        <f>LinkedIn_content_raw!$A362</f>
        <v/>
      </c>
      <c r="B361" s="24" t="str">
        <f t="shared" si="1"/>
        <v/>
      </c>
      <c r="C361" s="26" t="str">
        <f t="array" ref="C361">XLOOKUP($A361,LinkedIn_follows_raw!$A$2:$A1000,LinkedIn_follows_raw!$E$2:$E1000)</f>
        <v>#N/A</v>
      </c>
      <c r="D361" s="26" t="str">
        <f t="array" ref="D361">sum(XLOOKUP($A361,LinkedIn_content_raw!$A$2:$A1000,LinkedIn_content_raw!$K$2:$K1000),XLOOKUP($A361,LinkedIn_content_raw!$A$2:$A1000,LinkedIn_content_raw!$N$2:$N1000),XLOOKUP($A361,LinkedIn_content_raw!$A$2:$A1000,LinkedIn_content_raw!$Q$2:$Q1000))</f>
        <v>#N/A</v>
      </c>
      <c r="E361" s="26" t="str">
        <f t="array" ref="E361">XLOOKUP($A361,LinkedIn_content_raw!$A$2:$A1000,LinkedIn_content_raw!$E$2:$E1000)</f>
        <v>#N/A</v>
      </c>
    </row>
    <row r="362">
      <c r="A362" s="26" t="str">
        <f>LinkedIn_content_raw!$A363</f>
        <v/>
      </c>
      <c r="B362" s="24" t="str">
        <f t="shared" si="1"/>
        <v/>
      </c>
      <c r="C362" s="26" t="str">
        <f t="array" ref="C362">XLOOKUP($A362,LinkedIn_follows_raw!$A$2:$A1000,LinkedIn_follows_raw!$E$2:$E1000)</f>
        <v>#N/A</v>
      </c>
      <c r="D362" s="26" t="str">
        <f t="array" ref="D362">sum(XLOOKUP($A362,LinkedIn_content_raw!$A$2:$A1000,LinkedIn_content_raw!$K$2:$K1000),XLOOKUP($A362,LinkedIn_content_raw!$A$2:$A1000,LinkedIn_content_raw!$N$2:$N1000),XLOOKUP($A362,LinkedIn_content_raw!$A$2:$A1000,LinkedIn_content_raw!$Q$2:$Q1000))</f>
        <v>#N/A</v>
      </c>
      <c r="E362" s="26" t="str">
        <f t="array" ref="E362">XLOOKUP($A362,LinkedIn_content_raw!$A$2:$A1000,LinkedIn_content_raw!$E$2:$E1000)</f>
        <v>#N/A</v>
      </c>
    </row>
    <row r="363">
      <c r="A363" s="26" t="str">
        <f>LinkedIn_content_raw!$A364</f>
        <v/>
      </c>
      <c r="B363" s="24" t="str">
        <f t="shared" si="1"/>
        <v/>
      </c>
      <c r="C363" s="26" t="str">
        <f t="array" ref="C363">XLOOKUP($A363,LinkedIn_follows_raw!$A$2:$A1000,LinkedIn_follows_raw!$E$2:$E1000)</f>
        <v>#N/A</v>
      </c>
      <c r="D363" s="26" t="str">
        <f t="array" ref="D363">sum(XLOOKUP($A363,LinkedIn_content_raw!$A$2:$A1000,LinkedIn_content_raw!$K$2:$K1000),XLOOKUP($A363,LinkedIn_content_raw!$A$2:$A1000,LinkedIn_content_raw!$N$2:$N1000),XLOOKUP($A363,LinkedIn_content_raw!$A$2:$A1000,LinkedIn_content_raw!$Q$2:$Q1000))</f>
        <v>#N/A</v>
      </c>
      <c r="E363" s="26" t="str">
        <f t="array" ref="E363">XLOOKUP($A363,LinkedIn_content_raw!$A$2:$A1000,LinkedIn_content_raw!$E$2:$E1000)</f>
        <v>#N/A</v>
      </c>
    </row>
    <row r="364">
      <c r="A364" s="26" t="str">
        <f>LinkedIn_content_raw!$A365</f>
        <v/>
      </c>
      <c r="B364" s="24" t="str">
        <f t="shared" si="1"/>
        <v/>
      </c>
      <c r="C364" s="26" t="str">
        <f t="array" ref="C364">XLOOKUP($A364,LinkedIn_follows_raw!$A$2:$A1000,LinkedIn_follows_raw!$E$2:$E1000)</f>
        <v>#N/A</v>
      </c>
      <c r="D364" s="26" t="str">
        <f t="array" ref="D364">sum(XLOOKUP($A364,LinkedIn_content_raw!$A$2:$A1000,LinkedIn_content_raw!$K$2:$K1000),XLOOKUP($A364,LinkedIn_content_raw!$A$2:$A1000,LinkedIn_content_raw!$N$2:$N1000),XLOOKUP($A364,LinkedIn_content_raw!$A$2:$A1000,LinkedIn_content_raw!$Q$2:$Q1000))</f>
        <v>#N/A</v>
      </c>
      <c r="E364" s="26" t="str">
        <f t="array" ref="E364">XLOOKUP($A364,LinkedIn_content_raw!$A$2:$A1000,LinkedIn_content_raw!$E$2:$E1000)</f>
        <v>#N/A</v>
      </c>
    </row>
    <row r="365">
      <c r="A365" s="26" t="str">
        <f>LinkedIn_content_raw!$A366</f>
        <v/>
      </c>
      <c r="B365" s="24" t="str">
        <f t="shared" si="1"/>
        <v/>
      </c>
      <c r="C365" s="26" t="str">
        <f t="array" ref="C365">XLOOKUP($A365,LinkedIn_follows_raw!$A$2:$A1000,LinkedIn_follows_raw!$E$2:$E1000)</f>
        <v>#N/A</v>
      </c>
      <c r="D365" s="26" t="str">
        <f t="array" ref="D365">sum(XLOOKUP($A365,LinkedIn_content_raw!$A$2:$A1000,LinkedIn_content_raw!$K$2:$K1000),XLOOKUP($A365,LinkedIn_content_raw!$A$2:$A1000,LinkedIn_content_raw!$N$2:$N1000),XLOOKUP($A365,LinkedIn_content_raw!$A$2:$A1000,LinkedIn_content_raw!$Q$2:$Q1000))</f>
        <v>#N/A</v>
      </c>
      <c r="E365" s="26" t="str">
        <f t="array" ref="E365">XLOOKUP($A365,LinkedIn_content_raw!$A$2:$A1000,LinkedIn_content_raw!$E$2:$E1000)</f>
        <v>#N/A</v>
      </c>
    </row>
    <row r="366">
      <c r="A366" s="26" t="str">
        <f>LinkedIn_content_raw!$A367</f>
        <v/>
      </c>
      <c r="B366" s="24" t="str">
        <f t="shared" si="1"/>
        <v/>
      </c>
      <c r="C366" s="26" t="str">
        <f t="array" ref="C366">XLOOKUP($A366,LinkedIn_follows_raw!$A$2:$A1000,LinkedIn_follows_raw!$E$2:$E1000)</f>
        <v>#N/A</v>
      </c>
      <c r="D366" s="26" t="str">
        <f t="array" ref="D366">sum(XLOOKUP($A366,LinkedIn_content_raw!$A$2:$A1000,LinkedIn_content_raw!$K$2:$K1000),XLOOKUP($A366,LinkedIn_content_raw!$A$2:$A1000,LinkedIn_content_raw!$N$2:$N1000),XLOOKUP($A366,LinkedIn_content_raw!$A$2:$A1000,LinkedIn_content_raw!$Q$2:$Q1000))</f>
        <v>#N/A</v>
      </c>
      <c r="E366" s="26" t="str">
        <f t="array" ref="E366">XLOOKUP($A366,LinkedIn_content_raw!$A$2:$A1000,LinkedIn_content_raw!$E$2:$E1000)</f>
        <v>#N/A</v>
      </c>
    </row>
    <row r="367">
      <c r="A367" s="26" t="str">
        <f>LinkedIn_content_raw!$A368</f>
        <v/>
      </c>
      <c r="B367" s="24" t="str">
        <f t="shared" si="1"/>
        <v/>
      </c>
      <c r="C367" s="26" t="str">
        <f t="array" ref="C367">XLOOKUP($A367,LinkedIn_follows_raw!$A$2:$A1000,LinkedIn_follows_raw!$E$2:$E1000)</f>
        <v>#N/A</v>
      </c>
      <c r="D367" s="26" t="str">
        <f t="array" ref="D367">sum(XLOOKUP($A367,LinkedIn_content_raw!$A$2:$A1000,LinkedIn_content_raw!$K$2:$K1000),XLOOKUP($A367,LinkedIn_content_raw!$A$2:$A1000,LinkedIn_content_raw!$N$2:$N1000),XLOOKUP($A367,LinkedIn_content_raw!$A$2:$A1000,LinkedIn_content_raw!$Q$2:$Q1000))</f>
        <v>#N/A</v>
      </c>
      <c r="E367" s="26" t="str">
        <f t="array" ref="E367">XLOOKUP($A367,LinkedIn_content_raw!$A$2:$A1000,LinkedIn_content_raw!$E$2:$E1000)</f>
        <v>#N/A</v>
      </c>
    </row>
    <row r="368">
      <c r="A368" s="26" t="str">
        <f>LinkedIn_content_raw!$A369</f>
        <v/>
      </c>
      <c r="B368" s="24" t="str">
        <f t="shared" si="1"/>
        <v/>
      </c>
      <c r="C368" s="26" t="str">
        <f t="array" ref="C368">XLOOKUP($A368,LinkedIn_follows_raw!$A$2:$A1000,LinkedIn_follows_raw!$E$2:$E1000)</f>
        <v>#N/A</v>
      </c>
      <c r="D368" s="26" t="str">
        <f t="array" ref="D368">sum(XLOOKUP($A368,LinkedIn_content_raw!$A$2:$A1000,LinkedIn_content_raw!$K$2:$K1000),XLOOKUP($A368,LinkedIn_content_raw!$A$2:$A1000,LinkedIn_content_raw!$N$2:$N1000),XLOOKUP($A368,LinkedIn_content_raw!$A$2:$A1000,LinkedIn_content_raw!$Q$2:$Q1000))</f>
        <v>#N/A</v>
      </c>
      <c r="E368" s="26" t="str">
        <f t="array" ref="E368">XLOOKUP($A368,LinkedIn_content_raw!$A$2:$A1000,LinkedIn_content_raw!$E$2:$E1000)</f>
        <v>#N/A</v>
      </c>
    </row>
    <row r="369">
      <c r="A369" s="26" t="str">
        <f>LinkedIn_content_raw!$A370</f>
        <v/>
      </c>
      <c r="B369" s="24" t="str">
        <f t="shared" si="1"/>
        <v/>
      </c>
      <c r="C369" s="26" t="str">
        <f t="array" ref="C369">XLOOKUP($A369,LinkedIn_follows_raw!$A$2:$A1000,LinkedIn_follows_raw!$E$2:$E1000)</f>
        <v>#N/A</v>
      </c>
      <c r="D369" s="26" t="str">
        <f t="array" ref="D369">sum(XLOOKUP($A369,LinkedIn_content_raw!$A$2:$A1000,LinkedIn_content_raw!$K$2:$K1000),XLOOKUP($A369,LinkedIn_content_raw!$A$2:$A1000,LinkedIn_content_raw!$N$2:$N1000),XLOOKUP($A369,LinkedIn_content_raw!$A$2:$A1000,LinkedIn_content_raw!$Q$2:$Q1000))</f>
        <v>#N/A</v>
      </c>
      <c r="E369" s="26" t="str">
        <f t="array" ref="E369">XLOOKUP($A369,LinkedIn_content_raw!$A$2:$A1000,LinkedIn_content_raw!$E$2:$E1000)</f>
        <v>#N/A</v>
      </c>
    </row>
    <row r="370">
      <c r="A370" s="26" t="str">
        <f>LinkedIn_content_raw!$A371</f>
        <v/>
      </c>
      <c r="B370" s="24" t="str">
        <f t="shared" si="1"/>
        <v/>
      </c>
      <c r="C370" s="26" t="str">
        <f t="array" ref="C370">XLOOKUP($A370,LinkedIn_follows_raw!$A$2:$A1000,LinkedIn_follows_raw!$E$2:$E1000)</f>
        <v>#N/A</v>
      </c>
      <c r="D370" s="26" t="str">
        <f t="array" ref="D370">sum(XLOOKUP($A370,LinkedIn_content_raw!$A$2:$A1000,LinkedIn_content_raw!$K$2:$K1000),XLOOKUP($A370,LinkedIn_content_raw!$A$2:$A1000,LinkedIn_content_raw!$N$2:$N1000),XLOOKUP($A370,LinkedIn_content_raw!$A$2:$A1000,LinkedIn_content_raw!$Q$2:$Q1000))</f>
        <v>#N/A</v>
      </c>
      <c r="E370" s="26" t="str">
        <f t="array" ref="E370">XLOOKUP($A370,LinkedIn_content_raw!$A$2:$A1000,LinkedIn_content_raw!$E$2:$E1000)</f>
        <v>#N/A</v>
      </c>
    </row>
    <row r="371">
      <c r="A371" s="26" t="str">
        <f>LinkedIn_content_raw!$A372</f>
        <v/>
      </c>
      <c r="B371" s="24" t="str">
        <f t="shared" si="1"/>
        <v/>
      </c>
      <c r="C371" s="26" t="str">
        <f t="array" ref="C371">XLOOKUP($A371,LinkedIn_follows_raw!$A$2:$A1000,LinkedIn_follows_raw!$E$2:$E1000)</f>
        <v>#N/A</v>
      </c>
      <c r="D371" s="26" t="str">
        <f t="array" ref="D371">sum(XLOOKUP($A371,LinkedIn_content_raw!$A$2:$A1000,LinkedIn_content_raw!$K$2:$K1000),XLOOKUP($A371,LinkedIn_content_raw!$A$2:$A1000,LinkedIn_content_raw!$N$2:$N1000),XLOOKUP($A371,LinkedIn_content_raw!$A$2:$A1000,LinkedIn_content_raw!$Q$2:$Q1000))</f>
        <v>#N/A</v>
      </c>
      <c r="E371" s="26" t="str">
        <f t="array" ref="E371">XLOOKUP($A371,LinkedIn_content_raw!$A$2:$A1000,LinkedIn_content_raw!$E$2:$E1000)</f>
        <v>#N/A</v>
      </c>
    </row>
    <row r="372">
      <c r="A372" s="26" t="str">
        <f>LinkedIn_content_raw!$A373</f>
        <v/>
      </c>
      <c r="B372" s="24" t="str">
        <f t="shared" si="1"/>
        <v/>
      </c>
      <c r="C372" s="26" t="str">
        <f t="array" ref="C372">XLOOKUP($A372,LinkedIn_follows_raw!$A$2:$A1000,LinkedIn_follows_raw!$E$2:$E1000)</f>
        <v>#N/A</v>
      </c>
      <c r="D372" s="26" t="str">
        <f t="array" ref="D372">sum(XLOOKUP($A372,LinkedIn_content_raw!$A$2:$A1000,LinkedIn_content_raw!$K$2:$K1000),XLOOKUP($A372,LinkedIn_content_raw!$A$2:$A1000,LinkedIn_content_raw!$N$2:$N1000),XLOOKUP($A372,LinkedIn_content_raw!$A$2:$A1000,LinkedIn_content_raw!$Q$2:$Q1000))</f>
        <v>#N/A</v>
      </c>
      <c r="E372" s="26" t="str">
        <f t="array" ref="E372">XLOOKUP($A372,LinkedIn_content_raw!$A$2:$A1000,LinkedIn_content_raw!$E$2:$E1000)</f>
        <v>#N/A</v>
      </c>
    </row>
    <row r="373">
      <c r="A373" s="26" t="str">
        <f>LinkedIn_content_raw!$A374</f>
        <v/>
      </c>
      <c r="B373" s="24" t="str">
        <f t="shared" si="1"/>
        <v/>
      </c>
      <c r="C373" s="26" t="str">
        <f t="array" ref="C373">XLOOKUP($A373,LinkedIn_follows_raw!$A$2:$A1000,LinkedIn_follows_raw!$E$2:$E1000)</f>
        <v>#N/A</v>
      </c>
      <c r="D373" s="26" t="str">
        <f t="array" ref="D373">sum(XLOOKUP($A373,LinkedIn_content_raw!$A$2:$A1000,LinkedIn_content_raw!$K$2:$K1000),XLOOKUP($A373,LinkedIn_content_raw!$A$2:$A1000,LinkedIn_content_raw!$N$2:$N1000),XLOOKUP($A373,LinkedIn_content_raw!$A$2:$A1000,LinkedIn_content_raw!$Q$2:$Q1000))</f>
        <v>#N/A</v>
      </c>
      <c r="E373" s="26" t="str">
        <f t="array" ref="E373">XLOOKUP($A373,LinkedIn_content_raw!$A$2:$A1000,LinkedIn_content_raw!$E$2:$E1000)</f>
        <v>#N/A</v>
      </c>
    </row>
    <row r="374">
      <c r="A374" s="26" t="str">
        <f>LinkedIn_content_raw!$A375</f>
        <v/>
      </c>
      <c r="B374" s="24" t="str">
        <f t="shared" si="1"/>
        <v/>
      </c>
      <c r="C374" s="26" t="str">
        <f t="array" ref="C374">XLOOKUP($A374,LinkedIn_follows_raw!$A$2:$A1000,LinkedIn_follows_raw!$E$2:$E1000)</f>
        <v>#N/A</v>
      </c>
      <c r="D374" s="26" t="str">
        <f t="array" ref="D374">sum(XLOOKUP($A374,LinkedIn_content_raw!$A$2:$A1000,LinkedIn_content_raw!$K$2:$K1000),XLOOKUP($A374,LinkedIn_content_raw!$A$2:$A1000,LinkedIn_content_raw!$N$2:$N1000),XLOOKUP($A374,LinkedIn_content_raw!$A$2:$A1000,LinkedIn_content_raw!$Q$2:$Q1000))</f>
        <v>#N/A</v>
      </c>
      <c r="E374" s="26" t="str">
        <f t="array" ref="E374">XLOOKUP($A374,LinkedIn_content_raw!$A$2:$A1000,LinkedIn_content_raw!$E$2:$E1000)</f>
        <v>#N/A</v>
      </c>
    </row>
    <row r="375">
      <c r="A375" s="26" t="str">
        <f>LinkedIn_content_raw!$A376</f>
        <v/>
      </c>
      <c r="B375" s="24" t="str">
        <f t="shared" si="1"/>
        <v/>
      </c>
      <c r="C375" s="26" t="str">
        <f t="array" ref="C375">XLOOKUP($A375,LinkedIn_follows_raw!$A$2:$A1000,LinkedIn_follows_raw!$E$2:$E1000)</f>
        <v>#N/A</v>
      </c>
      <c r="D375" s="26" t="str">
        <f t="array" ref="D375">sum(XLOOKUP($A375,LinkedIn_content_raw!$A$2:$A1000,LinkedIn_content_raw!$K$2:$K1000),XLOOKUP($A375,LinkedIn_content_raw!$A$2:$A1000,LinkedIn_content_raw!$N$2:$N1000),XLOOKUP($A375,LinkedIn_content_raw!$A$2:$A1000,LinkedIn_content_raw!$Q$2:$Q1000))</f>
        <v>#N/A</v>
      </c>
      <c r="E375" s="26" t="str">
        <f t="array" ref="E375">XLOOKUP($A375,LinkedIn_content_raw!$A$2:$A1000,LinkedIn_content_raw!$E$2:$E1000)</f>
        <v>#N/A</v>
      </c>
    </row>
    <row r="376">
      <c r="A376" s="26" t="str">
        <f>LinkedIn_content_raw!$A377</f>
        <v/>
      </c>
      <c r="B376" s="24" t="str">
        <f t="shared" si="1"/>
        <v/>
      </c>
      <c r="C376" s="26" t="str">
        <f t="array" ref="C376">XLOOKUP($A376,LinkedIn_follows_raw!$A$2:$A1000,LinkedIn_follows_raw!$E$2:$E1000)</f>
        <v>#N/A</v>
      </c>
      <c r="D376" s="26" t="str">
        <f t="array" ref="D376">sum(XLOOKUP($A376,LinkedIn_content_raw!$A$2:$A1000,LinkedIn_content_raw!$K$2:$K1000),XLOOKUP($A376,LinkedIn_content_raw!$A$2:$A1000,LinkedIn_content_raw!$N$2:$N1000),XLOOKUP($A376,LinkedIn_content_raw!$A$2:$A1000,LinkedIn_content_raw!$Q$2:$Q1000))</f>
        <v>#N/A</v>
      </c>
      <c r="E376" s="26" t="str">
        <f t="array" ref="E376">XLOOKUP($A376,LinkedIn_content_raw!$A$2:$A1000,LinkedIn_content_raw!$E$2:$E1000)</f>
        <v>#N/A</v>
      </c>
    </row>
    <row r="377">
      <c r="A377" s="26" t="str">
        <f>LinkedIn_content_raw!$A378</f>
        <v/>
      </c>
      <c r="B377" s="24" t="str">
        <f t="shared" si="1"/>
        <v/>
      </c>
      <c r="C377" s="26" t="str">
        <f t="array" ref="C377">XLOOKUP($A377,LinkedIn_follows_raw!$A$2:$A1000,LinkedIn_follows_raw!$E$2:$E1000)</f>
        <v>#N/A</v>
      </c>
      <c r="D377" s="26" t="str">
        <f t="array" ref="D377">sum(XLOOKUP($A377,LinkedIn_content_raw!$A$2:$A1000,LinkedIn_content_raw!$K$2:$K1000),XLOOKUP($A377,LinkedIn_content_raw!$A$2:$A1000,LinkedIn_content_raw!$N$2:$N1000),XLOOKUP($A377,LinkedIn_content_raw!$A$2:$A1000,LinkedIn_content_raw!$Q$2:$Q1000))</f>
        <v>#N/A</v>
      </c>
      <c r="E377" s="26" t="str">
        <f t="array" ref="E377">XLOOKUP($A377,LinkedIn_content_raw!$A$2:$A1000,LinkedIn_content_raw!$E$2:$E1000)</f>
        <v>#N/A</v>
      </c>
    </row>
    <row r="378">
      <c r="A378" s="26" t="str">
        <f>LinkedIn_content_raw!$A379</f>
        <v/>
      </c>
      <c r="B378" s="24" t="str">
        <f t="shared" si="1"/>
        <v/>
      </c>
      <c r="C378" s="26" t="str">
        <f t="array" ref="C378">XLOOKUP($A378,LinkedIn_follows_raw!$A$2:$A1000,LinkedIn_follows_raw!$E$2:$E1000)</f>
        <v>#N/A</v>
      </c>
      <c r="D378" s="26" t="str">
        <f t="array" ref="D378">sum(XLOOKUP($A378,LinkedIn_content_raw!$A$2:$A1000,LinkedIn_content_raw!$K$2:$K1000),XLOOKUP($A378,LinkedIn_content_raw!$A$2:$A1000,LinkedIn_content_raw!$N$2:$N1000),XLOOKUP($A378,LinkedIn_content_raw!$A$2:$A1000,LinkedIn_content_raw!$Q$2:$Q1000))</f>
        <v>#N/A</v>
      </c>
      <c r="E378" s="26" t="str">
        <f t="array" ref="E378">XLOOKUP($A378,LinkedIn_content_raw!$A$2:$A1000,LinkedIn_content_raw!$E$2:$E1000)</f>
        <v>#N/A</v>
      </c>
    </row>
    <row r="379">
      <c r="A379" s="26" t="str">
        <f>LinkedIn_content_raw!$A380</f>
        <v/>
      </c>
      <c r="B379" s="24" t="str">
        <f t="shared" si="1"/>
        <v/>
      </c>
      <c r="C379" s="26" t="str">
        <f t="array" ref="C379">XLOOKUP($A379,LinkedIn_follows_raw!$A$2:$A1000,LinkedIn_follows_raw!$E$2:$E1000)</f>
        <v>#N/A</v>
      </c>
      <c r="D379" s="26" t="str">
        <f t="array" ref="D379">sum(XLOOKUP($A379,LinkedIn_content_raw!$A$2:$A1000,LinkedIn_content_raw!$K$2:$K1000),XLOOKUP($A379,LinkedIn_content_raw!$A$2:$A1000,LinkedIn_content_raw!$N$2:$N1000),XLOOKUP($A379,LinkedIn_content_raw!$A$2:$A1000,LinkedIn_content_raw!$Q$2:$Q1000))</f>
        <v>#N/A</v>
      </c>
      <c r="E379" s="26" t="str">
        <f t="array" ref="E379">XLOOKUP($A379,LinkedIn_content_raw!$A$2:$A1000,LinkedIn_content_raw!$E$2:$E1000)</f>
        <v>#N/A</v>
      </c>
    </row>
    <row r="380">
      <c r="A380" s="26" t="str">
        <f>LinkedIn_content_raw!$A381</f>
        <v/>
      </c>
      <c r="B380" s="24" t="str">
        <f t="shared" si="1"/>
        <v/>
      </c>
      <c r="C380" s="26" t="str">
        <f t="array" ref="C380">XLOOKUP($A380,LinkedIn_follows_raw!$A$2:$A1000,LinkedIn_follows_raw!$E$2:$E1000)</f>
        <v>#N/A</v>
      </c>
      <c r="D380" s="26" t="str">
        <f t="array" ref="D380">sum(XLOOKUP($A380,LinkedIn_content_raw!$A$2:$A1000,LinkedIn_content_raw!$K$2:$K1000),XLOOKUP($A380,LinkedIn_content_raw!$A$2:$A1000,LinkedIn_content_raw!$N$2:$N1000),XLOOKUP($A380,LinkedIn_content_raw!$A$2:$A1000,LinkedIn_content_raw!$Q$2:$Q1000))</f>
        <v>#N/A</v>
      </c>
      <c r="E380" s="26" t="str">
        <f t="array" ref="E380">XLOOKUP($A380,LinkedIn_content_raw!$A$2:$A1000,LinkedIn_content_raw!$E$2:$E1000)</f>
        <v>#N/A</v>
      </c>
    </row>
    <row r="381">
      <c r="A381" s="26" t="str">
        <f>LinkedIn_content_raw!$A382</f>
        <v/>
      </c>
      <c r="B381" s="24" t="str">
        <f t="shared" si="1"/>
        <v/>
      </c>
      <c r="C381" s="26" t="str">
        <f t="array" ref="C381">XLOOKUP($A381,LinkedIn_follows_raw!$A$2:$A1000,LinkedIn_follows_raw!$E$2:$E1000)</f>
        <v>#N/A</v>
      </c>
      <c r="D381" s="26" t="str">
        <f t="array" ref="D381">sum(XLOOKUP($A381,LinkedIn_content_raw!$A$2:$A1000,LinkedIn_content_raw!$K$2:$K1000),XLOOKUP($A381,LinkedIn_content_raw!$A$2:$A1000,LinkedIn_content_raw!$N$2:$N1000),XLOOKUP($A381,LinkedIn_content_raw!$A$2:$A1000,LinkedIn_content_raw!$Q$2:$Q1000))</f>
        <v>#N/A</v>
      </c>
      <c r="E381" s="26" t="str">
        <f t="array" ref="E381">XLOOKUP($A381,LinkedIn_content_raw!$A$2:$A1000,LinkedIn_content_raw!$E$2:$E1000)</f>
        <v>#N/A</v>
      </c>
    </row>
    <row r="382">
      <c r="A382" s="26" t="str">
        <f>LinkedIn_content_raw!$A383</f>
        <v/>
      </c>
      <c r="B382" s="24" t="str">
        <f t="shared" si="1"/>
        <v/>
      </c>
      <c r="C382" s="26" t="str">
        <f t="array" ref="C382">XLOOKUP($A382,LinkedIn_follows_raw!$A$2:$A1000,LinkedIn_follows_raw!$E$2:$E1000)</f>
        <v>#N/A</v>
      </c>
      <c r="D382" s="26" t="str">
        <f t="array" ref="D382">sum(XLOOKUP($A382,LinkedIn_content_raw!$A$2:$A1000,LinkedIn_content_raw!$K$2:$K1000),XLOOKUP($A382,LinkedIn_content_raw!$A$2:$A1000,LinkedIn_content_raw!$N$2:$N1000),XLOOKUP($A382,LinkedIn_content_raw!$A$2:$A1000,LinkedIn_content_raw!$Q$2:$Q1000))</f>
        <v>#N/A</v>
      </c>
      <c r="E382" s="26" t="str">
        <f t="array" ref="E382">XLOOKUP($A382,LinkedIn_content_raw!$A$2:$A1000,LinkedIn_content_raw!$E$2:$E1000)</f>
        <v>#N/A</v>
      </c>
    </row>
    <row r="383">
      <c r="A383" s="26" t="str">
        <f>LinkedIn_content_raw!$A384</f>
        <v/>
      </c>
      <c r="B383" s="24" t="str">
        <f t="shared" si="1"/>
        <v/>
      </c>
      <c r="C383" s="26" t="str">
        <f t="array" ref="C383">XLOOKUP($A383,LinkedIn_follows_raw!$A$2:$A1000,LinkedIn_follows_raw!$E$2:$E1000)</f>
        <v>#N/A</v>
      </c>
      <c r="D383" s="26" t="str">
        <f t="array" ref="D383">sum(XLOOKUP($A383,LinkedIn_content_raw!$A$2:$A1000,LinkedIn_content_raw!$K$2:$K1000),XLOOKUP($A383,LinkedIn_content_raw!$A$2:$A1000,LinkedIn_content_raw!$N$2:$N1000),XLOOKUP($A383,LinkedIn_content_raw!$A$2:$A1000,LinkedIn_content_raw!$Q$2:$Q1000))</f>
        <v>#N/A</v>
      </c>
      <c r="E383" s="26" t="str">
        <f t="array" ref="E383">XLOOKUP($A383,LinkedIn_content_raw!$A$2:$A1000,LinkedIn_content_raw!$E$2:$E1000)</f>
        <v>#N/A</v>
      </c>
    </row>
    <row r="384">
      <c r="A384" s="26" t="str">
        <f>LinkedIn_content_raw!$A385</f>
        <v/>
      </c>
      <c r="B384" s="24" t="str">
        <f t="shared" si="1"/>
        <v/>
      </c>
      <c r="C384" s="26" t="str">
        <f t="array" ref="C384">XLOOKUP($A384,LinkedIn_follows_raw!$A$2:$A1000,LinkedIn_follows_raw!$E$2:$E1000)</f>
        <v>#N/A</v>
      </c>
      <c r="D384" s="26" t="str">
        <f t="array" ref="D384">sum(XLOOKUP($A384,LinkedIn_content_raw!$A$2:$A1000,LinkedIn_content_raw!$K$2:$K1000),XLOOKUP($A384,LinkedIn_content_raw!$A$2:$A1000,LinkedIn_content_raw!$N$2:$N1000),XLOOKUP($A384,LinkedIn_content_raw!$A$2:$A1000,LinkedIn_content_raw!$Q$2:$Q1000))</f>
        <v>#N/A</v>
      </c>
      <c r="E384" s="26" t="str">
        <f t="array" ref="E384">XLOOKUP($A384,LinkedIn_content_raw!$A$2:$A1000,LinkedIn_content_raw!$E$2:$E1000)</f>
        <v>#N/A</v>
      </c>
    </row>
    <row r="385">
      <c r="A385" s="26" t="str">
        <f>LinkedIn_content_raw!$A386</f>
        <v/>
      </c>
      <c r="B385" s="24" t="str">
        <f t="shared" si="1"/>
        <v/>
      </c>
      <c r="C385" s="26" t="str">
        <f t="array" ref="C385">XLOOKUP($A385,LinkedIn_follows_raw!$A$2:$A1000,LinkedIn_follows_raw!$E$2:$E1000)</f>
        <v>#N/A</v>
      </c>
      <c r="D385" s="26" t="str">
        <f t="array" ref="D385">sum(XLOOKUP($A385,LinkedIn_content_raw!$A$2:$A1000,LinkedIn_content_raw!$K$2:$K1000),XLOOKUP($A385,LinkedIn_content_raw!$A$2:$A1000,LinkedIn_content_raw!$N$2:$N1000),XLOOKUP($A385,LinkedIn_content_raw!$A$2:$A1000,LinkedIn_content_raw!$Q$2:$Q1000))</f>
        <v>#N/A</v>
      </c>
      <c r="E385" s="26" t="str">
        <f t="array" ref="E385">XLOOKUP($A385,LinkedIn_content_raw!$A$2:$A1000,LinkedIn_content_raw!$E$2:$E1000)</f>
        <v>#N/A</v>
      </c>
    </row>
    <row r="386">
      <c r="A386" s="26" t="str">
        <f>LinkedIn_content_raw!$A387</f>
        <v/>
      </c>
      <c r="B386" s="24" t="str">
        <f t="shared" si="1"/>
        <v/>
      </c>
      <c r="C386" s="26" t="str">
        <f t="array" ref="C386">XLOOKUP($A386,LinkedIn_follows_raw!$A$2:$A1000,LinkedIn_follows_raw!$E$2:$E1000)</f>
        <v>#N/A</v>
      </c>
      <c r="D386" s="26" t="str">
        <f t="array" ref="D386">sum(XLOOKUP($A386,LinkedIn_content_raw!$A$2:$A1000,LinkedIn_content_raw!$K$2:$K1000),XLOOKUP($A386,LinkedIn_content_raw!$A$2:$A1000,LinkedIn_content_raw!$N$2:$N1000),XLOOKUP($A386,LinkedIn_content_raw!$A$2:$A1000,LinkedIn_content_raw!$Q$2:$Q1000))</f>
        <v>#N/A</v>
      </c>
      <c r="E386" s="26" t="str">
        <f t="array" ref="E386">XLOOKUP($A386,LinkedIn_content_raw!$A$2:$A1000,LinkedIn_content_raw!$E$2:$E1000)</f>
        <v>#N/A</v>
      </c>
    </row>
    <row r="387">
      <c r="A387" s="26" t="str">
        <f>LinkedIn_content_raw!$A388</f>
        <v/>
      </c>
      <c r="B387" s="24" t="str">
        <f t="shared" si="1"/>
        <v/>
      </c>
      <c r="C387" s="26" t="str">
        <f t="array" ref="C387">XLOOKUP($A387,LinkedIn_follows_raw!$A$2:$A1000,LinkedIn_follows_raw!$E$2:$E1000)</f>
        <v>#N/A</v>
      </c>
      <c r="D387" s="26" t="str">
        <f t="array" ref="D387">sum(XLOOKUP($A387,LinkedIn_content_raw!$A$2:$A1000,LinkedIn_content_raw!$K$2:$K1000),XLOOKUP($A387,LinkedIn_content_raw!$A$2:$A1000,LinkedIn_content_raw!$N$2:$N1000),XLOOKUP($A387,LinkedIn_content_raw!$A$2:$A1000,LinkedIn_content_raw!$Q$2:$Q1000))</f>
        <v>#N/A</v>
      </c>
      <c r="E387" s="26" t="str">
        <f t="array" ref="E387">XLOOKUP($A387,LinkedIn_content_raw!$A$2:$A1000,LinkedIn_content_raw!$E$2:$E1000)</f>
        <v>#N/A</v>
      </c>
    </row>
    <row r="388">
      <c r="A388" s="26" t="str">
        <f>LinkedIn_content_raw!$A389</f>
        <v/>
      </c>
      <c r="B388" s="24" t="str">
        <f t="shared" si="1"/>
        <v/>
      </c>
      <c r="C388" s="26" t="str">
        <f t="array" ref="C388">XLOOKUP($A388,LinkedIn_follows_raw!$A$2:$A1000,LinkedIn_follows_raw!$E$2:$E1000)</f>
        <v>#N/A</v>
      </c>
      <c r="D388" s="26" t="str">
        <f t="array" ref="D388">sum(XLOOKUP($A388,LinkedIn_content_raw!$A$2:$A1000,LinkedIn_content_raw!$K$2:$K1000),XLOOKUP($A388,LinkedIn_content_raw!$A$2:$A1000,LinkedIn_content_raw!$N$2:$N1000),XLOOKUP($A388,LinkedIn_content_raw!$A$2:$A1000,LinkedIn_content_raw!$Q$2:$Q1000))</f>
        <v>#N/A</v>
      </c>
      <c r="E388" s="26" t="str">
        <f t="array" ref="E388">XLOOKUP($A388,LinkedIn_content_raw!$A$2:$A1000,LinkedIn_content_raw!$E$2:$E1000)</f>
        <v>#N/A</v>
      </c>
    </row>
    <row r="389">
      <c r="A389" s="26" t="str">
        <f>LinkedIn_content_raw!$A390</f>
        <v/>
      </c>
      <c r="B389" s="24" t="str">
        <f t="shared" si="1"/>
        <v/>
      </c>
      <c r="C389" s="26" t="str">
        <f t="array" ref="C389">XLOOKUP($A389,LinkedIn_follows_raw!$A$2:$A1000,LinkedIn_follows_raw!$E$2:$E1000)</f>
        <v>#N/A</v>
      </c>
      <c r="D389" s="26" t="str">
        <f t="array" ref="D389">sum(XLOOKUP($A389,LinkedIn_content_raw!$A$2:$A1000,LinkedIn_content_raw!$K$2:$K1000),XLOOKUP($A389,LinkedIn_content_raw!$A$2:$A1000,LinkedIn_content_raw!$N$2:$N1000),XLOOKUP($A389,LinkedIn_content_raw!$A$2:$A1000,LinkedIn_content_raw!$Q$2:$Q1000))</f>
        <v>#N/A</v>
      </c>
      <c r="E389" s="26" t="str">
        <f t="array" ref="E389">XLOOKUP($A389,LinkedIn_content_raw!$A$2:$A1000,LinkedIn_content_raw!$E$2:$E1000)</f>
        <v>#N/A</v>
      </c>
    </row>
    <row r="390">
      <c r="A390" s="26" t="str">
        <f>LinkedIn_content_raw!$A391</f>
        <v/>
      </c>
      <c r="B390" s="24" t="str">
        <f t="shared" si="1"/>
        <v/>
      </c>
      <c r="C390" s="26" t="str">
        <f t="array" ref="C390">XLOOKUP($A390,LinkedIn_follows_raw!$A$2:$A1000,LinkedIn_follows_raw!$E$2:$E1000)</f>
        <v>#N/A</v>
      </c>
      <c r="D390" s="26" t="str">
        <f t="array" ref="D390">sum(XLOOKUP($A390,LinkedIn_content_raw!$A$2:$A1000,LinkedIn_content_raw!$K$2:$K1000),XLOOKUP($A390,LinkedIn_content_raw!$A$2:$A1000,LinkedIn_content_raw!$N$2:$N1000),XLOOKUP($A390,LinkedIn_content_raw!$A$2:$A1000,LinkedIn_content_raw!$Q$2:$Q1000))</f>
        <v>#N/A</v>
      </c>
      <c r="E390" s="26" t="str">
        <f t="array" ref="E390">XLOOKUP($A390,LinkedIn_content_raw!$A$2:$A1000,LinkedIn_content_raw!$E$2:$E1000)</f>
        <v>#N/A</v>
      </c>
    </row>
    <row r="391">
      <c r="A391" s="26" t="str">
        <f>LinkedIn_content_raw!$A392</f>
        <v/>
      </c>
      <c r="B391" s="24" t="str">
        <f t="shared" si="1"/>
        <v/>
      </c>
      <c r="C391" s="26" t="str">
        <f t="array" ref="C391">XLOOKUP($A391,LinkedIn_follows_raw!$A$2:$A1000,LinkedIn_follows_raw!$E$2:$E1000)</f>
        <v>#N/A</v>
      </c>
      <c r="D391" s="26" t="str">
        <f t="array" ref="D391">sum(XLOOKUP($A391,LinkedIn_content_raw!$A$2:$A1000,LinkedIn_content_raw!$K$2:$K1000),XLOOKUP($A391,LinkedIn_content_raw!$A$2:$A1000,LinkedIn_content_raw!$N$2:$N1000),XLOOKUP($A391,LinkedIn_content_raw!$A$2:$A1000,LinkedIn_content_raw!$Q$2:$Q1000))</f>
        <v>#N/A</v>
      </c>
      <c r="E391" s="26" t="str">
        <f t="array" ref="E391">XLOOKUP($A391,LinkedIn_content_raw!$A$2:$A1000,LinkedIn_content_raw!$E$2:$E1000)</f>
        <v>#N/A</v>
      </c>
    </row>
    <row r="392">
      <c r="A392" s="26" t="str">
        <f>LinkedIn_content_raw!$A393</f>
        <v/>
      </c>
      <c r="B392" s="24" t="str">
        <f t="shared" si="1"/>
        <v/>
      </c>
      <c r="C392" s="26" t="str">
        <f t="array" ref="C392">XLOOKUP($A392,LinkedIn_follows_raw!$A$2:$A1000,LinkedIn_follows_raw!$E$2:$E1000)</f>
        <v>#N/A</v>
      </c>
      <c r="D392" s="26" t="str">
        <f t="array" ref="D392">sum(XLOOKUP($A392,LinkedIn_content_raw!$A$2:$A1000,LinkedIn_content_raw!$K$2:$K1000),XLOOKUP($A392,LinkedIn_content_raw!$A$2:$A1000,LinkedIn_content_raw!$N$2:$N1000),XLOOKUP($A392,LinkedIn_content_raw!$A$2:$A1000,LinkedIn_content_raw!$Q$2:$Q1000))</f>
        <v>#N/A</v>
      </c>
      <c r="E392" s="26" t="str">
        <f t="array" ref="E392">XLOOKUP($A392,LinkedIn_content_raw!$A$2:$A1000,LinkedIn_content_raw!$E$2:$E1000)</f>
        <v>#N/A</v>
      </c>
    </row>
    <row r="393">
      <c r="A393" s="26" t="str">
        <f>LinkedIn_content_raw!$A394</f>
        <v/>
      </c>
      <c r="B393" s="24" t="str">
        <f t="shared" si="1"/>
        <v/>
      </c>
      <c r="C393" s="26" t="str">
        <f t="array" ref="C393">XLOOKUP($A393,LinkedIn_follows_raw!$A$2:$A1000,LinkedIn_follows_raw!$E$2:$E1000)</f>
        <v>#N/A</v>
      </c>
      <c r="D393" s="26" t="str">
        <f t="array" ref="D393">sum(XLOOKUP($A393,LinkedIn_content_raw!$A$2:$A1000,LinkedIn_content_raw!$K$2:$K1000),XLOOKUP($A393,LinkedIn_content_raw!$A$2:$A1000,LinkedIn_content_raw!$N$2:$N1000),XLOOKUP($A393,LinkedIn_content_raw!$A$2:$A1000,LinkedIn_content_raw!$Q$2:$Q1000))</f>
        <v>#N/A</v>
      </c>
      <c r="E393" s="26" t="str">
        <f t="array" ref="E393">XLOOKUP($A393,LinkedIn_content_raw!$A$2:$A1000,LinkedIn_content_raw!$E$2:$E1000)</f>
        <v>#N/A</v>
      </c>
    </row>
    <row r="394">
      <c r="A394" s="26" t="str">
        <f>LinkedIn_content_raw!$A395</f>
        <v/>
      </c>
      <c r="B394" s="24" t="str">
        <f t="shared" si="1"/>
        <v/>
      </c>
      <c r="C394" s="26" t="str">
        <f t="array" ref="C394">XLOOKUP($A394,LinkedIn_follows_raw!$A$2:$A1000,LinkedIn_follows_raw!$E$2:$E1000)</f>
        <v>#N/A</v>
      </c>
      <c r="D394" s="26" t="str">
        <f t="array" ref="D394">sum(XLOOKUP($A394,LinkedIn_content_raw!$A$2:$A1000,LinkedIn_content_raw!$K$2:$K1000),XLOOKUP($A394,LinkedIn_content_raw!$A$2:$A1000,LinkedIn_content_raw!$N$2:$N1000),XLOOKUP($A394,LinkedIn_content_raw!$A$2:$A1000,LinkedIn_content_raw!$Q$2:$Q1000))</f>
        <v>#N/A</v>
      </c>
      <c r="E394" s="26" t="str">
        <f t="array" ref="E394">XLOOKUP($A394,LinkedIn_content_raw!$A$2:$A1000,LinkedIn_content_raw!$E$2:$E1000)</f>
        <v>#N/A</v>
      </c>
    </row>
    <row r="395">
      <c r="A395" s="26" t="str">
        <f>LinkedIn_content_raw!$A396</f>
        <v/>
      </c>
      <c r="B395" s="24" t="str">
        <f t="shared" si="1"/>
        <v/>
      </c>
      <c r="C395" s="26" t="str">
        <f t="array" ref="C395">XLOOKUP($A395,LinkedIn_follows_raw!$A$2:$A1000,LinkedIn_follows_raw!$E$2:$E1000)</f>
        <v>#N/A</v>
      </c>
      <c r="D395" s="26" t="str">
        <f t="array" ref="D395">sum(XLOOKUP($A395,LinkedIn_content_raw!$A$2:$A1000,LinkedIn_content_raw!$K$2:$K1000),XLOOKUP($A395,LinkedIn_content_raw!$A$2:$A1000,LinkedIn_content_raw!$N$2:$N1000),XLOOKUP($A395,LinkedIn_content_raw!$A$2:$A1000,LinkedIn_content_raw!$Q$2:$Q1000))</f>
        <v>#N/A</v>
      </c>
      <c r="E395" s="26" t="str">
        <f t="array" ref="E395">XLOOKUP($A395,LinkedIn_content_raw!$A$2:$A1000,LinkedIn_content_raw!$E$2:$E1000)</f>
        <v>#N/A</v>
      </c>
    </row>
    <row r="396">
      <c r="A396" s="26" t="str">
        <f>LinkedIn_content_raw!$A397</f>
        <v/>
      </c>
      <c r="B396" s="24" t="str">
        <f t="shared" si="1"/>
        <v/>
      </c>
      <c r="C396" s="26" t="str">
        <f t="array" ref="C396">XLOOKUP($A396,LinkedIn_follows_raw!$A$2:$A1000,LinkedIn_follows_raw!$E$2:$E1000)</f>
        <v>#N/A</v>
      </c>
      <c r="D396" s="26" t="str">
        <f t="array" ref="D396">sum(XLOOKUP($A396,LinkedIn_content_raw!$A$2:$A1000,LinkedIn_content_raw!$K$2:$K1000),XLOOKUP($A396,LinkedIn_content_raw!$A$2:$A1000,LinkedIn_content_raw!$N$2:$N1000),XLOOKUP($A396,LinkedIn_content_raw!$A$2:$A1000,LinkedIn_content_raw!$Q$2:$Q1000))</f>
        <v>#N/A</v>
      </c>
      <c r="E396" s="26" t="str">
        <f t="array" ref="E396">XLOOKUP($A396,LinkedIn_content_raw!$A$2:$A1000,LinkedIn_content_raw!$E$2:$E1000)</f>
        <v>#N/A</v>
      </c>
    </row>
    <row r="397">
      <c r="A397" s="26" t="str">
        <f>LinkedIn_content_raw!$A398</f>
        <v/>
      </c>
      <c r="B397" s="24" t="str">
        <f t="shared" si="1"/>
        <v/>
      </c>
      <c r="C397" s="26" t="str">
        <f t="array" ref="C397">XLOOKUP($A397,LinkedIn_follows_raw!$A$2:$A1000,LinkedIn_follows_raw!$E$2:$E1000)</f>
        <v>#N/A</v>
      </c>
      <c r="D397" s="26" t="str">
        <f t="array" ref="D397">sum(XLOOKUP($A397,LinkedIn_content_raw!$A$2:$A1000,LinkedIn_content_raw!$K$2:$K1000),XLOOKUP($A397,LinkedIn_content_raw!$A$2:$A1000,LinkedIn_content_raw!$N$2:$N1000),XLOOKUP($A397,LinkedIn_content_raw!$A$2:$A1000,LinkedIn_content_raw!$Q$2:$Q1000))</f>
        <v>#N/A</v>
      </c>
      <c r="E397" s="26" t="str">
        <f t="array" ref="E397">XLOOKUP($A397,LinkedIn_content_raw!$A$2:$A1000,LinkedIn_content_raw!$E$2:$E1000)</f>
        <v>#N/A</v>
      </c>
    </row>
    <row r="398">
      <c r="A398" s="26" t="str">
        <f>LinkedIn_content_raw!$A399</f>
        <v/>
      </c>
      <c r="B398" s="24" t="str">
        <f t="shared" si="1"/>
        <v/>
      </c>
      <c r="C398" s="26" t="str">
        <f t="array" ref="C398">XLOOKUP($A398,LinkedIn_follows_raw!$A$2:$A1000,LinkedIn_follows_raw!$E$2:$E1000)</f>
        <v>#N/A</v>
      </c>
      <c r="D398" s="26" t="str">
        <f t="array" ref="D398">sum(XLOOKUP($A398,LinkedIn_content_raw!$A$2:$A1000,LinkedIn_content_raw!$K$2:$K1000),XLOOKUP($A398,LinkedIn_content_raw!$A$2:$A1000,LinkedIn_content_raw!$N$2:$N1000),XLOOKUP($A398,LinkedIn_content_raw!$A$2:$A1000,LinkedIn_content_raw!$Q$2:$Q1000))</f>
        <v>#N/A</v>
      </c>
      <c r="E398" s="26" t="str">
        <f t="array" ref="E398">XLOOKUP($A398,LinkedIn_content_raw!$A$2:$A1000,LinkedIn_content_raw!$E$2:$E1000)</f>
        <v>#N/A</v>
      </c>
    </row>
    <row r="399">
      <c r="A399" s="26" t="str">
        <f>LinkedIn_content_raw!$A400</f>
        <v/>
      </c>
      <c r="B399" s="24" t="str">
        <f t="shared" si="1"/>
        <v/>
      </c>
      <c r="C399" s="26" t="str">
        <f t="array" ref="C399">XLOOKUP($A399,LinkedIn_follows_raw!$A$2:$A1000,LinkedIn_follows_raw!$E$2:$E1000)</f>
        <v>#N/A</v>
      </c>
      <c r="D399" s="26" t="str">
        <f t="array" ref="D399">sum(XLOOKUP($A399,LinkedIn_content_raw!$A$2:$A1000,LinkedIn_content_raw!$K$2:$K1000),XLOOKUP($A399,LinkedIn_content_raw!$A$2:$A1000,LinkedIn_content_raw!$N$2:$N1000),XLOOKUP($A399,LinkedIn_content_raw!$A$2:$A1000,LinkedIn_content_raw!$Q$2:$Q1000))</f>
        <v>#N/A</v>
      </c>
      <c r="E399" s="26" t="str">
        <f t="array" ref="E399">XLOOKUP($A399,LinkedIn_content_raw!$A$2:$A1000,LinkedIn_content_raw!$E$2:$E1000)</f>
        <v>#N/A</v>
      </c>
    </row>
    <row r="400">
      <c r="A400" s="26" t="str">
        <f>LinkedIn_content_raw!$A401</f>
        <v/>
      </c>
      <c r="B400" s="24" t="str">
        <f t="shared" si="1"/>
        <v/>
      </c>
      <c r="C400" s="26" t="str">
        <f t="array" ref="C400">XLOOKUP($A400,LinkedIn_follows_raw!$A$2:$A1000,LinkedIn_follows_raw!$E$2:$E1000)</f>
        <v>#N/A</v>
      </c>
      <c r="D400" s="26" t="str">
        <f t="array" ref="D400">sum(XLOOKUP($A400,LinkedIn_content_raw!$A$2:$A1000,LinkedIn_content_raw!$K$2:$K1000),XLOOKUP($A400,LinkedIn_content_raw!$A$2:$A1000,LinkedIn_content_raw!$N$2:$N1000),XLOOKUP($A400,LinkedIn_content_raw!$A$2:$A1000,LinkedIn_content_raw!$Q$2:$Q1000))</f>
        <v>#N/A</v>
      </c>
      <c r="E400" s="26" t="str">
        <f t="array" ref="E400">XLOOKUP($A400,LinkedIn_content_raw!$A$2:$A1000,LinkedIn_content_raw!$E$2:$E1000)</f>
        <v>#N/A</v>
      </c>
    </row>
    <row r="401">
      <c r="A401" s="26" t="str">
        <f>LinkedIn_content_raw!$A402</f>
        <v/>
      </c>
      <c r="B401" s="24" t="str">
        <f t="shared" si="1"/>
        <v/>
      </c>
      <c r="C401" s="26" t="str">
        <f t="array" ref="C401">XLOOKUP($A401,LinkedIn_follows_raw!$A$2:$A1000,LinkedIn_follows_raw!$E$2:$E1000)</f>
        <v>#N/A</v>
      </c>
      <c r="D401" s="26" t="str">
        <f t="array" ref="D401">sum(XLOOKUP($A401,LinkedIn_content_raw!$A$2:$A1000,LinkedIn_content_raw!$K$2:$K1000),XLOOKUP($A401,LinkedIn_content_raw!$A$2:$A1000,LinkedIn_content_raw!$N$2:$N1000),XLOOKUP($A401,LinkedIn_content_raw!$A$2:$A1000,LinkedIn_content_raw!$Q$2:$Q1000))</f>
        <v>#N/A</v>
      </c>
      <c r="E401" s="26" t="str">
        <f t="array" ref="E401">XLOOKUP($A401,LinkedIn_content_raw!$A$2:$A1000,LinkedIn_content_raw!$E$2:$E1000)</f>
        <v>#N/A</v>
      </c>
    </row>
    <row r="402">
      <c r="A402" s="26" t="str">
        <f>LinkedIn_content_raw!$A403</f>
        <v/>
      </c>
      <c r="B402" s="24" t="str">
        <f t="shared" si="1"/>
        <v/>
      </c>
      <c r="C402" s="26" t="str">
        <f t="array" ref="C402">XLOOKUP($A402,LinkedIn_follows_raw!$A$2:$A1000,LinkedIn_follows_raw!$E$2:$E1000)</f>
        <v>#N/A</v>
      </c>
      <c r="D402" s="26" t="str">
        <f t="array" ref="D402">sum(XLOOKUP($A402,LinkedIn_content_raw!$A$2:$A1000,LinkedIn_content_raw!$K$2:$K1000),XLOOKUP($A402,LinkedIn_content_raw!$A$2:$A1000,LinkedIn_content_raw!$N$2:$N1000),XLOOKUP($A402,LinkedIn_content_raw!$A$2:$A1000,LinkedIn_content_raw!$Q$2:$Q1000))</f>
        <v>#N/A</v>
      </c>
      <c r="E402" s="26" t="str">
        <f t="array" ref="E402">XLOOKUP($A402,LinkedIn_content_raw!$A$2:$A1000,LinkedIn_content_raw!$E$2:$E1000)</f>
        <v>#N/A</v>
      </c>
    </row>
    <row r="403">
      <c r="A403" s="26" t="str">
        <f>LinkedIn_content_raw!$A404</f>
        <v/>
      </c>
      <c r="B403" s="24" t="str">
        <f t="shared" si="1"/>
        <v/>
      </c>
      <c r="C403" s="26" t="str">
        <f t="array" ref="C403">XLOOKUP($A403,LinkedIn_follows_raw!$A$2:$A1000,LinkedIn_follows_raw!$E$2:$E1000)</f>
        <v>#N/A</v>
      </c>
      <c r="D403" s="26" t="str">
        <f t="array" ref="D403">sum(XLOOKUP($A403,LinkedIn_content_raw!$A$2:$A1000,LinkedIn_content_raw!$K$2:$K1000),XLOOKUP($A403,LinkedIn_content_raw!$A$2:$A1000,LinkedIn_content_raw!$N$2:$N1000),XLOOKUP($A403,LinkedIn_content_raw!$A$2:$A1000,LinkedIn_content_raw!$Q$2:$Q1000))</f>
        <v>#N/A</v>
      </c>
      <c r="E403" s="26" t="str">
        <f t="array" ref="E403">XLOOKUP($A403,LinkedIn_content_raw!$A$2:$A1000,LinkedIn_content_raw!$E$2:$E1000)</f>
        <v>#N/A</v>
      </c>
    </row>
    <row r="404">
      <c r="A404" s="26" t="str">
        <f>LinkedIn_content_raw!$A405</f>
        <v/>
      </c>
      <c r="B404" s="24" t="str">
        <f t="shared" si="1"/>
        <v/>
      </c>
      <c r="C404" s="26" t="str">
        <f t="array" ref="C404">XLOOKUP($A404,LinkedIn_follows_raw!$A$2:$A1000,LinkedIn_follows_raw!$E$2:$E1000)</f>
        <v>#N/A</v>
      </c>
      <c r="D404" s="26" t="str">
        <f t="array" ref="D404">sum(XLOOKUP($A404,LinkedIn_content_raw!$A$2:$A1000,LinkedIn_content_raw!$K$2:$K1000),XLOOKUP($A404,LinkedIn_content_raw!$A$2:$A1000,LinkedIn_content_raw!$N$2:$N1000),XLOOKUP($A404,LinkedIn_content_raw!$A$2:$A1000,LinkedIn_content_raw!$Q$2:$Q1000))</f>
        <v>#N/A</v>
      </c>
      <c r="E404" s="26" t="str">
        <f t="array" ref="E404">XLOOKUP($A404,LinkedIn_content_raw!$A$2:$A1000,LinkedIn_content_raw!$E$2:$E1000)</f>
        <v>#N/A</v>
      </c>
    </row>
    <row r="405">
      <c r="A405" s="26" t="str">
        <f>LinkedIn_content_raw!$A406</f>
        <v/>
      </c>
      <c r="B405" s="24" t="str">
        <f t="shared" si="1"/>
        <v/>
      </c>
      <c r="C405" s="26" t="str">
        <f t="array" ref="C405">XLOOKUP($A405,LinkedIn_follows_raw!$A$2:$A1000,LinkedIn_follows_raw!$E$2:$E1000)</f>
        <v>#N/A</v>
      </c>
      <c r="D405" s="26" t="str">
        <f t="array" ref="D405">sum(XLOOKUP($A405,LinkedIn_content_raw!$A$2:$A1000,LinkedIn_content_raw!$K$2:$K1000),XLOOKUP($A405,LinkedIn_content_raw!$A$2:$A1000,LinkedIn_content_raw!$N$2:$N1000),XLOOKUP($A405,LinkedIn_content_raw!$A$2:$A1000,LinkedIn_content_raw!$Q$2:$Q1000))</f>
        <v>#N/A</v>
      </c>
      <c r="E405" s="26" t="str">
        <f t="array" ref="E405">XLOOKUP($A405,LinkedIn_content_raw!$A$2:$A1000,LinkedIn_content_raw!$E$2:$E1000)</f>
        <v>#N/A</v>
      </c>
    </row>
    <row r="406">
      <c r="A406" s="26" t="str">
        <f>LinkedIn_content_raw!$A407</f>
        <v/>
      </c>
      <c r="B406" s="24" t="str">
        <f t="shared" si="1"/>
        <v/>
      </c>
      <c r="C406" s="26" t="str">
        <f t="array" ref="C406">XLOOKUP($A406,LinkedIn_follows_raw!$A$2:$A1000,LinkedIn_follows_raw!$E$2:$E1000)</f>
        <v>#N/A</v>
      </c>
      <c r="D406" s="26" t="str">
        <f t="array" ref="D406">sum(XLOOKUP($A406,LinkedIn_content_raw!$A$2:$A1000,LinkedIn_content_raw!$K$2:$K1000),XLOOKUP($A406,LinkedIn_content_raw!$A$2:$A1000,LinkedIn_content_raw!$N$2:$N1000),XLOOKUP($A406,LinkedIn_content_raw!$A$2:$A1000,LinkedIn_content_raw!$Q$2:$Q1000))</f>
        <v>#N/A</v>
      </c>
      <c r="E406" s="26" t="str">
        <f t="array" ref="E406">XLOOKUP($A406,LinkedIn_content_raw!$A$2:$A1000,LinkedIn_content_raw!$E$2:$E1000)</f>
        <v>#N/A</v>
      </c>
    </row>
    <row r="407">
      <c r="A407" s="26" t="str">
        <f>LinkedIn_content_raw!$A408</f>
        <v/>
      </c>
      <c r="B407" s="24" t="str">
        <f t="shared" si="1"/>
        <v/>
      </c>
      <c r="C407" s="26" t="str">
        <f t="array" ref="C407">XLOOKUP($A407,LinkedIn_follows_raw!$A$2:$A1000,LinkedIn_follows_raw!$E$2:$E1000)</f>
        <v>#N/A</v>
      </c>
      <c r="D407" s="26" t="str">
        <f t="array" ref="D407">sum(XLOOKUP($A407,LinkedIn_content_raw!$A$2:$A1000,LinkedIn_content_raw!$K$2:$K1000),XLOOKUP($A407,LinkedIn_content_raw!$A$2:$A1000,LinkedIn_content_raw!$N$2:$N1000),XLOOKUP($A407,LinkedIn_content_raw!$A$2:$A1000,LinkedIn_content_raw!$Q$2:$Q1000))</f>
        <v>#N/A</v>
      </c>
      <c r="E407" s="26" t="str">
        <f t="array" ref="E407">XLOOKUP($A407,LinkedIn_content_raw!$A$2:$A1000,LinkedIn_content_raw!$E$2:$E1000)</f>
        <v>#N/A</v>
      </c>
    </row>
    <row r="408">
      <c r="A408" s="26" t="str">
        <f>LinkedIn_content_raw!$A409</f>
        <v/>
      </c>
      <c r="B408" s="24" t="str">
        <f t="shared" si="1"/>
        <v/>
      </c>
      <c r="C408" s="26" t="str">
        <f t="array" ref="C408">XLOOKUP($A408,LinkedIn_follows_raw!$A$2:$A1000,LinkedIn_follows_raw!$E$2:$E1000)</f>
        <v>#N/A</v>
      </c>
      <c r="D408" s="26" t="str">
        <f t="array" ref="D408">sum(XLOOKUP($A408,LinkedIn_content_raw!$A$2:$A1000,LinkedIn_content_raw!$K$2:$K1000),XLOOKUP($A408,LinkedIn_content_raw!$A$2:$A1000,LinkedIn_content_raw!$N$2:$N1000),XLOOKUP($A408,LinkedIn_content_raw!$A$2:$A1000,LinkedIn_content_raw!$Q$2:$Q1000))</f>
        <v>#N/A</v>
      </c>
      <c r="E408" s="26" t="str">
        <f t="array" ref="E408">XLOOKUP($A408,LinkedIn_content_raw!$A$2:$A1000,LinkedIn_content_raw!$E$2:$E1000)</f>
        <v>#N/A</v>
      </c>
    </row>
    <row r="409">
      <c r="A409" s="26" t="str">
        <f>LinkedIn_content_raw!$A410</f>
        <v/>
      </c>
      <c r="B409" s="24" t="str">
        <f t="shared" si="1"/>
        <v/>
      </c>
      <c r="C409" s="26" t="str">
        <f t="array" ref="C409">XLOOKUP($A409,LinkedIn_follows_raw!$A$2:$A1000,LinkedIn_follows_raw!$E$2:$E1000)</f>
        <v>#N/A</v>
      </c>
      <c r="D409" s="26" t="str">
        <f t="array" ref="D409">sum(XLOOKUP($A409,LinkedIn_content_raw!$A$2:$A1000,LinkedIn_content_raw!$K$2:$K1000),XLOOKUP($A409,LinkedIn_content_raw!$A$2:$A1000,LinkedIn_content_raw!$N$2:$N1000),XLOOKUP($A409,LinkedIn_content_raw!$A$2:$A1000,LinkedIn_content_raw!$Q$2:$Q1000))</f>
        <v>#N/A</v>
      </c>
      <c r="E409" s="26" t="str">
        <f t="array" ref="E409">XLOOKUP($A409,LinkedIn_content_raw!$A$2:$A1000,LinkedIn_content_raw!$E$2:$E1000)</f>
        <v>#N/A</v>
      </c>
    </row>
    <row r="410">
      <c r="A410" s="26" t="str">
        <f>LinkedIn_content_raw!$A411</f>
        <v/>
      </c>
      <c r="B410" s="24" t="str">
        <f t="shared" si="1"/>
        <v/>
      </c>
      <c r="C410" s="26" t="str">
        <f t="array" ref="C410">XLOOKUP($A410,LinkedIn_follows_raw!$A$2:$A1000,LinkedIn_follows_raw!$E$2:$E1000)</f>
        <v>#N/A</v>
      </c>
      <c r="D410" s="26" t="str">
        <f t="array" ref="D410">sum(XLOOKUP($A410,LinkedIn_content_raw!$A$2:$A1000,LinkedIn_content_raw!$K$2:$K1000),XLOOKUP($A410,LinkedIn_content_raw!$A$2:$A1000,LinkedIn_content_raw!$N$2:$N1000),XLOOKUP($A410,LinkedIn_content_raw!$A$2:$A1000,LinkedIn_content_raw!$Q$2:$Q1000))</f>
        <v>#N/A</v>
      </c>
      <c r="E410" s="26" t="str">
        <f t="array" ref="E410">XLOOKUP($A410,LinkedIn_content_raw!$A$2:$A1000,LinkedIn_content_raw!$E$2:$E1000)</f>
        <v>#N/A</v>
      </c>
    </row>
    <row r="411">
      <c r="A411" s="26" t="str">
        <f>LinkedIn_content_raw!$A412</f>
        <v/>
      </c>
      <c r="B411" s="24" t="str">
        <f t="shared" si="1"/>
        <v/>
      </c>
      <c r="C411" s="26" t="str">
        <f t="array" ref="C411">XLOOKUP($A411,LinkedIn_follows_raw!$A$2:$A1000,LinkedIn_follows_raw!$E$2:$E1000)</f>
        <v>#N/A</v>
      </c>
      <c r="D411" s="26" t="str">
        <f t="array" ref="D411">sum(XLOOKUP($A411,LinkedIn_content_raw!$A$2:$A1000,LinkedIn_content_raw!$K$2:$K1000),XLOOKUP($A411,LinkedIn_content_raw!$A$2:$A1000,LinkedIn_content_raw!$N$2:$N1000),XLOOKUP($A411,LinkedIn_content_raw!$A$2:$A1000,LinkedIn_content_raw!$Q$2:$Q1000))</f>
        <v>#N/A</v>
      </c>
      <c r="E411" s="26" t="str">
        <f t="array" ref="E411">XLOOKUP($A411,LinkedIn_content_raw!$A$2:$A1000,LinkedIn_content_raw!$E$2:$E1000)</f>
        <v>#N/A</v>
      </c>
    </row>
    <row r="412">
      <c r="A412" s="26" t="str">
        <f>LinkedIn_content_raw!$A413</f>
        <v/>
      </c>
      <c r="B412" s="24" t="str">
        <f t="shared" si="1"/>
        <v/>
      </c>
      <c r="C412" s="26" t="str">
        <f t="array" ref="C412">XLOOKUP($A412,LinkedIn_follows_raw!$A$2:$A1000,LinkedIn_follows_raw!$E$2:$E1000)</f>
        <v>#N/A</v>
      </c>
      <c r="D412" s="26" t="str">
        <f t="array" ref="D412">sum(XLOOKUP($A412,LinkedIn_content_raw!$A$2:$A1000,LinkedIn_content_raw!$K$2:$K1000),XLOOKUP($A412,LinkedIn_content_raw!$A$2:$A1000,LinkedIn_content_raw!$N$2:$N1000),XLOOKUP($A412,LinkedIn_content_raw!$A$2:$A1000,LinkedIn_content_raw!$Q$2:$Q1000))</f>
        <v>#N/A</v>
      </c>
      <c r="E412" s="26" t="str">
        <f t="array" ref="E412">XLOOKUP($A412,LinkedIn_content_raw!$A$2:$A1000,LinkedIn_content_raw!$E$2:$E1000)</f>
        <v>#N/A</v>
      </c>
    </row>
    <row r="413">
      <c r="A413" s="26" t="str">
        <f>LinkedIn_content_raw!$A414</f>
        <v/>
      </c>
      <c r="B413" s="24" t="str">
        <f t="shared" si="1"/>
        <v/>
      </c>
      <c r="C413" s="26" t="str">
        <f t="array" ref="C413">XLOOKUP($A413,LinkedIn_follows_raw!$A$2:$A1000,LinkedIn_follows_raw!$E$2:$E1000)</f>
        <v>#N/A</v>
      </c>
      <c r="D413" s="26" t="str">
        <f t="array" ref="D413">sum(XLOOKUP($A413,LinkedIn_content_raw!$A$2:$A1000,LinkedIn_content_raw!$K$2:$K1000),XLOOKUP($A413,LinkedIn_content_raw!$A$2:$A1000,LinkedIn_content_raw!$N$2:$N1000),XLOOKUP($A413,LinkedIn_content_raw!$A$2:$A1000,LinkedIn_content_raw!$Q$2:$Q1000))</f>
        <v>#N/A</v>
      </c>
      <c r="E413" s="26" t="str">
        <f t="array" ref="E413">XLOOKUP($A413,LinkedIn_content_raw!$A$2:$A1000,LinkedIn_content_raw!$E$2:$E1000)</f>
        <v>#N/A</v>
      </c>
    </row>
    <row r="414">
      <c r="A414" s="26" t="str">
        <f>LinkedIn_content_raw!$A415</f>
        <v/>
      </c>
      <c r="B414" s="24" t="str">
        <f t="shared" si="1"/>
        <v/>
      </c>
      <c r="C414" s="26" t="str">
        <f t="array" ref="C414">XLOOKUP($A414,LinkedIn_follows_raw!$A$2:$A1000,LinkedIn_follows_raw!$E$2:$E1000)</f>
        <v>#N/A</v>
      </c>
      <c r="D414" s="26" t="str">
        <f t="array" ref="D414">sum(XLOOKUP($A414,LinkedIn_content_raw!$A$2:$A1000,LinkedIn_content_raw!$K$2:$K1000),XLOOKUP($A414,LinkedIn_content_raw!$A$2:$A1000,LinkedIn_content_raw!$N$2:$N1000),XLOOKUP($A414,LinkedIn_content_raw!$A$2:$A1000,LinkedIn_content_raw!$Q$2:$Q1000))</f>
        <v>#N/A</v>
      </c>
      <c r="E414" s="26" t="str">
        <f t="array" ref="E414">XLOOKUP($A414,LinkedIn_content_raw!$A$2:$A1000,LinkedIn_content_raw!$E$2:$E1000)</f>
        <v>#N/A</v>
      </c>
    </row>
    <row r="415">
      <c r="A415" s="26" t="str">
        <f>LinkedIn_content_raw!$A416</f>
        <v/>
      </c>
      <c r="B415" s="24" t="str">
        <f t="shared" si="1"/>
        <v/>
      </c>
      <c r="C415" s="26" t="str">
        <f t="array" ref="C415">XLOOKUP($A415,LinkedIn_follows_raw!$A$2:$A1000,LinkedIn_follows_raw!$E$2:$E1000)</f>
        <v>#N/A</v>
      </c>
      <c r="D415" s="26" t="str">
        <f t="array" ref="D415">sum(XLOOKUP($A415,LinkedIn_content_raw!$A$2:$A1000,LinkedIn_content_raw!$K$2:$K1000),XLOOKUP($A415,LinkedIn_content_raw!$A$2:$A1000,LinkedIn_content_raw!$N$2:$N1000),XLOOKUP($A415,LinkedIn_content_raw!$A$2:$A1000,LinkedIn_content_raw!$Q$2:$Q1000))</f>
        <v>#N/A</v>
      </c>
      <c r="E415" s="26" t="str">
        <f t="array" ref="E415">XLOOKUP($A415,LinkedIn_content_raw!$A$2:$A1000,LinkedIn_content_raw!$E$2:$E1000)</f>
        <v>#N/A</v>
      </c>
    </row>
    <row r="416">
      <c r="A416" s="26" t="str">
        <f>LinkedIn_content_raw!$A417</f>
        <v/>
      </c>
      <c r="B416" s="24" t="str">
        <f t="shared" si="1"/>
        <v/>
      </c>
      <c r="C416" s="26" t="str">
        <f t="array" ref="C416">XLOOKUP($A416,LinkedIn_follows_raw!$A$2:$A1000,LinkedIn_follows_raw!$E$2:$E1000)</f>
        <v>#N/A</v>
      </c>
      <c r="D416" s="26" t="str">
        <f t="array" ref="D416">sum(XLOOKUP($A416,LinkedIn_content_raw!$A$2:$A1000,LinkedIn_content_raw!$K$2:$K1000),XLOOKUP($A416,LinkedIn_content_raw!$A$2:$A1000,LinkedIn_content_raw!$N$2:$N1000),XLOOKUP($A416,LinkedIn_content_raw!$A$2:$A1000,LinkedIn_content_raw!$Q$2:$Q1000))</f>
        <v>#N/A</v>
      </c>
      <c r="E416" s="26" t="str">
        <f t="array" ref="E416">XLOOKUP($A416,LinkedIn_content_raw!$A$2:$A1000,LinkedIn_content_raw!$E$2:$E1000)</f>
        <v>#N/A</v>
      </c>
    </row>
    <row r="417">
      <c r="A417" s="26" t="str">
        <f>LinkedIn_content_raw!$A418</f>
        <v/>
      </c>
      <c r="B417" s="24" t="str">
        <f t="shared" si="1"/>
        <v/>
      </c>
      <c r="C417" s="26" t="str">
        <f t="array" ref="C417">XLOOKUP($A417,LinkedIn_follows_raw!$A$2:$A1000,LinkedIn_follows_raw!$E$2:$E1000)</f>
        <v>#N/A</v>
      </c>
      <c r="D417" s="26" t="str">
        <f t="array" ref="D417">sum(XLOOKUP($A417,LinkedIn_content_raw!$A$2:$A1000,LinkedIn_content_raw!$K$2:$K1000),XLOOKUP($A417,LinkedIn_content_raw!$A$2:$A1000,LinkedIn_content_raw!$N$2:$N1000),XLOOKUP($A417,LinkedIn_content_raw!$A$2:$A1000,LinkedIn_content_raw!$Q$2:$Q1000))</f>
        <v>#N/A</v>
      </c>
      <c r="E417" s="26" t="str">
        <f t="array" ref="E417">XLOOKUP($A417,LinkedIn_content_raw!$A$2:$A1000,LinkedIn_content_raw!$E$2:$E1000)</f>
        <v>#N/A</v>
      </c>
    </row>
    <row r="418">
      <c r="A418" s="26" t="str">
        <f>LinkedIn_content_raw!$A419</f>
        <v/>
      </c>
      <c r="B418" s="24" t="str">
        <f t="shared" si="1"/>
        <v/>
      </c>
      <c r="C418" s="26" t="str">
        <f t="array" ref="C418">XLOOKUP($A418,LinkedIn_follows_raw!$A$2:$A1000,LinkedIn_follows_raw!$E$2:$E1000)</f>
        <v>#N/A</v>
      </c>
      <c r="D418" s="26" t="str">
        <f t="array" ref="D418">sum(XLOOKUP($A418,LinkedIn_content_raw!$A$2:$A1000,LinkedIn_content_raw!$K$2:$K1000),XLOOKUP($A418,LinkedIn_content_raw!$A$2:$A1000,LinkedIn_content_raw!$N$2:$N1000),XLOOKUP($A418,LinkedIn_content_raw!$A$2:$A1000,LinkedIn_content_raw!$Q$2:$Q1000))</f>
        <v>#N/A</v>
      </c>
      <c r="E418" s="26" t="str">
        <f t="array" ref="E418">XLOOKUP($A418,LinkedIn_content_raw!$A$2:$A1000,LinkedIn_content_raw!$E$2:$E1000)</f>
        <v>#N/A</v>
      </c>
    </row>
    <row r="419">
      <c r="A419" s="26" t="str">
        <f>LinkedIn_content_raw!$A420</f>
        <v/>
      </c>
      <c r="B419" s="24" t="str">
        <f t="shared" si="1"/>
        <v/>
      </c>
      <c r="C419" s="26" t="str">
        <f t="array" ref="C419">XLOOKUP($A419,LinkedIn_follows_raw!$A$2:$A1000,LinkedIn_follows_raw!$E$2:$E1000)</f>
        <v>#N/A</v>
      </c>
      <c r="D419" s="26" t="str">
        <f t="array" ref="D419">sum(XLOOKUP($A419,LinkedIn_content_raw!$A$2:$A1000,LinkedIn_content_raw!$K$2:$K1000),XLOOKUP($A419,LinkedIn_content_raw!$A$2:$A1000,LinkedIn_content_raw!$N$2:$N1000),XLOOKUP($A419,LinkedIn_content_raw!$A$2:$A1000,LinkedIn_content_raw!$Q$2:$Q1000))</f>
        <v>#N/A</v>
      </c>
      <c r="E419" s="26" t="str">
        <f t="array" ref="E419">XLOOKUP($A419,LinkedIn_content_raw!$A$2:$A1000,LinkedIn_content_raw!$E$2:$E1000)</f>
        <v>#N/A</v>
      </c>
    </row>
    <row r="420">
      <c r="A420" s="26" t="str">
        <f>LinkedIn_content_raw!$A421</f>
        <v/>
      </c>
      <c r="B420" s="24" t="str">
        <f t="shared" si="1"/>
        <v/>
      </c>
      <c r="C420" s="26" t="str">
        <f t="array" ref="C420">XLOOKUP($A420,LinkedIn_follows_raw!$A$2:$A1000,LinkedIn_follows_raw!$E$2:$E1000)</f>
        <v>#N/A</v>
      </c>
      <c r="D420" s="26" t="str">
        <f t="array" ref="D420">sum(XLOOKUP($A420,LinkedIn_content_raw!$A$2:$A1000,LinkedIn_content_raw!$K$2:$K1000),XLOOKUP($A420,LinkedIn_content_raw!$A$2:$A1000,LinkedIn_content_raw!$N$2:$N1000),XLOOKUP($A420,LinkedIn_content_raw!$A$2:$A1000,LinkedIn_content_raw!$Q$2:$Q1000))</f>
        <v>#N/A</v>
      </c>
      <c r="E420" s="26" t="str">
        <f t="array" ref="E420">XLOOKUP($A420,LinkedIn_content_raw!$A$2:$A1000,LinkedIn_content_raw!$E$2:$E1000)</f>
        <v>#N/A</v>
      </c>
    </row>
    <row r="421">
      <c r="A421" s="26" t="str">
        <f>LinkedIn_content_raw!$A422</f>
        <v/>
      </c>
      <c r="B421" s="24" t="str">
        <f t="shared" si="1"/>
        <v/>
      </c>
      <c r="C421" s="26" t="str">
        <f t="array" ref="C421">XLOOKUP($A421,LinkedIn_follows_raw!$A$2:$A1000,LinkedIn_follows_raw!$E$2:$E1000)</f>
        <v>#N/A</v>
      </c>
      <c r="D421" s="26" t="str">
        <f t="array" ref="D421">sum(XLOOKUP($A421,LinkedIn_content_raw!$A$2:$A1000,LinkedIn_content_raw!$K$2:$K1000),XLOOKUP($A421,LinkedIn_content_raw!$A$2:$A1000,LinkedIn_content_raw!$N$2:$N1000),XLOOKUP($A421,LinkedIn_content_raw!$A$2:$A1000,LinkedIn_content_raw!$Q$2:$Q1000))</f>
        <v>#N/A</v>
      </c>
      <c r="E421" s="26" t="str">
        <f t="array" ref="E421">XLOOKUP($A421,LinkedIn_content_raw!$A$2:$A1000,LinkedIn_content_raw!$E$2:$E1000)</f>
        <v>#N/A</v>
      </c>
    </row>
    <row r="422">
      <c r="A422" s="26" t="str">
        <f>LinkedIn_content_raw!$A423</f>
        <v/>
      </c>
      <c r="B422" s="24" t="str">
        <f t="shared" si="1"/>
        <v/>
      </c>
      <c r="C422" s="26" t="str">
        <f t="array" ref="C422">XLOOKUP($A422,LinkedIn_follows_raw!$A$2:$A1000,LinkedIn_follows_raw!$E$2:$E1000)</f>
        <v>#N/A</v>
      </c>
      <c r="D422" s="26" t="str">
        <f t="array" ref="D422">sum(XLOOKUP($A422,LinkedIn_content_raw!$A$2:$A1000,LinkedIn_content_raw!$K$2:$K1000),XLOOKUP($A422,LinkedIn_content_raw!$A$2:$A1000,LinkedIn_content_raw!$N$2:$N1000),XLOOKUP($A422,LinkedIn_content_raw!$A$2:$A1000,LinkedIn_content_raw!$Q$2:$Q1000))</f>
        <v>#N/A</v>
      </c>
      <c r="E422" s="26" t="str">
        <f t="array" ref="E422">XLOOKUP($A422,LinkedIn_content_raw!$A$2:$A1000,LinkedIn_content_raw!$E$2:$E1000)</f>
        <v>#N/A</v>
      </c>
    </row>
    <row r="423">
      <c r="A423" s="26" t="str">
        <f>LinkedIn_content_raw!$A424</f>
        <v/>
      </c>
      <c r="B423" s="24" t="str">
        <f t="shared" si="1"/>
        <v/>
      </c>
      <c r="C423" s="26" t="str">
        <f t="array" ref="C423">XLOOKUP($A423,LinkedIn_follows_raw!$A$2:$A1000,LinkedIn_follows_raw!$E$2:$E1000)</f>
        <v>#N/A</v>
      </c>
      <c r="D423" s="26" t="str">
        <f t="array" ref="D423">sum(XLOOKUP($A423,LinkedIn_content_raw!$A$2:$A1000,LinkedIn_content_raw!$K$2:$K1000),XLOOKUP($A423,LinkedIn_content_raw!$A$2:$A1000,LinkedIn_content_raw!$N$2:$N1000),XLOOKUP($A423,LinkedIn_content_raw!$A$2:$A1000,LinkedIn_content_raw!$Q$2:$Q1000))</f>
        <v>#N/A</v>
      </c>
      <c r="E423" s="26" t="str">
        <f t="array" ref="E423">XLOOKUP($A423,LinkedIn_content_raw!$A$2:$A1000,LinkedIn_content_raw!$E$2:$E1000)</f>
        <v>#N/A</v>
      </c>
    </row>
    <row r="424">
      <c r="A424" s="26" t="str">
        <f>LinkedIn_content_raw!$A425</f>
        <v/>
      </c>
      <c r="B424" s="24" t="str">
        <f t="shared" si="1"/>
        <v/>
      </c>
      <c r="C424" s="26" t="str">
        <f t="array" ref="C424">XLOOKUP($A424,LinkedIn_follows_raw!$A$2:$A1000,LinkedIn_follows_raw!$E$2:$E1000)</f>
        <v>#N/A</v>
      </c>
      <c r="D424" s="26" t="str">
        <f t="array" ref="D424">sum(XLOOKUP($A424,LinkedIn_content_raw!$A$2:$A1000,LinkedIn_content_raw!$K$2:$K1000),XLOOKUP($A424,LinkedIn_content_raw!$A$2:$A1000,LinkedIn_content_raw!$N$2:$N1000),XLOOKUP($A424,LinkedIn_content_raw!$A$2:$A1000,LinkedIn_content_raw!$Q$2:$Q1000))</f>
        <v>#N/A</v>
      </c>
      <c r="E424" s="26" t="str">
        <f t="array" ref="E424">XLOOKUP($A424,LinkedIn_content_raw!$A$2:$A1000,LinkedIn_content_raw!$E$2:$E1000)</f>
        <v>#N/A</v>
      </c>
    </row>
    <row r="425">
      <c r="A425" s="26" t="str">
        <f>LinkedIn_content_raw!$A426</f>
        <v/>
      </c>
      <c r="B425" s="24" t="str">
        <f t="shared" si="1"/>
        <v/>
      </c>
      <c r="C425" s="26" t="str">
        <f t="array" ref="C425">XLOOKUP($A425,LinkedIn_follows_raw!$A$2:$A1000,LinkedIn_follows_raw!$E$2:$E1000)</f>
        <v>#N/A</v>
      </c>
      <c r="D425" s="26" t="str">
        <f t="array" ref="D425">sum(XLOOKUP($A425,LinkedIn_content_raw!$A$2:$A1000,LinkedIn_content_raw!$K$2:$K1000),XLOOKUP($A425,LinkedIn_content_raw!$A$2:$A1000,LinkedIn_content_raw!$N$2:$N1000),XLOOKUP($A425,LinkedIn_content_raw!$A$2:$A1000,LinkedIn_content_raw!$Q$2:$Q1000))</f>
        <v>#N/A</v>
      </c>
      <c r="E425" s="26" t="str">
        <f t="array" ref="E425">XLOOKUP($A425,LinkedIn_content_raw!$A$2:$A1000,LinkedIn_content_raw!$E$2:$E1000)</f>
        <v>#N/A</v>
      </c>
    </row>
    <row r="426">
      <c r="A426" s="26" t="str">
        <f>LinkedIn_content_raw!$A427</f>
        <v/>
      </c>
      <c r="B426" s="24" t="str">
        <f t="shared" si="1"/>
        <v/>
      </c>
      <c r="C426" s="26" t="str">
        <f t="array" ref="C426">XLOOKUP($A426,LinkedIn_follows_raw!$A$2:$A1000,LinkedIn_follows_raw!$E$2:$E1000)</f>
        <v>#N/A</v>
      </c>
      <c r="D426" s="26" t="str">
        <f t="array" ref="D426">sum(XLOOKUP($A426,LinkedIn_content_raw!$A$2:$A1000,LinkedIn_content_raw!$K$2:$K1000),XLOOKUP($A426,LinkedIn_content_raw!$A$2:$A1000,LinkedIn_content_raw!$N$2:$N1000),XLOOKUP($A426,LinkedIn_content_raw!$A$2:$A1000,LinkedIn_content_raw!$Q$2:$Q1000))</f>
        <v>#N/A</v>
      </c>
      <c r="E426" s="26" t="str">
        <f t="array" ref="E426">XLOOKUP($A426,LinkedIn_content_raw!$A$2:$A1000,LinkedIn_content_raw!$E$2:$E1000)</f>
        <v>#N/A</v>
      </c>
    </row>
    <row r="427">
      <c r="A427" s="26" t="str">
        <f>LinkedIn_content_raw!$A428</f>
        <v/>
      </c>
      <c r="B427" s="24" t="str">
        <f t="shared" si="1"/>
        <v/>
      </c>
      <c r="C427" s="26" t="str">
        <f t="array" ref="C427">XLOOKUP($A427,LinkedIn_follows_raw!$A$2:$A1000,LinkedIn_follows_raw!$E$2:$E1000)</f>
        <v>#N/A</v>
      </c>
      <c r="D427" s="26" t="str">
        <f t="array" ref="D427">sum(XLOOKUP($A427,LinkedIn_content_raw!$A$2:$A1000,LinkedIn_content_raw!$K$2:$K1000),XLOOKUP($A427,LinkedIn_content_raw!$A$2:$A1000,LinkedIn_content_raw!$N$2:$N1000),XLOOKUP($A427,LinkedIn_content_raw!$A$2:$A1000,LinkedIn_content_raw!$Q$2:$Q1000))</f>
        <v>#N/A</v>
      </c>
      <c r="E427" s="26" t="str">
        <f t="array" ref="E427">XLOOKUP($A427,LinkedIn_content_raw!$A$2:$A1000,LinkedIn_content_raw!$E$2:$E1000)</f>
        <v>#N/A</v>
      </c>
    </row>
    <row r="428">
      <c r="A428" s="26" t="str">
        <f>LinkedIn_content_raw!$A429</f>
        <v/>
      </c>
      <c r="B428" s="24" t="str">
        <f t="shared" si="1"/>
        <v/>
      </c>
      <c r="C428" s="26" t="str">
        <f t="array" ref="C428">XLOOKUP($A428,LinkedIn_follows_raw!$A$2:$A1000,LinkedIn_follows_raw!$E$2:$E1000)</f>
        <v>#N/A</v>
      </c>
      <c r="D428" s="26" t="str">
        <f t="array" ref="D428">sum(XLOOKUP($A428,LinkedIn_content_raw!$A$2:$A1000,LinkedIn_content_raw!$K$2:$K1000),XLOOKUP($A428,LinkedIn_content_raw!$A$2:$A1000,LinkedIn_content_raw!$N$2:$N1000),XLOOKUP($A428,LinkedIn_content_raw!$A$2:$A1000,LinkedIn_content_raw!$Q$2:$Q1000))</f>
        <v>#N/A</v>
      </c>
      <c r="E428" s="26" t="str">
        <f t="array" ref="E428">XLOOKUP($A428,LinkedIn_content_raw!$A$2:$A1000,LinkedIn_content_raw!$E$2:$E1000)</f>
        <v>#N/A</v>
      </c>
    </row>
    <row r="429">
      <c r="A429" s="26" t="str">
        <f>LinkedIn_content_raw!$A430</f>
        <v/>
      </c>
      <c r="B429" s="24" t="str">
        <f t="shared" si="1"/>
        <v/>
      </c>
      <c r="C429" s="26" t="str">
        <f t="array" ref="C429">XLOOKUP($A429,LinkedIn_follows_raw!$A$2:$A1000,LinkedIn_follows_raw!$E$2:$E1000)</f>
        <v>#N/A</v>
      </c>
      <c r="D429" s="26" t="str">
        <f t="array" ref="D429">sum(XLOOKUP($A429,LinkedIn_content_raw!$A$2:$A1000,LinkedIn_content_raw!$K$2:$K1000),XLOOKUP($A429,LinkedIn_content_raw!$A$2:$A1000,LinkedIn_content_raw!$N$2:$N1000),XLOOKUP($A429,LinkedIn_content_raw!$A$2:$A1000,LinkedIn_content_raw!$Q$2:$Q1000))</f>
        <v>#N/A</v>
      </c>
      <c r="E429" s="26" t="str">
        <f t="array" ref="E429">XLOOKUP($A429,LinkedIn_content_raw!$A$2:$A1000,LinkedIn_content_raw!$E$2:$E1000)</f>
        <v>#N/A</v>
      </c>
    </row>
    <row r="430">
      <c r="A430" s="26" t="str">
        <f>LinkedIn_content_raw!$A431</f>
        <v/>
      </c>
      <c r="B430" s="24" t="str">
        <f t="shared" si="1"/>
        <v/>
      </c>
      <c r="C430" s="26" t="str">
        <f t="array" ref="C430">XLOOKUP($A430,LinkedIn_follows_raw!$A$2:$A1000,LinkedIn_follows_raw!$E$2:$E1000)</f>
        <v>#N/A</v>
      </c>
      <c r="D430" s="26" t="str">
        <f t="array" ref="D430">sum(XLOOKUP($A430,LinkedIn_content_raw!$A$2:$A1000,LinkedIn_content_raw!$K$2:$K1000),XLOOKUP($A430,LinkedIn_content_raw!$A$2:$A1000,LinkedIn_content_raw!$N$2:$N1000),XLOOKUP($A430,LinkedIn_content_raw!$A$2:$A1000,LinkedIn_content_raw!$Q$2:$Q1000))</f>
        <v>#N/A</v>
      </c>
      <c r="E430" s="26" t="str">
        <f t="array" ref="E430">XLOOKUP($A430,LinkedIn_content_raw!$A$2:$A1000,LinkedIn_content_raw!$E$2:$E1000)</f>
        <v>#N/A</v>
      </c>
    </row>
    <row r="431">
      <c r="A431" s="26" t="str">
        <f>LinkedIn_content_raw!$A432</f>
        <v/>
      </c>
      <c r="B431" s="24" t="str">
        <f t="shared" si="1"/>
        <v/>
      </c>
      <c r="C431" s="26" t="str">
        <f t="array" ref="C431">XLOOKUP($A431,LinkedIn_follows_raw!$A$2:$A1000,LinkedIn_follows_raw!$E$2:$E1000)</f>
        <v>#N/A</v>
      </c>
      <c r="D431" s="26" t="str">
        <f t="array" ref="D431">sum(XLOOKUP($A431,LinkedIn_content_raw!$A$2:$A1000,LinkedIn_content_raw!$K$2:$K1000),XLOOKUP($A431,LinkedIn_content_raw!$A$2:$A1000,LinkedIn_content_raw!$N$2:$N1000),XLOOKUP($A431,LinkedIn_content_raw!$A$2:$A1000,LinkedIn_content_raw!$Q$2:$Q1000))</f>
        <v>#N/A</v>
      </c>
      <c r="E431" s="26" t="str">
        <f t="array" ref="E431">XLOOKUP($A431,LinkedIn_content_raw!$A$2:$A1000,LinkedIn_content_raw!$E$2:$E1000)</f>
        <v>#N/A</v>
      </c>
    </row>
    <row r="432">
      <c r="A432" s="26" t="str">
        <f>LinkedIn_content_raw!$A433</f>
        <v/>
      </c>
      <c r="B432" s="24" t="str">
        <f t="shared" si="1"/>
        <v/>
      </c>
      <c r="C432" s="26" t="str">
        <f t="array" ref="C432">XLOOKUP($A432,LinkedIn_follows_raw!$A$2:$A1000,LinkedIn_follows_raw!$E$2:$E1000)</f>
        <v>#N/A</v>
      </c>
      <c r="D432" s="26" t="str">
        <f t="array" ref="D432">sum(XLOOKUP($A432,LinkedIn_content_raw!$A$2:$A1000,LinkedIn_content_raw!$K$2:$K1000),XLOOKUP($A432,LinkedIn_content_raw!$A$2:$A1000,LinkedIn_content_raw!$N$2:$N1000),XLOOKUP($A432,LinkedIn_content_raw!$A$2:$A1000,LinkedIn_content_raw!$Q$2:$Q1000))</f>
        <v>#N/A</v>
      </c>
      <c r="E432" s="26" t="str">
        <f t="array" ref="E432">XLOOKUP($A432,LinkedIn_content_raw!$A$2:$A1000,LinkedIn_content_raw!$E$2:$E1000)</f>
        <v>#N/A</v>
      </c>
    </row>
    <row r="433">
      <c r="A433" s="26" t="str">
        <f>LinkedIn_content_raw!$A434</f>
        <v/>
      </c>
      <c r="B433" s="24" t="str">
        <f t="shared" si="1"/>
        <v/>
      </c>
      <c r="C433" s="26" t="str">
        <f t="array" ref="C433">XLOOKUP($A433,LinkedIn_follows_raw!$A$2:$A1000,LinkedIn_follows_raw!$E$2:$E1000)</f>
        <v>#N/A</v>
      </c>
      <c r="D433" s="26" t="str">
        <f t="array" ref="D433">sum(XLOOKUP($A433,LinkedIn_content_raw!$A$2:$A1000,LinkedIn_content_raw!$K$2:$K1000),XLOOKUP($A433,LinkedIn_content_raw!$A$2:$A1000,LinkedIn_content_raw!$N$2:$N1000),XLOOKUP($A433,LinkedIn_content_raw!$A$2:$A1000,LinkedIn_content_raw!$Q$2:$Q1000))</f>
        <v>#N/A</v>
      </c>
      <c r="E433" s="26" t="str">
        <f t="array" ref="E433">XLOOKUP($A433,LinkedIn_content_raw!$A$2:$A1000,LinkedIn_content_raw!$E$2:$E1000)</f>
        <v>#N/A</v>
      </c>
    </row>
    <row r="434">
      <c r="A434" s="26" t="str">
        <f>LinkedIn_content_raw!$A435</f>
        <v/>
      </c>
      <c r="B434" s="24" t="str">
        <f t="shared" si="1"/>
        <v/>
      </c>
      <c r="C434" s="26" t="str">
        <f t="array" ref="C434">XLOOKUP($A434,LinkedIn_follows_raw!$A$2:$A1000,LinkedIn_follows_raw!$E$2:$E1000)</f>
        <v>#N/A</v>
      </c>
      <c r="D434" s="26" t="str">
        <f t="array" ref="D434">sum(XLOOKUP($A434,LinkedIn_content_raw!$A$2:$A1000,LinkedIn_content_raw!$K$2:$K1000),XLOOKUP($A434,LinkedIn_content_raw!$A$2:$A1000,LinkedIn_content_raw!$N$2:$N1000),XLOOKUP($A434,LinkedIn_content_raw!$A$2:$A1000,LinkedIn_content_raw!$Q$2:$Q1000))</f>
        <v>#N/A</v>
      </c>
      <c r="E434" s="26" t="str">
        <f t="array" ref="E434">XLOOKUP($A434,LinkedIn_content_raw!$A$2:$A1000,LinkedIn_content_raw!$E$2:$E1000)</f>
        <v>#N/A</v>
      </c>
    </row>
    <row r="435">
      <c r="A435" s="26" t="str">
        <f>LinkedIn_content_raw!$A436</f>
        <v/>
      </c>
      <c r="B435" s="24" t="str">
        <f t="shared" si="1"/>
        <v/>
      </c>
      <c r="C435" s="26" t="str">
        <f t="array" ref="C435">XLOOKUP($A435,LinkedIn_follows_raw!$A$2:$A1000,LinkedIn_follows_raw!$E$2:$E1000)</f>
        <v>#N/A</v>
      </c>
      <c r="D435" s="26" t="str">
        <f t="array" ref="D435">sum(XLOOKUP($A435,LinkedIn_content_raw!$A$2:$A1000,LinkedIn_content_raw!$K$2:$K1000),XLOOKUP($A435,LinkedIn_content_raw!$A$2:$A1000,LinkedIn_content_raw!$N$2:$N1000),XLOOKUP($A435,LinkedIn_content_raw!$A$2:$A1000,LinkedIn_content_raw!$Q$2:$Q1000))</f>
        <v>#N/A</v>
      </c>
      <c r="E435" s="26" t="str">
        <f t="array" ref="E435">XLOOKUP($A435,LinkedIn_content_raw!$A$2:$A1000,LinkedIn_content_raw!$E$2:$E1000)</f>
        <v>#N/A</v>
      </c>
    </row>
    <row r="436">
      <c r="A436" s="26" t="str">
        <f>LinkedIn_content_raw!$A437</f>
        <v/>
      </c>
      <c r="B436" s="24" t="str">
        <f t="shared" si="1"/>
        <v/>
      </c>
      <c r="C436" s="26" t="str">
        <f t="array" ref="C436">XLOOKUP($A436,LinkedIn_follows_raw!$A$2:$A1000,LinkedIn_follows_raw!$E$2:$E1000)</f>
        <v>#N/A</v>
      </c>
      <c r="D436" s="26" t="str">
        <f t="array" ref="D436">sum(XLOOKUP($A436,LinkedIn_content_raw!$A$2:$A1000,LinkedIn_content_raw!$K$2:$K1000),XLOOKUP($A436,LinkedIn_content_raw!$A$2:$A1000,LinkedIn_content_raw!$N$2:$N1000),XLOOKUP($A436,LinkedIn_content_raw!$A$2:$A1000,LinkedIn_content_raw!$Q$2:$Q1000))</f>
        <v>#N/A</v>
      </c>
      <c r="E436" s="26" t="str">
        <f t="array" ref="E436">XLOOKUP($A436,LinkedIn_content_raw!$A$2:$A1000,LinkedIn_content_raw!$E$2:$E1000)</f>
        <v>#N/A</v>
      </c>
    </row>
    <row r="437">
      <c r="A437" s="26" t="str">
        <f>LinkedIn_content_raw!$A438</f>
        <v/>
      </c>
      <c r="B437" s="24" t="str">
        <f t="shared" si="1"/>
        <v/>
      </c>
      <c r="C437" s="26" t="str">
        <f t="array" ref="C437">XLOOKUP($A437,LinkedIn_follows_raw!$A$2:$A1000,LinkedIn_follows_raw!$E$2:$E1000)</f>
        <v>#N/A</v>
      </c>
      <c r="D437" s="26" t="str">
        <f t="array" ref="D437">sum(XLOOKUP($A437,LinkedIn_content_raw!$A$2:$A1000,LinkedIn_content_raw!$K$2:$K1000),XLOOKUP($A437,LinkedIn_content_raw!$A$2:$A1000,LinkedIn_content_raw!$N$2:$N1000),XLOOKUP($A437,LinkedIn_content_raw!$A$2:$A1000,LinkedIn_content_raw!$Q$2:$Q1000))</f>
        <v>#N/A</v>
      </c>
      <c r="E437" s="26" t="str">
        <f t="array" ref="E437">XLOOKUP($A437,LinkedIn_content_raw!$A$2:$A1000,LinkedIn_content_raw!$E$2:$E1000)</f>
        <v>#N/A</v>
      </c>
    </row>
    <row r="438">
      <c r="A438" s="26" t="str">
        <f>LinkedIn_content_raw!$A439</f>
        <v/>
      </c>
      <c r="B438" s="24" t="str">
        <f t="shared" si="1"/>
        <v/>
      </c>
      <c r="C438" s="26" t="str">
        <f t="array" ref="C438">XLOOKUP($A438,LinkedIn_follows_raw!$A$2:$A1000,LinkedIn_follows_raw!$E$2:$E1000)</f>
        <v>#N/A</v>
      </c>
      <c r="D438" s="26" t="str">
        <f t="array" ref="D438">sum(XLOOKUP($A438,LinkedIn_content_raw!$A$2:$A1000,LinkedIn_content_raw!$K$2:$K1000),XLOOKUP($A438,LinkedIn_content_raw!$A$2:$A1000,LinkedIn_content_raw!$N$2:$N1000),XLOOKUP($A438,LinkedIn_content_raw!$A$2:$A1000,LinkedIn_content_raw!$Q$2:$Q1000))</f>
        <v>#N/A</v>
      </c>
      <c r="E438" s="26" t="str">
        <f t="array" ref="E438">XLOOKUP($A438,LinkedIn_content_raw!$A$2:$A1000,LinkedIn_content_raw!$E$2:$E1000)</f>
        <v>#N/A</v>
      </c>
    </row>
    <row r="439">
      <c r="A439" s="26" t="str">
        <f>LinkedIn_content_raw!$A440</f>
        <v/>
      </c>
      <c r="B439" s="24" t="str">
        <f t="shared" si="1"/>
        <v/>
      </c>
      <c r="C439" s="26" t="str">
        <f t="array" ref="C439">XLOOKUP($A439,LinkedIn_follows_raw!$A$2:$A1000,LinkedIn_follows_raw!$E$2:$E1000)</f>
        <v>#N/A</v>
      </c>
      <c r="D439" s="26" t="str">
        <f t="array" ref="D439">sum(XLOOKUP($A439,LinkedIn_content_raw!$A$2:$A1000,LinkedIn_content_raw!$K$2:$K1000),XLOOKUP($A439,LinkedIn_content_raw!$A$2:$A1000,LinkedIn_content_raw!$N$2:$N1000),XLOOKUP($A439,LinkedIn_content_raw!$A$2:$A1000,LinkedIn_content_raw!$Q$2:$Q1000))</f>
        <v>#N/A</v>
      </c>
      <c r="E439" s="26" t="str">
        <f t="array" ref="E439">XLOOKUP($A439,LinkedIn_content_raw!$A$2:$A1000,LinkedIn_content_raw!$E$2:$E1000)</f>
        <v>#N/A</v>
      </c>
    </row>
    <row r="440">
      <c r="A440" s="26" t="str">
        <f>LinkedIn_content_raw!$A441</f>
        <v/>
      </c>
      <c r="B440" s="24" t="str">
        <f t="shared" si="1"/>
        <v/>
      </c>
      <c r="C440" s="26" t="str">
        <f t="array" ref="C440">XLOOKUP($A440,LinkedIn_follows_raw!$A$2:$A1000,LinkedIn_follows_raw!$E$2:$E1000)</f>
        <v>#N/A</v>
      </c>
      <c r="D440" s="26" t="str">
        <f t="array" ref="D440">sum(XLOOKUP($A440,LinkedIn_content_raw!$A$2:$A1000,LinkedIn_content_raw!$K$2:$K1000),XLOOKUP($A440,LinkedIn_content_raw!$A$2:$A1000,LinkedIn_content_raw!$N$2:$N1000),XLOOKUP($A440,LinkedIn_content_raw!$A$2:$A1000,LinkedIn_content_raw!$Q$2:$Q1000))</f>
        <v>#N/A</v>
      </c>
      <c r="E440" s="26" t="str">
        <f t="array" ref="E440">XLOOKUP($A440,LinkedIn_content_raw!$A$2:$A1000,LinkedIn_content_raw!$E$2:$E1000)</f>
        <v>#N/A</v>
      </c>
    </row>
    <row r="441">
      <c r="A441" s="26" t="str">
        <f>LinkedIn_content_raw!$A442</f>
        <v/>
      </c>
      <c r="B441" s="24" t="str">
        <f t="shared" si="1"/>
        <v/>
      </c>
      <c r="C441" s="26" t="str">
        <f t="array" ref="C441">XLOOKUP($A441,LinkedIn_follows_raw!$A$2:$A1000,LinkedIn_follows_raw!$E$2:$E1000)</f>
        <v>#N/A</v>
      </c>
      <c r="D441" s="26" t="str">
        <f t="array" ref="D441">sum(XLOOKUP($A441,LinkedIn_content_raw!$A$2:$A1000,LinkedIn_content_raw!$K$2:$K1000),XLOOKUP($A441,LinkedIn_content_raw!$A$2:$A1000,LinkedIn_content_raw!$N$2:$N1000),XLOOKUP($A441,LinkedIn_content_raw!$A$2:$A1000,LinkedIn_content_raw!$Q$2:$Q1000))</f>
        <v>#N/A</v>
      </c>
      <c r="E441" s="26" t="str">
        <f t="array" ref="E441">XLOOKUP($A441,LinkedIn_content_raw!$A$2:$A1000,LinkedIn_content_raw!$E$2:$E1000)</f>
        <v>#N/A</v>
      </c>
    </row>
    <row r="442">
      <c r="A442" s="26" t="str">
        <f>LinkedIn_content_raw!$A443</f>
        <v/>
      </c>
      <c r="B442" s="24" t="str">
        <f t="shared" si="1"/>
        <v/>
      </c>
      <c r="C442" s="26" t="str">
        <f t="array" ref="C442">XLOOKUP($A442,LinkedIn_follows_raw!$A$2:$A1000,LinkedIn_follows_raw!$E$2:$E1000)</f>
        <v>#N/A</v>
      </c>
      <c r="D442" s="26" t="str">
        <f t="array" ref="D442">sum(XLOOKUP($A442,LinkedIn_content_raw!$A$2:$A1000,LinkedIn_content_raw!$K$2:$K1000),XLOOKUP($A442,LinkedIn_content_raw!$A$2:$A1000,LinkedIn_content_raw!$N$2:$N1000),XLOOKUP($A442,LinkedIn_content_raw!$A$2:$A1000,LinkedIn_content_raw!$Q$2:$Q1000))</f>
        <v>#N/A</v>
      </c>
      <c r="E442" s="26" t="str">
        <f t="array" ref="E442">XLOOKUP($A442,LinkedIn_content_raw!$A$2:$A1000,LinkedIn_content_raw!$E$2:$E1000)</f>
        <v>#N/A</v>
      </c>
    </row>
    <row r="443">
      <c r="A443" s="26" t="str">
        <f>LinkedIn_content_raw!$A444</f>
        <v/>
      </c>
      <c r="B443" s="24" t="str">
        <f t="shared" si="1"/>
        <v/>
      </c>
      <c r="C443" s="26" t="str">
        <f t="array" ref="C443">XLOOKUP($A443,LinkedIn_follows_raw!$A$2:$A1000,LinkedIn_follows_raw!$E$2:$E1000)</f>
        <v>#N/A</v>
      </c>
      <c r="D443" s="26" t="str">
        <f t="array" ref="D443">sum(XLOOKUP($A443,LinkedIn_content_raw!$A$2:$A1000,LinkedIn_content_raw!$K$2:$K1000),XLOOKUP($A443,LinkedIn_content_raw!$A$2:$A1000,LinkedIn_content_raw!$N$2:$N1000),XLOOKUP($A443,LinkedIn_content_raw!$A$2:$A1000,LinkedIn_content_raw!$Q$2:$Q1000))</f>
        <v>#N/A</v>
      </c>
      <c r="E443" s="26" t="str">
        <f t="array" ref="E443">XLOOKUP($A443,LinkedIn_content_raw!$A$2:$A1000,LinkedIn_content_raw!$E$2:$E1000)</f>
        <v>#N/A</v>
      </c>
    </row>
    <row r="444">
      <c r="A444" s="26" t="str">
        <f>LinkedIn_content_raw!$A445</f>
        <v/>
      </c>
      <c r="B444" s="24" t="str">
        <f t="shared" si="1"/>
        <v/>
      </c>
      <c r="C444" s="26" t="str">
        <f t="array" ref="C444">XLOOKUP($A444,LinkedIn_follows_raw!$A$2:$A1000,LinkedIn_follows_raw!$E$2:$E1000)</f>
        <v>#N/A</v>
      </c>
      <c r="D444" s="26" t="str">
        <f t="array" ref="D444">sum(XLOOKUP($A444,LinkedIn_content_raw!$A$2:$A1000,LinkedIn_content_raw!$K$2:$K1000),XLOOKUP($A444,LinkedIn_content_raw!$A$2:$A1000,LinkedIn_content_raw!$N$2:$N1000),XLOOKUP($A444,LinkedIn_content_raw!$A$2:$A1000,LinkedIn_content_raw!$Q$2:$Q1000))</f>
        <v>#N/A</v>
      </c>
      <c r="E444" s="26" t="str">
        <f t="array" ref="E444">XLOOKUP($A444,LinkedIn_content_raw!$A$2:$A1000,LinkedIn_content_raw!$E$2:$E1000)</f>
        <v>#N/A</v>
      </c>
    </row>
    <row r="445">
      <c r="A445" s="26" t="str">
        <f>LinkedIn_content_raw!$A446</f>
        <v/>
      </c>
      <c r="B445" s="24" t="str">
        <f t="shared" si="1"/>
        <v/>
      </c>
      <c r="C445" s="26" t="str">
        <f t="array" ref="C445">XLOOKUP($A445,LinkedIn_follows_raw!$A$2:$A1000,LinkedIn_follows_raw!$E$2:$E1000)</f>
        <v>#N/A</v>
      </c>
      <c r="D445" s="26" t="str">
        <f t="array" ref="D445">sum(XLOOKUP($A445,LinkedIn_content_raw!$A$2:$A1000,LinkedIn_content_raw!$K$2:$K1000),XLOOKUP($A445,LinkedIn_content_raw!$A$2:$A1000,LinkedIn_content_raw!$N$2:$N1000),XLOOKUP($A445,LinkedIn_content_raw!$A$2:$A1000,LinkedIn_content_raw!$Q$2:$Q1000))</f>
        <v>#N/A</v>
      </c>
      <c r="E445" s="26" t="str">
        <f t="array" ref="E445">XLOOKUP($A445,LinkedIn_content_raw!$A$2:$A1000,LinkedIn_content_raw!$E$2:$E1000)</f>
        <v>#N/A</v>
      </c>
    </row>
    <row r="446">
      <c r="A446" s="26" t="str">
        <f>LinkedIn_content_raw!$A447</f>
        <v/>
      </c>
      <c r="B446" s="24" t="str">
        <f t="shared" si="1"/>
        <v/>
      </c>
      <c r="C446" s="26" t="str">
        <f t="array" ref="C446">XLOOKUP($A446,LinkedIn_follows_raw!$A$2:$A1000,LinkedIn_follows_raw!$E$2:$E1000)</f>
        <v>#N/A</v>
      </c>
      <c r="D446" s="26" t="str">
        <f t="array" ref="D446">sum(XLOOKUP($A446,LinkedIn_content_raw!$A$2:$A1000,LinkedIn_content_raw!$K$2:$K1000),XLOOKUP($A446,LinkedIn_content_raw!$A$2:$A1000,LinkedIn_content_raw!$N$2:$N1000),XLOOKUP($A446,LinkedIn_content_raw!$A$2:$A1000,LinkedIn_content_raw!$Q$2:$Q1000))</f>
        <v>#N/A</v>
      </c>
      <c r="E446" s="26" t="str">
        <f t="array" ref="E446">XLOOKUP($A446,LinkedIn_content_raw!$A$2:$A1000,LinkedIn_content_raw!$E$2:$E1000)</f>
        <v>#N/A</v>
      </c>
    </row>
    <row r="447">
      <c r="A447" s="26" t="str">
        <f>LinkedIn_content_raw!$A448</f>
        <v/>
      </c>
      <c r="B447" s="24" t="str">
        <f t="shared" si="1"/>
        <v/>
      </c>
      <c r="C447" s="26" t="str">
        <f t="array" ref="C447">XLOOKUP($A447,LinkedIn_follows_raw!$A$2:$A1000,LinkedIn_follows_raw!$E$2:$E1000)</f>
        <v>#N/A</v>
      </c>
      <c r="D447" s="26" t="str">
        <f t="array" ref="D447">sum(XLOOKUP($A447,LinkedIn_content_raw!$A$2:$A1000,LinkedIn_content_raw!$K$2:$K1000),XLOOKUP($A447,LinkedIn_content_raw!$A$2:$A1000,LinkedIn_content_raw!$N$2:$N1000),XLOOKUP($A447,LinkedIn_content_raw!$A$2:$A1000,LinkedIn_content_raw!$Q$2:$Q1000))</f>
        <v>#N/A</v>
      </c>
      <c r="E447" s="26" t="str">
        <f t="array" ref="E447">XLOOKUP($A447,LinkedIn_content_raw!$A$2:$A1000,LinkedIn_content_raw!$E$2:$E1000)</f>
        <v>#N/A</v>
      </c>
    </row>
    <row r="448">
      <c r="A448" s="26" t="str">
        <f>LinkedIn_content_raw!$A449</f>
        <v/>
      </c>
      <c r="B448" s="24" t="str">
        <f t="shared" si="1"/>
        <v/>
      </c>
      <c r="C448" s="26" t="str">
        <f t="array" ref="C448">XLOOKUP($A448,LinkedIn_follows_raw!$A$2:$A1000,LinkedIn_follows_raw!$E$2:$E1000)</f>
        <v>#N/A</v>
      </c>
      <c r="D448" s="26" t="str">
        <f t="array" ref="D448">sum(XLOOKUP($A448,LinkedIn_content_raw!$A$2:$A1000,LinkedIn_content_raw!$K$2:$K1000),XLOOKUP($A448,LinkedIn_content_raw!$A$2:$A1000,LinkedIn_content_raw!$N$2:$N1000),XLOOKUP($A448,LinkedIn_content_raw!$A$2:$A1000,LinkedIn_content_raw!$Q$2:$Q1000))</f>
        <v>#N/A</v>
      </c>
      <c r="E448" s="26" t="str">
        <f t="array" ref="E448">XLOOKUP($A448,LinkedIn_content_raw!$A$2:$A1000,LinkedIn_content_raw!$E$2:$E1000)</f>
        <v>#N/A</v>
      </c>
    </row>
    <row r="449">
      <c r="A449" s="26" t="str">
        <f>LinkedIn_content_raw!$A450</f>
        <v/>
      </c>
      <c r="B449" s="24" t="str">
        <f t="shared" si="1"/>
        <v/>
      </c>
      <c r="C449" s="26" t="str">
        <f t="array" ref="C449">XLOOKUP($A449,LinkedIn_follows_raw!$A$2:$A1000,LinkedIn_follows_raw!$E$2:$E1000)</f>
        <v>#N/A</v>
      </c>
      <c r="D449" s="26" t="str">
        <f t="array" ref="D449">sum(XLOOKUP($A449,LinkedIn_content_raw!$A$2:$A1000,LinkedIn_content_raw!$K$2:$K1000),XLOOKUP($A449,LinkedIn_content_raw!$A$2:$A1000,LinkedIn_content_raw!$N$2:$N1000),XLOOKUP($A449,LinkedIn_content_raw!$A$2:$A1000,LinkedIn_content_raw!$Q$2:$Q1000))</f>
        <v>#N/A</v>
      </c>
      <c r="E449" s="26" t="str">
        <f t="array" ref="E449">XLOOKUP($A449,LinkedIn_content_raw!$A$2:$A1000,LinkedIn_content_raw!$E$2:$E1000)</f>
        <v>#N/A</v>
      </c>
    </row>
    <row r="450">
      <c r="A450" s="26" t="str">
        <f>LinkedIn_content_raw!$A451</f>
        <v/>
      </c>
      <c r="B450" s="24" t="str">
        <f t="shared" si="1"/>
        <v/>
      </c>
      <c r="C450" s="26" t="str">
        <f t="array" ref="C450">XLOOKUP($A450,LinkedIn_follows_raw!$A$2:$A1000,LinkedIn_follows_raw!$E$2:$E1000)</f>
        <v>#N/A</v>
      </c>
      <c r="D450" s="26" t="str">
        <f t="array" ref="D450">sum(XLOOKUP($A450,LinkedIn_content_raw!$A$2:$A1000,LinkedIn_content_raw!$K$2:$K1000),XLOOKUP($A450,LinkedIn_content_raw!$A$2:$A1000,LinkedIn_content_raw!$N$2:$N1000),XLOOKUP($A450,LinkedIn_content_raw!$A$2:$A1000,LinkedIn_content_raw!$Q$2:$Q1000))</f>
        <v>#N/A</v>
      </c>
      <c r="E450" s="26" t="str">
        <f t="array" ref="E450">XLOOKUP($A450,LinkedIn_content_raw!$A$2:$A1000,LinkedIn_content_raw!$E$2:$E1000)</f>
        <v>#N/A</v>
      </c>
    </row>
    <row r="451">
      <c r="A451" s="26" t="str">
        <f>LinkedIn_content_raw!$A452</f>
        <v/>
      </c>
      <c r="B451" s="24" t="str">
        <f t="shared" si="1"/>
        <v/>
      </c>
      <c r="C451" s="26" t="str">
        <f t="array" ref="C451">XLOOKUP($A451,LinkedIn_follows_raw!$A$2:$A1000,LinkedIn_follows_raw!$E$2:$E1000)</f>
        <v>#N/A</v>
      </c>
      <c r="D451" s="26" t="str">
        <f t="array" ref="D451">sum(XLOOKUP($A451,LinkedIn_content_raw!$A$2:$A1000,LinkedIn_content_raw!$K$2:$K1000),XLOOKUP($A451,LinkedIn_content_raw!$A$2:$A1000,LinkedIn_content_raw!$N$2:$N1000),XLOOKUP($A451,LinkedIn_content_raw!$A$2:$A1000,LinkedIn_content_raw!$Q$2:$Q1000))</f>
        <v>#N/A</v>
      </c>
      <c r="E451" s="26" t="str">
        <f t="array" ref="E451">XLOOKUP($A451,LinkedIn_content_raw!$A$2:$A1000,LinkedIn_content_raw!$E$2:$E1000)</f>
        <v>#N/A</v>
      </c>
    </row>
    <row r="452">
      <c r="A452" s="26" t="str">
        <f>LinkedIn_content_raw!$A453</f>
        <v/>
      </c>
      <c r="B452" s="24" t="str">
        <f t="shared" si="1"/>
        <v/>
      </c>
      <c r="C452" s="26" t="str">
        <f t="array" ref="C452">XLOOKUP($A452,LinkedIn_follows_raw!$A$2:$A1000,LinkedIn_follows_raw!$E$2:$E1000)</f>
        <v>#N/A</v>
      </c>
      <c r="D452" s="26" t="str">
        <f t="array" ref="D452">sum(XLOOKUP($A452,LinkedIn_content_raw!$A$2:$A1000,LinkedIn_content_raw!$K$2:$K1000),XLOOKUP($A452,LinkedIn_content_raw!$A$2:$A1000,LinkedIn_content_raw!$N$2:$N1000),XLOOKUP($A452,LinkedIn_content_raw!$A$2:$A1000,LinkedIn_content_raw!$Q$2:$Q1000))</f>
        <v>#N/A</v>
      </c>
      <c r="E452" s="26" t="str">
        <f t="array" ref="E452">XLOOKUP($A452,LinkedIn_content_raw!$A$2:$A1000,LinkedIn_content_raw!$E$2:$E1000)</f>
        <v>#N/A</v>
      </c>
    </row>
    <row r="453">
      <c r="A453" s="26" t="str">
        <f>LinkedIn_content_raw!$A454</f>
        <v/>
      </c>
      <c r="B453" s="24" t="str">
        <f t="shared" si="1"/>
        <v/>
      </c>
      <c r="C453" s="26" t="str">
        <f t="array" ref="C453">XLOOKUP($A453,LinkedIn_follows_raw!$A$2:$A1000,LinkedIn_follows_raw!$E$2:$E1000)</f>
        <v>#N/A</v>
      </c>
      <c r="D453" s="26" t="str">
        <f t="array" ref="D453">sum(XLOOKUP($A453,LinkedIn_content_raw!$A$2:$A1000,LinkedIn_content_raw!$K$2:$K1000),XLOOKUP($A453,LinkedIn_content_raw!$A$2:$A1000,LinkedIn_content_raw!$N$2:$N1000),XLOOKUP($A453,LinkedIn_content_raw!$A$2:$A1000,LinkedIn_content_raw!$Q$2:$Q1000))</f>
        <v>#N/A</v>
      </c>
      <c r="E453" s="26" t="str">
        <f t="array" ref="E453">XLOOKUP($A453,LinkedIn_content_raw!$A$2:$A1000,LinkedIn_content_raw!$E$2:$E1000)</f>
        <v>#N/A</v>
      </c>
    </row>
    <row r="454">
      <c r="A454" s="26" t="str">
        <f>LinkedIn_content_raw!$A455</f>
        <v/>
      </c>
      <c r="B454" s="24" t="str">
        <f t="shared" si="1"/>
        <v/>
      </c>
      <c r="C454" s="26" t="str">
        <f t="array" ref="C454">XLOOKUP($A454,LinkedIn_follows_raw!$A$2:$A1000,LinkedIn_follows_raw!$E$2:$E1000)</f>
        <v>#N/A</v>
      </c>
      <c r="D454" s="26" t="str">
        <f t="array" ref="D454">sum(XLOOKUP($A454,LinkedIn_content_raw!$A$2:$A1000,LinkedIn_content_raw!$K$2:$K1000),XLOOKUP($A454,LinkedIn_content_raw!$A$2:$A1000,LinkedIn_content_raw!$N$2:$N1000),XLOOKUP($A454,LinkedIn_content_raw!$A$2:$A1000,LinkedIn_content_raw!$Q$2:$Q1000))</f>
        <v>#N/A</v>
      </c>
      <c r="E454" s="26" t="str">
        <f t="array" ref="E454">XLOOKUP($A454,LinkedIn_content_raw!$A$2:$A1000,LinkedIn_content_raw!$E$2:$E1000)</f>
        <v>#N/A</v>
      </c>
    </row>
    <row r="455">
      <c r="A455" s="26" t="str">
        <f>LinkedIn_content_raw!$A456</f>
        <v/>
      </c>
      <c r="B455" s="24" t="str">
        <f t="shared" si="1"/>
        <v/>
      </c>
      <c r="C455" s="26" t="str">
        <f t="array" ref="C455">XLOOKUP($A455,LinkedIn_follows_raw!$A$2:$A1000,LinkedIn_follows_raw!$E$2:$E1000)</f>
        <v>#N/A</v>
      </c>
      <c r="D455" s="26" t="str">
        <f t="array" ref="D455">sum(XLOOKUP($A455,LinkedIn_content_raw!$A$2:$A1000,LinkedIn_content_raw!$K$2:$K1000),XLOOKUP($A455,LinkedIn_content_raw!$A$2:$A1000,LinkedIn_content_raw!$N$2:$N1000),XLOOKUP($A455,LinkedIn_content_raw!$A$2:$A1000,LinkedIn_content_raw!$Q$2:$Q1000))</f>
        <v>#N/A</v>
      </c>
      <c r="E455" s="26" t="str">
        <f t="array" ref="E455">XLOOKUP($A455,LinkedIn_content_raw!$A$2:$A1000,LinkedIn_content_raw!$E$2:$E1000)</f>
        <v>#N/A</v>
      </c>
    </row>
    <row r="456">
      <c r="A456" s="26" t="str">
        <f>LinkedIn_content_raw!$A457</f>
        <v/>
      </c>
      <c r="B456" s="24" t="str">
        <f t="shared" si="1"/>
        <v/>
      </c>
      <c r="C456" s="26" t="str">
        <f t="array" ref="C456">XLOOKUP($A456,LinkedIn_follows_raw!$A$2:$A1000,LinkedIn_follows_raw!$E$2:$E1000)</f>
        <v>#N/A</v>
      </c>
      <c r="D456" s="26" t="str">
        <f t="array" ref="D456">sum(XLOOKUP($A456,LinkedIn_content_raw!$A$2:$A1000,LinkedIn_content_raw!$K$2:$K1000),XLOOKUP($A456,LinkedIn_content_raw!$A$2:$A1000,LinkedIn_content_raw!$N$2:$N1000),XLOOKUP($A456,LinkedIn_content_raw!$A$2:$A1000,LinkedIn_content_raw!$Q$2:$Q1000))</f>
        <v>#N/A</v>
      </c>
      <c r="E456" s="26" t="str">
        <f t="array" ref="E456">XLOOKUP($A456,LinkedIn_content_raw!$A$2:$A1000,LinkedIn_content_raw!$E$2:$E1000)</f>
        <v>#N/A</v>
      </c>
    </row>
    <row r="457">
      <c r="A457" s="26" t="str">
        <f>LinkedIn_content_raw!$A458</f>
        <v/>
      </c>
      <c r="B457" s="24" t="str">
        <f t="shared" si="1"/>
        <v/>
      </c>
      <c r="C457" s="26" t="str">
        <f t="array" ref="C457">XLOOKUP($A457,LinkedIn_follows_raw!$A$2:$A1000,LinkedIn_follows_raw!$E$2:$E1000)</f>
        <v>#N/A</v>
      </c>
      <c r="D457" s="26" t="str">
        <f t="array" ref="D457">sum(XLOOKUP($A457,LinkedIn_content_raw!$A$2:$A1000,LinkedIn_content_raw!$K$2:$K1000),XLOOKUP($A457,LinkedIn_content_raw!$A$2:$A1000,LinkedIn_content_raw!$N$2:$N1000),XLOOKUP($A457,LinkedIn_content_raw!$A$2:$A1000,LinkedIn_content_raw!$Q$2:$Q1000))</f>
        <v>#N/A</v>
      </c>
      <c r="E457" s="26" t="str">
        <f t="array" ref="E457">XLOOKUP($A457,LinkedIn_content_raw!$A$2:$A1000,LinkedIn_content_raw!$E$2:$E1000)</f>
        <v>#N/A</v>
      </c>
    </row>
    <row r="458">
      <c r="A458" s="26" t="str">
        <f>LinkedIn_content_raw!$A459</f>
        <v/>
      </c>
      <c r="B458" s="24" t="str">
        <f t="shared" si="1"/>
        <v/>
      </c>
      <c r="C458" s="26" t="str">
        <f t="array" ref="C458">XLOOKUP($A458,LinkedIn_follows_raw!$A$2:$A1000,LinkedIn_follows_raw!$E$2:$E1000)</f>
        <v>#N/A</v>
      </c>
      <c r="D458" s="26" t="str">
        <f t="array" ref="D458">sum(XLOOKUP($A458,LinkedIn_content_raw!$A$2:$A1000,LinkedIn_content_raw!$K$2:$K1000),XLOOKUP($A458,LinkedIn_content_raw!$A$2:$A1000,LinkedIn_content_raw!$N$2:$N1000),XLOOKUP($A458,LinkedIn_content_raw!$A$2:$A1000,LinkedIn_content_raw!$Q$2:$Q1000))</f>
        <v>#N/A</v>
      </c>
      <c r="E458" s="26" t="str">
        <f t="array" ref="E458">XLOOKUP($A458,LinkedIn_content_raw!$A$2:$A1000,LinkedIn_content_raw!$E$2:$E1000)</f>
        <v>#N/A</v>
      </c>
    </row>
    <row r="459">
      <c r="A459" s="26" t="str">
        <f>LinkedIn_content_raw!$A460</f>
        <v/>
      </c>
      <c r="B459" s="24" t="str">
        <f t="shared" si="1"/>
        <v/>
      </c>
      <c r="C459" s="26" t="str">
        <f t="array" ref="C459">XLOOKUP($A459,LinkedIn_follows_raw!$A$2:$A1000,LinkedIn_follows_raw!$E$2:$E1000)</f>
        <v>#N/A</v>
      </c>
      <c r="D459" s="26" t="str">
        <f t="array" ref="D459">sum(XLOOKUP($A459,LinkedIn_content_raw!$A$2:$A1000,LinkedIn_content_raw!$K$2:$K1000),XLOOKUP($A459,LinkedIn_content_raw!$A$2:$A1000,LinkedIn_content_raw!$N$2:$N1000),XLOOKUP($A459,LinkedIn_content_raw!$A$2:$A1000,LinkedIn_content_raw!$Q$2:$Q1000))</f>
        <v>#N/A</v>
      </c>
      <c r="E459" s="26" t="str">
        <f t="array" ref="E459">XLOOKUP($A459,LinkedIn_content_raw!$A$2:$A1000,LinkedIn_content_raw!$E$2:$E1000)</f>
        <v>#N/A</v>
      </c>
    </row>
    <row r="460">
      <c r="A460" s="26" t="str">
        <f>LinkedIn_content_raw!$A461</f>
        <v/>
      </c>
      <c r="B460" s="24" t="str">
        <f t="shared" si="1"/>
        <v/>
      </c>
      <c r="C460" s="26" t="str">
        <f t="array" ref="C460">XLOOKUP($A460,LinkedIn_follows_raw!$A$2:$A1000,LinkedIn_follows_raw!$E$2:$E1000)</f>
        <v>#N/A</v>
      </c>
      <c r="D460" s="26" t="str">
        <f t="array" ref="D460">sum(XLOOKUP($A460,LinkedIn_content_raw!$A$2:$A1000,LinkedIn_content_raw!$K$2:$K1000),XLOOKUP($A460,LinkedIn_content_raw!$A$2:$A1000,LinkedIn_content_raw!$N$2:$N1000),XLOOKUP($A460,LinkedIn_content_raw!$A$2:$A1000,LinkedIn_content_raw!$Q$2:$Q1000))</f>
        <v>#N/A</v>
      </c>
      <c r="E460" s="26" t="str">
        <f t="array" ref="E460">XLOOKUP($A460,LinkedIn_content_raw!$A$2:$A1000,LinkedIn_content_raw!$E$2:$E1000)</f>
        <v>#N/A</v>
      </c>
    </row>
    <row r="461">
      <c r="A461" s="26" t="str">
        <f>LinkedIn_content_raw!$A462</f>
        <v/>
      </c>
      <c r="B461" s="24" t="str">
        <f t="shared" si="1"/>
        <v/>
      </c>
      <c r="C461" s="26" t="str">
        <f t="array" ref="C461">XLOOKUP($A461,LinkedIn_follows_raw!$A$2:$A1000,LinkedIn_follows_raw!$E$2:$E1000)</f>
        <v>#N/A</v>
      </c>
      <c r="D461" s="26" t="str">
        <f t="array" ref="D461">sum(XLOOKUP($A461,LinkedIn_content_raw!$A$2:$A1000,LinkedIn_content_raw!$K$2:$K1000),XLOOKUP($A461,LinkedIn_content_raw!$A$2:$A1000,LinkedIn_content_raw!$N$2:$N1000),XLOOKUP($A461,LinkedIn_content_raw!$A$2:$A1000,LinkedIn_content_raw!$Q$2:$Q1000))</f>
        <v>#N/A</v>
      </c>
      <c r="E461" s="26" t="str">
        <f t="array" ref="E461">XLOOKUP($A461,LinkedIn_content_raw!$A$2:$A1000,LinkedIn_content_raw!$E$2:$E1000)</f>
        <v>#N/A</v>
      </c>
    </row>
    <row r="462">
      <c r="A462" s="26" t="str">
        <f>LinkedIn_content_raw!$A463</f>
        <v/>
      </c>
      <c r="B462" s="24" t="str">
        <f t="shared" si="1"/>
        <v/>
      </c>
      <c r="C462" s="26" t="str">
        <f t="array" ref="C462">XLOOKUP($A462,LinkedIn_follows_raw!$A$2:$A1000,LinkedIn_follows_raw!$E$2:$E1000)</f>
        <v>#N/A</v>
      </c>
      <c r="D462" s="26" t="str">
        <f t="array" ref="D462">sum(XLOOKUP($A462,LinkedIn_content_raw!$A$2:$A1000,LinkedIn_content_raw!$K$2:$K1000),XLOOKUP($A462,LinkedIn_content_raw!$A$2:$A1000,LinkedIn_content_raw!$N$2:$N1000),XLOOKUP($A462,LinkedIn_content_raw!$A$2:$A1000,LinkedIn_content_raw!$Q$2:$Q1000))</f>
        <v>#N/A</v>
      </c>
      <c r="E462" s="26" t="str">
        <f t="array" ref="E462">XLOOKUP($A462,LinkedIn_content_raw!$A$2:$A1000,LinkedIn_content_raw!$E$2:$E1000)</f>
        <v>#N/A</v>
      </c>
    </row>
    <row r="463">
      <c r="A463" s="26" t="str">
        <f>LinkedIn_content_raw!$A464</f>
        <v/>
      </c>
      <c r="B463" s="24" t="str">
        <f t="shared" si="1"/>
        <v/>
      </c>
      <c r="C463" s="26" t="str">
        <f t="array" ref="C463">XLOOKUP($A463,LinkedIn_follows_raw!$A$2:$A1000,LinkedIn_follows_raw!$E$2:$E1000)</f>
        <v>#N/A</v>
      </c>
      <c r="D463" s="26" t="str">
        <f t="array" ref="D463">sum(XLOOKUP($A463,LinkedIn_content_raw!$A$2:$A1000,LinkedIn_content_raw!$K$2:$K1000),XLOOKUP($A463,LinkedIn_content_raw!$A$2:$A1000,LinkedIn_content_raw!$N$2:$N1000),XLOOKUP($A463,LinkedIn_content_raw!$A$2:$A1000,LinkedIn_content_raw!$Q$2:$Q1000))</f>
        <v>#N/A</v>
      </c>
      <c r="E463" s="26" t="str">
        <f t="array" ref="E463">XLOOKUP($A463,LinkedIn_content_raw!$A$2:$A1000,LinkedIn_content_raw!$E$2:$E1000)</f>
        <v>#N/A</v>
      </c>
    </row>
    <row r="464">
      <c r="A464" s="26" t="str">
        <f>LinkedIn_content_raw!$A465</f>
        <v/>
      </c>
      <c r="B464" s="24" t="str">
        <f t="shared" si="1"/>
        <v/>
      </c>
      <c r="C464" s="26" t="str">
        <f t="array" ref="C464">XLOOKUP($A464,LinkedIn_follows_raw!$A$2:$A1000,LinkedIn_follows_raw!$E$2:$E1000)</f>
        <v>#N/A</v>
      </c>
      <c r="D464" s="26" t="str">
        <f t="array" ref="D464">sum(XLOOKUP($A464,LinkedIn_content_raw!$A$2:$A1000,LinkedIn_content_raw!$K$2:$K1000),XLOOKUP($A464,LinkedIn_content_raw!$A$2:$A1000,LinkedIn_content_raw!$N$2:$N1000),XLOOKUP($A464,LinkedIn_content_raw!$A$2:$A1000,LinkedIn_content_raw!$Q$2:$Q1000))</f>
        <v>#N/A</v>
      </c>
      <c r="E464" s="26" t="str">
        <f t="array" ref="E464">XLOOKUP($A464,LinkedIn_content_raw!$A$2:$A1000,LinkedIn_content_raw!$E$2:$E1000)</f>
        <v>#N/A</v>
      </c>
    </row>
    <row r="465">
      <c r="A465" s="26" t="str">
        <f>LinkedIn_content_raw!$A466</f>
        <v/>
      </c>
      <c r="B465" s="24" t="str">
        <f t="shared" si="1"/>
        <v/>
      </c>
      <c r="C465" s="26" t="str">
        <f t="array" ref="C465">XLOOKUP($A465,LinkedIn_follows_raw!$A$2:$A1000,LinkedIn_follows_raw!$E$2:$E1000)</f>
        <v>#N/A</v>
      </c>
      <c r="D465" s="26" t="str">
        <f t="array" ref="D465">sum(XLOOKUP($A465,LinkedIn_content_raw!$A$2:$A1000,LinkedIn_content_raw!$K$2:$K1000),XLOOKUP($A465,LinkedIn_content_raw!$A$2:$A1000,LinkedIn_content_raw!$N$2:$N1000),XLOOKUP($A465,LinkedIn_content_raw!$A$2:$A1000,LinkedIn_content_raw!$Q$2:$Q1000))</f>
        <v>#N/A</v>
      </c>
      <c r="E465" s="26" t="str">
        <f t="array" ref="E465">XLOOKUP($A465,LinkedIn_content_raw!$A$2:$A1000,LinkedIn_content_raw!$E$2:$E1000)</f>
        <v>#N/A</v>
      </c>
    </row>
    <row r="466">
      <c r="A466" s="26" t="str">
        <f>LinkedIn_content_raw!$A467</f>
        <v/>
      </c>
      <c r="B466" s="24" t="str">
        <f t="shared" si="1"/>
        <v/>
      </c>
      <c r="C466" s="26" t="str">
        <f t="array" ref="C466">XLOOKUP($A466,LinkedIn_follows_raw!$A$2:$A1000,LinkedIn_follows_raw!$E$2:$E1000)</f>
        <v>#N/A</v>
      </c>
      <c r="D466" s="26" t="str">
        <f t="array" ref="D466">sum(XLOOKUP($A466,LinkedIn_content_raw!$A$2:$A1000,LinkedIn_content_raw!$K$2:$K1000),XLOOKUP($A466,LinkedIn_content_raw!$A$2:$A1000,LinkedIn_content_raw!$N$2:$N1000),XLOOKUP($A466,LinkedIn_content_raw!$A$2:$A1000,LinkedIn_content_raw!$Q$2:$Q1000))</f>
        <v>#N/A</v>
      </c>
      <c r="E466" s="26" t="str">
        <f t="array" ref="E466">XLOOKUP($A466,LinkedIn_content_raw!$A$2:$A1000,LinkedIn_content_raw!$E$2:$E1000)</f>
        <v>#N/A</v>
      </c>
    </row>
    <row r="467">
      <c r="A467" s="26" t="str">
        <f>LinkedIn_content_raw!$A468</f>
        <v/>
      </c>
      <c r="B467" s="24" t="str">
        <f t="shared" si="1"/>
        <v/>
      </c>
      <c r="C467" s="26" t="str">
        <f t="array" ref="C467">XLOOKUP($A467,LinkedIn_follows_raw!$A$2:$A1000,LinkedIn_follows_raw!$E$2:$E1000)</f>
        <v>#N/A</v>
      </c>
      <c r="D467" s="26" t="str">
        <f t="array" ref="D467">sum(XLOOKUP($A467,LinkedIn_content_raw!$A$2:$A1000,LinkedIn_content_raw!$K$2:$K1000),XLOOKUP($A467,LinkedIn_content_raw!$A$2:$A1000,LinkedIn_content_raw!$N$2:$N1000),XLOOKUP($A467,LinkedIn_content_raw!$A$2:$A1000,LinkedIn_content_raw!$Q$2:$Q1000))</f>
        <v>#N/A</v>
      </c>
      <c r="E467" s="26" t="str">
        <f t="array" ref="E467">XLOOKUP($A467,LinkedIn_content_raw!$A$2:$A1000,LinkedIn_content_raw!$E$2:$E1000)</f>
        <v>#N/A</v>
      </c>
    </row>
    <row r="468">
      <c r="A468" s="26" t="str">
        <f>LinkedIn_content_raw!$A469</f>
        <v/>
      </c>
      <c r="B468" s="24" t="str">
        <f t="shared" si="1"/>
        <v/>
      </c>
      <c r="C468" s="26" t="str">
        <f t="array" ref="C468">XLOOKUP($A468,LinkedIn_follows_raw!$A$2:$A1000,LinkedIn_follows_raw!$E$2:$E1000)</f>
        <v>#N/A</v>
      </c>
      <c r="D468" s="26" t="str">
        <f t="array" ref="D468">sum(XLOOKUP($A468,LinkedIn_content_raw!$A$2:$A1000,LinkedIn_content_raw!$K$2:$K1000),XLOOKUP($A468,LinkedIn_content_raw!$A$2:$A1000,LinkedIn_content_raw!$N$2:$N1000),XLOOKUP($A468,LinkedIn_content_raw!$A$2:$A1000,LinkedIn_content_raw!$Q$2:$Q1000))</f>
        <v>#N/A</v>
      </c>
      <c r="E468" s="26" t="str">
        <f t="array" ref="E468">XLOOKUP($A468,LinkedIn_content_raw!$A$2:$A1000,LinkedIn_content_raw!$E$2:$E1000)</f>
        <v>#N/A</v>
      </c>
    </row>
    <row r="469">
      <c r="A469" s="26" t="str">
        <f>LinkedIn_content_raw!$A470</f>
        <v/>
      </c>
      <c r="B469" s="24" t="str">
        <f t="shared" si="1"/>
        <v/>
      </c>
      <c r="C469" s="26" t="str">
        <f t="array" ref="C469">XLOOKUP($A469,LinkedIn_follows_raw!$A$2:$A1000,LinkedIn_follows_raw!$E$2:$E1000)</f>
        <v>#N/A</v>
      </c>
      <c r="D469" s="26" t="str">
        <f t="array" ref="D469">sum(XLOOKUP($A469,LinkedIn_content_raw!$A$2:$A1000,LinkedIn_content_raw!$K$2:$K1000),XLOOKUP($A469,LinkedIn_content_raw!$A$2:$A1000,LinkedIn_content_raw!$N$2:$N1000),XLOOKUP($A469,LinkedIn_content_raw!$A$2:$A1000,LinkedIn_content_raw!$Q$2:$Q1000))</f>
        <v>#N/A</v>
      </c>
      <c r="E469" s="26" t="str">
        <f t="array" ref="E469">XLOOKUP($A469,LinkedIn_content_raw!$A$2:$A1000,LinkedIn_content_raw!$E$2:$E1000)</f>
        <v>#N/A</v>
      </c>
    </row>
    <row r="470">
      <c r="A470" s="26" t="str">
        <f>LinkedIn_content_raw!$A471</f>
        <v/>
      </c>
      <c r="B470" s="24" t="str">
        <f t="shared" si="1"/>
        <v/>
      </c>
      <c r="C470" s="26" t="str">
        <f t="array" ref="C470">XLOOKUP($A470,LinkedIn_follows_raw!$A$2:$A1000,LinkedIn_follows_raw!$E$2:$E1000)</f>
        <v>#N/A</v>
      </c>
      <c r="D470" s="26" t="str">
        <f t="array" ref="D470">sum(XLOOKUP($A470,LinkedIn_content_raw!$A$2:$A1000,LinkedIn_content_raw!$K$2:$K1000),XLOOKUP($A470,LinkedIn_content_raw!$A$2:$A1000,LinkedIn_content_raw!$N$2:$N1000),XLOOKUP($A470,LinkedIn_content_raw!$A$2:$A1000,LinkedIn_content_raw!$Q$2:$Q1000))</f>
        <v>#N/A</v>
      </c>
      <c r="E470" s="26" t="str">
        <f t="array" ref="E470">XLOOKUP($A470,LinkedIn_content_raw!$A$2:$A1000,LinkedIn_content_raw!$E$2:$E1000)</f>
        <v>#N/A</v>
      </c>
    </row>
    <row r="471">
      <c r="A471" s="26" t="str">
        <f>LinkedIn_content_raw!$A472</f>
        <v/>
      </c>
      <c r="B471" s="24" t="str">
        <f t="shared" si="1"/>
        <v/>
      </c>
      <c r="C471" s="26" t="str">
        <f t="array" ref="C471">XLOOKUP($A471,LinkedIn_follows_raw!$A$2:$A1000,LinkedIn_follows_raw!$E$2:$E1000)</f>
        <v>#N/A</v>
      </c>
      <c r="D471" s="26" t="str">
        <f t="array" ref="D471">sum(XLOOKUP($A471,LinkedIn_content_raw!$A$2:$A1000,LinkedIn_content_raw!$K$2:$K1000),XLOOKUP($A471,LinkedIn_content_raw!$A$2:$A1000,LinkedIn_content_raw!$N$2:$N1000),XLOOKUP($A471,LinkedIn_content_raw!$A$2:$A1000,LinkedIn_content_raw!$Q$2:$Q1000))</f>
        <v>#N/A</v>
      </c>
      <c r="E471" s="26" t="str">
        <f t="array" ref="E471">XLOOKUP($A471,LinkedIn_content_raw!$A$2:$A1000,LinkedIn_content_raw!$E$2:$E1000)</f>
        <v>#N/A</v>
      </c>
    </row>
    <row r="472">
      <c r="A472" s="26" t="str">
        <f>LinkedIn_content_raw!$A473</f>
        <v/>
      </c>
      <c r="B472" s="24" t="str">
        <f t="shared" si="1"/>
        <v/>
      </c>
      <c r="C472" s="26" t="str">
        <f t="array" ref="C472">XLOOKUP($A472,LinkedIn_follows_raw!$A$2:$A1000,LinkedIn_follows_raw!$E$2:$E1000)</f>
        <v>#N/A</v>
      </c>
      <c r="D472" s="26" t="str">
        <f t="array" ref="D472">sum(XLOOKUP($A472,LinkedIn_content_raw!$A$2:$A1000,LinkedIn_content_raw!$K$2:$K1000),XLOOKUP($A472,LinkedIn_content_raw!$A$2:$A1000,LinkedIn_content_raw!$N$2:$N1000),XLOOKUP($A472,LinkedIn_content_raw!$A$2:$A1000,LinkedIn_content_raw!$Q$2:$Q1000))</f>
        <v>#N/A</v>
      </c>
      <c r="E472" s="26" t="str">
        <f t="array" ref="E472">XLOOKUP($A472,LinkedIn_content_raw!$A$2:$A1000,LinkedIn_content_raw!$E$2:$E1000)</f>
        <v>#N/A</v>
      </c>
    </row>
    <row r="473">
      <c r="A473" s="26" t="str">
        <f>LinkedIn_content_raw!$A474</f>
        <v/>
      </c>
      <c r="B473" s="24" t="str">
        <f t="shared" si="1"/>
        <v/>
      </c>
      <c r="C473" s="26" t="str">
        <f t="array" ref="C473">XLOOKUP($A473,LinkedIn_follows_raw!$A$2:$A1000,LinkedIn_follows_raw!$E$2:$E1000)</f>
        <v>#N/A</v>
      </c>
      <c r="D473" s="26" t="str">
        <f t="array" ref="D473">sum(XLOOKUP($A473,LinkedIn_content_raw!$A$2:$A1000,LinkedIn_content_raw!$K$2:$K1000),XLOOKUP($A473,LinkedIn_content_raw!$A$2:$A1000,LinkedIn_content_raw!$N$2:$N1000),XLOOKUP($A473,LinkedIn_content_raw!$A$2:$A1000,LinkedIn_content_raw!$Q$2:$Q1000))</f>
        <v>#N/A</v>
      </c>
      <c r="E473" s="26" t="str">
        <f t="array" ref="E473">XLOOKUP($A473,LinkedIn_content_raw!$A$2:$A1000,LinkedIn_content_raw!$E$2:$E1000)</f>
        <v>#N/A</v>
      </c>
    </row>
    <row r="474">
      <c r="A474" s="26" t="str">
        <f>LinkedIn_content_raw!$A475</f>
        <v/>
      </c>
      <c r="B474" s="24" t="str">
        <f t="shared" si="1"/>
        <v/>
      </c>
      <c r="C474" s="26" t="str">
        <f t="array" ref="C474">XLOOKUP($A474,LinkedIn_follows_raw!$A$2:$A1000,LinkedIn_follows_raw!$E$2:$E1000)</f>
        <v>#N/A</v>
      </c>
      <c r="D474" s="26" t="str">
        <f t="array" ref="D474">sum(XLOOKUP($A474,LinkedIn_content_raw!$A$2:$A1000,LinkedIn_content_raw!$K$2:$K1000),XLOOKUP($A474,LinkedIn_content_raw!$A$2:$A1000,LinkedIn_content_raw!$N$2:$N1000),XLOOKUP($A474,LinkedIn_content_raw!$A$2:$A1000,LinkedIn_content_raw!$Q$2:$Q1000))</f>
        <v>#N/A</v>
      </c>
      <c r="E474" s="26" t="str">
        <f t="array" ref="E474">XLOOKUP($A474,LinkedIn_content_raw!$A$2:$A1000,LinkedIn_content_raw!$E$2:$E1000)</f>
        <v>#N/A</v>
      </c>
    </row>
    <row r="475">
      <c r="A475" s="26" t="str">
        <f>LinkedIn_content_raw!$A476</f>
        <v/>
      </c>
      <c r="B475" s="24" t="str">
        <f t="shared" si="1"/>
        <v/>
      </c>
      <c r="C475" s="26" t="str">
        <f t="array" ref="C475">XLOOKUP($A475,LinkedIn_follows_raw!$A$2:$A1000,LinkedIn_follows_raw!$E$2:$E1000)</f>
        <v>#N/A</v>
      </c>
      <c r="D475" s="26" t="str">
        <f t="array" ref="D475">sum(XLOOKUP($A475,LinkedIn_content_raw!$A$2:$A1000,LinkedIn_content_raw!$K$2:$K1000),XLOOKUP($A475,LinkedIn_content_raw!$A$2:$A1000,LinkedIn_content_raw!$N$2:$N1000),XLOOKUP($A475,LinkedIn_content_raw!$A$2:$A1000,LinkedIn_content_raw!$Q$2:$Q1000))</f>
        <v>#N/A</v>
      </c>
      <c r="E475" s="26" t="str">
        <f t="array" ref="E475">XLOOKUP($A475,LinkedIn_content_raw!$A$2:$A1000,LinkedIn_content_raw!$E$2:$E1000)</f>
        <v>#N/A</v>
      </c>
    </row>
    <row r="476">
      <c r="A476" s="26" t="str">
        <f>LinkedIn_content_raw!$A477</f>
        <v/>
      </c>
      <c r="B476" s="24" t="str">
        <f t="shared" si="1"/>
        <v/>
      </c>
      <c r="C476" s="26" t="str">
        <f t="array" ref="C476">XLOOKUP($A476,LinkedIn_follows_raw!$A$2:$A1000,LinkedIn_follows_raw!$E$2:$E1000)</f>
        <v>#N/A</v>
      </c>
      <c r="D476" s="26" t="str">
        <f t="array" ref="D476">sum(XLOOKUP($A476,LinkedIn_content_raw!$A$2:$A1000,LinkedIn_content_raw!$K$2:$K1000),XLOOKUP($A476,LinkedIn_content_raw!$A$2:$A1000,LinkedIn_content_raw!$N$2:$N1000),XLOOKUP($A476,LinkedIn_content_raw!$A$2:$A1000,LinkedIn_content_raw!$Q$2:$Q1000))</f>
        <v>#N/A</v>
      </c>
      <c r="E476" s="26" t="str">
        <f t="array" ref="E476">XLOOKUP($A476,LinkedIn_content_raw!$A$2:$A1000,LinkedIn_content_raw!$E$2:$E1000)</f>
        <v>#N/A</v>
      </c>
    </row>
    <row r="477">
      <c r="A477" s="26" t="str">
        <f>LinkedIn_content_raw!$A478</f>
        <v/>
      </c>
      <c r="B477" s="24" t="str">
        <f t="shared" si="1"/>
        <v/>
      </c>
      <c r="C477" s="26" t="str">
        <f t="array" ref="C477">XLOOKUP($A477,LinkedIn_follows_raw!$A$2:$A1000,LinkedIn_follows_raw!$E$2:$E1000)</f>
        <v>#N/A</v>
      </c>
      <c r="D477" s="26" t="str">
        <f t="array" ref="D477">sum(XLOOKUP($A477,LinkedIn_content_raw!$A$2:$A1000,LinkedIn_content_raw!$K$2:$K1000),XLOOKUP($A477,LinkedIn_content_raw!$A$2:$A1000,LinkedIn_content_raw!$N$2:$N1000),XLOOKUP($A477,LinkedIn_content_raw!$A$2:$A1000,LinkedIn_content_raw!$Q$2:$Q1000))</f>
        <v>#N/A</v>
      </c>
      <c r="E477" s="26" t="str">
        <f t="array" ref="E477">XLOOKUP($A477,LinkedIn_content_raw!$A$2:$A1000,LinkedIn_content_raw!$E$2:$E1000)</f>
        <v>#N/A</v>
      </c>
    </row>
    <row r="478">
      <c r="A478" s="26" t="str">
        <f>LinkedIn_content_raw!$A479</f>
        <v/>
      </c>
      <c r="B478" s="24" t="str">
        <f t="shared" si="1"/>
        <v/>
      </c>
      <c r="C478" s="26" t="str">
        <f t="array" ref="C478">XLOOKUP($A478,LinkedIn_follows_raw!$A$2:$A1000,LinkedIn_follows_raw!$E$2:$E1000)</f>
        <v>#N/A</v>
      </c>
      <c r="D478" s="26" t="str">
        <f t="array" ref="D478">sum(XLOOKUP($A478,LinkedIn_content_raw!$A$2:$A1000,LinkedIn_content_raw!$K$2:$K1000),XLOOKUP($A478,LinkedIn_content_raw!$A$2:$A1000,LinkedIn_content_raw!$N$2:$N1000),XLOOKUP($A478,LinkedIn_content_raw!$A$2:$A1000,LinkedIn_content_raw!$Q$2:$Q1000))</f>
        <v>#N/A</v>
      </c>
      <c r="E478" s="26" t="str">
        <f t="array" ref="E478">XLOOKUP($A478,LinkedIn_content_raw!$A$2:$A1000,LinkedIn_content_raw!$E$2:$E1000)</f>
        <v>#N/A</v>
      </c>
    </row>
    <row r="479">
      <c r="A479" s="26" t="str">
        <f>LinkedIn_content_raw!$A480</f>
        <v/>
      </c>
      <c r="B479" s="24" t="str">
        <f t="shared" si="1"/>
        <v/>
      </c>
      <c r="C479" s="26" t="str">
        <f t="array" ref="C479">XLOOKUP($A479,LinkedIn_follows_raw!$A$2:$A1000,LinkedIn_follows_raw!$E$2:$E1000)</f>
        <v>#N/A</v>
      </c>
      <c r="D479" s="26" t="str">
        <f t="array" ref="D479">sum(XLOOKUP($A479,LinkedIn_content_raw!$A$2:$A1000,LinkedIn_content_raw!$K$2:$K1000),XLOOKUP($A479,LinkedIn_content_raw!$A$2:$A1000,LinkedIn_content_raw!$N$2:$N1000),XLOOKUP($A479,LinkedIn_content_raw!$A$2:$A1000,LinkedIn_content_raw!$Q$2:$Q1000))</f>
        <v>#N/A</v>
      </c>
      <c r="E479" s="26" t="str">
        <f t="array" ref="E479">XLOOKUP($A479,LinkedIn_content_raw!$A$2:$A1000,LinkedIn_content_raw!$E$2:$E1000)</f>
        <v>#N/A</v>
      </c>
    </row>
    <row r="480">
      <c r="A480" s="26" t="str">
        <f>LinkedIn_content_raw!$A481</f>
        <v/>
      </c>
      <c r="B480" s="24" t="str">
        <f t="shared" si="1"/>
        <v/>
      </c>
      <c r="C480" s="26" t="str">
        <f t="array" ref="C480">XLOOKUP($A480,LinkedIn_follows_raw!$A$2:$A1000,LinkedIn_follows_raw!$E$2:$E1000)</f>
        <v>#N/A</v>
      </c>
      <c r="D480" s="26" t="str">
        <f t="array" ref="D480">sum(XLOOKUP($A480,LinkedIn_content_raw!$A$2:$A1000,LinkedIn_content_raw!$K$2:$K1000),XLOOKUP($A480,LinkedIn_content_raw!$A$2:$A1000,LinkedIn_content_raw!$N$2:$N1000),XLOOKUP($A480,LinkedIn_content_raw!$A$2:$A1000,LinkedIn_content_raw!$Q$2:$Q1000))</f>
        <v>#N/A</v>
      </c>
      <c r="E480" s="26" t="str">
        <f t="array" ref="E480">XLOOKUP($A480,LinkedIn_content_raw!$A$2:$A1000,LinkedIn_content_raw!$E$2:$E1000)</f>
        <v>#N/A</v>
      </c>
    </row>
    <row r="481">
      <c r="A481" s="26" t="str">
        <f>LinkedIn_content_raw!$A482</f>
        <v/>
      </c>
      <c r="B481" s="24" t="str">
        <f t="shared" si="1"/>
        <v/>
      </c>
      <c r="C481" s="26" t="str">
        <f t="array" ref="C481">XLOOKUP($A481,LinkedIn_follows_raw!$A$2:$A1000,LinkedIn_follows_raw!$E$2:$E1000)</f>
        <v>#N/A</v>
      </c>
      <c r="D481" s="26" t="str">
        <f t="array" ref="D481">sum(XLOOKUP($A481,LinkedIn_content_raw!$A$2:$A1000,LinkedIn_content_raw!$K$2:$K1000),XLOOKUP($A481,LinkedIn_content_raw!$A$2:$A1000,LinkedIn_content_raw!$N$2:$N1000),XLOOKUP($A481,LinkedIn_content_raw!$A$2:$A1000,LinkedIn_content_raw!$Q$2:$Q1000))</f>
        <v>#N/A</v>
      </c>
      <c r="E481" s="26" t="str">
        <f t="array" ref="E481">XLOOKUP($A481,LinkedIn_content_raw!$A$2:$A1000,LinkedIn_content_raw!$E$2:$E1000)</f>
        <v>#N/A</v>
      </c>
    </row>
    <row r="482">
      <c r="A482" s="26" t="str">
        <f>LinkedIn_content_raw!$A483</f>
        <v/>
      </c>
      <c r="B482" s="24" t="str">
        <f t="shared" si="1"/>
        <v/>
      </c>
      <c r="C482" s="26" t="str">
        <f t="array" ref="C482">XLOOKUP($A482,LinkedIn_follows_raw!$A$2:$A1000,LinkedIn_follows_raw!$E$2:$E1000)</f>
        <v>#N/A</v>
      </c>
      <c r="D482" s="26" t="str">
        <f t="array" ref="D482">sum(XLOOKUP($A482,LinkedIn_content_raw!$A$2:$A1000,LinkedIn_content_raw!$K$2:$K1000),XLOOKUP($A482,LinkedIn_content_raw!$A$2:$A1000,LinkedIn_content_raw!$N$2:$N1000),XLOOKUP($A482,LinkedIn_content_raw!$A$2:$A1000,LinkedIn_content_raw!$Q$2:$Q1000))</f>
        <v>#N/A</v>
      </c>
      <c r="E482" s="26" t="str">
        <f t="array" ref="E482">XLOOKUP($A482,LinkedIn_content_raw!$A$2:$A1000,LinkedIn_content_raw!$E$2:$E1000)</f>
        <v>#N/A</v>
      </c>
    </row>
    <row r="483">
      <c r="A483" s="26" t="str">
        <f>LinkedIn_content_raw!$A484</f>
        <v/>
      </c>
      <c r="B483" s="24" t="str">
        <f t="shared" si="1"/>
        <v/>
      </c>
      <c r="C483" s="26" t="str">
        <f t="array" ref="C483">XLOOKUP($A483,LinkedIn_follows_raw!$A$2:$A1000,LinkedIn_follows_raw!$E$2:$E1000)</f>
        <v>#N/A</v>
      </c>
      <c r="D483" s="26" t="str">
        <f t="array" ref="D483">sum(XLOOKUP($A483,LinkedIn_content_raw!$A$2:$A1000,LinkedIn_content_raw!$K$2:$K1000),XLOOKUP($A483,LinkedIn_content_raw!$A$2:$A1000,LinkedIn_content_raw!$N$2:$N1000),XLOOKUP($A483,LinkedIn_content_raw!$A$2:$A1000,LinkedIn_content_raw!$Q$2:$Q1000))</f>
        <v>#N/A</v>
      </c>
      <c r="E483" s="26" t="str">
        <f t="array" ref="E483">XLOOKUP($A483,LinkedIn_content_raw!$A$2:$A1000,LinkedIn_content_raw!$E$2:$E1000)</f>
        <v>#N/A</v>
      </c>
    </row>
    <row r="484">
      <c r="A484" s="26" t="str">
        <f>LinkedIn_content_raw!$A485</f>
        <v/>
      </c>
      <c r="B484" s="24" t="str">
        <f t="shared" si="1"/>
        <v/>
      </c>
      <c r="C484" s="26" t="str">
        <f t="array" ref="C484">XLOOKUP($A484,LinkedIn_follows_raw!$A$2:$A1000,LinkedIn_follows_raw!$E$2:$E1000)</f>
        <v>#N/A</v>
      </c>
      <c r="D484" s="26" t="str">
        <f t="array" ref="D484">sum(XLOOKUP($A484,LinkedIn_content_raw!$A$2:$A1000,LinkedIn_content_raw!$K$2:$K1000),XLOOKUP($A484,LinkedIn_content_raw!$A$2:$A1000,LinkedIn_content_raw!$N$2:$N1000),XLOOKUP($A484,LinkedIn_content_raw!$A$2:$A1000,LinkedIn_content_raw!$Q$2:$Q1000))</f>
        <v>#N/A</v>
      </c>
      <c r="E484" s="26" t="str">
        <f t="array" ref="E484">XLOOKUP($A484,LinkedIn_content_raw!$A$2:$A1000,LinkedIn_content_raw!$E$2:$E1000)</f>
        <v>#N/A</v>
      </c>
    </row>
    <row r="485">
      <c r="A485" s="26" t="str">
        <f>LinkedIn_content_raw!$A486</f>
        <v/>
      </c>
      <c r="B485" s="24" t="str">
        <f t="shared" si="1"/>
        <v/>
      </c>
      <c r="C485" s="26" t="str">
        <f t="array" ref="C485">XLOOKUP($A485,LinkedIn_follows_raw!$A$2:$A1000,LinkedIn_follows_raw!$E$2:$E1000)</f>
        <v>#N/A</v>
      </c>
      <c r="D485" s="26" t="str">
        <f t="array" ref="D485">sum(XLOOKUP($A485,LinkedIn_content_raw!$A$2:$A1000,LinkedIn_content_raw!$K$2:$K1000),XLOOKUP($A485,LinkedIn_content_raw!$A$2:$A1000,LinkedIn_content_raw!$N$2:$N1000),XLOOKUP($A485,LinkedIn_content_raw!$A$2:$A1000,LinkedIn_content_raw!$Q$2:$Q1000))</f>
        <v>#N/A</v>
      </c>
      <c r="E485" s="26" t="str">
        <f t="array" ref="E485">XLOOKUP($A485,LinkedIn_content_raw!$A$2:$A1000,LinkedIn_content_raw!$E$2:$E1000)</f>
        <v>#N/A</v>
      </c>
    </row>
    <row r="486">
      <c r="A486" s="26" t="str">
        <f>LinkedIn_content_raw!$A487</f>
        <v/>
      </c>
      <c r="B486" s="24" t="str">
        <f t="shared" si="1"/>
        <v/>
      </c>
      <c r="C486" s="26" t="str">
        <f t="array" ref="C486">XLOOKUP($A486,LinkedIn_follows_raw!$A$2:$A1000,LinkedIn_follows_raw!$E$2:$E1000)</f>
        <v>#N/A</v>
      </c>
      <c r="D486" s="26" t="str">
        <f t="array" ref="D486">sum(XLOOKUP($A486,LinkedIn_content_raw!$A$2:$A1000,LinkedIn_content_raw!$K$2:$K1000),XLOOKUP($A486,LinkedIn_content_raw!$A$2:$A1000,LinkedIn_content_raw!$N$2:$N1000),XLOOKUP($A486,LinkedIn_content_raw!$A$2:$A1000,LinkedIn_content_raw!$Q$2:$Q1000))</f>
        <v>#N/A</v>
      </c>
      <c r="E486" s="26" t="str">
        <f t="array" ref="E486">XLOOKUP($A486,LinkedIn_content_raw!$A$2:$A1000,LinkedIn_content_raw!$E$2:$E1000)</f>
        <v>#N/A</v>
      </c>
    </row>
    <row r="487">
      <c r="A487" s="26" t="str">
        <f>LinkedIn_content_raw!$A488</f>
        <v/>
      </c>
      <c r="B487" s="24" t="str">
        <f t="shared" si="1"/>
        <v/>
      </c>
      <c r="C487" s="26" t="str">
        <f t="array" ref="C487">XLOOKUP($A487,LinkedIn_follows_raw!$A$2:$A1000,LinkedIn_follows_raw!$E$2:$E1000)</f>
        <v>#N/A</v>
      </c>
      <c r="D487" s="26" t="str">
        <f t="array" ref="D487">sum(XLOOKUP($A487,LinkedIn_content_raw!$A$2:$A1000,LinkedIn_content_raw!$K$2:$K1000),XLOOKUP($A487,LinkedIn_content_raw!$A$2:$A1000,LinkedIn_content_raw!$N$2:$N1000),XLOOKUP($A487,LinkedIn_content_raw!$A$2:$A1000,LinkedIn_content_raw!$Q$2:$Q1000))</f>
        <v>#N/A</v>
      </c>
      <c r="E487" s="26" t="str">
        <f t="array" ref="E487">XLOOKUP($A487,LinkedIn_content_raw!$A$2:$A1000,LinkedIn_content_raw!$E$2:$E1000)</f>
        <v>#N/A</v>
      </c>
    </row>
    <row r="488">
      <c r="A488" s="26" t="str">
        <f>LinkedIn_content_raw!$A489</f>
        <v/>
      </c>
      <c r="B488" s="24" t="str">
        <f t="shared" si="1"/>
        <v/>
      </c>
      <c r="C488" s="26" t="str">
        <f t="array" ref="C488">XLOOKUP($A488,LinkedIn_follows_raw!$A$2:$A1000,LinkedIn_follows_raw!$E$2:$E1000)</f>
        <v>#N/A</v>
      </c>
      <c r="D488" s="26" t="str">
        <f t="array" ref="D488">sum(XLOOKUP($A488,LinkedIn_content_raw!$A$2:$A1000,LinkedIn_content_raw!$K$2:$K1000),XLOOKUP($A488,LinkedIn_content_raw!$A$2:$A1000,LinkedIn_content_raw!$N$2:$N1000),XLOOKUP($A488,LinkedIn_content_raw!$A$2:$A1000,LinkedIn_content_raw!$Q$2:$Q1000))</f>
        <v>#N/A</v>
      </c>
      <c r="E488" s="26" t="str">
        <f t="array" ref="E488">XLOOKUP($A488,LinkedIn_content_raw!$A$2:$A1000,LinkedIn_content_raw!$E$2:$E1000)</f>
        <v>#N/A</v>
      </c>
    </row>
    <row r="489">
      <c r="A489" s="26" t="str">
        <f>LinkedIn_content_raw!$A490</f>
        <v/>
      </c>
      <c r="B489" s="24" t="str">
        <f t="shared" si="1"/>
        <v/>
      </c>
      <c r="C489" s="26" t="str">
        <f t="array" ref="C489">XLOOKUP($A489,LinkedIn_follows_raw!$A$2:$A1000,LinkedIn_follows_raw!$E$2:$E1000)</f>
        <v>#N/A</v>
      </c>
      <c r="D489" s="26" t="str">
        <f t="array" ref="D489">sum(XLOOKUP($A489,LinkedIn_content_raw!$A$2:$A1000,LinkedIn_content_raw!$K$2:$K1000),XLOOKUP($A489,LinkedIn_content_raw!$A$2:$A1000,LinkedIn_content_raw!$N$2:$N1000),XLOOKUP($A489,LinkedIn_content_raw!$A$2:$A1000,LinkedIn_content_raw!$Q$2:$Q1000))</f>
        <v>#N/A</v>
      </c>
      <c r="E489" s="26" t="str">
        <f t="array" ref="E489">XLOOKUP($A489,LinkedIn_content_raw!$A$2:$A1000,LinkedIn_content_raw!$E$2:$E1000)</f>
        <v>#N/A</v>
      </c>
    </row>
    <row r="490">
      <c r="A490" s="26" t="str">
        <f>LinkedIn_content_raw!$A491</f>
        <v/>
      </c>
      <c r="B490" s="24" t="str">
        <f t="shared" si="1"/>
        <v/>
      </c>
      <c r="C490" s="26" t="str">
        <f t="array" ref="C490">XLOOKUP($A490,LinkedIn_follows_raw!$A$2:$A1000,LinkedIn_follows_raw!$E$2:$E1000)</f>
        <v>#N/A</v>
      </c>
      <c r="D490" s="26" t="str">
        <f t="array" ref="D490">sum(XLOOKUP($A490,LinkedIn_content_raw!$A$2:$A1000,LinkedIn_content_raw!$K$2:$K1000),XLOOKUP($A490,LinkedIn_content_raw!$A$2:$A1000,LinkedIn_content_raw!$N$2:$N1000),XLOOKUP($A490,LinkedIn_content_raw!$A$2:$A1000,LinkedIn_content_raw!$Q$2:$Q1000))</f>
        <v>#N/A</v>
      </c>
      <c r="E490" s="26" t="str">
        <f t="array" ref="E490">XLOOKUP($A490,LinkedIn_content_raw!$A$2:$A1000,LinkedIn_content_raw!$E$2:$E1000)</f>
        <v>#N/A</v>
      </c>
    </row>
    <row r="491">
      <c r="A491" s="26" t="str">
        <f>LinkedIn_content_raw!$A492</f>
        <v/>
      </c>
      <c r="B491" s="24" t="str">
        <f t="shared" si="1"/>
        <v/>
      </c>
      <c r="C491" s="26" t="str">
        <f t="array" ref="C491">XLOOKUP($A491,LinkedIn_follows_raw!$A$2:$A1000,LinkedIn_follows_raw!$E$2:$E1000)</f>
        <v>#N/A</v>
      </c>
      <c r="D491" s="26" t="str">
        <f t="array" ref="D491">sum(XLOOKUP($A491,LinkedIn_content_raw!$A$2:$A1000,LinkedIn_content_raw!$K$2:$K1000),XLOOKUP($A491,LinkedIn_content_raw!$A$2:$A1000,LinkedIn_content_raw!$N$2:$N1000),XLOOKUP($A491,LinkedIn_content_raw!$A$2:$A1000,LinkedIn_content_raw!$Q$2:$Q1000))</f>
        <v>#N/A</v>
      </c>
      <c r="E491" s="26" t="str">
        <f t="array" ref="E491">XLOOKUP($A491,LinkedIn_content_raw!$A$2:$A1000,LinkedIn_content_raw!$E$2:$E1000)</f>
        <v>#N/A</v>
      </c>
    </row>
    <row r="492">
      <c r="A492" s="26" t="str">
        <f>LinkedIn_content_raw!$A493</f>
        <v/>
      </c>
      <c r="B492" s="24" t="str">
        <f t="shared" si="1"/>
        <v/>
      </c>
      <c r="C492" s="26" t="str">
        <f t="array" ref="C492">XLOOKUP($A492,LinkedIn_follows_raw!$A$2:$A1000,LinkedIn_follows_raw!$E$2:$E1000)</f>
        <v>#N/A</v>
      </c>
      <c r="D492" s="26" t="str">
        <f t="array" ref="D492">sum(XLOOKUP($A492,LinkedIn_content_raw!$A$2:$A1000,LinkedIn_content_raw!$K$2:$K1000),XLOOKUP($A492,LinkedIn_content_raw!$A$2:$A1000,LinkedIn_content_raw!$N$2:$N1000),XLOOKUP($A492,LinkedIn_content_raw!$A$2:$A1000,LinkedIn_content_raw!$Q$2:$Q1000))</f>
        <v>#N/A</v>
      </c>
      <c r="E492" s="26" t="str">
        <f t="array" ref="E492">XLOOKUP($A492,LinkedIn_content_raw!$A$2:$A1000,LinkedIn_content_raw!$E$2:$E1000)</f>
        <v>#N/A</v>
      </c>
    </row>
    <row r="493">
      <c r="A493" s="26" t="str">
        <f>LinkedIn_content_raw!$A494</f>
        <v/>
      </c>
      <c r="B493" s="24" t="str">
        <f t="shared" si="1"/>
        <v/>
      </c>
      <c r="C493" s="26" t="str">
        <f t="array" ref="C493">XLOOKUP($A493,LinkedIn_follows_raw!$A$2:$A1000,LinkedIn_follows_raw!$E$2:$E1000)</f>
        <v>#N/A</v>
      </c>
      <c r="D493" s="26" t="str">
        <f t="array" ref="D493">sum(XLOOKUP($A493,LinkedIn_content_raw!$A$2:$A1000,LinkedIn_content_raw!$K$2:$K1000),XLOOKUP($A493,LinkedIn_content_raw!$A$2:$A1000,LinkedIn_content_raw!$N$2:$N1000),XLOOKUP($A493,LinkedIn_content_raw!$A$2:$A1000,LinkedIn_content_raw!$Q$2:$Q1000))</f>
        <v>#N/A</v>
      </c>
      <c r="E493" s="26" t="str">
        <f t="array" ref="E493">XLOOKUP($A493,LinkedIn_content_raw!$A$2:$A1000,LinkedIn_content_raw!$E$2:$E1000)</f>
        <v>#N/A</v>
      </c>
    </row>
    <row r="494">
      <c r="A494" s="26" t="str">
        <f>LinkedIn_content_raw!$A495</f>
        <v/>
      </c>
      <c r="B494" s="24" t="str">
        <f t="shared" si="1"/>
        <v/>
      </c>
      <c r="C494" s="26" t="str">
        <f t="array" ref="C494">XLOOKUP($A494,LinkedIn_follows_raw!$A$2:$A1000,LinkedIn_follows_raw!$E$2:$E1000)</f>
        <v>#N/A</v>
      </c>
      <c r="D494" s="26" t="str">
        <f t="array" ref="D494">sum(XLOOKUP($A494,LinkedIn_content_raw!$A$2:$A1000,LinkedIn_content_raw!$K$2:$K1000),XLOOKUP($A494,LinkedIn_content_raw!$A$2:$A1000,LinkedIn_content_raw!$N$2:$N1000),XLOOKUP($A494,LinkedIn_content_raw!$A$2:$A1000,LinkedIn_content_raw!$Q$2:$Q1000))</f>
        <v>#N/A</v>
      </c>
      <c r="E494" s="26" t="str">
        <f t="array" ref="E494">XLOOKUP($A494,LinkedIn_content_raw!$A$2:$A1000,LinkedIn_content_raw!$E$2:$E1000)</f>
        <v>#N/A</v>
      </c>
    </row>
    <row r="495">
      <c r="A495" s="26" t="str">
        <f>LinkedIn_content_raw!$A496</f>
        <v/>
      </c>
      <c r="B495" s="24" t="str">
        <f t="shared" si="1"/>
        <v/>
      </c>
      <c r="C495" s="26" t="str">
        <f t="array" ref="C495">XLOOKUP($A495,LinkedIn_follows_raw!$A$2:$A1000,LinkedIn_follows_raw!$E$2:$E1000)</f>
        <v>#N/A</v>
      </c>
      <c r="D495" s="26" t="str">
        <f t="array" ref="D495">sum(XLOOKUP($A495,LinkedIn_content_raw!$A$2:$A1000,LinkedIn_content_raw!$K$2:$K1000),XLOOKUP($A495,LinkedIn_content_raw!$A$2:$A1000,LinkedIn_content_raw!$N$2:$N1000),XLOOKUP($A495,LinkedIn_content_raw!$A$2:$A1000,LinkedIn_content_raw!$Q$2:$Q1000))</f>
        <v>#N/A</v>
      </c>
      <c r="E495" s="26" t="str">
        <f t="array" ref="E495">XLOOKUP($A495,LinkedIn_content_raw!$A$2:$A1000,LinkedIn_content_raw!$E$2:$E1000)</f>
        <v>#N/A</v>
      </c>
    </row>
    <row r="496">
      <c r="A496" s="26" t="str">
        <f>LinkedIn_content_raw!$A497</f>
        <v/>
      </c>
      <c r="B496" s="24" t="str">
        <f t="shared" si="1"/>
        <v/>
      </c>
      <c r="C496" s="26" t="str">
        <f t="array" ref="C496">XLOOKUP($A496,LinkedIn_follows_raw!$A$2:$A1000,LinkedIn_follows_raw!$E$2:$E1000)</f>
        <v>#N/A</v>
      </c>
      <c r="D496" s="26" t="str">
        <f t="array" ref="D496">sum(XLOOKUP($A496,LinkedIn_content_raw!$A$2:$A1000,LinkedIn_content_raw!$K$2:$K1000),XLOOKUP($A496,LinkedIn_content_raw!$A$2:$A1000,LinkedIn_content_raw!$N$2:$N1000),XLOOKUP($A496,LinkedIn_content_raw!$A$2:$A1000,LinkedIn_content_raw!$Q$2:$Q1000))</f>
        <v>#N/A</v>
      </c>
      <c r="E496" s="26" t="str">
        <f t="array" ref="E496">XLOOKUP($A496,LinkedIn_content_raw!$A$2:$A1000,LinkedIn_content_raw!$E$2:$E1000)</f>
        <v>#N/A</v>
      </c>
    </row>
    <row r="497">
      <c r="A497" s="26" t="str">
        <f>LinkedIn_content_raw!$A498</f>
        <v/>
      </c>
      <c r="B497" s="24" t="str">
        <f t="shared" si="1"/>
        <v/>
      </c>
      <c r="C497" s="26" t="str">
        <f t="array" ref="C497">XLOOKUP($A497,LinkedIn_follows_raw!$A$2:$A1000,LinkedIn_follows_raw!$E$2:$E1000)</f>
        <v>#N/A</v>
      </c>
      <c r="D497" s="26" t="str">
        <f t="array" ref="D497">sum(XLOOKUP($A497,LinkedIn_content_raw!$A$2:$A1000,LinkedIn_content_raw!$K$2:$K1000),XLOOKUP($A497,LinkedIn_content_raw!$A$2:$A1000,LinkedIn_content_raw!$N$2:$N1000),XLOOKUP($A497,LinkedIn_content_raw!$A$2:$A1000,LinkedIn_content_raw!$Q$2:$Q1000))</f>
        <v>#N/A</v>
      </c>
      <c r="E497" s="26" t="str">
        <f t="array" ref="E497">XLOOKUP($A497,LinkedIn_content_raw!$A$2:$A1000,LinkedIn_content_raw!$E$2:$E1000)</f>
        <v>#N/A</v>
      </c>
    </row>
    <row r="498">
      <c r="A498" s="26" t="str">
        <f>LinkedIn_content_raw!$A499</f>
        <v/>
      </c>
      <c r="B498" s="24" t="str">
        <f t="shared" si="1"/>
        <v/>
      </c>
      <c r="C498" s="26" t="str">
        <f t="array" ref="C498">XLOOKUP($A498,LinkedIn_follows_raw!$A$2:$A1000,LinkedIn_follows_raw!$E$2:$E1000)</f>
        <v>#N/A</v>
      </c>
      <c r="D498" s="26" t="str">
        <f t="array" ref="D498">sum(XLOOKUP($A498,LinkedIn_content_raw!$A$2:$A1000,LinkedIn_content_raw!$K$2:$K1000),XLOOKUP($A498,LinkedIn_content_raw!$A$2:$A1000,LinkedIn_content_raw!$N$2:$N1000),XLOOKUP($A498,LinkedIn_content_raw!$A$2:$A1000,LinkedIn_content_raw!$Q$2:$Q1000))</f>
        <v>#N/A</v>
      </c>
      <c r="E498" s="26" t="str">
        <f t="array" ref="E498">XLOOKUP($A498,LinkedIn_content_raw!$A$2:$A1000,LinkedIn_content_raw!$E$2:$E1000)</f>
        <v>#N/A</v>
      </c>
    </row>
    <row r="499">
      <c r="A499" s="26" t="str">
        <f>LinkedIn_content_raw!$A500</f>
        <v/>
      </c>
      <c r="B499" s="24" t="str">
        <f t="shared" si="1"/>
        <v/>
      </c>
      <c r="C499" s="26" t="str">
        <f t="array" ref="C499">XLOOKUP($A499,LinkedIn_follows_raw!$A$2:$A1000,LinkedIn_follows_raw!$E$2:$E1000)</f>
        <v>#N/A</v>
      </c>
      <c r="D499" s="26" t="str">
        <f t="array" ref="D499">sum(XLOOKUP($A499,LinkedIn_content_raw!$A$2:$A1000,LinkedIn_content_raw!$K$2:$K1000),XLOOKUP($A499,LinkedIn_content_raw!$A$2:$A1000,LinkedIn_content_raw!$N$2:$N1000),XLOOKUP($A499,LinkedIn_content_raw!$A$2:$A1000,LinkedIn_content_raw!$Q$2:$Q1000))</f>
        <v>#N/A</v>
      </c>
      <c r="E499" s="26" t="str">
        <f t="array" ref="E499">XLOOKUP($A499,LinkedIn_content_raw!$A$2:$A1000,LinkedIn_content_raw!$E$2:$E1000)</f>
        <v>#N/A</v>
      </c>
    </row>
    <row r="500">
      <c r="A500" s="26" t="str">
        <f>LinkedIn_content_raw!$A501</f>
        <v/>
      </c>
      <c r="B500" s="24" t="str">
        <f t="shared" si="1"/>
        <v/>
      </c>
      <c r="C500" s="26" t="str">
        <f t="array" ref="C500">XLOOKUP($A500,LinkedIn_follows_raw!$A$2:$A1000,LinkedIn_follows_raw!$E$2:$E1000)</f>
        <v>#N/A</v>
      </c>
      <c r="D500" s="26" t="str">
        <f t="array" ref="D500">sum(XLOOKUP($A500,LinkedIn_content_raw!$A$2:$A1000,LinkedIn_content_raw!$K$2:$K1000),XLOOKUP($A500,LinkedIn_content_raw!$A$2:$A1000,LinkedIn_content_raw!$N$2:$N1000),XLOOKUP($A500,LinkedIn_content_raw!$A$2:$A1000,LinkedIn_content_raw!$Q$2:$Q1000))</f>
        <v>#N/A</v>
      </c>
      <c r="E500" s="26" t="str">
        <f t="array" ref="E500">XLOOKUP($A500,LinkedIn_content_raw!$A$2:$A1000,LinkedIn_content_raw!$E$2:$E1000)</f>
        <v>#N/A</v>
      </c>
    </row>
    <row r="501">
      <c r="A501" s="26" t="str">
        <f>LinkedIn_content_raw!$A502</f>
        <v/>
      </c>
      <c r="B501" s="24" t="str">
        <f t="shared" si="1"/>
        <v/>
      </c>
      <c r="C501" s="26" t="str">
        <f t="array" ref="C501">XLOOKUP($A501,LinkedIn_follows_raw!$A$2:$A1000,LinkedIn_follows_raw!$E$2:$E1000)</f>
        <v>#N/A</v>
      </c>
      <c r="D501" s="26" t="str">
        <f t="array" ref="D501">sum(XLOOKUP($A501,LinkedIn_content_raw!$A$2:$A1000,LinkedIn_content_raw!$K$2:$K1000),XLOOKUP($A501,LinkedIn_content_raw!$A$2:$A1000,LinkedIn_content_raw!$N$2:$N1000),XLOOKUP($A501,LinkedIn_content_raw!$A$2:$A1000,LinkedIn_content_raw!$Q$2:$Q1000))</f>
        <v>#N/A</v>
      </c>
      <c r="E501" s="26" t="str">
        <f t="array" ref="E501">XLOOKUP($A501,LinkedIn_content_raw!$A$2:$A1000,LinkedIn_content_raw!$E$2:$E1000)</f>
        <v>#N/A</v>
      </c>
    </row>
    <row r="502">
      <c r="A502" s="26" t="str">
        <f>LinkedIn_content_raw!$A503</f>
        <v/>
      </c>
      <c r="B502" s="24" t="str">
        <f t="shared" si="1"/>
        <v/>
      </c>
      <c r="C502" s="26" t="str">
        <f t="array" ref="C502">XLOOKUP($A502,LinkedIn_follows_raw!$A$2:$A1000,LinkedIn_follows_raw!$E$2:$E1000)</f>
        <v>#N/A</v>
      </c>
      <c r="D502" s="26" t="str">
        <f t="array" ref="D502">sum(XLOOKUP($A502,LinkedIn_content_raw!$A$2:$A1000,LinkedIn_content_raw!$K$2:$K1000),XLOOKUP($A502,LinkedIn_content_raw!$A$2:$A1000,LinkedIn_content_raw!$N$2:$N1000),XLOOKUP($A502,LinkedIn_content_raw!$A$2:$A1000,LinkedIn_content_raw!$Q$2:$Q1000))</f>
        <v>#N/A</v>
      </c>
      <c r="E502" s="26" t="str">
        <f t="array" ref="E502">XLOOKUP($A502,LinkedIn_content_raw!$A$2:$A1000,LinkedIn_content_raw!$E$2:$E1000)</f>
        <v>#N/A</v>
      </c>
    </row>
    <row r="503">
      <c r="A503" s="26" t="str">
        <f>LinkedIn_content_raw!$A504</f>
        <v/>
      </c>
      <c r="B503" s="24" t="str">
        <f t="shared" si="1"/>
        <v/>
      </c>
      <c r="C503" s="26" t="str">
        <f t="array" ref="C503">XLOOKUP($A503,LinkedIn_follows_raw!$A$2:$A1000,LinkedIn_follows_raw!$E$2:$E1000)</f>
        <v>#N/A</v>
      </c>
      <c r="D503" s="26" t="str">
        <f t="array" ref="D503">sum(XLOOKUP($A503,LinkedIn_content_raw!$A$2:$A1000,LinkedIn_content_raw!$K$2:$K1000),XLOOKUP($A503,LinkedIn_content_raw!$A$2:$A1000,LinkedIn_content_raw!$N$2:$N1000),XLOOKUP($A503,LinkedIn_content_raw!$A$2:$A1000,LinkedIn_content_raw!$Q$2:$Q1000))</f>
        <v>#N/A</v>
      </c>
      <c r="E503" s="26" t="str">
        <f t="array" ref="E503">XLOOKUP($A503,LinkedIn_content_raw!$A$2:$A1000,LinkedIn_content_raw!$E$2:$E1000)</f>
        <v>#N/A</v>
      </c>
    </row>
    <row r="504">
      <c r="A504" s="26" t="str">
        <f>LinkedIn_content_raw!$A505</f>
        <v/>
      </c>
      <c r="B504" s="24" t="str">
        <f t="shared" si="1"/>
        <v/>
      </c>
      <c r="C504" s="26" t="str">
        <f t="array" ref="C504">XLOOKUP($A504,LinkedIn_follows_raw!$A$2:$A1000,LinkedIn_follows_raw!$E$2:$E1000)</f>
        <v>#N/A</v>
      </c>
      <c r="D504" s="26" t="str">
        <f t="array" ref="D504">sum(XLOOKUP($A504,LinkedIn_content_raw!$A$2:$A1000,LinkedIn_content_raw!$K$2:$K1000),XLOOKUP($A504,LinkedIn_content_raw!$A$2:$A1000,LinkedIn_content_raw!$N$2:$N1000),XLOOKUP($A504,LinkedIn_content_raw!$A$2:$A1000,LinkedIn_content_raw!$Q$2:$Q1000))</f>
        <v>#N/A</v>
      </c>
      <c r="E504" s="26" t="str">
        <f t="array" ref="E504">XLOOKUP($A504,LinkedIn_content_raw!$A$2:$A1000,LinkedIn_content_raw!$E$2:$E1000)</f>
        <v>#N/A</v>
      </c>
    </row>
    <row r="505">
      <c r="A505" s="26" t="str">
        <f>LinkedIn_content_raw!$A506</f>
        <v/>
      </c>
      <c r="B505" s="24" t="str">
        <f t="shared" si="1"/>
        <v/>
      </c>
      <c r="C505" s="26" t="str">
        <f t="array" ref="C505">XLOOKUP($A505,LinkedIn_follows_raw!$A$2:$A1000,LinkedIn_follows_raw!$E$2:$E1000)</f>
        <v>#N/A</v>
      </c>
      <c r="D505" s="26" t="str">
        <f t="array" ref="D505">sum(XLOOKUP($A505,LinkedIn_content_raw!$A$2:$A1000,LinkedIn_content_raw!$K$2:$K1000),XLOOKUP($A505,LinkedIn_content_raw!$A$2:$A1000,LinkedIn_content_raw!$N$2:$N1000),XLOOKUP($A505,LinkedIn_content_raw!$A$2:$A1000,LinkedIn_content_raw!$Q$2:$Q1000))</f>
        <v>#N/A</v>
      </c>
      <c r="E505" s="26" t="str">
        <f t="array" ref="E505">XLOOKUP($A505,LinkedIn_content_raw!$A$2:$A1000,LinkedIn_content_raw!$E$2:$E1000)</f>
        <v>#N/A</v>
      </c>
    </row>
    <row r="506">
      <c r="A506" s="26" t="str">
        <f>LinkedIn_content_raw!$A507</f>
        <v/>
      </c>
      <c r="B506" s="24" t="str">
        <f t="shared" si="1"/>
        <v/>
      </c>
      <c r="C506" s="26" t="str">
        <f t="array" ref="C506">XLOOKUP($A506,LinkedIn_follows_raw!$A$2:$A1000,LinkedIn_follows_raw!$E$2:$E1000)</f>
        <v>#N/A</v>
      </c>
      <c r="D506" s="26" t="str">
        <f t="array" ref="D506">sum(XLOOKUP($A506,LinkedIn_content_raw!$A$2:$A1000,LinkedIn_content_raw!$K$2:$K1000),XLOOKUP($A506,LinkedIn_content_raw!$A$2:$A1000,LinkedIn_content_raw!$N$2:$N1000),XLOOKUP($A506,LinkedIn_content_raw!$A$2:$A1000,LinkedIn_content_raw!$Q$2:$Q1000))</f>
        <v>#N/A</v>
      </c>
      <c r="E506" s="26" t="str">
        <f t="array" ref="E506">XLOOKUP($A506,LinkedIn_content_raw!$A$2:$A1000,LinkedIn_content_raw!$E$2:$E1000)</f>
        <v>#N/A</v>
      </c>
    </row>
    <row r="507">
      <c r="A507" s="26" t="str">
        <f>LinkedIn_content_raw!$A508</f>
        <v/>
      </c>
      <c r="B507" s="24" t="str">
        <f t="shared" si="1"/>
        <v/>
      </c>
      <c r="C507" s="26" t="str">
        <f t="array" ref="C507">XLOOKUP($A507,LinkedIn_follows_raw!$A$2:$A1000,LinkedIn_follows_raw!$E$2:$E1000)</f>
        <v>#N/A</v>
      </c>
      <c r="D507" s="26" t="str">
        <f t="array" ref="D507">sum(XLOOKUP($A507,LinkedIn_content_raw!$A$2:$A1000,LinkedIn_content_raw!$K$2:$K1000),XLOOKUP($A507,LinkedIn_content_raw!$A$2:$A1000,LinkedIn_content_raw!$N$2:$N1000),XLOOKUP($A507,LinkedIn_content_raw!$A$2:$A1000,LinkedIn_content_raw!$Q$2:$Q1000))</f>
        <v>#N/A</v>
      </c>
      <c r="E507" s="26" t="str">
        <f t="array" ref="E507">XLOOKUP($A507,LinkedIn_content_raw!$A$2:$A1000,LinkedIn_content_raw!$E$2:$E1000)</f>
        <v>#N/A</v>
      </c>
    </row>
    <row r="508">
      <c r="A508" s="26" t="str">
        <f>LinkedIn_content_raw!$A509</f>
        <v/>
      </c>
      <c r="B508" s="24" t="str">
        <f t="shared" si="1"/>
        <v/>
      </c>
      <c r="C508" s="26" t="str">
        <f t="array" ref="C508">XLOOKUP($A508,LinkedIn_follows_raw!$A$2:$A1000,LinkedIn_follows_raw!$E$2:$E1000)</f>
        <v>#N/A</v>
      </c>
      <c r="D508" s="26" t="str">
        <f t="array" ref="D508">sum(XLOOKUP($A508,LinkedIn_content_raw!$A$2:$A1000,LinkedIn_content_raw!$K$2:$K1000),XLOOKUP($A508,LinkedIn_content_raw!$A$2:$A1000,LinkedIn_content_raw!$N$2:$N1000),XLOOKUP($A508,LinkedIn_content_raw!$A$2:$A1000,LinkedIn_content_raw!$Q$2:$Q1000))</f>
        <v>#N/A</v>
      </c>
      <c r="E508" s="26" t="str">
        <f t="array" ref="E508">XLOOKUP($A508,LinkedIn_content_raw!$A$2:$A1000,LinkedIn_content_raw!$E$2:$E1000)</f>
        <v>#N/A</v>
      </c>
    </row>
    <row r="509">
      <c r="A509" s="26" t="str">
        <f>LinkedIn_content_raw!$A510</f>
        <v/>
      </c>
      <c r="B509" s="24" t="str">
        <f t="shared" si="1"/>
        <v/>
      </c>
      <c r="C509" s="26" t="str">
        <f t="array" ref="C509">XLOOKUP($A509,LinkedIn_follows_raw!$A$2:$A1000,LinkedIn_follows_raw!$E$2:$E1000)</f>
        <v>#N/A</v>
      </c>
      <c r="D509" s="26" t="str">
        <f t="array" ref="D509">sum(XLOOKUP($A509,LinkedIn_content_raw!$A$2:$A1000,LinkedIn_content_raw!$K$2:$K1000),XLOOKUP($A509,LinkedIn_content_raw!$A$2:$A1000,LinkedIn_content_raw!$N$2:$N1000),XLOOKUP($A509,LinkedIn_content_raw!$A$2:$A1000,LinkedIn_content_raw!$Q$2:$Q1000))</f>
        <v>#N/A</v>
      </c>
      <c r="E509" s="26" t="str">
        <f t="array" ref="E509">XLOOKUP($A509,LinkedIn_content_raw!$A$2:$A1000,LinkedIn_content_raw!$E$2:$E1000)</f>
        <v>#N/A</v>
      </c>
    </row>
    <row r="510">
      <c r="A510" s="26" t="str">
        <f>LinkedIn_content_raw!$A511</f>
        <v/>
      </c>
      <c r="B510" s="24" t="str">
        <f t="shared" si="1"/>
        <v/>
      </c>
      <c r="C510" s="26" t="str">
        <f t="array" ref="C510">XLOOKUP($A510,LinkedIn_follows_raw!$A$2:$A1000,LinkedIn_follows_raw!$E$2:$E1000)</f>
        <v>#N/A</v>
      </c>
      <c r="D510" s="26" t="str">
        <f t="array" ref="D510">sum(XLOOKUP($A510,LinkedIn_content_raw!$A$2:$A1000,LinkedIn_content_raw!$K$2:$K1000),XLOOKUP($A510,LinkedIn_content_raw!$A$2:$A1000,LinkedIn_content_raw!$N$2:$N1000),XLOOKUP($A510,LinkedIn_content_raw!$A$2:$A1000,LinkedIn_content_raw!$Q$2:$Q1000))</f>
        <v>#N/A</v>
      </c>
      <c r="E510" s="26" t="str">
        <f t="array" ref="E510">XLOOKUP($A510,LinkedIn_content_raw!$A$2:$A1000,LinkedIn_content_raw!$E$2:$E1000)</f>
        <v>#N/A</v>
      </c>
    </row>
    <row r="511">
      <c r="A511" s="26" t="str">
        <f>LinkedIn_content_raw!$A512</f>
        <v/>
      </c>
      <c r="B511" s="24" t="str">
        <f t="shared" si="1"/>
        <v/>
      </c>
      <c r="C511" s="26" t="str">
        <f t="array" ref="C511">XLOOKUP($A511,LinkedIn_follows_raw!$A$2:$A1000,LinkedIn_follows_raw!$E$2:$E1000)</f>
        <v>#N/A</v>
      </c>
      <c r="D511" s="26" t="str">
        <f t="array" ref="D511">sum(XLOOKUP($A511,LinkedIn_content_raw!$A$2:$A1000,LinkedIn_content_raw!$K$2:$K1000),XLOOKUP($A511,LinkedIn_content_raw!$A$2:$A1000,LinkedIn_content_raw!$N$2:$N1000),XLOOKUP($A511,LinkedIn_content_raw!$A$2:$A1000,LinkedIn_content_raw!$Q$2:$Q1000))</f>
        <v>#N/A</v>
      </c>
      <c r="E511" s="26" t="str">
        <f t="array" ref="E511">XLOOKUP($A511,LinkedIn_content_raw!$A$2:$A1000,LinkedIn_content_raw!$E$2:$E1000)</f>
        <v>#N/A</v>
      </c>
    </row>
    <row r="512">
      <c r="A512" s="26" t="str">
        <f>LinkedIn_content_raw!$A513</f>
        <v/>
      </c>
      <c r="B512" s="24" t="str">
        <f t="shared" si="1"/>
        <v/>
      </c>
      <c r="C512" s="26" t="str">
        <f t="array" ref="C512">XLOOKUP($A512,LinkedIn_follows_raw!$A$2:$A1000,LinkedIn_follows_raw!$E$2:$E1000)</f>
        <v>#N/A</v>
      </c>
      <c r="D512" s="26" t="str">
        <f t="array" ref="D512">sum(XLOOKUP($A512,LinkedIn_content_raw!$A$2:$A1000,LinkedIn_content_raw!$K$2:$K1000),XLOOKUP($A512,LinkedIn_content_raw!$A$2:$A1000,LinkedIn_content_raw!$N$2:$N1000),XLOOKUP($A512,LinkedIn_content_raw!$A$2:$A1000,LinkedIn_content_raw!$Q$2:$Q1000))</f>
        <v>#N/A</v>
      </c>
      <c r="E512" s="26" t="str">
        <f t="array" ref="E512">XLOOKUP($A512,LinkedIn_content_raw!$A$2:$A1000,LinkedIn_content_raw!$E$2:$E1000)</f>
        <v>#N/A</v>
      </c>
    </row>
    <row r="513">
      <c r="A513" s="26" t="str">
        <f>LinkedIn_content_raw!$A514</f>
        <v/>
      </c>
      <c r="B513" s="24" t="str">
        <f t="shared" si="1"/>
        <v/>
      </c>
      <c r="C513" s="26" t="str">
        <f t="array" ref="C513">XLOOKUP($A513,LinkedIn_follows_raw!$A$2:$A1000,LinkedIn_follows_raw!$E$2:$E1000)</f>
        <v>#N/A</v>
      </c>
      <c r="D513" s="26" t="str">
        <f t="array" ref="D513">sum(XLOOKUP($A513,LinkedIn_content_raw!$A$2:$A1000,LinkedIn_content_raw!$K$2:$K1000),XLOOKUP($A513,LinkedIn_content_raw!$A$2:$A1000,LinkedIn_content_raw!$N$2:$N1000),XLOOKUP($A513,LinkedIn_content_raw!$A$2:$A1000,LinkedIn_content_raw!$Q$2:$Q1000))</f>
        <v>#N/A</v>
      </c>
      <c r="E513" s="26" t="str">
        <f t="array" ref="E513">XLOOKUP($A513,LinkedIn_content_raw!$A$2:$A1000,LinkedIn_content_raw!$E$2:$E1000)</f>
        <v>#N/A</v>
      </c>
    </row>
    <row r="514">
      <c r="A514" s="26" t="str">
        <f>LinkedIn_content_raw!$A515</f>
        <v/>
      </c>
      <c r="B514" s="24" t="str">
        <f t="shared" si="1"/>
        <v/>
      </c>
      <c r="C514" s="26" t="str">
        <f t="array" ref="C514">XLOOKUP($A514,LinkedIn_follows_raw!$A$2:$A1000,LinkedIn_follows_raw!$E$2:$E1000)</f>
        <v>#N/A</v>
      </c>
      <c r="D514" s="26" t="str">
        <f t="array" ref="D514">sum(XLOOKUP($A514,LinkedIn_content_raw!$A$2:$A1000,LinkedIn_content_raw!$K$2:$K1000),XLOOKUP($A514,LinkedIn_content_raw!$A$2:$A1000,LinkedIn_content_raw!$N$2:$N1000),XLOOKUP($A514,LinkedIn_content_raw!$A$2:$A1000,LinkedIn_content_raw!$Q$2:$Q1000))</f>
        <v>#N/A</v>
      </c>
      <c r="E514" s="26" t="str">
        <f t="array" ref="E514">XLOOKUP($A514,LinkedIn_content_raw!$A$2:$A1000,LinkedIn_content_raw!$E$2:$E1000)</f>
        <v>#N/A</v>
      </c>
    </row>
    <row r="515">
      <c r="A515" s="26" t="str">
        <f>LinkedIn_content_raw!$A516</f>
        <v/>
      </c>
      <c r="B515" s="24" t="str">
        <f t="shared" si="1"/>
        <v/>
      </c>
      <c r="C515" s="26" t="str">
        <f t="array" ref="C515">XLOOKUP($A515,LinkedIn_follows_raw!$A$2:$A1000,LinkedIn_follows_raw!$E$2:$E1000)</f>
        <v>#N/A</v>
      </c>
      <c r="D515" s="26" t="str">
        <f t="array" ref="D515">sum(XLOOKUP($A515,LinkedIn_content_raw!$A$2:$A1000,LinkedIn_content_raw!$K$2:$K1000),XLOOKUP($A515,LinkedIn_content_raw!$A$2:$A1000,LinkedIn_content_raw!$N$2:$N1000),XLOOKUP($A515,LinkedIn_content_raw!$A$2:$A1000,LinkedIn_content_raw!$Q$2:$Q1000))</f>
        <v>#N/A</v>
      </c>
      <c r="E515" s="26" t="str">
        <f t="array" ref="E515">XLOOKUP($A515,LinkedIn_content_raw!$A$2:$A1000,LinkedIn_content_raw!$E$2:$E1000)</f>
        <v>#N/A</v>
      </c>
    </row>
    <row r="516">
      <c r="A516" s="26" t="str">
        <f>LinkedIn_content_raw!$A517</f>
        <v/>
      </c>
      <c r="B516" s="24" t="str">
        <f t="shared" si="1"/>
        <v/>
      </c>
      <c r="C516" s="26" t="str">
        <f t="array" ref="C516">XLOOKUP($A516,LinkedIn_follows_raw!$A$2:$A1000,LinkedIn_follows_raw!$E$2:$E1000)</f>
        <v>#N/A</v>
      </c>
      <c r="D516" s="26" t="str">
        <f t="array" ref="D516">sum(XLOOKUP($A516,LinkedIn_content_raw!$A$2:$A1000,LinkedIn_content_raw!$K$2:$K1000),XLOOKUP($A516,LinkedIn_content_raw!$A$2:$A1000,LinkedIn_content_raw!$N$2:$N1000),XLOOKUP($A516,LinkedIn_content_raw!$A$2:$A1000,LinkedIn_content_raw!$Q$2:$Q1000))</f>
        <v>#N/A</v>
      </c>
      <c r="E516" s="26" t="str">
        <f t="array" ref="E516">XLOOKUP($A516,LinkedIn_content_raw!$A$2:$A1000,LinkedIn_content_raw!$E$2:$E1000)</f>
        <v>#N/A</v>
      </c>
    </row>
    <row r="517">
      <c r="A517" s="26" t="str">
        <f>LinkedIn_content_raw!$A518</f>
        <v/>
      </c>
      <c r="B517" s="24" t="str">
        <f t="shared" si="1"/>
        <v/>
      </c>
      <c r="C517" s="26" t="str">
        <f t="array" ref="C517">XLOOKUP($A517,LinkedIn_follows_raw!$A$2:$A1000,LinkedIn_follows_raw!$E$2:$E1000)</f>
        <v>#N/A</v>
      </c>
      <c r="D517" s="26" t="str">
        <f t="array" ref="D517">sum(XLOOKUP($A517,LinkedIn_content_raw!$A$2:$A1000,LinkedIn_content_raw!$K$2:$K1000),XLOOKUP($A517,LinkedIn_content_raw!$A$2:$A1000,LinkedIn_content_raw!$N$2:$N1000),XLOOKUP($A517,LinkedIn_content_raw!$A$2:$A1000,LinkedIn_content_raw!$Q$2:$Q1000))</f>
        <v>#N/A</v>
      </c>
      <c r="E517" s="26" t="str">
        <f t="array" ref="E517">XLOOKUP($A517,LinkedIn_content_raw!$A$2:$A1000,LinkedIn_content_raw!$E$2:$E1000)</f>
        <v>#N/A</v>
      </c>
    </row>
    <row r="518">
      <c r="A518" s="26" t="str">
        <f>LinkedIn_content_raw!$A519</f>
        <v/>
      </c>
      <c r="B518" s="24" t="str">
        <f t="shared" si="1"/>
        <v/>
      </c>
      <c r="C518" s="26" t="str">
        <f t="array" ref="C518">XLOOKUP($A518,LinkedIn_follows_raw!$A$2:$A1000,LinkedIn_follows_raw!$E$2:$E1000)</f>
        <v>#N/A</v>
      </c>
      <c r="D518" s="26" t="str">
        <f t="array" ref="D518">sum(XLOOKUP($A518,LinkedIn_content_raw!$A$2:$A1000,LinkedIn_content_raw!$K$2:$K1000),XLOOKUP($A518,LinkedIn_content_raw!$A$2:$A1000,LinkedIn_content_raw!$N$2:$N1000),XLOOKUP($A518,LinkedIn_content_raw!$A$2:$A1000,LinkedIn_content_raw!$Q$2:$Q1000))</f>
        <v>#N/A</v>
      </c>
      <c r="E518" s="26" t="str">
        <f t="array" ref="E518">XLOOKUP($A518,LinkedIn_content_raw!$A$2:$A1000,LinkedIn_content_raw!$E$2:$E1000)</f>
        <v>#N/A</v>
      </c>
    </row>
    <row r="519">
      <c r="A519" s="26" t="str">
        <f>LinkedIn_content_raw!$A520</f>
        <v/>
      </c>
      <c r="B519" s="24" t="str">
        <f t="shared" si="1"/>
        <v/>
      </c>
      <c r="C519" s="26" t="str">
        <f t="array" ref="C519">XLOOKUP($A519,LinkedIn_follows_raw!$A$2:$A1000,LinkedIn_follows_raw!$E$2:$E1000)</f>
        <v>#N/A</v>
      </c>
      <c r="D519" s="26" t="str">
        <f t="array" ref="D519">sum(XLOOKUP($A519,LinkedIn_content_raw!$A$2:$A1000,LinkedIn_content_raw!$K$2:$K1000),XLOOKUP($A519,LinkedIn_content_raw!$A$2:$A1000,LinkedIn_content_raw!$N$2:$N1000),XLOOKUP($A519,LinkedIn_content_raw!$A$2:$A1000,LinkedIn_content_raw!$Q$2:$Q1000))</f>
        <v>#N/A</v>
      </c>
      <c r="E519" s="26" t="str">
        <f t="array" ref="E519">XLOOKUP($A519,LinkedIn_content_raw!$A$2:$A1000,LinkedIn_content_raw!$E$2:$E1000)</f>
        <v>#N/A</v>
      </c>
    </row>
    <row r="520">
      <c r="A520" s="26" t="str">
        <f>LinkedIn_content_raw!$A521</f>
        <v/>
      </c>
      <c r="B520" s="24" t="str">
        <f t="shared" si="1"/>
        <v/>
      </c>
      <c r="C520" s="26" t="str">
        <f t="array" ref="C520">XLOOKUP($A520,LinkedIn_follows_raw!$A$2:$A1000,LinkedIn_follows_raw!$E$2:$E1000)</f>
        <v>#N/A</v>
      </c>
      <c r="D520" s="26" t="str">
        <f t="array" ref="D520">sum(XLOOKUP($A520,LinkedIn_content_raw!$A$2:$A1000,LinkedIn_content_raw!$K$2:$K1000),XLOOKUP($A520,LinkedIn_content_raw!$A$2:$A1000,LinkedIn_content_raw!$N$2:$N1000),XLOOKUP($A520,LinkedIn_content_raw!$A$2:$A1000,LinkedIn_content_raw!$Q$2:$Q1000))</f>
        <v>#N/A</v>
      </c>
      <c r="E520" s="26" t="str">
        <f t="array" ref="E520">XLOOKUP($A520,LinkedIn_content_raw!$A$2:$A1000,LinkedIn_content_raw!$E$2:$E1000)</f>
        <v>#N/A</v>
      </c>
    </row>
    <row r="521">
      <c r="A521" s="26" t="str">
        <f>LinkedIn_content_raw!$A522</f>
        <v/>
      </c>
      <c r="B521" s="24" t="str">
        <f t="shared" si="1"/>
        <v/>
      </c>
      <c r="C521" s="26" t="str">
        <f t="array" ref="C521">XLOOKUP($A521,LinkedIn_follows_raw!$A$2:$A1000,LinkedIn_follows_raw!$E$2:$E1000)</f>
        <v>#N/A</v>
      </c>
      <c r="D521" s="26" t="str">
        <f t="array" ref="D521">sum(XLOOKUP($A521,LinkedIn_content_raw!$A$2:$A1000,LinkedIn_content_raw!$K$2:$K1000),XLOOKUP($A521,LinkedIn_content_raw!$A$2:$A1000,LinkedIn_content_raw!$N$2:$N1000),XLOOKUP($A521,LinkedIn_content_raw!$A$2:$A1000,LinkedIn_content_raw!$Q$2:$Q1000))</f>
        <v>#N/A</v>
      </c>
      <c r="E521" s="26" t="str">
        <f t="array" ref="E521">XLOOKUP($A521,LinkedIn_content_raw!$A$2:$A1000,LinkedIn_content_raw!$E$2:$E1000)</f>
        <v>#N/A</v>
      </c>
    </row>
    <row r="522">
      <c r="A522" s="26" t="str">
        <f>LinkedIn_content_raw!$A523</f>
        <v/>
      </c>
      <c r="B522" s="24" t="str">
        <f t="shared" si="1"/>
        <v/>
      </c>
      <c r="C522" s="26" t="str">
        <f t="array" ref="C522">XLOOKUP($A522,LinkedIn_follows_raw!$A$2:$A1000,LinkedIn_follows_raw!$E$2:$E1000)</f>
        <v>#N/A</v>
      </c>
      <c r="D522" s="26" t="str">
        <f t="array" ref="D522">sum(XLOOKUP($A522,LinkedIn_content_raw!$A$2:$A1000,LinkedIn_content_raw!$K$2:$K1000),XLOOKUP($A522,LinkedIn_content_raw!$A$2:$A1000,LinkedIn_content_raw!$N$2:$N1000),XLOOKUP($A522,LinkedIn_content_raw!$A$2:$A1000,LinkedIn_content_raw!$Q$2:$Q1000))</f>
        <v>#N/A</v>
      </c>
      <c r="E522" s="26" t="str">
        <f t="array" ref="E522">XLOOKUP($A522,LinkedIn_content_raw!$A$2:$A1000,LinkedIn_content_raw!$E$2:$E1000)</f>
        <v>#N/A</v>
      </c>
    </row>
    <row r="523">
      <c r="A523" s="26" t="str">
        <f>LinkedIn_content_raw!$A524</f>
        <v/>
      </c>
      <c r="B523" s="24" t="str">
        <f t="shared" si="1"/>
        <v/>
      </c>
      <c r="C523" s="26" t="str">
        <f t="array" ref="C523">XLOOKUP($A523,LinkedIn_follows_raw!$A$2:$A1000,LinkedIn_follows_raw!$E$2:$E1000)</f>
        <v>#N/A</v>
      </c>
      <c r="D523" s="26" t="str">
        <f t="array" ref="D523">sum(XLOOKUP($A523,LinkedIn_content_raw!$A$2:$A1000,LinkedIn_content_raw!$K$2:$K1000),XLOOKUP($A523,LinkedIn_content_raw!$A$2:$A1000,LinkedIn_content_raw!$N$2:$N1000),XLOOKUP($A523,LinkedIn_content_raw!$A$2:$A1000,LinkedIn_content_raw!$Q$2:$Q1000))</f>
        <v>#N/A</v>
      </c>
      <c r="E523" s="26" t="str">
        <f t="array" ref="E523">XLOOKUP($A523,LinkedIn_content_raw!$A$2:$A1000,LinkedIn_content_raw!$E$2:$E1000)</f>
        <v>#N/A</v>
      </c>
    </row>
    <row r="524">
      <c r="A524" s="26" t="str">
        <f>LinkedIn_content_raw!$A525</f>
        <v/>
      </c>
      <c r="B524" s="24" t="str">
        <f t="shared" si="1"/>
        <v/>
      </c>
      <c r="C524" s="26" t="str">
        <f t="array" ref="C524">XLOOKUP($A524,LinkedIn_follows_raw!$A$2:$A1000,LinkedIn_follows_raw!$E$2:$E1000)</f>
        <v>#N/A</v>
      </c>
      <c r="D524" s="26" t="str">
        <f t="array" ref="D524">sum(XLOOKUP($A524,LinkedIn_content_raw!$A$2:$A1000,LinkedIn_content_raw!$K$2:$K1000),XLOOKUP($A524,LinkedIn_content_raw!$A$2:$A1000,LinkedIn_content_raw!$N$2:$N1000),XLOOKUP($A524,LinkedIn_content_raw!$A$2:$A1000,LinkedIn_content_raw!$Q$2:$Q1000))</f>
        <v>#N/A</v>
      </c>
      <c r="E524" s="26" t="str">
        <f t="array" ref="E524">XLOOKUP($A524,LinkedIn_content_raw!$A$2:$A1000,LinkedIn_content_raw!$E$2:$E1000)</f>
        <v>#N/A</v>
      </c>
    </row>
    <row r="525">
      <c r="A525" s="26" t="str">
        <f>LinkedIn_content_raw!$A526</f>
        <v/>
      </c>
      <c r="B525" s="24" t="str">
        <f t="shared" si="1"/>
        <v/>
      </c>
      <c r="C525" s="26" t="str">
        <f t="array" ref="C525">XLOOKUP($A525,LinkedIn_follows_raw!$A$2:$A1000,LinkedIn_follows_raw!$E$2:$E1000)</f>
        <v>#N/A</v>
      </c>
      <c r="D525" s="26" t="str">
        <f t="array" ref="D525">sum(XLOOKUP($A525,LinkedIn_content_raw!$A$2:$A1000,LinkedIn_content_raw!$K$2:$K1000),XLOOKUP($A525,LinkedIn_content_raw!$A$2:$A1000,LinkedIn_content_raw!$N$2:$N1000),XLOOKUP($A525,LinkedIn_content_raw!$A$2:$A1000,LinkedIn_content_raw!$Q$2:$Q1000))</f>
        <v>#N/A</v>
      </c>
      <c r="E525" s="26" t="str">
        <f t="array" ref="E525">XLOOKUP($A525,LinkedIn_content_raw!$A$2:$A1000,LinkedIn_content_raw!$E$2:$E1000)</f>
        <v>#N/A</v>
      </c>
    </row>
    <row r="526">
      <c r="A526" s="26" t="str">
        <f>LinkedIn_content_raw!$A527</f>
        <v/>
      </c>
      <c r="B526" s="24" t="str">
        <f t="shared" si="1"/>
        <v/>
      </c>
      <c r="C526" s="26" t="str">
        <f t="array" ref="C526">XLOOKUP($A526,LinkedIn_follows_raw!$A$2:$A1000,LinkedIn_follows_raw!$E$2:$E1000)</f>
        <v>#N/A</v>
      </c>
      <c r="D526" s="26" t="str">
        <f t="array" ref="D526">sum(XLOOKUP($A526,LinkedIn_content_raw!$A$2:$A1000,LinkedIn_content_raw!$K$2:$K1000),XLOOKUP($A526,LinkedIn_content_raw!$A$2:$A1000,LinkedIn_content_raw!$N$2:$N1000),XLOOKUP($A526,LinkedIn_content_raw!$A$2:$A1000,LinkedIn_content_raw!$Q$2:$Q1000))</f>
        <v>#N/A</v>
      </c>
      <c r="E526" s="26" t="str">
        <f t="array" ref="E526">XLOOKUP($A526,LinkedIn_content_raw!$A$2:$A1000,LinkedIn_content_raw!$E$2:$E1000)</f>
        <v>#N/A</v>
      </c>
    </row>
    <row r="527">
      <c r="A527" s="26" t="str">
        <f>LinkedIn_content_raw!$A528</f>
        <v/>
      </c>
      <c r="B527" s="24" t="str">
        <f t="shared" si="1"/>
        <v/>
      </c>
      <c r="C527" s="26" t="str">
        <f t="array" ref="C527">XLOOKUP($A527,LinkedIn_follows_raw!$A$2:$A1000,LinkedIn_follows_raw!$E$2:$E1000)</f>
        <v>#N/A</v>
      </c>
      <c r="D527" s="26" t="str">
        <f t="array" ref="D527">sum(XLOOKUP($A527,LinkedIn_content_raw!$A$2:$A1000,LinkedIn_content_raw!$K$2:$K1000),XLOOKUP($A527,LinkedIn_content_raw!$A$2:$A1000,LinkedIn_content_raw!$N$2:$N1000),XLOOKUP($A527,LinkedIn_content_raw!$A$2:$A1000,LinkedIn_content_raw!$Q$2:$Q1000))</f>
        <v>#N/A</v>
      </c>
      <c r="E527" s="26" t="str">
        <f t="array" ref="E527">XLOOKUP($A527,LinkedIn_content_raw!$A$2:$A1000,LinkedIn_content_raw!$E$2:$E1000)</f>
        <v>#N/A</v>
      </c>
    </row>
    <row r="528">
      <c r="A528" s="26" t="str">
        <f>LinkedIn_content_raw!$A529</f>
        <v/>
      </c>
      <c r="B528" s="24" t="str">
        <f t="shared" si="1"/>
        <v/>
      </c>
      <c r="C528" s="26" t="str">
        <f t="array" ref="C528">XLOOKUP($A528,LinkedIn_follows_raw!$A$2:$A1000,LinkedIn_follows_raw!$E$2:$E1000)</f>
        <v>#N/A</v>
      </c>
      <c r="D528" s="26" t="str">
        <f t="array" ref="D528">sum(XLOOKUP($A528,LinkedIn_content_raw!$A$2:$A1000,LinkedIn_content_raw!$K$2:$K1000),XLOOKUP($A528,LinkedIn_content_raw!$A$2:$A1000,LinkedIn_content_raw!$N$2:$N1000),XLOOKUP($A528,LinkedIn_content_raw!$A$2:$A1000,LinkedIn_content_raw!$Q$2:$Q1000))</f>
        <v>#N/A</v>
      </c>
      <c r="E528" s="26" t="str">
        <f t="array" ref="E528">XLOOKUP($A528,LinkedIn_content_raw!$A$2:$A1000,LinkedIn_content_raw!$E$2:$E1000)</f>
        <v>#N/A</v>
      </c>
    </row>
    <row r="529">
      <c r="A529" s="26" t="str">
        <f>LinkedIn_content_raw!$A530</f>
        <v/>
      </c>
      <c r="B529" s="24" t="str">
        <f t="shared" si="1"/>
        <v/>
      </c>
      <c r="C529" s="26" t="str">
        <f t="array" ref="C529">XLOOKUP($A529,LinkedIn_follows_raw!$A$2:$A1000,LinkedIn_follows_raw!$E$2:$E1000)</f>
        <v>#N/A</v>
      </c>
      <c r="D529" s="26" t="str">
        <f t="array" ref="D529">sum(XLOOKUP($A529,LinkedIn_content_raw!$A$2:$A1000,LinkedIn_content_raw!$K$2:$K1000),XLOOKUP($A529,LinkedIn_content_raw!$A$2:$A1000,LinkedIn_content_raw!$N$2:$N1000),XLOOKUP($A529,LinkedIn_content_raw!$A$2:$A1000,LinkedIn_content_raw!$Q$2:$Q1000))</f>
        <v>#N/A</v>
      </c>
      <c r="E529" s="26" t="str">
        <f t="array" ref="E529">XLOOKUP($A529,LinkedIn_content_raw!$A$2:$A1000,LinkedIn_content_raw!$E$2:$E1000)</f>
        <v>#N/A</v>
      </c>
    </row>
    <row r="530">
      <c r="A530" s="26" t="str">
        <f>LinkedIn_content_raw!$A531</f>
        <v/>
      </c>
      <c r="B530" s="24" t="str">
        <f t="shared" si="1"/>
        <v/>
      </c>
      <c r="C530" s="26" t="str">
        <f t="array" ref="C530">XLOOKUP($A530,LinkedIn_follows_raw!$A$2:$A1000,LinkedIn_follows_raw!$E$2:$E1000)</f>
        <v>#N/A</v>
      </c>
      <c r="D530" s="26" t="str">
        <f t="array" ref="D530">sum(XLOOKUP($A530,LinkedIn_content_raw!$A$2:$A1000,LinkedIn_content_raw!$K$2:$K1000),XLOOKUP($A530,LinkedIn_content_raw!$A$2:$A1000,LinkedIn_content_raw!$N$2:$N1000),XLOOKUP($A530,LinkedIn_content_raw!$A$2:$A1000,LinkedIn_content_raw!$Q$2:$Q1000))</f>
        <v>#N/A</v>
      </c>
      <c r="E530" s="26" t="str">
        <f t="array" ref="E530">XLOOKUP($A530,LinkedIn_content_raw!$A$2:$A1000,LinkedIn_content_raw!$E$2:$E1000)</f>
        <v>#N/A</v>
      </c>
    </row>
    <row r="531">
      <c r="A531" s="26" t="str">
        <f>LinkedIn_content_raw!$A532</f>
        <v/>
      </c>
      <c r="B531" s="24" t="str">
        <f t="shared" si="1"/>
        <v/>
      </c>
      <c r="C531" s="26" t="str">
        <f t="array" ref="C531">XLOOKUP($A531,LinkedIn_follows_raw!$A$2:$A1000,LinkedIn_follows_raw!$E$2:$E1000)</f>
        <v>#N/A</v>
      </c>
      <c r="D531" s="26" t="str">
        <f t="array" ref="D531">sum(XLOOKUP($A531,LinkedIn_content_raw!$A$2:$A1000,LinkedIn_content_raw!$K$2:$K1000),XLOOKUP($A531,LinkedIn_content_raw!$A$2:$A1000,LinkedIn_content_raw!$N$2:$N1000),XLOOKUP($A531,LinkedIn_content_raw!$A$2:$A1000,LinkedIn_content_raw!$Q$2:$Q1000))</f>
        <v>#N/A</v>
      </c>
      <c r="E531" s="26" t="str">
        <f t="array" ref="E531">XLOOKUP($A531,LinkedIn_content_raw!$A$2:$A1000,LinkedIn_content_raw!$E$2:$E1000)</f>
        <v>#N/A</v>
      </c>
    </row>
    <row r="532">
      <c r="A532" s="26" t="str">
        <f>LinkedIn_content_raw!$A533</f>
        <v/>
      </c>
      <c r="B532" s="24" t="str">
        <f t="shared" si="1"/>
        <v/>
      </c>
      <c r="C532" s="26" t="str">
        <f t="array" ref="C532">XLOOKUP($A532,LinkedIn_follows_raw!$A$2:$A1000,LinkedIn_follows_raw!$E$2:$E1000)</f>
        <v>#N/A</v>
      </c>
      <c r="D532" s="26" t="str">
        <f t="array" ref="D532">sum(XLOOKUP($A532,LinkedIn_content_raw!$A$2:$A1000,LinkedIn_content_raw!$K$2:$K1000),XLOOKUP($A532,LinkedIn_content_raw!$A$2:$A1000,LinkedIn_content_raw!$N$2:$N1000),XLOOKUP($A532,LinkedIn_content_raw!$A$2:$A1000,LinkedIn_content_raw!$Q$2:$Q1000))</f>
        <v>#N/A</v>
      </c>
      <c r="E532" s="26" t="str">
        <f t="array" ref="E532">XLOOKUP($A532,LinkedIn_content_raw!$A$2:$A1000,LinkedIn_content_raw!$E$2:$E1000)</f>
        <v>#N/A</v>
      </c>
    </row>
    <row r="533">
      <c r="A533" s="26" t="str">
        <f>LinkedIn_content_raw!$A534</f>
        <v/>
      </c>
      <c r="B533" s="24" t="str">
        <f t="shared" si="1"/>
        <v/>
      </c>
      <c r="C533" s="26" t="str">
        <f t="array" ref="C533">XLOOKUP($A533,LinkedIn_follows_raw!$A$2:$A1000,LinkedIn_follows_raw!$E$2:$E1000)</f>
        <v>#N/A</v>
      </c>
      <c r="D533" s="26" t="str">
        <f t="array" ref="D533">sum(XLOOKUP($A533,LinkedIn_content_raw!$A$2:$A1000,LinkedIn_content_raw!$K$2:$K1000),XLOOKUP($A533,LinkedIn_content_raw!$A$2:$A1000,LinkedIn_content_raw!$N$2:$N1000),XLOOKUP($A533,LinkedIn_content_raw!$A$2:$A1000,LinkedIn_content_raw!$Q$2:$Q1000))</f>
        <v>#N/A</v>
      </c>
      <c r="E533" s="26" t="str">
        <f t="array" ref="E533">XLOOKUP($A533,LinkedIn_content_raw!$A$2:$A1000,LinkedIn_content_raw!$E$2:$E1000)</f>
        <v>#N/A</v>
      </c>
    </row>
    <row r="534">
      <c r="A534" s="26" t="str">
        <f>LinkedIn_content_raw!$A535</f>
        <v/>
      </c>
      <c r="B534" s="24" t="str">
        <f t="shared" si="1"/>
        <v/>
      </c>
      <c r="C534" s="26" t="str">
        <f t="array" ref="C534">XLOOKUP($A534,LinkedIn_follows_raw!$A$2:$A1000,LinkedIn_follows_raw!$E$2:$E1000)</f>
        <v>#N/A</v>
      </c>
      <c r="D534" s="26" t="str">
        <f t="array" ref="D534">sum(XLOOKUP($A534,LinkedIn_content_raw!$A$2:$A1000,LinkedIn_content_raw!$K$2:$K1000),XLOOKUP($A534,LinkedIn_content_raw!$A$2:$A1000,LinkedIn_content_raw!$N$2:$N1000),XLOOKUP($A534,LinkedIn_content_raw!$A$2:$A1000,LinkedIn_content_raw!$Q$2:$Q1000))</f>
        <v>#N/A</v>
      </c>
      <c r="E534" s="26" t="str">
        <f t="array" ref="E534">XLOOKUP($A534,LinkedIn_content_raw!$A$2:$A1000,LinkedIn_content_raw!$E$2:$E1000)</f>
        <v>#N/A</v>
      </c>
    </row>
    <row r="535">
      <c r="A535" s="26" t="str">
        <f>LinkedIn_content_raw!$A536</f>
        <v/>
      </c>
      <c r="B535" s="24" t="str">
        <f t="shared" si="1"/>
        <v/>
      </c>
      <c r="C535" s="26" t="str">
        <f t="array" ref="C535">XLOOKUP($A535,LinkedIn_follows_raw!$A$2:$A1000,LinkedIn_follows_raw!$E$2:$E1000)</f>
        <v>#N/A</v>
      </c>
      <c r="D535" s="26" t="str">
        <f t="array" ref="D535">sum(XLOOKUP($A535,LinkedIn_content_raw!$A$2:$A1000,LinkedIn_content_raw!$K$2:$K1000),XLOOKUP($A535,LinkedIn_content_raw!$A$2:$A1000,LinkedIn_content_raw!$N$2:$N1000),XLOOKUP($A535,LinkedIn_content_raw!$A$2:$A1000,LinkedIn_content_raw!$Q$2:$Q1000))</f>
        <v>#N/A</v>
      </c>
      <c r="E535" s="26" t="str">
        <f t="array" ref="E535">XLOOKUP($A535,LinkedIn_content_raw!$A$2:$A1000,LinkedIn_content_raw!$E$2:$E1000)</f>
        <v>#N/A</v>
      </c>
    </row>
    <row r="536">
      <c r="A536" s="26" t="str">
        <f>LinkedIn_content_raw!$A537</f>
        <v/>
      </c>
      <c r="B536" s="24" t="str">
        <f t="shared" si="1"/>
        <v/>
      </c>
      <c r="C536" s="26" t="str">
        <f t="array" ref="C536">XLOOKUP($A536,LinkedIn_follows_raw!$A$2:$A1000,LinkedIn_follows_raw!$E$2:$E1000)</f>
        <v>#N/A</v>
      </c>
      <c r="D536" s="26" t="str">
        <f t="array" ref="D536">sum(XLOOKUP($A536,LinkedIn_content_raw!$A$2:$A1000,LinkedIn_content_raw!$K$2:$K1000),XLOOKUP($A536,LinkedIn_content_raw!$A$2:$A1000,LinkedIn_content_raw!$N$2:$N1000),XLOOKUP($A536,LinkedIn_content_raw!$A$2:$A1000,LinkedIn_content_raw!$Q$2:$Q1000))</f>
        <v>#N/A</v>
      </c>
      <c r="E536" s="26" t="str">
        <f t="array" ref="E536">XLOOKUP($A536,LinkedIn_content_raw!$A$2:$A1000,LinkedIn_content_raw!$E$2:$E1000)</f>
        <v>#N/A</v>
      </c>
    </row>
    <row r="537">
      <c r="A537" s="26" t="str">
        <f>LinkedIn_content_raw!$A538</f>
        <v/>
      </c>
      <c r="B537" s="24" t="str">
        <f t="shared" si="1"/>
        <v/>
      </c>
      <c r="C537" s="26" t="str">
        <f t="array" ref="C537">XLOOKUP($A537,LinkedIn_follows_raw!$A$2:$A1000,LinkedIn_follows_raw!$E$2:$E1000)</f>
        <v>#N/A</v>
      </c>
      <c r="D537" s="26" t="str">
        <f t="array" ref="D537">sum(XLOOKUP($A537,LinkedIn_content_raw!$A$2:$A1000,LinkedIn_content_raw!$K$2:$K1000),XLOOKUP($A537,LinkedIn_content_raw!$A$2:$A1000,LinkedIn_content_raw!$N$2:$N1000),XLOOKUP($A537,LinkedIn_content_raw!$A$2:$A1000,LinkedIn_content_raw!$Q$2:$Q1000))</f>
        <v>#N/A</v>
      </c>
      <c r="E537" s="26" t="str">
        <f t="array" ref="E537">XLOOKUP($A537,LinkedIn_content_raw!$A$2:$A1000,LinkedIn_content_raw!$E$2:$E1000)</f>
        <v>#N/A</v>
      </c>
    </row>
    <row r="538">
      <c r="A538" s="26" t="str">
        <f>LinkedIn_content_raw!$A539</f>
        <v/>
      </c>
      <c r="B538" s="24" t="str">
        <f t="shared" si="1"/>
        <v/>
      </c>
      <c r="C538" s="26" t="str">
        <f t="array" ref="C538">XLOOKUP($A538,LinkedIn_follows_raw!$A$2:$A1000,LinkedIn_follows_raw!$E$2:$E1000)</f>
        <v>#N/A</v>
      </c>
      <c r="D538" s="26" t="str">
        <f t="array" ref="D538">sum(XLOOKUP($A538,LinkedIn_content_raw!$A$2:$A1000,LinkedIn_content_raw!$K$2:$K1000),XLOOKUP($A538,LinkedIn_content_raw!$A$2:$A1000,LinkedIn_content_raw!$N$2:$N1000),XLOOKUP($A538,LinkedIn_content_raw!$A$2:$A1000,LinkedIn_content_raw!$Q$2:$Q1000))</f>
        <v>#N/A</v>
      </c>
      <c r="E538" s="26" t="str">
        <f t="array" ref="E538">XLOOKUP($A538,LinkedIn_content_raw!$A$2:$A1000,LinkedIn_content_raw!$E$2:$E1000)</f>
        <v>#N/A</v>
      </c>
    </row>
    <row r="539">
      <c r="A539" s="26" t="str">
        <f>LinkedIn_content_raw!$A540</f>
        <v/>
      </c>
      <c r="B539" s="24" t="str">
        <f t="shared" si="1"/>
        <v/>
      </c>
      <c r="C539" s="26" t="str">
        <f t="array" ref="C539">XLOOKUP($A539,LinkedIn_follows_raw!$A$2:$A1000,LinkedIn_follows_raw!$E$2:$E1000)</f>
        <v>#N/A</v>
      </c>
      <c r="D539" s="26" t="str">
        <f t="array" ref="D539">sum(XLOOKUP($A539,LinkedIn_content_raw!$A$2:$A1000,LinkedIn_content_raw!$K$2:$K1000),XLOOKUP($A539,LinkedIn_content_raw!$A$2:$A1000,LinkedIn_content_raw!$N$2:$N1000),XLOOKUP($A539,LinkedIn_content_raw!$A$2:$A1000,LinkedIn_content_raw!$Q$2:$Q1000))</f>
        <v>#N/A</v>
      </c>
      <c r="E539" s="26" t="str">
        <f t="array" ref="E539">XLOOKUP($A539,LinkedIn_content_raw!$A$2:$A1000,LinkedIn_content_raw!$E$2:$E1000)</f>
        <v>#N/A</v>
      </c>
    </row>
    <row r="540">
      <c r="A540" s="26" t="str">
        <f>LinkedIn_content_raw!$A541</f>
        <v/>
      </c>
      <c r="B540" s="24" t="str">
        <f t="shared" si="1"/>
        <v/>
      </c>
      <c r="C540" s="26" t="str">
        <f t="array" ref="C540">XLOOKUP($A540,LinkedIn_follows_raw!$A$2:$A1000,LinkedIn_follows_raw!$E$2:$E1000)</f>
        <v>#N/A</v>
      </c>
      <c r="D540" s="26" t="str">
        <f t="array" ref="D540">sum(XLOOKUP($A540,LinkedIn_content_raw!$A$2:$A1000,LinkedIn_content_raw!$K$2:$K1000),XLOOKUP($A540,LinkedIn_content_raw!$A$2:$A1000,LinkedIn_content_raw!$N$2:$N1000),XLOOKUP($A540,LinkedIn_content_raw!$A$2:$A1000,LinkedIn_content_raw!$Q$2:$Q1000))</f>
        <v>#N/A</v>
      </c>
      <c r="E540" s="26" t="str">
        <f t="array" ref="E540">XLOOKUP($A540,LinkedIn_content_raw!$A$2:$A1000,LinkedIn_content_raw!$E$2:$E1000)</f>
        <v>#N/A</v>
      </c>
    </row>
    <row r="541">
      <c r="A541" s="26" t="str">
        <f>LinkedIn_content_raw!$A542</f>
        <v/>
      </c>
      <c r="B541" s="24" t="str">
        <f t="shared" si="1"/>
        <v/>
      </c>
      <c r="C541" s="26" t="str">
        <f t="array" ref="C541">XLOOKUP($A541,LinkedIn_follows_raw!$A$2:$A1000,LinkedIn_follows_raw!$E$2:$E1000)</f>
        <v>#N/A</v>
      </c>
      <c r="D541" s="26" t="str">
        <f t="array" ref="D541">sum(XLOOKUP($A541,LinkedIn_content_raw!$A$2:$A1000,LinkedIn_content_raw!$K$2:$K1000),XLOOKUP($A541,LinkedIn_content_raw!$A$2:$A1000,LinkedIn_content_raw!$N$2:$N1000),XLOOKUP($A541,LinkedIn_content_raw!$A$2:$A1000,LinkedIn_content_raw!$Q$2:$Q1000))</f>
        <v>#N/A</v>
      </c>
      <c r="E541" s="26" t="str">
        <f t="array" ref="E541">XLOOKUP($A541,LinkedIn_content_raw!$A$2:$A1000,LinkedIn_content_raw!$E$2:$E1000)</f>
        <v>#N/A</v>
      </c>
    </row>
    <row r="542">
      <c r="A542" s="26" t="str">
        <f>LinkedIn_content_raw!$A543</f>
        <v/>
      </c>
      <c r="B542" s="24" t="str">
        <f t="shared" si="1"/>
        <v/>
      </c>
      <c r="C542" s="26" t="str">
        <f t="array" ref="C542">XLOOKUP($A542,LinkedIn_follows_raw!$A$2:$A1000,LinkedIn_follows_raw!$E$2:$E1000)</f>
        <v>#N/A</v>
      </c>
      <c r="D542" s="26" t="str">
        <f t="array" ref="D542">sum(XLOOKUP($A542,LinkedIn_content_raw!$A$2:$A1000,LinkedIn_content_raw!$K$2:$K1000),XLOOKUP($A542,LinkedIn_content_raw!$A$2:$A1000,LinkedIn_content_raw!$N$2:$N1000),XLOOKUP($A542,LinkedIn_content_raw!$A$2:$A1000,LinkedIn_content_raw!$Q$2:$Q1000))</f>
        <v>#N/A</v>
      </c>
      <c r="E542" s="26" t="str">
        <f t="array" ref="E542">XLOOKUP($A542,LinkedIn_content_raw!$A$2:$A1000,LinkedIn_content_raw!$E$2:$E1000)</f>
        <v>#N/A</v>
      </c>
    </row>
    <row r="543">
      <c r="A543" s="26" t="str">
        <f>LinkedIn_content_raw!$A544</f>
        <v/>
      </c>
      <c r="B543" s="24" t="str">
        <f t="shared" si="1"/>
        <v/>
      </c>
      <c r="C543" s="26" t="str">
        <f t="array" ref="C543">XLOOKUP($A543,LinkedIn_follows_raw!$A$2:$A1000,LinkedIn_follows_raw!$E$2:$E1000)</f>
        <v>#N/A</v>
      </c>
      <c r="D543" s="26" t="str">
        <f t="array" ref="D543">sum(XLOOKUP($A543,LinkedIn_content_raw!$A$2:$A1000,LinkedIn_content_raw!$K$2:$K1000),XLOOKUP($A543,LinkedIn_content_raw!$A$2:$A1000,LinkedIn_content_raw!$N$2:$N1000),XLOOKUP($A543,LinkedIn_content_raw!$A$2:$A1000,LinkedIn_content_raw!$Q$2:$Q1000))</f>
        <v>#N/A</v>
      </c>
      <c r="E543" s="26" t="str">
        <f t="array" ref="E543">XLOOKUP($A543,LinkedIn_content_raw!$A$2:$A1000,LinkedIn_content_raw!$E$2:$E1000)</f>
        <v>#N/A</v>
      </c>
    </row>
    <row r="544">
      <c r="A544" s="26" t="str">
        <f>LinkedIn_content_raw!$A545</f>
        <v/>
      </c>
      <c r="B544" s="24" t="str">
        <f t="shared" si="1"/>
        <v/>
      </c>
      <c r="C544" s="26" t="str">
        <f t="array" ref="C544">XLOOKUP($A544,LinkedIn_follows_raw!$A$2:$A1000,LinkedIn_follows_raw!$E$2:$E1000)</f>
        <v>#N/A</v>
      </c>
      <c r="D544" s="26" t="str">
        <f t="array" ref="D544">sum(XLOOKUP($A544,LinkedIn_content_raw!$A$2:$A1000,LinkedIn_content_raw!$K$2:$K1000),XLOOKUP($A544,LinkedIn_content_raw!$A$2:$A1000,LinkedIn_content_raw!$N$2:$N1000),XLOOKUP($A544,LinkedIn_content_raw!$A$2:$A1000,LinkedIn_content_raw!$Q$2:$Q1000))</f>
        <v>#N/A</v>
      </c>
      <c r="E544" s="26" t="str">
        <f t="array" ref="E544">XLOOKUP($A544,LinkedIn_content_raw!$A$2:$A1000,LinkedIn_content_raw!$E$2:$E1000)</f>
        <v>#N/A</v>
      </c>
    </row>
    <row r="545">
      <c r="A545" s="26" t="str">
        <f>LinkedIn_content_raw!$A546</f>
        <v/>
      </c>
      <c r="B545" s="24" t="str">
        <f t="shared" si="1"/>
        <v/>
      </c>
      <c r="C545" s="26" t="str">
        <f t="array" ref="C545">XLOOKUP($A545,LinkedIn_follows_raw!$A$2:$A1000,LinkedIn_follows_raw!$E$2:$E1000)</f>
        <v>#N/A</v>
      </c>
      <c r="D545" s="26" t="str">
        <f t="array" ref="D545">sum(XLOOKUP($A545,LinkedIn_content_raw!$A$2:$A1000,LinkedIn_content_raw!$K$2:$K1000),XLOOKUP($A545,LinkedIn_content_raw!$A$2:$A1000,LinkedIn_content_raw!$N$2:$N1000),XLOOKUP($A545,LinkedIn_content_raw!$A$2:$A1000,LinkedIn_content_raw!$Q$2:$Q1000))</f>
        <v>#N/A</v>
      </c>
      <c r="E545" s="26" t="str">
        <f t="array" ref="E545">XLOOKUP($A545,LinkedIn_content_raw!$A$2:$A1000,LinkedIn_content_raw!$E$2:$E1000)</f>
        <v>#N/A</v>
      </c>
    </row>
    <row r="546">
      <c r="A546" s="26" t="str">
        <f>LinkedIn_content_raw!$A547</f>
        <v/>
      </c>
      <c r="B546" s="24" t="str">
        <f t="shared" si="1"/>
        <v/>
      </c>
      <c r="C546" s="26" t="str">
        <f t="array" ref="C546">XLOOKUP($A546,LinkedIn_follows_raw!$A$2:$A1000,LinkedIn_follows_raw!$E$2:$E1000)</f>
        <v>#N/A</v>
      </c>
      <c r="D546" s="26" t="str">
        <f t="array" ref="D546">sum(XLOOKUP($A546,LinkedIn_content_raw!$A$2:$A1000,LinkedIn_content_raw!$K$2:$K1000),XLOOKUP($A546,LinkedIn_content_raw!$A$2:$A1000,LinkedIn_content_raw!$N$2:$N1000),XLOOKUP($A546,LinkedIn_content_raw!$A$2:$A1000,LinkedIn_content_raw!$Q$2:$Q1000))</f>
        <v>#N/A</v>
      </c>
      <c r="E546" s="26" t="str">
        <f t="array" ref="E546">XLOOKUP($A546,LinkedIn_content_raw!$A$2:$A1000,LinkedIn_content_raw!$E$2:$E1000)</f>
        <v>#N/A</v>
      </c>
    </row>
    <row r="547">
      <c r="A547" s="26" t="str">
        <f>LinkedIn_content_raw!$A548</f>
        <v/>
      </c>
      <c r="B547" s="24" t="str">
        <f t="shared" si="1"/>
        <v/>
      </c>
      <c r="C547" s="26" t="str">
        <f t="array" ref="C547">XLOOKUP($A547,LinkedIn_follows_raw!$A$2:$A1000,LinkedIn_follows_raw!$E$2:$E1000)</f>
        <v>#N/A</v>
      </c>
      <c r="D547" s="26" t="str">
        <f t="array" ref="D547">sum(XLOOKUP($A547,LinkedIn_content_raw!$A$2:$A1000,LinkedIn_content_raw!$K$2:$K1000),XLOOKUP($A547,LinkedIn_content_raw!$A$2:$A1000,LinkedIn_content_raw!$N$2:$N1000),XLOOKUP($A547,LinkedIn_content_raw!$A$2:$A1000,LinkedIn_content_raw!$Q$2:$Q1000))</f>
        <v>#N/A</v>
      </c>
      <c r="E547" s="26" t="str">
        <f t="array" ref="E547">XLOOKUP($A547,LinkedIn_content_raw!$A$2:$A1000,LinkedIn_content_raw!$E$2:$E1000)</f>
        <v>#N/A</v>
      </c>
    </row>
    <row r="548">
      <c r="A548" s="26" t="str">
        <f>LinkedIn_content_raw!$A549</f>
        <v/>
      </c>
      <c r="B548" s="24" t="str">
        <f t="shared" si="1"/>
        <v/>
      </c>
      <c r="C548" s="26" t="str">
        <f t="array" ref="C548">XLOOKUP($A548,LinkedIn_follows_raw!$A$2:$A1000,LinkedIn_follows_raw!$E$2:$E1000)</f>
        <v>#N/A</v>
      </c>
      <c r="D548" s="26" t="str">
        <f t="array" ref="D548">sum(XLOOKUP($A548,LinkedIn_content_raw!$A$2:$A1000,LinkedIn_content_raw!$K$2:$K1000),XLOOKUP($A548,LinkedIn_content_raw!$A$2:$A1000,LinkedIn_content_raw!$N$2:$N1000),XLOOKUP($A548,LinkedIn_content_raw!$A$2:$A1000,LinkedIn_content_raw!$Q$2:$Q1000))</f>
        <v>#N/A</v>
      </c>
      <c r="E548" s="26" t="str">
        <f t="array" ref="E548">XLOOKUP($A548,LinkedIn_content_raw!$A$2:$A1000,LinkedIn_content_raw!$E$2:$E1000)</f>
        <v>#N/A</v>
      </c>
    </row>
    <row r="549">
      <c r="A549" s="26" t="str">
        <f>LinkedIn_content_raw!$A550</f>
        <v/>
      </c>
      <c r="B549" s="24" t="str">
        <f t="shared" si="1"/>
        <v/>
      </c>
      <c r="C549" s="26" t="str">
        <f t="array" ref="C549">XLOOKUP($A549,LinkedIn_follows_raw!$A$2:$A1000,LinkedIn_follows_raw!$E$2:$E1000)</f>
        <v>#N/A</v>
      </c>
      <c r="D549" s="26" t="str">
        <f t="array" ref="D549">sum(XLOOKUP($A549,LinkedIn_content_raw!$A$2:$A1000,LinkedIn_content_raw!$K$2:$K1000),XLOOKUP($A549,LinkedIn_content_raw!$A$2:$A1000,LinkedIn_content_raw!$N$2:$N1000),XLOOKUP($A549,LinkedIn_content_raw!$A$2:$A1000,LinkedIn_content_raw!$Q$2:$Q1000))</f>
        <v>#N/A</v>
      </c>
      <c r="E549" s="26" t="str">
        <f t="array" ref="E549">XLOOKUP($A549,LinkedIn_content_raw!$A$2:$A1000,LinkedIn_content_raw!$E$2:$E1000)</f>
        <v>#N/A</v>
      </c>
    </row>
    <row r="550">
      <c r="A550" s="26" t="str">
        <f>LinkedIn_content_raw!$A551</f>
        <v/>
      </c>
      <c r="B550" s="24" t="str">
        <f t="shared" si="1"/>
        <v/>
      </c>
      <c r="C550" s="26" t="str">
        <f t="array" ref="C550">XLOOKUP($A550,LinkedIn_follows_raw!$A$2:$A1000,LinkedIn_follows_raw!$E$2:$E1000)</f>
        <v>#N/A</v>
      </c>
      <c r="D550" s="26" t="str">
        <f t="array" ref="D550">sum(XLOOKUP($A550,LinkedIn_content_raw!$A$2:$A1000,LinkedIn_content_raw!$K$2:$K1000),XLOOKUP($A550,LinkedIn_content_raw!$A$2:$A1000,LinkedIn_content_raw!$N$2:$N1000),XLOOKUP($A550,LinkedIn_content_raw!$A$2:$A1000,LinkedIn_content_raw!$Q$2:$Q1000))</f>
        <v>#N/A</v>
      </c>
      <c r="E550" s="26" t="str">
        <f t="array" ref="E550">XLOOKUP($A550,LinkedIn_content_raw!$A$2:$A1000,LinkedIn_content_raw!$E$2:$E1000)</f>
        <v>#N/A</v>
      </c>
    </row>
    <row r="551">
      <c r="A551" s="26" t="str">
        <f>LinkedIn_content_raw!$A552</f>
        <v/>
      </c>
      <c r="B551" s="24" t="str">
        <f t="shared" si="1"/>
        <v/>
      </c>
      <c r="C551" s="26" t="str">
        <f t="array" ref="C551">XLOOKUP($A551,LinkedIn_follows_raw!$A$2:$A1000,LinkedIn_follows_raw!$E$2:$E1000)</f>
        <v>#N/A</v>
      </c>
      <c r="D551" s="26" t="str">
        <f t="array" ref="D551">sum(XLOOKUP($A551,LinkedIn_content_raw!$A$2:$A1000,LinkedIn_content_raw!$K$2:$K1000),XLOOKUP($A551,LinkedIn_content_raw!$A$2:$A1000,LinkedIn_content_raw!$N$2:$N1000),XLOOKUP($A551,LinkedIn_content_raw!$A$2:$A1000,LinkedIn_content_raw!$Q$2:$Q1000))</f>
        <v>#N/A</v>
      </c>
      <c r="E551" s="26" t="str">
        <f t="array" ref="E551">XLOOKUP($A551,LinkedIn_content_raw!$A$2:$A1000,LinkedIn_content_raw!$E$2:$E1000)</f>
        <v>#N/A</v>
      </c>
    </row>
    <row r="552">
      <c r="A552" s="26" t="str">
        <f>LinkedIn_content_raw!$A553</f>
        <v/>
      </c>
      <c r="B552" s="24" t="str">
        <f t="shared" si="1"/>
        <v/>
      </c>
      <c r="C552" s="26" t="str">
        <f t="array" ref="C552">XLOOKUP($A552,LinkedIn_follows_raw!$A$2:$A1000,LinkedIn_follows_raw!$E$2:$E1000)</f>
        <v>#N/A</v>
      </c>
      <c r="D552" s="26" t="str">
        <f t="array" ref="D552">sum(XLOOKUP($A552,LinkedIn_content_raw!$A$2:$A1000,LinkedIn_content_raw!$K$2:$K1000),XLOOKUP($A552,LinkedIn_content_raw!$A$2:$A1000,LinkedIn_content_raw!$N$2:$N1000),XLOOKUP($A552,LinkedIn_content_raw!$A$2:$A1000,LinkedIn_content_raw!$Q$2:$Q1000))</f>
        <v>#N/A</v>
      </c>
      <c r="E552" s="26" t="str">
        <f t="array" ref="E552">XLOOKUP($A552,LinkedIn_content_raw!$A$2:$A1000,LinkedIn_content_raw!$E$2:$E1000)</f>
        <v>#N/A</v>
      </c>
    </row>
    <row r="553">
      <c r="A553" s="26" t="str">
        <f>LinkedIn_content_raw!$A554</f>
        <v/>
      </c>
      <c r="B553" s="24" t="str">
        <f t="shared" si="1"/>
        <v/>
      </c>
      <c r="C553" s="26" t="str">
        <f t="array" ref="C553">XLOOKUP($A553,LinkedIn_follows_raw!$A$2:$A1000,LinkedIn_follows_raw!$E$2:$E1000)</f>
        <v>#N/A</v>
      </c>
      <c r="D553" s="26" t="str">
        <f t="array" ref="D553">sum(XLOOKUP($A553,LinkedIn_content_raw!$A$2:$A1000,LinkedIn_content_raw!$K$2:$K1000),XLOOKUP($A553,LinkedIn_content_raw!$A$2:$A1000,LinkedIn_content_raw!$N$2:$N1000),XLOOKUP($A553,LinkedIn_content_raw!$A$2:$A1000,LinkedIn_content_raw!$Q$2:$Q1000))</f>
        <v>#N/A</v>
      </c>
      <c r="E553" s="26" t="str">
        <f t="array" ref="E553">XLOOKUP($A553,LinkedIn_content_raw!$A$2:$A1000,LinkedIn_content_raw!$E$2:$E1000)</f>
        <v>#N/A</v>
      </c>
    </row>
    <row r="554">
      <c r="A554" s="26" t="str">
        <f>LinkedIn_content_raw!$A555</f>
        <v/>
      </c>
      <c r="B554" s="24" t="str">
        <f t="shared" si="1"/>
        <v/>
      </c>
      <c r="C554" s="26" t="str">
        <f t="array" ref="C554">XLOOKUP($A554,LinkedIn_follows_raw!$A$2:$A1000,LinkedIn_follows_raw!$E$2:$E1000)</f>
        <v>#N/A</v>
      </c>
      <c r="D554" s="26" t="str">
        <f t="array" ref="D554">sum(XLOOKUP($A554,LinkedIn_content_raw!$A$2:$A1000,LinkedIn_content_raw!$K$2:$K1000),XLOOKUP($A554,LinkedIn_content_raw!$A$2:$A1000,LinkedIn_content_raw!$N$2:$N1000),XLOOKUP($A554,LinkedIn_content_raw!$A$2:$A1000,LinkedIn_content_raw!$Q$2:$Q1000))</f>
        <v>#N/A</v>
      </c>
      <c r="E554" s="26" t="str">
        <f t="array" ref="E554">XLOOKUP($A554,LinkedIn_content_raw!$A$2:$A1000,LinkedIn_content_raw!$E$2:$E1000)</f>
        <v>#N/A</v>
      </c>
    </row>
    <row r="555">
      <c r="A555" s="26" t="str">
        <f>LinkedIn_content_raw!$A556</f>
        <v/>
      </c>
      <c r="B555" s="24" t="str">
        <f t="shared" si="1"/>
        <v/>
      </c>
      <c r="C555" s="26" t="str">
        <f t="array" ref="C555">XLOOKUP($A555,LinkedIn_follows_raw!$A$2:$A1000,LinkedIn_follows_raw!$E$2:$E1000)</f>
        <v>#N/A</v>
      </c>
      <c r="D555" s="26" t="str">
        <f t="array" ref="D555">sum(XLOOKUP($A555,LinkedIn_content_raw!$A$2:$A1000,LinkedIn_content_raw!$K$2:$K1000),XLOOKUP($A555,LinkedIn_content_raw!$A$2:$A1000,LinkedIn_content_raw!$N$2:$N1000),XLOOKUP($A555,LinkedIn_content_raw!$A$2:$A1000,LinkedIn_content_raw!$Q$2:$Q1000))</f>
        <v>#N/A</v>
      </c>
      <c r="E555" s="26" t="str">
        <f t="array" ref="E555">XLOOKUP($A555,LinkedIn_content_raw!$A$2:$A1000,LinkedIn_content_raw!$E$2:$E1000)</f>
        <v>#N/A</v>
      </c>
    </row>
    <row r="556">
      <c r="A556" s="26" t="str">
        <f>LinkedIn_content_raw!$A557</f>
        <v/>
      </c>
      <c r="B556" s="24" t="str">
        <f t="shared" si="1"/>
        <v/>
      </c>
      <c r="C556" s="26" t="str">
        <f t="array" ref="C556">XLOOKUP($A556,LinkedIn_follows_raw!$A$2:$A1000,LinkedIn_follows_raw!$E$2:$E1000)</f>
        <v>#N/A</v>
      </c>
      <c r="D556" s="26" t="str">
        <f t="array" ref="D556">sum(XLOOKUP($A556,LinkedIn_content_raw!$A$2:$A1000,LinkedIn_content_raw!$K$2:$K1000),XLOOKUP($A556,LinkedIn_content_raw!$A$2:$A1000,LinkedIn_content_raw!$N$2:$N1000),XLOOKUP($A556,LinkedIn_content_raw!$A$2:$A1000,LinkedIn_content_raw!$Q$2:$Q1000))</f>
        <v>#N/A</v>
      </c>
      <c r="E556" s="26" t="str">
        <f t="array" ref="E556">XLOOKUP($A556,LinkedIn_content_raw!$A$2:$A1000,LinkedIn_content_raw!$E$2:$E1000)</f>
        <v>#N/A</v>
      </c>
    </row>
    <row r="557">
      <c r="A557" s="26" t="str">
        <f>LinkedIn_content_raw!$A558</f>
        <v/>
      </c>
      <c r="B557" s="24" t="str">
        <f t="shared" si="1"/>
        <v/>
      </c>
      <c r="C557" s="26" t="str">
        <f t="array" ref="C557">XLOOKUP($A557,LinkedIn_follows_raw!$A$2:$A1000,LinkedIn_follows_raw!$E$2:$E1000)</f>
        <v>#N/A</v>
      </c>
      <c r="D557" s="26" t="str">
        <f t="array" ref="D557">sum(XLOOKUP($A557,LinkedIn_content_raw!$A$2:$A1000,LinkedIn_content_raw!$K$2:$K1000),XLOOKUP($A557,LinkedIn_content_raw!$A$2:$A1000,LinkedIn_content_raw!$N$2:$N1000),XLOOKUP($A557,LinkedIn_content_raw!$A$2:$A1000,LinkedIn_content_raw!$Q$2:$Q1000))</f>
        <v>#N/A</v>
      </c>
      <c r="E557" s="26" t="str">
        <f t="array" ref="E557">XLOOKUP($A557,LinkedIn_content_raw!$A$2:$A1000,LinkedIn_content_raw!$E$2:$E1000)</f>
        <v>#N/A</v>
      </c>
    </row>
    <row r="558">
      <c r="A558" s="26" t="str">
        <f>LinkedIn_content_raw!$A559</f>
        <v/>
      </c>
      <c r="B558" s="24" t="str">
        <f t="shared" si="1"/>
        <v/>
      </c>
      <c r="C558" s="26" t="str">
        <f t="array" ref="C558">XLOOKUP($A558,LinkedIn_follows_raw!$A$2:$A1000,LinkedIn_follows_raw!$E$2:$E1000)</f>
        <v>#N/A</v>
      </c>
      <c r="D558" s="26" t="str">
        <f t="array" ref="D558">sum(XLOOKUP($A558,LinkedIn_content_raw!$A$2:$A1000,LinkedIn_content_raw!$K$2:$K1000),XLOOKUP($A558,LinkedIn_content_raw!$A$2:$A1000,LinkedIn_content_raw!$N$2:$N1000),XLOOKUP($A558,LinkedIn_content_raw!$A$2:$A1000,LinkedIn_content_raw!$Q$2:$Q1000))</f>
        <v>#N/A</v>
      </c>
      <c r="E558" s="26" t="str">
        <f t="array" ref="E558">XLOOKUP($A558,LinkedIn_content_raw!$A$2:$A1000,LinkedIn_content_raw!$E$2:$E1000)</f>
        <v>#N/A</v>
      </c>
    </row>
    <row r="559">
      <c r="A559" s="26" t="str">
        <f>LinkedIn_content_raw!$A560</f>
        <v/>
      </c>
      <c r="B559" s="24" t="str">
        <f t="shared" si="1"/>
        <v/>
      </c>
      <c r="C559" s="26" t="str">
        <f t="array" ref="C559">XLOOKUP($A559,LinkedIn_follows_raw!$A$2:$A1000,LinkedIn_follows_raw!$E$2:$E1000)</f>
        <v>#N/A</v>
      </c>
      <c r="D559" s="26" t="str">
        <f t="array" ref="D559">sum(XLOOKUP($A559,LinkedIn_content_raw!$A$2:$A1000,LinkedIn_content_raw!$K$2:$K1000),XLOOKUP($A559,LinkedIn_content_raw!$A$2:$A1000,LinkedIn_content_raw!$N$2:$N1000),XLOOKUP($A559,LinkedIn_content_raw!$A$2:$A1000,LinkedIn_content_raw!$Q$2:$Q1000))</f>
        <v>#N/A</v>
      </c>
      <c r="E559" s="26" t="str">
        <f t="array" ref="E559">XLOOKUP($A559,LinkedIn_content_raw!$A$2:$A1000,LinkedIn_content_raw!$E$2:$E1000)</f>
        <v>#N/A</v>
      </c>
    </row>
    <row r="560">
      <c r="A560" s="26" t="str">
        <f>LinkedIn_content_raw!$A561</f>
        <v/>
      </c>
      <c r="B560" s="24" t="str">
        <f t="shared" si="1"/>
        <v/>
      </c>
      <c r="C560" s="26" t="str">
        <f t="array" ref="C560">XLOOKUP($A560,LinkedIn_follows_raw!$A$2:$A1000,LinkedIn_follows_raw!$E$2:$E1000)</f>
        <v>#N/A</v>
      </c>
      <c r="D560" s="26" t="str">
        <f t="array" ref="D560">sum(XLOOKUP($A560,LinkedIn_content_raw!$A$2:$A1000,LinkedIn_content_raw!$K$2:$K1000),XLOOKUP($A560,LinkedIn_content_raw!$A$2:$A1000,LinkedIn_content_raw!$N$2:$N1000),XLOOKUP($A560,LinkedIn_content_raw!$A$2:$A1000,LinkedIn_content_raw!$Q$2:$Q1000))</f>
        <v>#N/A</v>
      </c>
      <c r="E560" s="26" t="str">
        <f t="array" ref="E560">XLOOKUP($A560,LinkedIn_content_raw!$A$2:$A1000,LinkedIn_content_raw!$E$2:$E1000)</f>
        <v>#N/A</v>
      </c>
    </row>
    <row r="561">
      <c r="A561" s="26" t="str">
        <f>LinkedIn_content_raw!$A562</f>
        <v/>
      </c>
      <c r="B561" s="24" t="str">
        <f t="shared" si="1"/>
        <v/>
      </c>
      <c r="C561" s="26" t="str">
        <f t="array" ref="C561">XLOOKUP($A561,LinkedIn_follows_raw!$A$2:$A1000,LinkedIn_follows_raw!$E$2:$E1000)</f>
        <v>#N/A</v>
      </c>
      <c r="D561" s="26" t="str">
        <f t="array" ref="D561">sum(XLOOKUP($A561,LinkedIn_content_raw!$A$2:$A1000,LinkedIn_content_raw!$K$2:$K1000),XLOOKUP($A561,LinkedIn_content_raw!$A$2:$A1000,LinkedIn_content_raw!$N$2:$N1000),XLOOKUP($A561,LinkedIn_content_raw!$A$2:$A1000,LinkedIn_content_raw!$Q$2:$Q1000))</f>
        <v>#N/A</v>
      </c>
      <c r="E561" s="26" t="str">
        <f t="array" ref="E561">XLOOKUP($A561,LinkedIn_content_raw!$A$2:$A1000,LinkedIn_content_raw!$E$2:$E1000)</f>
        <v>#N/A</v>
      </c>
    </row>
    <row r="562">
      <c r="A562" s="26" t="str">
        <f>LinkedIn_content_raw!$A563</f>
        <v/>
      </c>
      <c r="B562" s="24" t="str">
        <f t="shared" si="1"/>
        <v/>
      </c>
      <c r="C562" s="26" t="str">
        <f t="array" ref="C562">XLOOKUP($A562,LinkedIn_follows_raw!$A$2:$A1000,LinkedIn_follows_raw!$E$2:$E1000)</f>
        <v>#N/A</v>
      </c>
      <c r="D562" s="26" t="str">
        <f t="array" ref="D562">sum(XLOOKUP($A562,LinkedIn_content_raw!$A$2:$A1000,LinkedIn_content_raw!$K$2:$K1000),XLOOKUP($A562,LinkedIn_content_raw!$A$2:$A1000,LinkedIn_content_raw!$N$2:$N1000),XLOOKUP($A562,LinkedIn_content_raw!$A$2:$A1000,LinkedIn_content_raw!$Q$2:$Q1000))</f>
        <v>#N/A</v>
      </c>
      <c r="E562" s="26" t="str">
        <f t="array" ref="E562">XLOOKUP($A562,LinkedIn_content_raw!$A$2:$A1000,LinkedIn_content_raw!$E$2:$E1000)</f>
        <v>#N/A</v>
      </c>
    </row>
    <row r="563">
      <c r="A563" s="26" t="str">
        <f>LinkedIn_content_raw!$A564</f>
        <v/>
      </c>
      <c r="B563" s="24" t="str">
        <f t="shared" si="1"/>
        <v/>
      </c>
      <c r="C563" s="26" t="str">
        <f t="array" ref="C563">XLOOKUP($A563,LinkedIn_follows_raw!$A$2:$A1000,LinkedIn_follows_raw!$E$2:$E1000)</f>
        <v>#N/A</v>
      </c>
      <c r="D563" s="26" t="str">
        <f t="array" ref="D563">sum(XLOOKUP($A563,LinkedIn_content_raw!$A$2:$A1000,LinkedIn_content_raw!$K$2:$K1000),XLOOKUP($A563,LinkedIn_content_raw!$A$2:$A1000,LinkedIn_content_raw!$N$2:$N1000),XLOOKUP($A563,LinkedIn_content_raw!$A$2:$A1000,LinkedIn_content_raw!$Q$2:$Q1000))</f>
        <v>#N/A</v>
      </c>
      <c r="E563" s="26" t="str">
        <f t="array" ref="E563">XLOOKUP($A563,LinkedIn_content_raw!$A$2:$A1000,LinkedIn_content_raw!$E$2:$E1000)</f>
        <v>#N/A</v>
      </c>
    </row>
    <row r="564">
      <c r="A564" s="26" t="str">
        <f>LinkedIn_content_raw!$A565</f>
        <v/>
      </c>
      <c r="B564" s="24" t="str">
        <f t="shared" si="1"/>
        <v/>
      </c>
      <c r="C564" s="26" t="str">
        <f t="array" ref="C564">XLOOKUP($A564,LinkedIn_follows_raw!$A$2:$A1000,LinkedIn_follows_raw!$E$2:$E1000)</f>
        <v>#N/A</v>
      </c>
      <c r="D564" s="26" t="str">
        <f t="array" ref="D564">sum(XLOOKUP($A564,LinkedIn_content_raw!$A$2:$A1000,LinkedIn_content_raw!$K$2:$K1000),XLOOKUP($A564,LinkedIn_content_raw!$A$2:$A1000,LinkedIn_content_raw!$N$2:$N1000),XLOOKUP($A564,LinkedIn_content_raw!$A$2:$A1000,LinkedIn_content_raw!$Q$2:$Q1000))</f>
        <v>#N/A</v>
      </c>
      <c r="E564" s="26" t="str">
        <f t="array" ref="E564">XLOOKUP($A564,LinkedIn_content_raw!$A$2:$A1000,LinkedIn_content_raw!$E$2:$E1000)</f>
        <v>#N/A</v>
      </c>
    </row>
    <row r="565">
      <c r="A565" s="26" t="str">
        <f>LinkedIn_content_raw!$A566</f>
        <v/>
      </c>
      <c r="B565" s="24" t="str">
        <f t="shared" si="1"/>
        <v/>
      </c>
      <c r="C565" s="26" t="str">
        <f t="array" ref="C565">XLOOKUP($A565,LinkedIn_follows_raw!$A$2:$A1000,LinkedIn_follows_raw!$E$2:$E1000)</f>
        <v>#N/A</v>
      </c>
      <c r="D565" s="26" t="str">
        <f t="array" ref="D565">sum(XLOOKUP($A565,LinkedIn_content_raw!$A$2:$A1000,LinkedIn_content_raw!$K$2:$K1000),XLOOKUP($A565,LinkedIn_content_raw!$A$2:$A1000,LinkedIn_content_raw!$N$2:$N1000),XLOOKUP($A565,LinkedIn_content_raw!$A$2:$A1000,LinkedIn_content_raw!$Q$2:$Q1000))</f>
        <v>#N/A</v>
      </c>
      <c r="E565" s="26" t="str">
        <f t="array" ref="E565">XLOOKUP($A565,LinkedIn_content_raw!$A$2:$A1000,LinkedIn_content_raw!$E$2:$E1000)</f>
        <v>#N/A</v>
      </c>
    </row>
    <row r="566">
      <c r="A566" s="26" t="str">
        <f>LinkedIn_content_raw!$A567</f>
        <v/>
      </c>
      <c r="B566" s="24" t="str">
        <f t="shared" si="1"/>
        <v/>
      </c>
      <c r="C566" s="26" t="str">
        <f t="array" ref="C566">XLOOKUP($A566,LinkedIn_follows_raw!$A$2:$A1000,LinkedIn_follows_raw!$E$2:$E1000)</f>
        <v>#N/A</v>
      </c>
      <c r="D566" s="26" t="str">
        <f t="array" ref="D566">sum(XLOOKUP($A566,LinkedIn_content_raw!$A$2:$A1000,LinkedIn_content_raw!$K$2:$K1000),XLOOKUP($A566,LinkedIn_content_raw!$A$2:$A1000,LinkedIn_content_raw!$N$2:$N1000),XLOOKUP($A566,LinkedIn_content_raw!$A$2:$A1000,LinkedIn_content_raw!$Q$2:$Q1000))</f>
        <v>#N/A</v>
      </c>
      <c r="E566" s="26" t="str">
        <f t="array" ref="E566">XLOOKUP($A566,LinkedIn_content_raw!$A$2:$A1000,LinkedIn_content_raw!$E$2:$E1000)</f>
        <v>#N/A</v>
      </c>
    </row>
    <row r="567">
      <c r="A567" s="26" t="str">
        <f>LinkedIn_content_raw!$A568</f>
        <v/>
      </c>
      <c r="B567" s="24" t="str">
        <f t="shared" si="1"/>
        <v/>
      </c>
      <c r="C567" s="26" t="str">
        <f t="array" ref="C567">XLOOKUP($A567,LinkedIn_follows_raw!$A$2:$A1000,LinkedIn_follows_raw!$E$2:$E1000)</f>
        <v>#N/A</v>
      </c>
      <c r="D567" s="26" t="str">
        <f t="array" ref="D567">sum(XLOOKUP($A567,LinkedIn_content_raw!$A$2:$A1000,LinkedIn_content_raw!$K$2:$K1000),XLOOKUP($A567,LinkedIn_content_raw!$A$2:$A1000,LinkedIn_content_raw!$N$2:$N1000),XLOOKUP($A567,LinkedIn_content_raw!$A$2:$A1000,LinkedIn_content_raw!$Q$2:$Q1000))</f>
        <v>#N/A</v>
      </c>
      <c r="E567" s="26" t="str">
        <f t="array" ref="E567">XLOOKUP($A567,LinkedIn_content_raw!$A$2:$A1000,LinkedIn_content_raw!$E$2:$E1000)</f>
        <v>#N/A</v>
      </c>
    </row>
    <row r="568">
      <c r="A568" s="26" t="str">
        <f>LinkedIn_content_raw!$A569</f>
        <v/>
      </c>
      <c r="B568" s="24" t="str">
        <f t="shared" si="1"/>
        <v/>
      </c>
      <c r="C568" s="26" t="str">
        <f t="array" ref="C568">XLOOKUP($A568,LinkedIn_follows_raw!$A$2:$A1000,LinkedIn_follows_raw!$E$2:$E1000)</f>
        <v>#N/A</v>
      </c>
      <c r="D568" s="26" t="str">
        <f t="array" ref="D568">sum(XLOOKUP($A568,LinkedIn_content_raw!$A$2:$A1000,LinkedIn_content_raw!$K$2:$K1000),XLOOKUP($A568,LinkedIn_content_raw!$A$2:$A1000,LinkedIn_content_raw!$N$2:$N1000),XLOOKUP($A568,LinkedIn_content_raw!$A$2:$A1000,LinkedIn_content_raw!$Q$2:$Q1000))</f>
        <v>#N/A</v>
      </c>
      <c r="E568" s="26" t="str">
        <f t="array" ref="E568">XLOOKUP($A568,LinkedIn_content_raw!$A$2:$A1000,LinkedIn_content_raw!$E$2:$E1000)</f>
        <v>#N/A</v>
      </c>
    </row>
    <row r="569">
      <c r="A569" s="26" t="str">
        <f>LinkedIn_content_raw!$A570</f>
        <v/>
      </c>
      <c r="B569" s="24" t="str">
        <f t="shared" si="1"/>
        <v/>
      </c>
      <c r="C569" s="26" t="str">
        <f t="array" ref="C569">XLOOKUP($A569,LinkedIn_follows_raw!$A$2:$A1000,LinkedIn_follows_raw!$E$2:$E1000)</f>
        <v>#N/A</v>
      </c>
      <c r="D569" s="26" t="str">
        <f t="array" ref="D569">sum(XLOOKUP($A569,LinkedIn_content_raw!$A$2:$A1000,LinkedIn_content_raw!$K$2:$K1000),XLOOKUP($A569,LinkedIn_content_raw!$A$2:$A1000,LinkedIn_content_raw!$N$2:$N1000),XLOOKUP($A569,LinkedIn_content_raw!$A$2:$A1000,LinkedIn_content_raw!$Q$2:$Q1000))</f>
        <v>#N/A</v>
      </c>
      <c r="E569" s="26" t="str">
        <f t="array" ref="E569">XLOOKUP($A569,LinkedIn_content_raw!$A$2:$A1000,LinkedIn_content_raw!$E$2:$E1000)</f>
        <v>#N/A</v>
      </c>
    </row>
    <row r="570">
      <c r="A570" s="26" t="str">
        <f>LinkedIn_content_raw!$A571</f>
        <v/>
      </c>
      <c r="B570" s="24" t="str">
        <f t="shared" si="1"/>
        <v/>
      </c>
      <c r="C570" s="26" t="str">
        <f t="array" ref="C570">XLOOKUP($A570,LinkedIn_follows_raw!$A$2:$A1000,LinkedIn_follows_raw!$E$2:$E1000)</f>
        <v>#N/A</v>
      </c>
      <c r="D570" s="26" t="str">
        <f t="array" ref="D570">sum(XLOOKUP($A570,LinkedIn_content_raw!$A$2:$A1000,LinkedIn_content_raw!$K$2:$K1000),XLOOKUP($A570,LinkedIn_content_raw!$A$2:$A1000,LinkedIn_content_raw!$N$2:$N1000),XLOOKUP($A570,LinkedIn_content_raw!$A$2:$A1000,LinkedIn_content_raw!$Q$2:$Q1000))</f>
        <v>#N/A</v>
      </c>
      <c r="E570" s="26" t="str">
        <f t="array" ref="E570">XLOOKUP($A570,LinkedIn_content_raw!$A$2:$A1000,LinkedIn_content_raw!$E$2:$E1000)</f>
        <v>#N/A</v>
      </c>
    </row>
    <row r="571">
      <c r="A571" s="26" t="str">
        <f>LinkedIn_content_raw!$A572</f>
        <v/>
      </c>
      <c r="B571" s="24" t="str">
        <f t="shared" si="1"/>
        <v/>
      </c>
      <c r="C571" s="26" t="str">
        <f t="array" ref="C571">XLOOKUP($A571,LinkedIn_follows_raw!$A$2:$A1000,LinkedIn_follows_raw!$E$2:$E1000)</f>
        <v>#N/A</v>
      </c>
      <c r="D571" s="26" t="str">
        <f t="array" ref="D571">sum(XLOOKUP($A571,LinkedIn_content_raw!$A$2:$A1000,LinkedIn_content_raw!$K$2:$K1000),XLOOKUP($A571,LinkedIn_content_raw!$A$2:$A1000,LinkedIn_content_raw!$N$2:$N1000),XLOOKUP($A571,LinkedIn_content_raw!$A$2:$A1000,LinkedIn_content_raw!$Q$2:$Q1000))</f>
        <v>#N/A</v>
      </c>
      <c r="E571" s="26" t="str">
        <f t="array" ref="E571">XLOOKUP($A571,LinkedIn_content_raw!$A$2:$A1000,LinkedIn_content_raw!$E$2:$E1000)</f>
        <v>#N/A</v>
      </c>
    </row>
    <row r="572">
      <c r="A572" s="26" t="str">
        <f>LinkedIn_content_raw!$A573</f>
        <v/>
      </c>
      <c r="B572" s="24" t="str">
        <f t="shared" si="1"/>
        <v/>
      </c>
      <c r="C572" s="26" t="str">
        <f t="array" ref="C572">XLOOKUP($A572,LinkedIn_follows_raw!$A$2:$A1000,LinkedIn_follows_raw!$E$2:$E1000)</f>
        <v>#N/A</v>
      </c>
      <c r="D572" s="26" t="str">
        <f t="array" ref="D572">sum(XLOOKUP($A572,LinkedIn_content_raw!$A$2:$A1000,LinkedIn_content_raw!$K$2:$K1000),XLOOKUP($A572,LinkedIn_content_raw!$A$2:$A1000,LinkedIn_content_raw!$N$2:$N1000),XLOOKUP($A572,LinkedIn_content_raw!$A$2:$A1000,LinkedIn_content_raw!$Q$2:$Q1000))</f>
        <v>#N/A</v>
      </c>
      <c r="E572" s="26" t="str">
        <f t="array" ref="E572">XLOOKUP($A572,LinkedIn_content_raw!$A$2:$A1000,LinkedIn_content_raw!$E$2:$E1000)</f>
        <v>#N/A</v>
      </c>
    </row>
    <row r="573">
      <c r="A573" s="26" t="str">
        <f>LinkedIn_content_raw!$A574</f>
        <v/>
      </c>
      <c r="B573" s="24" t="str">
        <f t="shared" si="1"/>
        <v/>
      </c>
      <c r="C573" s="26" t="str">
        <f t="array" ref="C573">XLOOKUP($A573,LinkedIn_follows_raw!$A$2:$A1000,LinkedIn_follows_raw!$E$2:$E1000)</f>
        <v>#N/A</v>
      </c>
      <c r="D573" s="26" t="str">
        <f t="array" ref="D573">sum(XLOOKUP($A573,LinkedIn_content_raw!$A$2:$A1000,LinkedIn_content_raw!$K$2:$K1000),XLOOKUP($A573,LinkedIn_content_raw!$A$2:$A1000,LinkedIn_content_raw!$N$2:$N1000),XLOOKUP($A573,LinkedIn_content_raw!$A$2:$A1000,LinkedIn_content_raw!$Q$2:$Q1000))</f>
        <v>#N/A</v>
      </c>
      <c r="E573" s="26" t="str">
        <f t="array" ref="E573">XLOOKUP($A573,LinkedIn_content_raw!$A$2:$A1000,LinkedIn_content_raw!$E$2:$E1000)</f>
        <v>#N/A</v>
      </c>
    </row>
    <row r="574">
      <c r="A574" s="26" t="str">
        <f>LinkedIn_content_raw!$A575</f>
        <v/>
      </c>
      <c r="B574" s="24" t="str">
        <f t="shared" si="1"/>
        <v/>
      </c>
      <c r="C574" s="26" t="str">
        <f t="array" ref="C574">XLOOKUP($A574,LinkedIn_follows_raw!$A$2:$A1000,LinkedIn_follows_raw!$E$2:$E1000)</f>
        <v>#N/A</v>
      </c>
      <c r="D574" s="26" t="str">
        <f t="array" ref="D574">sum(XLOOKUP($A574,LinkedIn_content_raw!$A$2:$A1000,LinkedIn_content_raw!$K$2:$K1000),XLOOKUP($A574,LinkedIn_content_raw!$A$2:$A1000,LinkedIn_content_raw!$N$2:$N1000),XLOOKUP($A574,LinkedIn_content_raw!$A$2:$A1000,LinkedIn_content_raw!$Q$2:$Q1000))</f>
        <v>#N/A</v>
      </c>
      <c r="E574" s="26" t="str">
        <f t="array" ref="E574">XLOOKUP($A574,LinkedIn_content_raw!$A$2:$A1000,LinkedIn_content_raw!$E$2:$E1000)</f>
        <v>#N/A</v>
      </c>
    </row>
    <row r="575">
      <c r="A575" s="26" t="str">
        <f>LinkedIn_content_raw!$A576</f>
        <v/>
      </c>
      <c r="B575" s="24" t="str">
        <f t="shared" si="1"/>
        <v/>
      </c>
      <c r="C575" s="26" t="str">
        <f t="array" ref="C575">XLOOKUP($A575,LinkedIn_follows_raw!$A$2:$A1000,LinkedIn_follows_raw!$E$2:$E1000)</f>
        <v>#N/A</v>
      </c>
      <c r="D575" s="26" t="str">
        <f t="array" ref="D575">sum(XLOOKUP($A575,LinkedIn_content_raw!$A$2:$A1000,LinkedIn_content_raw!$K$2:$K1000),XLOOKUP($A575,LinkedIn_content_raw!$A$2:$A1000,LinkedIn_content_raw!$N$2:$N1000),XLOOKUP($A575,LinkedIn_content_raw!$A$2:$A1000,LinkedIn_content_raw!$Q$2:$Q1000))</f>
        <v>#N/A</v>
      </c>
      <c r="E575" s="26" t="str">
        <f t="array" ref="E575">XLOOKUP($A575,LinkedIn_content_raw!$A$2:$A1000,LinkedIn_content_raw!$E$2:$E1000)</f>
        <v>#N/A</v>
      </c>
    </row>
    <row r="576">
      <c r="A576" s="26" t="str">
        <f>LinkedIn_content_raw!$A577</f>
        <v/>
      </c>
      <c r="B576" s="24" t="str">
        <f t="shared" si="1"/>
        <v/>
      </c>
      <c r="C576" s="26" t="str">
        <f t="array" ref="C576">XLOOKUP($A576,LinkedIn_follows_raw!$A$2:$A1000,LinkedIn_follows_raw!$E$2:$E1000)</f>
        <v>#N/A</v>
      </c>
      <c r="D576" s="26" t="str">
        <f t="array" ref="D576">sum(XLOOKUP($A576,LinkedIn_content_raw!$A$2:$A1000,LinkedIn_content_raw!$K$2:$K1000),XLOOKUP($A576,LinkedIn_content_raw!$A$2:$A1000,LinkedIn_content_raw!$N$2:$N1000),XLOOKUP($A576,LinkedIn_content_raw!$A$2:$A1000,LinkedIn_content_raw!$Q$2:$Q1000))</f>
        <v>#N/A</v>
      </c>
      <c r="E576" s="26" t="str">
        <f t="array" ref="E576">XLOOKUP($A576,LinkedIn_content_raw!$A$2:$A1000,LinkedIn_content_raw!$E$2:$E1000)</f>
        <v>#N/A</v>
      </c>
    </row>
    <row r="577">
      <c r="A577" s="26" t="str">
        <f>LinkedIn_content_raw!$A578</f>
        <v/>
      </c>
      <c r="B577" s="24" t="str">
        <f t="shared" si="1"/>
        <v/>
      </c>
      <c r="C577" s="26" t="str">
        <f t="array" ref="C577">XLOOKUP($A577,LinkedIn_follows_raw!$A$2:$A1000,LinkedIn_follows_raw!$E$2:$E1000)</f>
        <v>#N/A</v>
      </c>
      <c r="D577" s="26" t="str">
        <f t="array" ref="D577">sum(XLOOKUP($A577,LinkedIn_content_raw!$A$2:$A1000,LinkedIn_content_raw!$K$2:$K1000),XLOOKUP($A577,LinkedIn_content_raw!$A$2:$A1000,LinkedIn_content_raw!$N$2:$N1000),XLOOKUP($A577,LinkedIn_content_raw!$A$2:$A1000,LinkedIn_content_raw!$Q$2:$Q1000))</f>
        <v>#N/A</v>
      </c>
      <c r="E577" s="26" t="str">
        <f t="array" ref="E577">XLOOKUP($A577,LinkedIn_content_raw!$A$2:$A1000,LinkedIn_content_raw!$E$2:$E1000)</f>
        <v>#N/A</v>
      </c>
    </row>
    <row r="578">
      <c r="A578" s="26" t="str">
        <f>LinkedIn_content_raw!$A579</f>
        <v/>
      </c>
      <c r="B578" s="24" t="str">
        <f t="shared" si="1"/>
        <v/>
      </c>
      <c r="C578" s="26" t="str">
        <f t="array" ref="C578">XLOOKUP($A578,LinkedIn_follows_raw!$A$2:$A1000,LinkedIn_follows_raw!$E$2:$E1000)</f>
        <v>#N/A</v>
      </c>
      <c r="D578" s="26" t="str">
        <f t="array" ref="D578">sum(XLOOKUP($A578,LinkedIn_content_raw!$A$2:$A1000,LinkedIn_content_raw!$K$2:$K1000),XLOOKUP($A578,LinkedIn_content_raw!$A$2:$A1000,LinkedIn_content_raw!$N$2:$N1000),XLOOKUP($A578,LinkedIn_content_raw!$A$2:$A1000,LinkedIn_content_raw!$Q$2:$Q1000))</f>
        <v>#N/A</v>
      </c>
      <c r="E578" s="26" t="str">
        <f t="array" ref="E578">XLOOKUP($A578,LinkedIn_content_raw!$A$2:$A1000,LinkedIn_content_raw!$E$2:$E1000)</f>
        <v>#N/A</v>
      </c>
    </row>
    <row r="579">
      <c r="A579" s="26" t="str">
        <f>LinkedIn_content_raw!$A580</f>
        <v/>
      </c>
      <c r="B579" s="24" t="str">
        <f t="shared" si="1"/>
        <v/>
      </c>
      <c r="C579" s="26" t="str">
        <f t="array" ref="C579">XLOOKUP($A579,LinkedIn_follows_raw!$A$2:$A1000,LinkedIn_follows_raw!$E$2:$E1000)</f>
        <v>#N/A</v>
      </c>
      <c r="D579" s="26" t="str">
        <f t="array" ref="D579">sum(XLOOKUP($A579,LinkedIn_content_raw!$A$2:$A1000,LinkedIn_content_raw!$K$2:$K1000),XLOOKUP($A579,LinkedIn_content_raw!$A$2:$A1000,LinkedIn_content_raw!$N$2:$N1000),XLOOKUP($A579,LinkedIn_content_raw!$A$2:$A1000,LinkedIn_content_raw!$Q$2:$Q1000))</f>
        <v>#N/A</v>
      </c>
      <c r="E579" s="26" t="str">
        <f t="array" ref="E579">XLOOKUP($A579,LinkedIn_content_raw!$A$2:$A1000,LinkedIn_content_raw!$E$2:$E1000)</f>
        <v>#N/A</v>
      </c>
    </row>
    <row r="580">
      <c r="A580" s="26" t="str">
        <f>LinkedIn_content_raw!$A581</f>
        <v/>
      </c>
      <c r="B580" s="24" t="str">
        <f t="shared" si="1"/>
        <v/>
      </c>
      <c r="C580" s="26" t="str">
        <f t="array" ref="C580">XLOOKUP($A580,LinkedIn_follows_raw!$A$2:$A1000,LinkedIn_follows_raw!$E$2:$E1000)</f>
        <v>#N/A</v>
      </c>
      <c r="D580" s="26" t="str">
        <f t="array" ref="D580">sum(XLOOKUP($A580,LinkedIn_content_raw!$A$2:$A1000,LinkedIn_content_raw!$K$2:$K1000),XLOOKUP($A580,LinkedIn_content_raw!$A$2:$A1000,LinkedIn_content_raw!$N$2:$N1000),XLOOKUP($A580,LinkedIn_content_raw!$A$2:$A1000,LinkedIn_content_raw!$Q$2:$Q1000))</f>
        <v>#N/A</v>
      </c>
      <c r="E580" s="26" t="str">
        <f t="array" ref="E580">XLOOKUP($A580,LinkedIn_content_raw!$A$2:$A1000,LinkedIn_content_raw!$E$2:$E1000)</f>
        <v>#N/A</v>
      </c>
    </row>
    <row r="581">
      <c r="A581" s="26" t="str">
        <f>LinkedIn_content_raw!$A582</f>
        <v/>
      </c>
      <c r="B581" s="24" t="str">
        <f t="shared" si="1"/>
        <v/>
      </c>
      <c r="C581" s="26" t="str">
        <f t="array" ref="C581">XLOOKUP($A581,LinkedIn_follows_raw!$A$2:$A1000,LinkedIn_follows_raw!$E$2:$E1000)</f>
        <v>#N/A</v>
      </c>
      <c r="D581" s="26" t="str">
        <f t="array" ref="D581">sum(XLOOKUP($A581,LinkedIn_content_raw!$A$2:$A1000,LinkedIn_content_raw!$K$2:$K1000),XLOOKUP($A581,LinkedIn_content_raw!$A$2:$A1000,LinkedIn_content_raw!$N$2:$N1000),XLOOKUP($A581,LinkedIn_content_raw!$A$2:$A1000,LinkedIn_content_raw!$Q$2:$Q1000))</f>
        <v>#N/A</v>
      </c>
      <c r="E581" s="26" t="str">
        <f t="array" ref="E581">XLOOKUP($A581,LinkedIn_content_raw!$A$2:$A1000,LinkedIn_content_raw!$E$2:$E1000)</f>
        <v>#N/A</v>
      </c>
    </row>
    <row r="582">
      <c r="A582" s="26" t="str">
        <f>LinkedIn_content_raw!$A583</f>
        <v/>
      </c>
      <c r="B582" s="24" t="str">
        <f t="shared" si="1"/>
        <v/>
      </c>
      <c r="C582" s="26" t="str">
        <f t="array" ref="C582">XLOOKUP($A582,LinkedIn_follows_raw!$A$2:$A1000,LinkedIn_follows_raw!$E$2:$E1000)</f>
        <v>#N/A</v>
      </c>
      <c r="D582" s="26" t="str">
        <f t="array" ref="D582">sum(XLOOKUP($A582,LinkedIn_content_raw!$A$2:$A1000,LinkedIn_content_raw!$K$2:$K1000),XLOOKUP($A582,LinkedIn_content_raw!$A$2:$A1000,LinkedIn_content_raw!$N$2:$N1000),XLOOKUP($A582,LinkedIn_content_raw!$A$2:$A1000,LinkedIn_content_raw!$Q$2:$Q1000))</f>
        <v>#N/A</v>
      </c>
      <c r="E582" s="26" t="str">
        <f t="array" ref="E582">XLOOKUP($A582,LinkedIn_content_raw!$A$2:$A1000,LinkedIn_content_raw!$E$2:$E1000)</f>
        <v>#N/A</v>
      </c>
    </row>
    <row r="583">
      <c r="A583" s="26" t="str">
        <f>LinkedIn_content_raw!$A584</f>
        <v/>
      </c>
      <c r="B583" s="24" t="str">
        <f t="shared" si="1"/>
        <v/>
      </c>
      <c r="C583" s="26" t="str">
        <f t="array" ref="C583">XLOOKUP($A583,LinkedIn_follows_raw!$A$2:$A1000,LinkedIn_follows_raw!$E$2:$E1000)</f>
        <v>#N/A</v>
      </c>
      <c r="D583" s="26" t="str">
        <f t="array" ref="D583">sum(XLOOKUP($A583,LinkedIn_content_raw!$A$2:$A1000,LinkedIn_content_raw!$K$2:$K1000),XLOOKUP($A583,LinkedIn_content_raw!$A$2:$A1000,LinkedIn_content_raw!$N$2:$N1000),XLOOKUP($A583,LinkedIn_content_raw!$A$2:$A1000,LinkedIn_content_raw!$Q$2:$Q1000))</f>
        <v>#N/A</v>
      </c>
      <c r="E583" s="26" t="str">
        <f t="array" ref="E583">XLOOKUP($A583,LinkedIn_content_raw!$A$2:$A1000,LinkedIn_content_raw!$E$2:$E1000)</f>
        <v>#N/A</v>
      </c>
    </row>
    <row r="584">
      <c r="A584" s="26" t="str">
        <f>LinkedIn_content_raw!$A585</f>
        <v/>
      </c>
      <c r="B584" s="24" t="str">
        <f t="shared" si="1"/>
        <v/>
      </c>
      <c r="C584" s="26" t="str">
        <f t="array" ref="C584">XLOOKUP($A584,LinkedIn_follows_raw!$A$2:$A1000,LinkedIn_follows_raw!$E$2:$E1000)</f>
        <v>#N/A</v>
      </c>
      <c r="D584" s="26" t="str">
        <f t="array" ref="D584">sum(XLOOKUP($A584,LinkedIn_content_raw!$A$2:$A1000,LinkedIn_content_raw!$K$2:$K1000),XLOOKUP($A584,LinkedIn_content_raw!$A$2:$A1000,LinkedIn_content_raw!$N$2:$N1000),XLOOKUP($A584,LinkedIn_content_raw!$A$2:$A1000,LinkedIn_content_raw!$Q$2:$Q1000))</f>
        <v>#N/A</v>
      </c>
      <c r="E584" s="26" t="str">
        <f t="array" ref="E584">XLOOKUP($A584,LinkedIn_content_raw!$A$2:$A1000,LinkedIn_content_raw!$E$2:$E1000)</f>
        <v>#N/A</v>
      </c>
    </row>
    <row r="585">
      <c r="A585" s="26" t="str">
        <f>LinkedIn_content_raw!$A586</f>
        <v/>
      </c>
      <c r="B585" s="24" t="str">
        <f t="shared" si="1"/>
        <v/>
      </c>
      <c r="C585" s="26" t="str">
        <f t="array" ref="C585">XLOOKUP($A585,LinkedIn_follows_raw!$A$2:$A1000,LinkedIn_follows_raw!$E$2:$E1000)</f>
        <v>#N/A</v>
      </c>
      <c r="D585" s="26" t="str">
        <f t="array" ref="D585">sum(XLOOKUP($A585,LinkedIn_content_raw!$A$2:$A1000,LinkedIn_content_raw!$K$2:$K1000),XLOOKUP($A585,LinkedIn_content_raw!$A$2:$A1000,LinkedIn_content_raw!$N$2:$N1000),XLOOKUP($A585,LinkedIn_content_raw!$A$2:$A1000,LinkedIn_content_raw!$Q$2:$Q1000))</f>
        <v>#N/A</v>
      </c>
      <c r="E585" s="26" t="str">
        <f t="array" ref="E585">XLOOKUP($A585,LinkedIn_content_raw!$A$2:$A1000,LinkedIn_content_raw!$E$2:$E1000)</f>
        <v>#N/A</v>
      </c>
    </row>
    <row r="586">
      <c r="A586" s="26" t="str">
        <f>LinkedIn_content_raw!$A587</f>
        <v/>
      </c>
      <c r="B586" s="24" t="str">
        <f t="shared" si="1"/>
        <v/>
      </c>
      <c r="C586" s="26" t="str">
        <f t="array" ref="C586">XLOOKUP($A586,LinkedIn_follows_raw!$A$2:$A1000,LinkedIn_follows_raw!$E$2:$E1000)</f>
        <v>#N/A</v>
      </c>
      <c r="D586" s="26" t="str">
        <f t="array" ref="D586">sum(XLOOKUP($A586,LinkedIn_content_raw!$A$2:$A1000,LinkedIn_content_raw!$K$2:$K1000),XLOOKUP($A586,LinkedIn_content_raw!$A$2:$A1000,LinkedIn_content_raw!$N$2:$N1000),XLOOKUP($A586,LinkedIn_content_raw!$A$2:$A1000,LinkedIn_content_raw!$Q$2:$Q1000))</f>
        <v>#N/A</v>
      </c>
      <c r="E586" s="26" t="str">
        <f t="array" ref="E586">XLOOKUP($A586,LinkedIn_content_raw!$A$2:$A1000,LinkedIn_content_raw!$E$2:$E1000)</f>
        <v>#N/A</v>
      </c>
    </row>
    <row r="587">
      <c r="A587" s="26" t="str">
        <f>LinkedIn_content_raw!$A588</f>
        <v/>
      </c>
      <c r="B587" s="24" t="str">
        <f t="shared" si="1"/>
        <v/>
      </c>
      <c r="C587" s="26" t="str">
        <f t="array" ref="C587">XLOOKUP($A587,LinkedIn_follows_raw!$A$2:$A1000,LinkedIn_follows_raw!$E$2:$E1000)</f>
        <v>#N/A</v>
      </c>
      <c r="D587" s="26" t="str">
        <f t="array" ref="D587">sum(XLOOKUP($A587,LinkedIn_content_raw!$A$2:$A1000,LinkedIn_content_raw!$K$2:$K1000),XLOOKUP($A587,LinkedIn_content_raw!$A$2:$A1000,LinkedIn_content_raw!$N$2:$N1000),XLOOKUP($A587,LinkedIn_content_raw!$A$2:$A1000,LinkedIn_content_raw!$Q$2:$Q1000))</f>
        <v>#N/A</v>
      </c>
      <c r="E587" s="26" t="str">
        <f t="array" ref="E587">XLOOKUP($A587,LinkedIn_content_raw!$A$2:$A1000,LinkedIn_content_raw!$E$2:$E1000)</f>
        <v>#N/A</v>
      </c>
    </row>
    <row r="588">
      <c r="A588" s="26" t="str">
        <f>LinkedIn_content_raw!$A589</f>
        <v/>
      </c>
      <c r="B588" s="24" t="str">
        <f t="shared" si="1"/>
        <v/>
      </c>
      <c r="C588" s="26" t="str">
        <f t="array" ref="C588">XLOOKUP($A588,LinkedIn_follows_raw!$A$2:$A1000,LinkedIn_follows_raw!$E$2:$E1000)</f>
        <v>#N/A</v>
      </c>
      <c r="D588" s="26" t="str">
        <f t="array" ref="D588">sum(XLOOKUP($A588,LinkedIn_content_raw!$A$2:$A1000,LinkedIn_content_raw!$K$2:$K1000),XLOOKUP($A588,LinkedIn_content_raw!$A$2:$A1000,LinkedIn_content_raw!$N$2:$N1000),XLOOKUP($A588,LinkedIn_content_raw!$A$2:$A1000,LinkedIn_content_raw!$Q$2:$Q1000))</f>
        <v>#N/A</v>
      </c>
      <c r="E588" s="26" t="str">
        <f t="array" ref="E588">XLOOKUP($A588,LinkedIn_content_raw!$A$2:$A1000,LinkedIn_content_raw!$E$2:$E1000)</f>
        <v>#N/A</v>
      </c>
    </row>
    <row r="589">
      <c r="A589" s="26" t="str">
        <f>LinkedIn_content_raw!$A590</f>
        <v/>
      </c>
      <c r="B589" s="24" t="str">
        <f t="shared" si="1"/>
        <v/>
      </c>
      <c r="C589" s="26" t="str">
        <f t="array" ref="C589">XLOOKUP($A589,LinkedIn_follows_raw!$A$2:$A1000,LinkedIn_follows_raw!$E$2:$E1000)</f>
        <v>#N/A</v>
      </c>
      <c r="D589" s="26" t="str">
        <f t="array" ref="D589">sum(XLOOKUP($A589,LinkedIn_content_raw!$A$2:$A1000,LinkedIn_content_raw!$K$2:$K1000),XLOOKUP($A589,LinkedIn_content_raw!$A$2:$A1000,LinkedIn_content_raw!$N$2:$N1000),XLOOKUP($A589,LinkedIn_content_raw!$A$2:$A1000,LinkedIn_content_raw!$Q$2:$Q1000))</f>
        <v>#N/A</v>
      </c>
      <c r="E589" s="26" t="str">
        <f t="array" ref="E589">XLOOKUP($A589,LinkedIn_content_raw!$A$2:$A1000,LinkedIn_content_raw!$E$2:$E1000)</f>
        <v>#N/A</v>
      </c>
    </row>
    <row r="590">
      <c r="A590" s="26" t="str">
        <f>LinkedIn_content_raw!$A591</f>
        <v/>
      </c>
      <c r="B590" s="24" t="str">
        <f t="shared" si="1"/>
        <v/>
      </c>
      <c r="C590" s="26" t="str">
        <f t="array" ref="C590">XLOOKUP($A590,LinkedIn_follows_raw!$A$2:$A1000,LinkedIn_follows_raw!$E$2:$E1000)</f>
        <v>#N/A</v>
      </c>
      <c r="D590" s="26" t="str">
        <f t="array" ref="D590">sum(XLOOKUP($A590,LinkedIn_content_raw!$A$2:$A1000,LinkedIn_content_raw!$K$2:$K1000),XLOOKUP($A590,LinkedIn_content_raw!$A$2:$A1000,LinkedIn_content_raw!$N$2:$N1000),XLOOKUP($A590,LinkedIn_content_raw!$A$2:$A1000,LinkedIn_content_raw!$Q$2:$Q1000))</f>
        <v>#N/A</v>
      </c>
      <c r="E590" s="26" t="str">
        <f t="array" ref="E590">XLOOKUP($A590,LinkedIn_content_raw!$A$2:$A1000,LinkedIn_content_raw!$E$2:$E1000)</f>
        <v>#N/A</v>
      </c>
    </row>
    <row r="591">
      <c r="A591" s="26" t="str">
        <f>LinkedIn_content_raw!$A592</f>
        <v/>
      </c>
      <c r="B591" s="24" t="str">
        <f t="shared" si="1"/>
        <v/>
      </c>
      <c r="C591" s="26" t="str">
        <f t="array" ref="C591">XLOOKUP($A591,LinkedIn_follows_raw!$A$2:$A1000,LinkedIn_follows_raw!$E$2:$E1000)</f>
        <v>#N/A</v>
      </c>
      <c r="D591" s="26" t="str">
        <f t="array" ref="D591">sum(XLOOKUP($A591,LinkedIn_content_raw!$A$2:$A1000,LinkedIn_content_raw!$K$2:$K1000),XLOOKUP($A591,LinkedIn_content_raw!$A$2:$A1000,LinkedIn_content_raw!$N$2:$N1000),XLOOKUP($A591,LinkedIn_content_raw!$A$2:$A1000,LinkedIn_content_raw!$Q$2:$Q1000))</f>
        <v>#N/A</v>
      </c>
      <c r="E591" s="26" t="str">
        <f t="array" ref="E591">XLOOKUP($A591,LinkedIn_content_raw!$A$2:$A1000,LinkedIn_content_raw!$E$2:$E1000)</f>
        <v>#N/A</v>
      </c>
    </row>
    <row r="592">
      <c r="A592" s="26" t="str">
        <f>LinkedIn_content_raw!$A593</f>
        <v/>
      </c>
      <c r="B592" s="24" t="str">
        <f t="shared" si="1"/>
        <v/>
      </c>
      <c r="C592" s="26" t="str">
        <f t="array" ref="C592">XLOOKUP($A592,LinkedIn_follows_raw!$A$2:$A1000,LinkedIn_follows_raw!$E$2:$E1000)</f>
        <v>#N/A</v>
      </c>
      <c r="D592" s="26" t="str">
        <f t="array" ref="D592">sum(XLOOKUP($A592,LinkedIn_content_raw!$A$2:$A1000,LinkedIn_content_raw!$K$2:$K1000),XLOOKUP($A592,LinkedIn_content_raw!$A$2:$A1000,LinkedIn_content_raw!$N$2:$N1000),XLOOKUP($A592,LinkedIn_content_raw!$A$2:$A1000,LinkedIn_content_raw!$Q$2:$Q1000))</f>
        <v>#N/A</v>
      </c>
      <c r="E592" s="26" t="str">
        <f t="array" ref="E592">XLOOKUP($A592,LinkedIn_content_raw!$A$2:$A1000,LinkedIn_content_raw!$E$2:$E1000)</f>
        <v>#N/A</v>
      </c>
    </row>
    <row r="593">
      <c r="A593" s="26" t="str">
        <f>LinkedIn_content_raw!$A594</f>
        <v/>
      </c>
      <c r="B593" s="24" t="str">
        <f t="shared" si="1"/>
        <v/>
      </c>
      <c r="C593" s="26" t="str">
        <f t="array" ref="C593">XLOOKUP($A593,LinkedIn_follows_raw!$A$2:$A1000,LinkedIn_follows_raw!$E$2:$E1000)</f>
        <v>#N/A</v>
      </c>
      <c r="D593" s="26" t="str">
        <f t="array" ref="D593">sum(XLOOKUP($A593,LinkedIn_content_raw!$A$2:$A1000,LinkedIn_content_raw!$K$2:$K1000),XLOOKUP($A593,LinkedIn_content_raw!$A$2:$A1000,LinkedIn_content_raw!$N$2:$N1000),XLOOKUP($A593,LinkedIn_content_raw!$A$2:$A1000,LinkedIn_content_raw!$Q$2:$Q1000))</f>
        <v>#N/A</v>
      </c>
      <c r="E593" s="26" t="str">
        <f t="array" ref="E593">XLOOKUP($A593,LinkedIn_content_raw!$A$2:$A1000,LinkedIn_content_raw!$E$2:$E1000)</f>
        <v>#N/A</v>
      </c>
    </row>
    <row r="594">
      <c r="A594" s="26" t="str">
        <f>LinkedIn_content_raw!$A595</f>
        <v/>
      </c>
      <c r="B594" s="24" t="str">
        <f t="shared" si="1"/>
        <v/>
      </c>
      <c r="C594" s="26" t="str">
        <f t="array" ref="C594">XLOOKUP($A594,LinkedIn_follows_raw!$A$2:$A1000,LinkedIn_follows_raw!$E$2:$E1000)</f>
        <v>#N/A</v>
      </c>
      <c r="D594" s="26" t="str">
        <f t="array" ref="D594">sum(XLOOKUP($A594,LinkedIn_content_raw!$A$2:$A1000,LinkedIn_content_raw!$K$2:$K1000),XLOOKUP($A594,LinkedIn_content_raw!$A$2:$A1000,LinkedIn_content_raw!$N$2:$N1000),XLOOKUP($A594,LinkedIn_content_raw!$A$2:$A1000,LinkedIn_content_raw!$Q$2:$Q1000))</f>
        <v>#N/A</v>
      </c>
      <c r="E594" s="26" t="str">
        <f t="array" ref="E594">XLOOKUP($A594,LinkedIn_content_raw!$A$2:$A1000,LinkedIn_content_raw!$E$2:$E1000)</f>
        <v>#N/A</v>
      </c>
    </row>
    <row r="595">
      <c r="A595" s="26" t="str">
        <f>LinkedIn_content_raw!$A596</f>
        <v/>
      </c>
      <c r="B595" s="24" t="str">
        <f t="shared" si="1"/>
        <v/>
      </c>
      <c r="C595" s="26" t="str">
        <f t="array" ref="C595">XLOOKUP($A595,LinkedIn_follows_raw!$A$2:$A1000,LinkedIn_follows_raw!$E$2:$E1000)</f>
        <v>#N/A</v>
      </c>
      <c r="D595" s="26" t="str">
        <f t="array" ref="D595">sum(XLOOKUP($A595,LinkedIn_content_raw!$A$2:$A1000,LinkedIn_content_raw!$K$2:$K1000),XLOOKUP($A595,LinkedIn_content_raw!$A$2:$A1000,LinkedIn_content_raw!$N$2:$N1000),XLOOKUP($A595,LinkedIn_content_raw!$A$2:$A1000,LinkedIn_content_raw!$Q$2:$Q1000))</f>
        <v>#N/A</v>
      </c>
      <c r="E595" s="26" t="str">
        <f t="array" ref="E595">XLOOKUP($A595,LinkedIn_content_raw!$A$2:$A1000,LinkedIn_content_raw!$E$2:$E1000)</f>
        <v>#N/A</v>
      </c>
    </row>
    <row r="596">
      <c r="A596" s="26" t="str">
        <f>LinkedIn_content_raw!$A597</f>
        <v/>
      </c>
      <c r="B596" s="24" t="str">
        <f t="shared" si="1"/>
        <v/>
      </c>
      <c r="C596" s="26" t="str">
        <f t="array" ref="C596">XLOOKUP($A596,LinkedIn_follows_raw!$A$2:$A1000,LinkedIn_follows_raw!$E$2:$E1000)</f>
        <v>#N/A</v>
      </c>
      <c r="D596" s="26" t="str">
        <f t="array" ref="D596">sum(XLOOKUP($A596,LinkedIn_content_raw!$A$2:$A1000,LinkedIn_content_raw!$K$2:$K1000),XLOOKUP($A596,LinkedIn_content_raw!$A$2:$A1000,LinkedIn_content_raw!$N$2:$N1000),XLOOKUP($A596,LinkedIn_content_raw!$A$2:$A1000,LinkedIn_content_raw!$Q$2:$Q1000))</f>
        <v>#N/A</v>
      </c>
      <c r="E596" s="26" t="str">
        <f t="array" ref="E596">XLOOKUP($A596,LinkedIn_content_raw!$A$2:$A1000,LinkedIn_content_raw!$E$2:$E1000)</f>
        <v>#N/A</v>
      </c>
    </row>
    <row r="597">
      <c r="A597" s="26" t="str">
        <f>LinkedIn_content_raw!$A598</f>
        <v/>
      </c>
      <c r="B597" s="24" t="str">
        <f t="shared" si="1"/>
        <v/>
      </c>
      <c r="C597" s="26" t="str">
        <f t="array" ref="C597">XLOOKUP($A597,LinkedIn_follows_raw!$A$2:$A1000,LinkedIn_follows_raw!$E$2:$E1000)</f>
        <v>#N/A</v>
      </c>
      <c r="D597" s="26" t="str">
        <f t="array" ref="D597">sum(XLOOKUP($A597,LinkedIn_content_raw!$A$2:$A1000,LinkedIn_content_raw!$K$2:$K1000),XLOOKUP($A597,LinkedIn_content_raw!$A$2:$A1000,LinkedIn_content_raw!$N$2:$N1000),XLOOKUP($A597,LinkedIn_content_raw!$A$2:$A1000,LinkedIn_content_raw!$Q$2:$Q1000))</f>
        <v>#N/A</v>
      </c>
      <c r="E597" s="26" t="str">
        <f t="array" ref="E597">XLOOKUP($A597,LinkedIn_content_raw!$A$2:$A1000,LinkedIn_content_raw!$E$2:$E1000)</f>
        <v>#N/A</v>
      </c>
    </row>
    <row r="598">
      <c r="A598" s="26" t="str">
        <f>LinkedIn_content_raw!$A599</f>
        <v/>
      </c>
      <c r="B598" s="24" t="str">
        <f t="shared" si="1"/>
        <v/>
      </c>
      <c r="C598" s="26" t="str">
        <f t="array" ref="C598">XLOOKUP($A598,LinkedIn_follows_raw!$A$2:$A1000,LinkedIn_follows_raw!$E$2:$E1000)</f>
        <v>#N/A</v>
      </c>
      <c r="D598" s="26" t="str">
        <f t="array" ref="D598">sum(XLOOKUP($A598,LinkedIn_content_raw!$A$2:$A1000,LinkedIn_content_raw!$K$2:$K1000),XLOOKUP($A598,LinkedIn_content_raw!$A$2:$A1000,LinkedIn_content_raw!$N$2:$N1000),XLOOKUP($A598,LinkedIn_content_raw!$A$2:$A1000,LinkedIn_content_raw!$Q$2:$Q1000))</f>
        <v>#N/A</v>
      </c>
      <c r="E598" s="26" t="str">
        <f t="array" ref="E598">XLOOKUP($A598,LinkedIn_content_raw!$A$2:$A1000,LinkedIn_content_raw!$E$2:$E1000)</f>
        <v>#N/A</v>
      </c>
    </row>
    <row r="599">
      <c r="A599" s="26" t="str">
        <f>LinkedIn_content_raw!$A600</f>
        <v/>
      </c>
      <c r="B599" s="24" t="str">
        <f t="shared" si="1"/>
        <v/>
      </c>
      <c r="C599" s="26" t="str">
        <f t="array" ref="C599">XLOOKUP($A599,LinkedIn_follows_raw!$A$2:$A1000,LinkedIn_follows_raw!$E$2:$E1000)</f>
        <v>#N/A</v>
      </c>
      <c r="D599" s="26" t="str">
        <f t="array" ref="D599">sum(XLOOKUP($A599,LinkedIn_content_raw!$A$2:$A1000,LinkedIn_content_raw!$K$2:$K1000),XLOOKUP($A599,LinkedIn_content_raw!$A$2:$A1000,LinkedIn_content_raw!$N$2:$N1000),XLOOKUP($A599,LinkedIn_content_raw!$A$2:$A1000,LinkedIn_content_raw!$Q$2:$Q1000))</f>
        <v>#N/A</v>
      </c>
      <c r="E599" s="26" t="str">
        <f t="array" ref="E599">XLOOKUP($A599,LinkedIn_content_raw!$A$2:$A1000,LinkedIn_content_raw!$E$2:$E1000)</f>
        <v>#N/A</v>
      </c>
    </row>
    <row r="600">
      <c r="A600" s="26" t="str">
        <f>LinkedIn_content_raw!$A601</f>
        <v/>
      </c>
      <c r="B600" s="24" t="str">
        <f t="shared" si="1"/>
        <v/>
      </c>
      <c r="C600" s="26" t="str">
        <f t="array" ref="C600">XLOOKUP($A600,LinkedIn_follows_raw!$A$2:$A1000,LinkedIn_follows_raw!$E$2:$E1000)</f>
        <v>#N/A</v>
      </c>
      <c r="D600" s="26" t="str">
        <f t="array" ref="D600">sum(XLOOKUP($A600,LinkedIn_content_raw!$A$2:$A1000,LinkedIn_content_raw!$K$2:$K1000),XLOOKUP($A600,LinkedIn_content_raw!$A$2:$A1000,LinkedIn_content_raw!$N$2:$N1000),XLOOKUP($A600,LinkedIn_content_raw!$A$2:$A1000,LinkedIn_content_raw!$Q$2:$Q1000))</f>
        <v>#N/A</v>
      </c>
      <c r="E600" s="26" t="str">
        <f t="array" ref="E600">XLOOKUP($A600,LinkedIn_content_raw!$A$2:$A1000,LinkedIn_content_raw!$E$2:$E1000)</f>
        <v>#N/A</v>
      </c>
    </row>
    <row r="601">
      <c r="A601" s="26" t="str">
        <f>LinkedIn_content_raw!$A602</f>
        <v/>
      </c>
      <c r="B601" s="24" t="str">
        <f t="shared" si="1"/>
        <v/>
      </c>
      <c r="C601" s="26" t="str">
        <f t="array" ref="C601">XLOOKUP($A601,LinkedIn_follows_raw!$A$2:$A1000,LinkedIn_follows_raw!$E$2:$E1000)</f>
        <v>#N/A</v>
      </c>
      <c r="D601" s="26" t="str">
        <f t="array" ref="D601">sum(XLOOKUP($A601,LinkedIn_content_raw!$A$2:$A1000,LinkedIn_content_raw!$K$2:$K1000),XLOOKUP($A601,LinkedIn_content_raw!$A$2:$A1000,LinkedIn_content_raw!$N$2:$N1000),XLOOKUP($A601,LinkedIn_content_raw!$A$2:$A1000,LinkedIn_content_raw!$Q$2:$Q1000))</f>
        <v>#N/A</v>
      </c>
      <c r="E601" s="26" t="str">
        <f t="array" ref="E601">XLOOKUP($A601,LinkedIn_content_raw!$A$2:$A1000,LinkedIn_content_raw!$E$2:$E1000)</f>
        <v>#N/A</v>
      </c>
    </row>
    <row r="602">
      <c r="A602" s="26" t="str">
        <f>LinkedIn_content_raw!$A603</f>
        <v/>
      </c>
      <c r="B602" s="24" t="str">
        <f t="shared" si="1"/>
        <v/>
      </c>
      <c r="C602" s="26" t="str">
        <f t="array" ref="C602">XLOOKUP($A602,LinkedIn_follows_raw!$A$2:$A1000,LinkedIn_follows_raw!$E$2:$E1000)</f>
        <v>#N/A</v>
      </c>
      <c r="D602" s="26" t="str">
        <f t="array" ref="D602">sum(XLOOKUP($A602,LinkedIn_content_raw!$A$2:$A1000,LinkedIn_content_raw!$K$2:$K1000),XLOOKUP($A602,LinkedIn_content_raw!$A$2:$A1000,LinkedIn_content_raw!$N$2:$N1000),XLOOKUP($A602,LinkedIn_content_raw!$A$2:$A1000,LinkedIn_content_raw!$Q$2:$Q1000))</f>
        <v>#N/A</v>
      </c>
      <c r="E602" s="26" t="str">
        <f t="array" ref="E602">XLOOKUP($A602,LinkedIn_content_raw!$A$2:$A1000,LinkedIn_content_raw!$E$2:$E1000)</f>
        <v>#N/A</v>
      </c>
    </row>
    <row r="603">
      <c r="A603" s="26" t="str">
        <f>LinkedIn_content_raw!$A604</f>
        <v/>
      </c>
      <c r="B603" s="24" t="str">
        <f t="shared" si="1"/>
        <v/>
      </c>
      <c r="C603" s="26" t="str">
        <f t="array" ref="C603">XLOOKUP($A603,LinkedIn_follows_raw!$A$2:$A1000,LinkedIn_follows_raw!$E$2:$E1000)</f>
        <v>#N/A</v>
      </c>
      <c r="D603" s="26" t="str">
        <f t="array" ref="D603">sum(XLOOKUP($A603,LinkedIn_content_raw!$A$2:$A1000,LinkedIn_content_raw!$K$2:$K1000),XLOOKUP($A603,LinkedIn_content_raw!$A$2:$A1000,LinkedIn_content_raw!$N$2:$N1000),XLOOKUP($A603,LinkedIn_content_raw!$A$2:$A1000,LinkedIn_content_raw!$Q$2:$Q1000))</f>
        <v>#N/A</v>
      </c>
      <c r="E603" s="26" t="str">
        <f t="array" ref="E603">XLOOKUP($A603,LinkedIn_content_raw!$A$2:$A1000,LinkedIn_content_raw!$E$2:$E1000)</f>
        <v>#N/A</v>
      </c>
    </row>
    <row r="604">
      <c r="A604" s="26" t="str">
        <f>LinkedIn_content_raw!$A605</f>
        <v/>
      </c>
      <c r="B604" s="24" t="str">
        <f t="shared" si="1"/>
        <v/>
      </c>
      <c r="C604" s="26" t="str">
        <f t="array" ref="C604">XLOOKUP($A604,LinkedIn_follows_raw!$A$2:$A1000,LinkedIn_follows_raw!$E$2:$E1000)</f>
        <v>#N/A</v>
      </c>
      <c r="D604" s="26" t="str">
        <f t="array" ref="D604">sum(XLOOKUP($A604,LinkedIn_content_raw!$A$2:$A1000,LinkedIn_content_raw!$K$2:$K1000),XLOOKUP($A604,LinkedIn_content_raw!$A$2:$A1000,LinkedIn_content_raw!$N$2:$N1000),XLOOKUP($A604,LinkedIn_content_raw!$A$2:$A1000,LinkedIn_content_raw!$Q$2:$Q1000))</f>
        <v>#N/A</v>
      </c>
      <c r="E604" s="26" t="str">
        <f t="array" ref="E604">XLOOKUP($A604,LinkedIn_content_raw!$A$2:$A1000,LinkedIn_content_raw!$E$2:$E1000)</f>
        <v>#N/A</v>
      </c>
    </row>
    <row r="605">
      <c r="A605" s="26" t="str">
        <f>LinkedIn_content_raw!$A606</f>
        <v/>
      </c>
      <c r="B605" s="24" t="str">
        <f t="shared" si="1"/>
        <v/>
      </c>
      <c r="C605" s="26" t="str">
        <f t="array" ref="C605">XLOOKUP($A605,LinkedIn_follows_raw!$A$2:$A1000,LinkedIn_follows_raw!$E$2:$E1000)</f>
        <v>#N/A</v>
      </c>
      <c r="D605" s="26" t="str">
        <f t="array" ref="D605">sum(XLOOKUP($A605,LinkedIn_content_raw!$A$2:$A1000,LinkedIn_content_raw!$K$2:$K1000),XLOOKUP($A605,LinkedIn_content_raw!$A$2:$A1000,LinkedIn_content_raw!$N$2:$N1000),XLOOKUP($A605,LinkedIn_content_raw!$A$2:$A1000,LinkedIn_content_raw!$Q$2:$Q1000))</f>
        <v>#N/A</v>
      </c>
      <c r="E605" s="26" t="str">
        <f t="array" ref="E605">XLOOKUP($A605,LinkedIn_content_raw!$A$2:$A1000,LinkedIn_content_raw!$E$2:$E1000)</f>
        <v>#N/A</v>
      </c>
    </row>
    <row r="606">
      <c r="A606" s="26" t="str">
        <f>LinkedIn_content_raw!$A607</f>
        <v/>
      </c>
      <c r="B606" s="24" t="str">
        <f t="shared" si="1"/>
        <v/>
      </c>
      <c r="C606" s="26" t="str">
        <f t="array" ref="C606">XLOOKUP($A606,LinkedIn_follows_raw!$A$2:$A1000,LinkedIn_follows_raw!$E$2:$E1000)</f>
        <v>#N/A</v>
      </c>
      <c r="D606" s="26" t="str">
        <f t="array" ref="D606">sum(XLOOKUP($A606,LinkedIn_content_raw!$A$2:$A1000,LinkedIn_content_raw!$K$2:$K1000),XLOOKUP($A606,LinkedIn_content_raw!$A$2:$A1000,LinkedIn_content_raw!$N$2:$N1000),XLOOKUP($A606,LinkedIn_content_raw!$A$2:$A1000,LinkedIn_content_raw!$Q$2:$Q1000))</f>
        <v>#N/A</v>
      </c>
      <c r="E606" s="26" t="str">
        <f t="array" ref="E606">XLOOKUP($A606,LinkedIn_content_raw!$A$2:$A1000,LinkedIn_content_raw!$E$2:$E1000)</f>
        <v>#N/A</v>
      </c>
    </row>
    <row r="607">
      <c r="A607" s="26" t="str">
        <f>LinkedIn_content_raw!$A608</f>
        <v/>
      </c>
      <c r="B607" s="24" t="str">
        <f t="shared" si="1"/>
        <v/>
      </c>
      <c r="C607" s="26" t="str">
        <f t="array" ref="C607">XLOOKUP($A607,LinkedIn_follows_raw!$A$2:$A1000,LinkedIn_follows_raw!$E$2:$E1000)</f>
        <v>#N/A</v>
      </c>
      <c r="D607" s="26" t="str">
        <f t="array" ref="D607">sum(XLOOKUP($A607,LinkedIn_content_raw!$A$2:$A1000,LinkedIn_content_raw!$K$2:$K1000),XLOOKUP($A607,LinkedIn_content_raw!$A$2:$A1000,LinkedIn_content_raw!$N$2:$N1000),XLOOKUP($A607,LinkedIn_content_raw!$A$2:$A1000,LinkedIn_content_raw!$Q$2:$Q1000))</f>
        <v>#N/A</v>
      </c>
      <c r="E607" s="26" t="str">
        <f t="array" ref="E607">XLOOKUP($A607,LinkedIn_content_raw!$A$2:$A1000,LinkedIn_content_raw!$E$2:$E1000)</f>
        <v>#N/A</v>
      </c>
    </row>
    <row r="608">
      <c r="A608" s="26" t="str">
        <f>LinkedIn_content_raw!$A609</f>
        <v/>
      </c>
      <c r="B608" s="24" t="str">
        <f t="shared" si="1"/>
        <v/>
      </c>
      <c r="C608" s="26" t="str">
        <f t="array" ref="C608">XLOOKUP($A608,LinkedIn_follows_raw!$A$2:$A1000,LinkedIn_follows_raw!$E$2:$E1000)</f>
        <v>#N/A</v>
      </c>
      <c r="D608" s="26" t="str">
        <f t="array" ref="D608">sum(XLOOKUP($A608,LinkedIn_content_raw!$A$2:$A1000,LinkedIn_content_raw!$K$2:$K1000),XLOOKUP($A608,LinkedIn_content_raw!$A$2:$A1000,LinkedIn_content_raw!$N$2:$N1000),XLOOKUP($A608,LinkedIn_content_raw!$A$2:$A1000,LinkedIn_content_raw!$Q$2:$Q1000))</f>
        <v>#N/A</v>
      </c>
      <c r="E608" s="26" t="str">
        <f t="array" ref="E608">XLOOKUP($A608,LinkedIn_content_raw!$A$2:$A1000,LinkedIn_content_raw!$E$2:$E1000)</f>
        <v>#N/A</v>
      </c>
    </row>
    <row r="609">
      <c r="A609" s="26" t="str">
        <f>LinkedIn_content_raw!$A610</f>
        <v/>
      </c>
      <c r="B609" s="24" t="str">
        <f t="shared" si="1"/>
        <v/>
      </c>
      <c r="C609" s="26" t="str">
        <f t="array" ref="C609">XLOOKUP($A609,LinkedIn_follows_raw!$A$2:$A1000,LinkedIn_follows_raw!$E$2:$E1000)</f>
        <v>#N/A</v>
      </c>
      <c r="D609" s="26" t="str">
        <f t="array" ref="D609">sum(XLOOKUP($A609,LinkedIn_content_raw!$A$2:$A1000,LinkedIn_content_raw!$K$2:$K1000),XLOOKUP($A609,LinkedIn_content_raw!$A$2:$A1000,LinkedIn_content_raw!$N$2:$N1000),XLOOKUP($A609,LinkedIn_content_raw!$A$2:$A1000,LinkedIn_content_raw!$Q$2:$Q1000))</f>
        <v>#N/A</v>
      </c>
      <c r="E609" s="26" t="str">
        <f t="array" ref="E609">XLOOKUP($A609,LinkedIn_content_raw!$A$2:$A1000,LinkedIn_content_raw!$E$2:$E1000)</f>
        <v>#N/A</v>
      </c>
    </row>
    <row r="610">
      <c r="A610" s="26" t="str">
        <f>LinkedIn_content_raw!$A611</f>
        <v/>
      </c>
      <c r="B610" s="24" t="str">
        <f t="shared" si="1"/>
        <v/>
      </c>
      <c r="C610" s="26" t="str">
        <f t="array" ref="C610">XLOOKUP($A610,LinkedIn_follows_raw!$A$2:$A1000,LinkedIn_follows_raw!$E$2:$E1000)</f>
        <v>#N/A</v>
      </c>
      <c r="D610" s="26" t="str">
        <f t="array" ref="D610">sum(XLOOKUP($A610,LinkedIn_content_raw!$A$2:$A1000,LinkedIn_content_raw!$K$2:$K1000),XLOOKUP($A610,LinkedIn_content_raw!$A$2:$A1000,LinkedIn_content_raw!$N$2:$N1000),XLOOKUP($A610,LinkedIn_content_raw!$A$2:$A1000,LinkedIn_content_raw!$Q$2:$Q1000))</f>
        <v>#N/A</v>
      </c>
      <c r="E610" s="26" t="str">
        <f t="array" ref="E610">XLOOKUP($A610,LinkedIn_content_raw!$A$2:$A1000,LinkedIn_content_raw!$E$2:$E1000)</f>
        <v>#N/A</v>
      </c>
    </row>
    <row r="611">
      <c r="A611" s="26" t="str">
        <f>LinkedIn_content_raw!$A612</f>
        <v/>
      </c>
      <c r="B611" s="24" t="str">
        <f t="shared" si="1"/>
        <v/>
      </c>
      <c r="C611" s="26" t="str">
        <f t="array" ref="C611">XLOOKUP($A611,LinkedIn_follows_raw!$A$2:$A1000,LinkedIn_follows_raw!$E$2:$E1000)</f>
        <v>#N/A</v>
      </c>
      <c r="D611" s="26" t="str">
        <f t="array" ref="D611">sum(XLOOKUP($A611,LinkedIn_content_raw!$A$2:$A1000,LinkedIn_content_raw!$K$2:$K1000),XLOOKUP($A611,LinkedIn_content_raw!$A$2:$A1000,LinkedIn_content_raw!$N$2:$N1000),XLOOKUP($A611,LinkedIn_content_raw!$A$2:$A1000,LinkedIn_content_raw!$Q$2:$Q1000))</f>
        <v>#N/A</v>
      </c>
      <c r="E611" s="26" t="str">
        <f t="array" ref="E611">XLOOKUP($A611,LinkedIn_content_raw!$A$2:$A1000,LinkedIn_content_raw!$E$2:$E1000)</f>
        <v>#N/A</v>
      </c>
    </row>
    <row r="612">
      <c r="A612" s="26" t="str">
        <f>LinkedIn_content_raw!$A613</f>
        <v/>
      </c>
      <c r="B612" s="24" t="str">
        <f t="shared" si="1"/>
        <v/>
      </c>
      <c r="C612" s="26" t="str">
        <f t="array" ref="C612">XLOOKUP($A612,LinkedIn_follows_raw!$A$2:$A1000,LinkedIn_follows_raw!$E$2:$E1000)</f>
        <v>#N/A</v>
      </c>
      <c r="D612" s="26" t="str">
        <f t="array" ref="D612">sum(XLOOKUP($A612,LinkedIn_content_raw!$A$2:$A1000,LinkedIn_content_raw!$K$2:$K1000),XLOOKUP($A612,LinkedIn_content_raw!$A$2:$A1000,LinkedIn_content_raw!$N$2:$N1000),XLOOKUP($A612,LinkedIn_content_raw!$A$2:$A1000,LinkedIn_content_raw!$Q$2:$Q1000))</f>
        <v>#N/A</v>
      </c>
      <c r="E612" s="26" t="str">
        <f t="array" ref="E612">XLOOKUP($A612,LinkedIn_content_raw!$A$2:$A1000,LinkedIn_content_raw!$E$2:$E1000)</f>
        <v>#N/A</v>
      </c>
    </row>
    <row r="613">
      <c r="A613" s="26" t="str">
        <f>LinkedIn_content_raw!$A614</f>
        <v/>
      </c>
      <c r="B613" s="24" t="str">
        <f t="shared" si="1"/>
        <v/>
      </c>
      <c r="C613" s="26" t="str">
        <f t="array" ref="C613">XLOOKUP($A613,LinkedIn_follows_raw!$A$2:$A1000,LinkedIn_follows_raw!$E$2:$E1000)</f>
        <v>#N/A</v>
      </c>
      <c r="D613" s="26" t="str">
        <f t="array" ref="D613">sum(XLOOKUP($A613,LinkedIn_content_raw!$A$2:$A1000,LinkedIn_content_raw!$K$2:$K1000),XLOOKUP($A613,LinkedIn_content_raw!$A$2:$A1000,LinkedIn_content_raw!$N$2:$N1000),XLOOKUP($A613,LinkedIn_content_raw!$A$2:$A1000,LinkedIn_content_raw!$Q$2:$Q1000))</f>
        <v>#N/A</v>
      </c>
      <c r="E613" s="26" t="str">
        <f t="array" ref="E613">XLOOKUP($A613,LinkedIn_content_raw!$A$2:$A1000,LinkedIn_content_raw!$E$2:$E1000)</f>
        <v>#N/A</v>
      </c>
    </row>
    <row r="614">
      <c r="A614" s="26" t="str">
        <f>LinkedIn_content_raw!$A615</f>
        <v/>
      </c>
      <c r="B614" s="24" t="str">
        <f t="shared" si="1"/>
        <v/>
      </c>
      <c r="C614" s="26" t="str">
        <f t="array" ref="C614">XLOOKUP($A614,LinkedIn_follows_raw!$A$2:$A1000,LinkedIn_follows_raw!$E$2:$E1000)</f>
        <v>#N/A</v>
      </c>
      <c r="D614" s="26" t="str">
        <f t="array" ref="D614">sum(XLOOKUP($A614,LinkedIn_content_raw!$A$2:$A1000,LinkedIn_content_raw!$K$2:$K1000),XLOOKUP($A614,LinkedIn_content_raw!$A$2:$A1000,LinkedIn_content_raw!$N$2:$N1000),XLOOKUP($A614,LinkedIn_content_raw!$A$2:$A1000,LinkedIn_content_raw!$Q$2:$Q1000))</f>
        <v>#N/A</v>
      </c>
      <c r="E614" s="26" t="str">
        <f t="array" ref="E614">XLOOKUP($A614,LinkedIn_content_raw!$A$2:$A1000,LinkedIn_content_raw!$E$2:$E1000)</f>
        <v>#N/A</v>
      </c>
    </row>
    <row r="615">
      <c r="A615" s="26" t="str">
        <f>LinkedIn_content_raw!$A616</f>
        <v/>
      </c>
      <c r="B615" s="24" t="str">
        <f t="shared" si="1"/>
        <v/>
      </c>
      <c r="C615" s="26" t="str">
        <f t="array" ref="C615">XLOOKUP($A615,LinkedIn_follows_raw!$A$2:$A1000,LinkedIn_follows_raw!$E$2:$E1000)</f>
        <v>#N/A</v>
      </c>
      <c r="D615" s="26" t="str">
        <f t="array" ref="D615">sum(XLOOKUP($A615,LinkedIn_content_raw!$A$2:$A1000,LinkedIn_content_raw!$K$2:$K1000),XLOOKUP($A615,LinkedIn_content_raw!$A$2:$A1000,LinkedIn_content_raw!$N$2:$N1000),XLOOKUP($A615,LinkedIn_content_raw!$A$2:$A1000,LinkedIn_content_raw!$Q$2:$Q1000))</f>
        <v>#N/A</v>
      </c>
      <c r="E615" s="26" t="str">
        <f t="array" ref="E615">XLOOKUP($A615,LinkedIn_content_raw!$A$2:$A1000,LinkedIn_content_raw!$E$2:$E1000)</f>
        <v>#N/A</v>
      </c>
    </row>
    <row r="616">
      <c r="A616" s="26" t="str">
        <f>LinkedIn_content_raw!$A617</f>
        <v/>
      </c>
      <c r="B616" s="24" t="str">
        <f t="shared" si="1"/>
        <v/>
      </c>
      <c r="C616" s="26" t="str">
        <f t="array" ref="C616">XLOOKUP($A616,LinkedIn_follows_raw!$A$2:$A1000,LinkedIn_follows_raw!$E$2:$E1000)</f>
        <v>#N/A</v>
      </c>
      <c r="D616" s="26" t="str">
        <f t="array" ref="D616">sum(XLOOKUP($A616,LinkedIn_content_raw!$A$2:$A1000,LinkedIn_content_raw!$K$2:$K1000),XLOOKUP($A616,LinkedIn_content_raw!$A$2:$A1000,LinkedIn_content_raw!$N$2:$N1000),XLOOKUP($A616,LinkedIn_content_raw!$A$2:$A1000,LinkedIn_content_raw!$Q$2:$Q1000))</f>
        <v>#N/A</v>
      </c>
      <c r="E616" s="26" t="str">
        <f t="array" ref="E616">XLOOKUP($A616,LinkedIn_content_raw!$A$2:$A1000,LinkedIn_content_raw!$E$2:$E1000)</f>
        <v>#N/A</v>
      </c>
    </row>
    <row r="617">
      <c r="A617" s="26" t="str">
        <f>LinkedIn_content_raw!$A618</f>
        <v/>
      </c>
      <c r="B617" s="24" t="str">
        <f t="shared" si="1"/>
        <v/>
      </c>
      <c r="C617" s="26" t="str">
        <f t="array" ref="C617">XLOOKUP($A617,LinkedIn_follows_raw!$A$2:$A1000,LinkedIn_follows_raw!$E$2:$E1000)</f>
        <v>#N/A</v>
      </c>
      <c r="D617" s="26" t="str">
        <f t="array" ref="D617">sum(XLOOKUP($A617,LinkedIn_content_raw!$A$2:$A1000,LinkedIn_content_raw!$K$2:$K1000),XLOOKUP($A617,LinkedIn_content_raw!$A$2:$A1000,LinkedIn_content_raw!$N$2:$N1000),XLOOKUP($A617,LinkedIn_content_raw!$A$2:$A1000,LinkedIn_content_raw!$Q$2:$Q1000))</f>
        <v>#N/A</v>
      </c>
      <c r="E617" s="26" t="str">
        <f t="array" ref="E617">XLOOKUP($A617,LinkedIn_content_raw!$A$2:$A1000,LinkedIn_content_raw!$E$2:$E1000)</f>
        <v>#N/A</v>
      </c>
    </row>
    <row r="618">
      <c r="A618" s="26" t="str">
        <f>LinkedIn_content_raw!$A619</f>
        <v/>
      </c>
      <c r="B618" s="24" t="str">
        <f t="shared" si="1"/>
        <v/>
      </c>
      <c r="C618" s="26" t="str">
        <f t="array" ref="C618">XLOOKUP($A618,LinkedIn_follows_raw!$A$2:$A1000,LinkedIn_follows_raw!$E$2:$E1000)</f>
        <v>#N/A</v>
      </c>
      <c r="D618" s="26" t="str">
        <f t="array" ref="D618">sum(XLOOKUP($A618,LinkedIn_content_raw!$A$2:$A1000,LinkedIn_content_raw!$K$2:$K1000),XLOOKUP($A618,LinkedIn_content_raw!$A$2:$A1000,LinkedIn_content_raw!$N$2:$N1000),XLOOKUP($A618,LinkedIn_content_raw!$A$2:$A1000,LinkedIn_content_raw!$Q$2:$Q1000))</f>
        <v>#N/A</v>
      </c>
      <c r="E618" s="26" t="str">
        <f t="array" ref="E618">XLOOKUP($A618,LinkedIn_content_raw!$A$2:$A1000,LinkedIn_content_raw!$E$2:$E1000)</f>
        <v>#N/A</v>
      </c>
    </row>
    <row r="619">
      <c r="A619" s="26" t="str">
        <f>LinkedIn_content_raw!$A620</f>
        <v/>
      </c>
      <c r="B619" s="24" t="str">
        <f t="shared" si="1"/>
        <v/>
      </c>
      <c r="C619" s="26" t="str">
        <f t="array" ref="C619">XLOOKUP($A619,LinkedIn_follows_raw!$A$2:$A1000,LinkedIn_follows_raw!$E$2:$E1000)</f>
        <v>#N/A</v>
      </c>
      <c r="D619" s="26" t="str">
        <f t="array" ref="D619">sum(XLOOKUP($A619,LinkedIn_content_raw!$A$2:$A1000,LinkedIn_content_raw!$K$2:$K1000),XLOOKUP($A619,LinkedIn_content_raw!$A$2:$A1000,LinkedIn_content_raw!$N$2:$N1000),XLOOKUP($A619,LinkedIn_content_raw!$A$2:$A1000,LinkedIn_content_raw!$Q$2:$Q1000))</f>
        <v>#N/A</v>
      </c>
      <c r="E619" s="26" t="str">
        <f t="array" ref="E619">XLOOKUP($A619,LinkedIn_content_raw!$A$2:$A1000,LinkedIn_content_raw!$E$2:$E1000)</f>
        <v>#N/A</v>
      </c>
    </row>
    <row r="620">
      <c r="A620" s="26" t="str">
        <f>LinkedIn_content_raw!$A621</f>
        <v/>
      </c>
      <c r="B620" s="24" t="str">
        <f t="shared" si="1"/>
        <v/>
      </c>
      <c r="C620" s="26" t="str">
        <f t="array" ref="C620">XLOOKUP($A620,LinkedIn_follows_raw!$A$2:$A1000,LinkedIn_follows_raw!$E$2:$E1000)</f>
        <v>#N/A</v>
      </c>
      <c r="D620" s="26" t="str">
        <f t="array" ref="D620">sum(XLOOKUP($A620,LinkedIn_content_raw!$A$2:$A1000,LinkedIn_content_raw!$K$2:$K1000),XLOOKUP($A620,LinkedIn_content_raw!$A$2:$A1000,LinkedIn_content_raw!$N$2:$N1000),XLOOKUP($A620,LinkedIn_content_raw!$A$2:$A1000,LinkedIn_content_raw!$Q$2:$Q1000))</f>
        <v>#N/A</v>
      </c>
      <c r="E620" s="26" t="str">
        <f t="array" ref="E620">XLOOKUP($A620,LinkedIn_content_raw!$A$2:$A1000,LinkedIn_content_raw!$E$2:$E1000)</f>
        <v>#N/A</v>
      </c>
    </row>
    <row r="621">
      <c r="A621" s="26" t="str">
        <f>LinkedIn_content_raw!$A622</f>
        <v/>
      </c>
      <c r="B621" s="24" t="str">
        <f t="shared" si="1"/>
        <v/>
      </c>
      <c r="C621" s="26" t="str">
        <f t="array" ref="C621">XLOOKUP($A621,LinkedIn_follows_raw!$A$2:$A1000,LinkedIn_follows_raw!$E$2:$E1000)</f>
        <v>#N/A</v>
      </c>
      <c r="D621" s="26" t="str">
        <f t="array" ref="D621">sum(XLOOKUP($A621,LinkedIn_content_raw!$A$2:$A1000,LinkedIn_content_raw!$K$2:$K1000),XLOOKUP($A621,LinkedIn_content_raw!$A$2:$A1000,LinkedIn_content_raw!$N$2:$N1000),XLOOKUP($A621,LinkedIn_content_raw!$A$2:$A1000,LinkedIn_content_raw!$Q$2:$Q1000))</f>
        <v>#N/A</v>
      </c>
      <c r="E621" s="26" t="str">
        <f t="array" ref="E621">XLOOKUP($A621,LinkedIn_content_raw!$A$2:$A1000,LinkedIn_content_raw!$E$2:$E1000)</f>
        <v>#N/A</v>
      </c>
    </row>
    <row r="622">
      <c r="A622" s="26" t="str">
        <f>LinkedIn_content_raw!$A623</f>
        <v/>
      </c>
      <c r="B622" s="24" t="str">
        <f t="shared" si="1"/>
        <v/>
      </c>
      <c r="C622" s="26" t="str">
        <f t="array" ref="C622">XLOOKUP($A622,LinkedIn_follows_raw!$A$2:$A1000,LinkedIn_follows_raw!$E$2:$E1000)</f>
        <v>#N/A</v>
      </c>
      <c r="D622" s="26" t="str">
        <f t="array" ref="D622">sum(XLOOKUP($A622,LinkedIn_content_raw!$A$2:$A1000,LinkedIn_content_raw!$K$2:$K1000),XLOOKUP($A622,LinkedIn_content_raw!$A$2:$A1000,LinkedIn_content_raw!$N$2:$N1000),XLOOKUP($A622,LinkedIn_content_raw!$A$2:$A1000,LinkedIn_content_raw!$Q$2:$Q1000))</f>
        <v>#N/A</v>
      </c>
      <c r="E622" s="26" t="str">
        <f t="array" ref="E622">XLOOKUP($A622,LinkedIn_content_raw!$A$2:$A1000,LinkedIn_content_raw!$E$2:$E1000)</f>
        <v>#N/A</v>
      </c>
    </row>
    <row r="623">
      <c r="A623" s="26" t="str">
        <f>LinkedIn_content_raw!$A624</f>
        <v/>
      </c>
      <c r="B623" s="24" t="str">
        <f t="shared" si="1"/>
        <v/>
      </c>
      <c r="C623" s="26" t="str">
        <f t="array" ref="C623">XLOOKUP($A623,LinkedIn_follows_raw!$A$2:$A1000,LinkedIn_follows_raw!$E$2:$E1000)</f>
        <v>#N/A</v>
      </c>
      <c r="D623" s="26" t="str">
        <f t="array" ref="D623">sum(XLOOKUP($A623,LinkedIn_content_raw!$A$2:$A1000,LinkedIn_content_raw!$K$2:$K1000),XLOOKUP($A623,LinkedIn_content_raw!$A$2:$A1000,LinkedIn_content_raw!$N$2:$N1000),XLOOKUP($A623,LinkedIn_content_raw!$A$2:$A1000,LinkedIn_content_raw!$Q$2:$Q1000))</f>
        <v>#N/A</v>
      </c>
      <c r="E623" s="26" t="str">
        <f t="array" ref="E623">XLOOKUP($A623,LinkedIn_content_raw!$A$2:$A1000,LinkedIn_content_raw!$E$2:$E1000)</f>
        <v>#N/A</v>
      </c>
    </row>
    <row r="624">
      <c r="A624" s="26" t="str">
        <f>LinkedIn_content_raw!$A625</f>
        <v/>
      </c>
      <c r="B624" s="24" t="str">
        <f t="shared" si="1"/>
        <v/>
      </c>
      <c r="C624" s="26" t="str">
        <f t="array" ref="C624">XLOOKUP($A624,LinkedIn_follows_raw!$A$2:$A1000,LinkedIn_follows_raw!$E$2:$E1000)</f>
        <v>#N/A</v>
      </c>
      <c r="D624" s="26" t="str">
        <f t="array" ref="D624">sum(XLOOKUP($A624,LinkedIn_content_raw!$A$2:$A1000,LinkedIn_content_raw!$K$2:$K1000),XLOOKUP($A624,LinkedIn_content_raw!$A$2:$A1000,LinkedIn_content_raw!$N$2:$N1000),XLOOKUP($A624,LinkedIn_content_raw!$A$2:$A1000,LinkedIn_content_raw!$Q$2:$Q1000))</f>
        <v>#N/A</v>
      </c>
      <c r="E624" s="26" t="str">
        <f t="array" ref="E624">XLOOKUP($A624,LinkedIn_content_raw!$A$2:$A1000,LinkedIn_content_raw!$E$2:$E1000)</f>
        <v>#N/A</v>
      </c>
    </row>
    <row r="625">
      <c r="A625" s="26" t="str">
        <f>LinkedIn_content_raw!$A626</f>
        <v/>
      </c>
      <c r="B625" s="24" t="str">
        <f t="shared" si="1"/>
        <v/>
      </c>
      <c r="C625" s="26" t="str">
        <f t="array" ref="C625">XLOOKUP($A625,LinkedIn_follows_raw!$A$2:$A1000,LinkedIn_follows_raw!$E$2:$E1000)</f>
        <v>#N/A</v>
      </c>
      <c r="D625" s="26" t="str">
        <f t="array" ref="D625">sum(XLOOKUP($A625,LinkedIn_content_raw!$A$2:$A1000,LinkedIn_content_raw!$K$2:$K1000),XLOOKUP($A625,LinkedIn_content_raw!$A$2:$A1000,LinkedIn_content_raw!$N$2:$N1000),XLOOKUP($A625,LinkedIn_content_raw!$A$2:$A1000,LinkedIn_content_raw!$Q$2:$Q1000))</f>
        <v>#N/A</v>
      </c>
      <c r="E625" s="26" t="str">
        <f t="array" ref="E625">XLOOKUP($A625,LinkedIn_content_raw!$A$2:$A1000,LinkedIn_content_raw!$E$2:$E1000)</f>
        <v>#N/A</v>
      </c>
    </row>
    <row r="626">
      <c r="A626" s="26" t="str">
        <f>LinkedIn_content_raw!$A627</f>
        <v/>
      </c>
      <c r="B626" s="24" t="str">
        <f t="shared" si="1"/>
        <v/>
      </c>
      <c r="C626" s="26" t="str">
        <f t="array" ref="C626">XLOOKUP($A626,LinkedIn_follows_raw!$A$2:$A1000,LinkedIn_follows_raw!$E$2:$E1000)</f>
        <v>#N/A</v>
      </c>
      <c r="D626" s="26" t="str">
        <f t="array" ref="D626">sum(XLOOKUP($A626,LinkedIn_content_raw!$A$2:$A1000,LinkedIn_content_raw!$K$2:$K1000),XLOOKUP($A626,LinkedIn_content_raw!$A$2:$A1000,LinkedIn_content_raw!$N$2:$N1000),XLOOKUP($A626,LinkedIn_content_raw!$A$2:$A1000,LinkedIn_content_raw!$Q$2:$Q1000))</f>
        <v>#N/A</v>
      </c>
      <c r="E626" s="26" t="str">
        <f t="array" ref="E626">XLOOKUP($A626,LinkedIn_content_raw!$A$2:$A1000,LinkedIn_content_raw!$E$2:$E1000)</f>
        <v>#N/A</v>
      </c>
    </row>
    <row r="627">
      <c r="A627" s="26" t="str">
        <f>LinkedIn_content_raw!$A628</f>
        <v/>
      </c>
      <c r="B627" s="24" t="str">
        <f t="shared" si="1"/>
        <v/>
      </c>
      <c r="C627" s="26" t="str">
        <f t="array" ref="C627">XLOOKUP($A627,LinkedIn_follows_raw!$A$2:$A1000,LinkedIn_follows_raw!$E$2:$E1000)</f>
        <v>#N/A</v>
      </c>
      <c r="D627" s="26" t="str">
        <f t="array" ref="D627">sum(XLOOKUP($A627,LinkedIn_content_raw!$A$2:$A1000,LinkedIn_content_raw!$K$2:$K1000),XLOOKUP($A627,LinkedIn_content_raw!$A$2:$A1000,LinkedIn_content_raw!$N$2:$N1000),XLOOKUP($A627,LinkedIn_content_raw!$A$2:$A1000,LinkedIn_content_raw!$Q$2:$Q1000))</f>
        <v>#N/A</v>
      </c>
      <c r="E627" s="26" t="str">
        <f t="array" ref="E627">XLOOKUP($A627,LinkedIn_content_raw!$A$2:$A1000,LinkedIn_content_raw!$E$2:$E1000)</f>
        <v>#N/A</v>
      </c>
    </row>
    <row r="628">
      <c r="A628" s="26" t="str">
        <f>LinkedIn_content_raw!$A629</f>
        <v/>
      </c>
      <c r="B628" s="24" t="str">
        <f t="shared" si="1"/>
        <v/>
      </c>
      <c r="C628" s="26" t="str">
        <f t="array" ref="C628">XLOOKUP($A628,LinkedIn_follows_raw!$A$2:$A1000,LinkedIn_follows_raw!$E$2:$E1000)</f>
        <v>#N/A</v>
      </c>
      <c r="D628" s="26" t="str">
        <f t="array" ref="D628">sum(XLOOKUP($A628,LinkedIn_content_raw!$A$2:$A1000,LinkedIn_content_raw!$K$2:$K1000),XLOOKUP($A628,LinkedIn_content_raw!$A$2:$A1000,LinkedIn_content_raw!$N$2:$N1000),XLOOKUP($A628,LinkedIn_content_raw!$A$2:$A1000,LinkedIn_content_raw!$Q$2:$Q1000))</f>
        <v>#N/A</v>
      </c>
      <c r="E628" s="26" t="str">
        <f t="array" ref="E628">XLOOKUP($A628,LinkedIn_content_raw!$A$2:$A1000,LinkedIn_content_raw!$E$2:$E1000)</f>
        <v>#N/A</v>
      </c>
    </row>
    <row r="629">
      <c r="A629" s="26" t="str">
        <f>LinkedIn_content_raw!$A630</f>
        <v/>
      </c>
      <c r="B629" s="24" t="str">
        <f t="shared" si="1"/>
        <v/>
      </c>
      <c r="C629" s="26" t="str">
        <f t="array" ref="C629">XLOOKUP($A629,LinkedIn_follows_raw!$A$2:$A1000,LinkedIn_follows_raw!$E$2:$E1000)</f>
        <v>#N/A</v>
      </c>
      <c r="D629" s="26" t="str">
        <f t="array" ref="D629">sum(XLOOKUP($A629,LinkedIn_content_raw!$A$2:$A1000,LinkedIn_content_raw!$K$2:$K1000),XLOOKUP($A629,LinkedIn_content_raw!$A$2:$A1000,LinkedIn_content_raw!$N$2:$N1000),XLOOKUP($A629,LinkedIn_content_raw!$A$2:$A1000,LinkedIn_content_raw!$Q$2:$Q1000))</f>
        <v>#N/A</v>
      </c>
      <c r="E629" s="26" t="str">
        <f t="array" ref="E629">XLOOKUP($A629,LinkedIn_content_raw!$A$2:$A1000,LinkedIn_content_raw!$E$2:$E1000)</f>
        <v>#N/A</v>
      </c>
    </row>
    <row r="630">
      <c r="A630" s="26" t="str">
        <f>LinkedIn_content_raw!$A631</f>
        <v/>
      </c>
      <c r="B630" s="24" t="str">
        <f t="shared" si="1"/>
        <v/>
      </c>
      <c r="C630" s="26" t="str">
        <f t="array" ref="C630">XLOOKUP($A630,LinkedIn_follows_raw!$A$2:$A1000,LinkedIn_follows_raw!$E$2:$E1000)</f>
        <v>#N/A</v>
      </c>
      <c r="D630" s="26" t="str">
        <f t="array" ref="D630">sum(XLOOKUP($A630,LinkedIn_content_raw!$A$2:$A1000,LinkedIn_content_raw!$K$2:$K1000),XLOOKUP($A630,LinkedIn_content_raw!$A$2:$A1000,LinkedIn_content_raw!$N$2:$N1000),XLOOKUP($A630,LinkedIn_content_raw!$A$2:$A1000,LinkedIn_content_raw!$Q$2:$Q1000))</f>
        <v>#N/A</v>
      </c>
      <c r="E630" s="26" t="str">
        <f t="array" ref="E630">XLOOKUP($A630,LinkedIn_content_raw!$A$2:$A1000,LinkedIn_content_raw!$E$2:$E1000)</f>
        <v>#N/A</v>
      </c>
    </row>
    <row r="631">
      <c r="A631" s="26" t="str">
        <f>LinkedIn_content_raw!$A632</f>
        <v/>
      </c>
      <c r="B631" s="24" t="str">
        <f t="shared" si="1"/>
        <v/>
      </c>
      <c r="C631" s="26" t="str">
        <f t="array" ref="C631">XLOOKUP($A631,LinkedIn_follows_raw!$A$2:$A1000,LinkedIn_follows_raw!$E$2:$E1000)</f>
        <v>#N/A</v>
      </c>
      <c r="D631" s="26" t="str">
        <f t="array" ref="D631">sum(XLOOKUP($A631,LinkedIn_content_raw!$A$2:$A1000,LinkedIn_content_raw!$K$2:$K1000),XLOOKUP($A631,LinkedIn_content_raw!$A$2:$A1000,LinkedIn_content_raw!$N$2:$N1000),XLOOKUP($A631,LinkedIn_content_raw!$A$2:$A1000,LinkedIn_content_raw!$Q$2:$Q1000))</f>
        <v>#N/A</v>
      </c>
      <c r="E631" s="26" t="str">
        <f t="array" ref="E631">XLOOKUP($A631,LinkedIn_content_raw!$A$2:$A1000,LinkedIn_content_raw!$E$2:$E1000)</f>
        <v>#N/A</v>
      </c>
    </row>
    <row r="632">
      <c r="A632" s="26" t="str">
        <f>LinkedIn_content_raw!$A633</f>
        <v/>
      </c>
      <c r="B632" s="24" t="str">
        <f t="shared" si="1"/>
        <v/>
      </c>
      <c r="C632" s="26" t="str">
        <f t="array" ref="C632">XLOOKUP($A632,LinkedIn_follows_raw!$A$2:$A1000,LinkedIn_follows_raw!$E$2:$E1000)</f>
        <v>#N/A</v>
      </c>
      <c r="D632" s="26" t="str">
        <f t="array" ref="D632">sum(XLOOKUP($A632,LinkedIn_content_raw!$A$2:$A1000,LinkedIn_content_raw!$K$2:$K1000),XLOOKUP($A632,LinkedIn_content_raw!$A$2:$A1000,LinkedIn_content_raw!$N$2:$N1000),XLOOKUP($A632,LinkedIn_content_raw!$A$2:$A1000,LinkedIn_content_raw!$Q$2:$Q1000))</f>
        <v>#N/A</v>
      </c>
      <c r="E632" s="26" t="str">
        <f t="array" ref="E632">XLOOKUP($A632,LinkedIn_content_raw!$A$2:$A1000,LinkedIn_content_raw!$E$2:$E1000)</f>
        <v>#N/A</v>
      </c>
    </row>
    <row r="633">
      <c r="A633" s="26" t="str">
        <f>LinkedIn_content_raw!$A634</f>
        <v/>
      </c>
      <c r="B633" s="24" t="str">
        <f t="shared" si="1"/>
        <v/>
      </c>
      <c r="C633" s="26" t="str">
        <f t="array" ref="C633">XLOOKUP($A633,LinkedIn_follows_raw!$A$2:$A1000,LinkedIn_follows_raw!$E$2:$E1000)</f>
        <v>#N/A</v>
      </c>
      <c r="D633" s="26" t="str">
        <f t="array" ref="D633">sum(XLOOKUP($A633,LinkedIn_content_raw!$A$2:$A1000,LinkedIn_content_raw!$K$2:$K1000),XLOOKUP($A633,LinkedIn_content_raw!$A$2:$A1000,LinkedIn_content_raw!$N$2:$N1000),XLOOKUP($A633,LinkedIn_content_raw!$A$2:$A1000,LinkedIn_content_raw!$Q$2:$Q1000))</f>
        <v>#N/A</v>
      </c>
      <c r="E633" s="26" t="str">
        <f t="array" ref="E633">XLOOKUP($A633,LinkedIn_content_raw!$A$2:$A1000,LinkedIn_content_raw!$E$2:$E1000)</f>
        <v>#N/A</v>
      </c>
    </row>
    <row r="634">
      <c r="A634" s="26" t="str">
        <f>LinkedIn_content_raw!$A635</f>
        <v/>
      </c>
      <c r="B634" s="24" t="str">
        <f t="shared" si="1"/>
        <v/>
      </c>
      <c r="C634" s="26" t="str">
        <f t="array" ref="C634">XLOOKUP($A634,LinkedIn_follows_raw!$A$2:$A1000,LinkedIn_follows_raw!$E$2:$E1000)</f>
        <v>#N/A</v>
      </c>
      <c r="D634" s="26" t="str">
        <f t="array" ref="D634">sum(XLOOKUP($A634,LinkedIn_content_raw!$A$2:$A1000,LinkedIn_content_raw!$K$2:$K1000),XLOOKUP($A634,LinkedIn_content_raw!$A$2:$A1000,LinkedIn_content_raw!$N$2:$N1000),XLOOKUP($A634,LinkedIn_content_raw!$A$2:$A1000,LinkedIn_content_raw!$Q$2:$Q1000))</f>
        <v>#N/A</v>
      </c>
      <c r="E634" s="26" t="str">
        <f t="array" ref="E634">XLOOKUP($A634,LinkedIn_content_raw!$A$2:$A1000,LinkedIn_content_raw!$E$2:$E1000)</f>
        <v>#N/A</v>
      </c>
    </row>
    <row r="635">
      <c r="A635" s="26" t="str">
        <f>LinkedIn_content_raw!$A636</f>
        <v/>
      </c>
      <c r="B635" s="24" t="str">
        <f t="shared" si="1"/>
        <v/>
      </c>
      <c r="C635" s="26" t="str">
        <f t="array" ref="C635">XLOOKUP($A635,LinkedIn_follows_raw!$A$2:$A1000,LinkedIn_follows_raw!$E$2:$E1000)</f>
        <v>#N/A</v>
      </c>
      <c r="D635" s="26" t="str">
        <f t="array" ref="D635">sum(XLOOKUP($A635,LinkedIn_content_raw!$A$2:$A1000,LinkedIn_content_raw!$K$2:$K1000),XLOOKUP($A635,LinkedIn_content_raw!$A$2:$A1000,LinkedIn_content_raw!$N$2:$N1000),XLOOKUP($A635,LinkedIn_content_raw!$A$2:$A1000,LinkedIn_content_raw!$Q$2:$Q1000))</f>
        <v>#N/A</v>
      </c>
      <c r="E635" s="26" t="str">
        <f t="array" ref="E635">XLOOKUP($A635,LinkedIn_content_raw!$A$2:$A1000,LinkedIn_content_raw!$E$2:$E1000)</f>
        <v>#N/A</v>
      </c>
    </row>
    <row r="636">
      <c r="A636" s="26" t="str">
        <f>LinkedIn_content_raw!$A637</f>
        <v/>
      </c>
      <c r="B636" s="24" t="str">
        <f t="shared" si="1"/>
        <v/>
      </c>
      <c r="C636" s="26" t="str">
        <f t="array" ref="C636">XLOOKUP($A636,LinkedIn_follows_raw!$A$2:$A1000,LinkedIn_follows_raw!$E$2:$E1000)</f>
        <v>#N/A</v>
      </c>
      <c r="D636" s="26" t="str">
        <f t="array" ref="D636">sum(XLOOKUP($A636,LinkedIn_content_raw!$A$2:$A1000,LinkedIn_content_raw!$K$2:$K1000),XLOOKUP($A636,LinkedIn_content_raw!$A$2:$A1000,LinkedIn_content_raw!$N$2:$N1000),XLOOKUP($A636,LinkedIn_content_raw!$A$2:$A1000,LinkedIn_content_raw!$Q$2:$Q1000))</f>
        <v>#N/A</v>
      </c>
      <c r="E636" s="26" t="str">
        <f t="array" ref="E636">XLOOKUP($A636,LinkedIn_content_raw!$A$2:$A1000,LinkedIn_content_raw!$E$2:$E1000)</f>
        <v>#N/A</v>
      </c>
    </row>
    <row r="637">
      <c r="A637" s="26" t="str">
        <f>LinkedIn_content_raw!$A638</f>
        <v/>
      </c>
      <c r="B637" s="24" t="str">
        <f t="shared" si="1"/>
        <v/>
      </c>
      <c r="C637" s="26" t="str">
        <f t="array" ref="C637">XLOOKUP($A637,LinkedIn_follows_raw!$A$2:$A1000,LinkedIn_follows_raw!$E$2:$E1000)</f>
        <v>#N/A</v>
      </c>
      <c r="D637" s="26" t="str">
        <f t="array" ref="D637">sum(XLOOKUP($A637,LinkedIn_content_raw!$A$2:$A1000,LinkedIn_content_raw!$K$2:$K1000),XLOOKUP($A637,LinkedIn_content_raw!$A$2:$A1000,LinkedIn_content_raw!$N$2:$N1000),XLOOKUP($A637,LinkedIn_content_raw!$A$2:$A1000,LinkedIn_content_raw!$Q$2:$Q1000))</f>
        <v>#N/A</v>
      </c>
      <c r="E637" s="26" t="str">
        <f t="array" ref="E637">XLOOKUP($A637,LinkedIn_content_raw!$A$2:$A1000,LinkedIn_content_raw!$E$2:$E1000)</f>
        <v>#N/A</v>
      </c>
    </row>
    <row r="638">
      <c r="A638" s="26" t="str">
        <f>LinkedIn_content_raw!$A639</f>
        <v/>
      </c>
      <c r="B638" s="24" t="str">
        <f t="shared" si="1"/>
        <v/>
      </c>
      <c r="C638" s="26" t="str">
        <f t="array" ref="C638">XLOOKUP($A638,LinkedIn_follows_raw!$A$2:$A1000,LinkedIn_follows_raw!$E$2:$E1000)</f>
        <v>#N/A</v>
      </c>
      <c r="D638" s="26" t="str">
        <f t="array" ref="D638">sum(XLOOKUP($A638,LinkedIn_content_raw!$A$2:$A1000,LinkedIn_content_raw!$K$2:$K1000),XLOOKUP($A638,LinkedIn_content_raw!$A$2:$A1000,LinkedIn_content_raw!$N$2:$N1000),XLOOKUP($A638,LinkedIn_content_raw!$A$2:$A1000,LinkedIn_content_raw!$Q$2:$Q1000))</f>
        <v>#N/A</v>
      </c>
      <c r="E638" s="26" t="str">
        <f t="array" ref="E638">XLOOKUP($A638,LinkedIn_content_raw!$A$2:$A1000,LinkedIn_content_raw!$E$2:$E1000)</f>
        <v>#N/A</v>
      </c>
    </row>
    <row r="639">
      <c r="A639" s="26" t="str">
        <f>LinkedIn_content_raw!$A640</f>
        <v/>
      </c>
      <c r="B639" s="24" t="str">
        <f t="shared" si="1"/>
        <v/>
      </c>
      <c r="C639" s="26" t="str">
        <f t="array" ref="C639">XLOOKUP($A639,LinkedIn_follows_raw!$A$2:$A1000,LinkedIn_follows_raw!$E$2:$E1000)</f>
        <v>#N/A</v>
      </c>
      <c r="D639" s="26" t="str">
        <f t="array" ref="D639">sum(XLOOKUP($A639,LinkedIn_content_raw!$A$2:$A1000,LinkedIn_content_raw!$K$2:$K1000),XLOOKUP($A639,LinkedIn_content_raw!$A$2:$A1000,LinkedIn_content_raw!$N$2:$N1000),XLOOKUP($A639,LinkedIn_content_raw!$A$2:$A1000,LinkedIn_content_raw!$Q$2:$Q1000))</f>
        <v>#N/A</v>
      </c>
      <c r="E639" s="26" t="str">
        <f t="array" ref="E639">XLOOKUP($A639,LinkedIn_content_raw!$A$2:$A1000,LinkedIn_content_raw!$E$2:$E1000)</f>
        <v>#N/A</v>
      </c>
    </row>
    <row r="640">
      <c r="A640" s="26" t="str">
        <f>LinkedIn_content_raw!$A641</f>
        <v/>
      </c>
      <c r="B640" s="24" t="str">
        <f t="shared" si="1"/>
        <v/>
      </c>
      <c r="C640" s="26" t="str">
        <f t="array" ref="C640">XLOOKUP($A640,LinkedIn_follows_raw!$A$2:$A1000,LinkedIn_follows_raw!$E$2:$E1000)</f>
        <v>#N/A</v>
      </c>
      <c r="D640" s="26" t="str">
        <f t="array" ref="D640">sum(XLOOKUP($A640,LinkedIn_content_raw!$A$2:$A1000,LinkedIn_content_raw!$K$2:$K1000),XLOOKUP($A640,LinkedIn_content_raw!$A$2:$A1000,LinkedIn_content_raw!$N$2:$N1000),XLOOKUP($A640,LinkedIn_content_raw!$A$2:$A1000,LinkedIn_content_raw!$Q$2:$Q1000))</f>
        <v>#N/A</v>
      </c>
      <c r="E640" s="26" t="str">
        <f t="array" ref="E640">XLOOKUP($A640,LinkedIn_content_raw!$A$2:$A1000,LinkedIn_content_raw!$E$2:$E1000)</f>
        <v>#N/A</v>
      </c>
    </row>
    <row r="641">
      <c r="A641" s="26" t="str">
        <f>LinkedIn_content_raw!$A642</f>
        <v/>
      </c>
      <c r="B641" s="24" t="str">
        <f t="shared" si="1"/>
        <v/>
      </c>
      <c r="C641" s="26" t="str">
        <f t="array" ref="C641">XLOOKUP($A641,LinkedIn_follows_raw!$A$2:$A1000,LinkedIn_follows_raw!$E$2:$E1000)</f>
        <v>#N/A</v>
      </c>
      <c r="D641" s="26" t="str">
        <f t="array" ref="D641">sum(XLOOKUP($A641,LinkedIn_content_raw!$A$2:$A1000,LinkedIn_content_raw!$K$2:$K1000),XLOOKUP($A641,LinkedIn_content_raw!$A$2:$A1000,LinkedIn_content_raw!$N$2:$N1000),XLOOKUP($A641,LinkedIn_content_raw!$A$2:$A1000,LinkedIn_content_raw!$Q$2:$Q1000))</f>
        <v>#N/A</v>
      </c>
      <c r="E641" s="26" t="str">
        <f t="array" ref="E641">XLOOKUP($A641,LinkedIn_content_raw!$A$2:$A1000,LinkedIn_content_raw!$E$2:$E1000)</f>
        <v>#N/A</v>
      </c>
    </row>
    <row r="642">
      <c r="A642" s="26" t="str">
        <f>LinkedIn_content_raw!$A643</f>
        <v/>
      </c>
      <c r="B642" s="24" t="str">
        <f t="shared" si="1"/>
        <v/>
      </c>
      <c r="C642" s="26" t="str">
        <f t="array" ref="C642">XLOOKUP($A642,LinkedIn_follows_raw!$A$2:$A1000,LinkedIn_follows_raw!$E$2:$E1000)</f>
        <v>#N/A</v>
      </c>
      <c r="D642" s="26" t="str">
        <f t="array" ref="D642">sum(XLOOKUP($A642,LinkedIn_content_raw!$A$2:$A1000,LinkedIn_content_raw!$K$2:$K1000),XLOOKUP($A642,LinkedIn_content_raw!$A$2:$A1000,LinkedIn_content_raw!$N$2:$N1000),XLOOKUP($A642,LinkedIn_content_raw!$A$2:$A1000,LinkedIn_content_raw!$Q$2:$Q1000))</f>
        <v>#N/A</v>
      </c>
      <c r="E642" s="26" t="str">
        <f t="array" ref="E642">XLOOKUP($A642,LinkedIn_content_raw!$A$2:$A1000,LinkedIn_content_raw!$E$2:$E1000)</f>
        <v>#N/A</v>
      </c>
    </row>
    <row r="643">
      <c r="A643" s="26" t="str">
        <f>LinkedIn_content_raw!$A644</f>
        <v/>
      </c>
      <c r="B643" s="24" t="str">
        <f t="shared" si="1"/>
        <v/>
      </c>
      <c r="C643" s="26" t="str">
        <f t="array" ref="C643">XLOOKUP($A643,LinkedIn_follows_raw!$A$2:$A1000,LinkedIn_follows_raw!$E$2:$E1000)</f>
        <v>#N/A</v>
      </c>
      <c r="D643" s="26" t="str">
        <f t="array" ref="D643">sum(XLOOKUP($A643,LinkedIn_content_raw!$A$2:$A1000,LinkedIn_content_raw!$K$2:$K1000),XLOOKUP($A643,LinkedIn_content_raw!$A$2:$A1000,LinkedIn_content_raw!$N$2:$N1000),XLOOKUP($A643,LinkedIn_content_raw!$A$2:$A1000,LinkedIn_content_raw!$Q$2:$Q1000))</f>
        <v>#N/A</v>
      </c>
      <c r="E643" s="26" t="str">
        <f t="array" ref="E643">XLOOKUP($A643,LinkedIn_content_raw!$A$2:$A1000,LinkedIn_content_raw!$E$2:$E1000)</f>
        <v>#N/A</v>
      </c>
    </row>
    <row r="644">
      <c r="A644" s="26" t="str">
        <f>LinkedIn_content_raw!$A645</f>
        <v/>
      </c>
      <c r="B644" s="24" t="str">
        <f t="shared" si="1"/>
        <v/>
      </c>
      <c r="C644" s="26" t="str">
        <f t="array" ref="C644">XLOOKUP($A644,LinkedIn_follows_raw!$A$2:$A1000,LinkedIn_follows_raw!$E$2:$E1000)</f>
        <v>#N/A</v>
      </c>
      <c r="D644" s="26" t="str">
        <f t="array" ref="D644">sum(XLOOKUP($A644,LinkedIn_content_raw!$A$2:$A1000,LinkedIn_content_raw!$K$2:$K1000),XLOOKUP($A644,LinkedIn_content_raw!$A$2:$A1000,LinkedIn_content_raw!$N$2:$N1000),XLOOKUP($A644,LinkedIn_content_raw!$A$2:$A1000,LinkedIn_content_raw!$Q$2:$Q1000))</f>
        <v>#N/A</v>
      </c>
      <c r="E644" s="26" t="str">
        <f t="array" ref="E644">XLOOKUP($A644,LinkedIn_content_raw!$A$2:$A1000,LinkedIn_content_raw!$E$2:$E1000)</f>
        <v>#N/A</v>
      </c>
    </row>
    <row r="645">
      <c r="A645" s="26" t="str">
        <f>LinkedIn_content_raw!$A646</f>
        <v/>
      </c>
      <c r="B645" s="24" t="str">
        <f t="shared" si="1"/>
        <v/>
      </c>
      <c r="C645" s="26" t="str">
        <f t="array" ref="C645">XLOOKUP($A645,LinkedIn_follows_raw!$A$2:$A1000,LinkedIn_follows_raw!$E$2:$E1000)</f>
        <v>#N/A</v>
      </c>
      <c r="D645" s="26" t="str">
        <f t="array" ref="D645">sum(XLOOKUP($A645,LinkedIn_content_raw!$A$2:$A1000,LinkedIn_content_raw!$K$2:$K1000),XLOOKUP($A645,LinkedIn_content_raw!$A$2:$A1000,LinkedIn_content_raw!$N$2:$N1000),XLOOKUP($A645,LinkedIn_content_raw!$A$2:$A1000,LinkedIn_content_raw!$Q$2:$Q1000))</f>
        <v>#N/A</v>
      </c>
      <c r="E645" s="26" t="str">
        <f t="array" ref="E645">XLOOKUP($A645,LinkedIn_content_raw!$A$2:$A1000,LinkedIn_content_raw!$E$2:$E1000)</f>
        <v>#N/A</v>
      </c>
    </row>
    <row r="646">
      <c r="A646" s="26" t="str">
        <f>LinkedIn_content_raw!$A647</f>
        <v/>
      </c>
      <c r="B646" s="24" t="str">
        <f t="shared" si="1"/>
        <v/>
      </c>
      <c r="C646" s="26" t="str">
        <f t="array" ref="C646">XLOOKUP($A646,LinkedIn_follows_raw!$A$2:$A1000,LinkedIn_follows_raw!$E$2:$E1000)</f>
        <v>#N/A</v>
      </c>
      <c r="D646" s="26" t="str">
        <f t="array" ref="D646">sum(XLOOKUP($A646,LinkedIn_content_raw!$A$2:$A1000,LinkedIn_content_raw!$K$2:$K1000),XLOOKUP($A646,LinkedIn_content_raw!$A$2:$A1000,LinkedIn_content_raw!$N$2:$N1000),XLOOKUP($A646,LinkedIn_content_raw!$A$2:$A1000,LinkedIn_content_raw!$Q$2:$Q1000))</f>
        <v>#N/A</v>
      </c>
      <c r="E646" s="26" t="str">
        <f t="array" ref="E646">XLOOKUP($A646,LinkedIn_content_raw!$A$2:$A1000,LinkedIn_content_raw!$E$2:$E1000)</f>
        <v>#N/A</v>
      </c>
    </row>
    <row r="647">
      <c r="A647" s="26" t="str">
        <f>LinkedIn_content_raw!$A648</f>
        <v/>
      </c>
      <c r="B647" s="24" t="str">
        <f t="shared" si="1"/>
        <v/>
      </c>
      <c r="C647" s="26" t="str">
        <f t="array" ref="C647">XLOOKUP($A647,LinkedIn_follows_raw!$A$2:$A1000,LinkedIn_follows_raw!$E$2:$E1000)</f>
        <v>#N/A</v>
      </c>
      <c r="D647" s="26" t="str">
        <f t="array" ref="D647">sum(XLOOKUP($A647,LinkedIn_content_raw!$A$2:$A1000,LinkedIn_content_raw!$K$2:$K1000),XLOOKUP($A647,LinkedIn_content_raw!$A$2:$A1000,LinkedIn_content_raw!$N$2:$N1000),XLOOKUP($A647,LinkedIn_content_raw!$A$2:$A1000,LinkedIn_content_raw!$Q$2:$Q1000))</f>
        <v>#N/A</v>
      </c>
      <c r="E647" s="26" t="str">
        <f t="array" ref="E647">XLOOKUP($A647,LinkedIn_content_raw!$A$2:$A1000,LinkedIn_content_raw!$E$2:$E1000)</f>
        <v>#N/A</v>
      </c>
    </row>
    <row r="648">
      <c r="A648" s="26" t="str">
        <f>LinkedIn_content_raw!$A649</f>
        <v/>
      </c>
      <c r="B648" s="24" t="str">
        <f t="shared" si="1"/>
        <v/>
      </c>
      <c r="C648" s="26" t="str">
        <f t="array" ref="C648">XLOOKUP($A648,LinkedIn_follows_raw!$A$2:$A1000,LinkedIn_follows_raw!$E$2:$E1000)</f>
        <v>#N/A</v>
      </c>
      <c r="D648" s="26" t="str">
        <f t="array" ref="D648">sum(XLOOKUP($A648,LinkedIn_content_raw!$A$2:$A1000,LinkedIn_content_raw!$K$2:$K1000),XLOOKUP($A648,LinkedIn_content_raw!$A$2:$A1000,LinkedIn_content_raw!$N$2:$N1000),XLOOKUP($A648,LinkedIn_content_raw!$A$2:$A1000,LinkedIn_content_raw!$Q$2:$Q1000))</f>
        <v>#N/A</v>
      </c>
      <c r="E648" s="26" t="str">
        <f t="array" ref="E648">XLOOKUP($A648,LinkedIn_content_raw!$A$2:$A1000,LinkedIn_content_raw!$E$2:$E1000)</f>
        <v>#N/A</v>
      </c>
    </row>
    <row r="649">
      <c r="A649" s="26" t="str">
        <f>LinkedIn_content_raw!$A650</f>
        <v/>
      </c>
      <c r="B649" s="24" t="str">
        <f t="shared" si="1"/>
        <v/>
      </c>
      <c r="C649" s="26" t="str">
        <f t="array" ref="C649">XLOOKUP($A649,LinkedIn_follows_raw!$A$2:$A1000,LinkedIn_follows_raw!$E$2:$E1000)</f>
        <v>#N/A</v>
      </c>
      <c r="D649" s="26" t="str">
        <f t="array" ref="D649">sum(XLOOKUP($A649,LinkedIn_content_raw!$A$2:$A1000,LinkedIn_content_raw!$K$2:$K1000),XLOOKUP($A649,LinkedIn_content_raw!$A$2:$A1000,LinkedIn_content_raw!$N$2:$N1000),XLOOKUP($A649,LinkedIn_content_raw!$A$2:$A1000,LinkedIn_content_raw!$Q$2:$Q1000))</f>
        <v>#N/A</v>
      </c>
      <c r="E649" s="26" t="str">
        <f t="array" ref="E649">XLOOKUP($A649,LinkedIn_content_raw!$A$2:$A1000,LinkedIn_content_raw!$E$2:$E1000)</f>
        <v>#N/A</v>
      </c>
    </row>
    <row r="650">
      <c r="A650" s="26" t="str">
        <f>LinkedIn_content_raw!$A651</f>
        <v/>
      </c>
      <c r="B650" s="24" t="str">
        <f t="shared" si="1"/>
        <v/>
      </c>
      <c r="C650" s="26" t="str">
        <f t="array" ref="C650">XLOOKUP($A650,LinkedIn_follows_raw!$A$2:$A1000,LinkedIn_follows_raw!$E$2:$E1000)</f>
        <v>#N/A</v>
      </c>
      <c r="D650" s="26" t="str">
        <f t="array" ref="D650">sum(XLOOKUP($A650,LinkedIn_content_raw!$A$2:$A1000,LinkedIn_content_raw!$K$2:$K1000),XLOOKUP($A650,LinkedIn_content_raw!$A$2:$A1000,LinkedIn_content_raw!$N$2:$N1000),XLOOKUP($A650,LinkedIn_content_raw!$A$2:$A1000,LinkedIn_content_raw!$Q$2:$Q1000))</f>
        <v>#N/A</v>
      </c>
      <c r="E650" s="26" t="str">
        <f t="array" ref="E650">XLOOKUP($A650,LinkedIn_content_raw!$A$2:$A1000,LinkedIn_content_raw!$E$2:$E1000)</f>
        <v>#N/A</v>
      </c>
    </row>
    <row r="651">
      <c r="A651" s="26" t="str">
        <f>LinkedIn_content_raw!$A652</f>
        <v/>
      </c>
      <c r="B651" s="24" t="str">
        <f t="shared" si="1"/>
        <v/>
      </c>
      <c r="C651" s="26" t="str">
        <f t="array" ref="C651">XLOOKUP($A651,LinkedIn_follows_raw!$A$2:$A1000,LinkedIn_follows_raw!$E$2:$E1000)</f>
        <v>#N/A</v>
      </c>
      <c r="D651" s="26" t="str">
        <f t="array" ref="D651">sum(XLOOKUP($A651,LinkedIn_content_raw!$A$2:$A1000,LinkedIn_content_raw!$K$2:$K1000),XLOOKUP($A651,LinkedIn_content_raw!$A$2:$A1000,LinkedIn_content_raw!$N$2:$N1000),XLOOKUP($A651,LinkedIn_content_raw!$A$2:$A1000,LinkedIn_content_raw!$Q$2:$Q1000))</f>
        <v>#N/A</v>
      </c>
      <c r="E651" s="26" t="str">
        <f t="array" ref="E651">XLOOKUP($A651,LinkedIn_content_raw!$A$2:$A1000,LinkedIn_content_raw!$E$2:$E1000)</f>
        <v>#N/A</v>
      </c>
    </row>
    <row r="652">
      <c r="A652" s="26" t="str">
        <f>LinkedIn_content_raw!$A653</f>
        <v/>
      </c>
      <c r="B652" s="24" t="str">
        <f t="shared" si="1"/>
        <v/>
      </c>
      <c r="C652" s="26" t="str">
        <f t="array" ref="C652">XLOOKUP($A652,LinkedIn_follows_raw!$A$2:$A1000,LinkedIn_follows_raw!$E$2:$E1000)</f>
        <v>#N/A</v>
      </c>
      <c r="D652" s="26" t="str">
        <f t="array" ref="D652">sum(XLOOKUP($A652,LinkedIn_content_raw!$A$2:$A1000,LinkedIn_content_raw!$K$2:$K1000),XLOOKUP($A652,LinkedIn_content_raw!$A$2:$A1000,LinkedIn_content_raw!$N$2:$N1000),XLOOKUP($A652,LinkedIn_content_raw!$A$2:$A1000,LinkedIn_content_raw!$Q$2:$Q1000))</f>
        <v>#N/A</v>
      </c>
      <c r="E652" s="26" t="str">
        <f t="array" ref="E652">XLOOKUP($A652,LinkedIn_content_raw!$A$2:$A1000,LinkedIn_content_raw!$E$2:$E1000)</f>
        <v>#N/A</v>
      </c>
    </row>
    <row r="653">
      <c r="A653" s="26" t="str">
        <f>LinkedIn_content_raw!$A654</f>
        <v/>
      </c>
      <c r="B653" s="24" t="str">
        <f t="shared" si="1"/>
        <v/>
      </c>
      <c r="C653" s="26" t="str">
        <f t="array" ref="C653">XLOOKUP($A653,LinkedIn_follows_raw!$A$2:$A1000,LinkedIn_follows_raw!$E$2:$E1000)</f>
        <v>#N/A</v>
      </c>
      <c r="D653" s="26" t="str">
        <f t="array" ref="D653">sum(XLOOKUP($A653,LinkedIn_content_raw!$A$2:$A1000,LinkedIn_content_raw!$K$2:$K1000),XLOOKUP($A653,LinkedIn_content_raw!$A$2:$A1000,LinkedIn_content_raw!$N$2:$N1000),XLOOKUP($A653,LinkedIn_content_raw!$A$2:$A1000,LinkedIn_content_raw!$Q$2:$Q1000))</f>
        <v>#N/A</v>
      </c>
      <c r="E653" s="26" t="str">
        <f t="array" ref="E653">XLOOKUP($A653,LinkedIn_content_raw!$A$2:$A1000,LinkedIn_content_raw!$E$2:$E1000)</f>
        <v>#N/A</v>
      </c>
    </row>
    <row r="654">
      <c r="A654" s="26" t="str">
        <f>LinkedIn_content_raw!$A655</f>
        <v/>
      </c>
      <c r="B654" s="24" t="str">
        <f t="shared" si="1"/>
        <v/>
      </c>
      <c r="C654" s="26" t="str">
        <f t="array" ref="C654">XLOOKUP($A654,LinkedIn_follows_raw!$A$2:$A1000,LinkedIn_follows_raw!$E$2:$E1000)</f>
        <v>#N/A</v>
      </c>
      <c r="D654" s="26" t="str">
        <f t="array" ref="D654">sum(XLOOKUP($A654,LinkedIn_content_raw!$A$2:$A1000,LinkedIn_content_raw!$K$2:$K1000),XLOOKUP($A654,LinkedIn_content_raw!$A$2:$A1000,LinkedIn_content_raw!$N$2:$N1000),XLOOKUP($A654,LinkedIn_content_raw!$A$2:$A1000,LinkedIn_content_raw!$Q$2:$Q1000))</f>
        <v>#N/A</v>
      </c>
      <c r="E654" s="26" t="str">
        <f t="array" ref="E654">XLOOKUP($A654,LinkedIn_content_raw!$A$2:$A1000,LinkedIn_content_raw!$E$2:$E1000)</f>
        <v>#N/A</v>
      </c>
    </row>
    <row r="655">
      <c r="A655" s="26" t="str">
        <f>LinkedIn_content_raw!$A656</f>
        <v/>
      </c>
      <c r="B655" s="24" t="str">
        <f t="shared" si="1"/>
        <v/>
      </c>
      <c r="C655" s="26" t="str">
        <f t="array" ref="C655">XLOOKUP($A655,LinkedIn_follows_raw!$A$2:$A1000,LinkedIn_follows_raw!$E$2:$E1000)</f>
        <v>#N/A</v>
      </c>
      <c r="D655" s="26" t="str">
        <f t="array" ref="D655">sum(XLOOKUP($A655,LinkedIn_content_raw!$A$2:$A1000,LinkedIn_content_raw!$K$2:$K1000),XLOOKUP($A655,LinkedIn_content_raw!$A$2:$A1000,LinkedIn_content_raw!$N$2:$N1000),XLOOKUP($A655,LinkedIn_content_raw!$A$2:$A1000,LinkedIn_content_raw!$Q$2:$Q1000))</f>
        <v>#N/A</v>
      </c>
      <c r="E655" s="26" t="str">
        <f t="array" ref="E655">XLOOKUP($A655,LinkedIn_content_raw!$A$2:$A1000,LinkedIn_content_raw!$E$2:$E1000)</f>
        <v>#N/A</v>
      </c>
    </row>
    <row r="656">
      <c r="A656" s="26" t="str">
        <f>LinkedIn_content_raw!$A657</f>
        <v/>
      </c>
      <c r="B656" s="24" t="str">
        <f t="shared" si="1"/>
        <v/>
      </c>
      <c r="C656" s="26" t="str">
        <f t="array" ref="C656">XLOOKUP($A656,LinkedIn_follows_raw!$A$2:$A1000,LinkedIn_follows_raw!$E$2:$E1000)</f>
        <v>#N/A</v>
      </c>
      <c r="D656" s="26" t="str">
        <f t="array" ref="D656">sum(XLOOKUP($A656,LinkedIn_content_raw!$A$2:$A1000,LinkedIn_content_raw!$K$2:$K1000),XLOOKUP($A656,LinkedIn_content_raw!$A$2:$A1000,LinkedIn_content_raw!$N$2:$N1000),XLOOKUP($A656,LinkedIn_content_raw!$A$2:$A1000,LinkedIn_content_raw!$Q$2:$Q1000))</f>
        <v>#N/A</v>
      </c>
      <c r="E656" s="26" t="str">
        <f t="array" ref="E656">XLOOKUP($A656,LinkedIn_content_raw!$A$2:$A1000,LinkedIn_content_raw!$E$2:$E1000)</f>
        <v>#N/A</v>
      </c>
    </row>
    <row r="657">
      <c r="A657" s="26" t="str">
        <f>LinkedIn_content_raw!$A658</f>
        <v/>
      </c>
      <c r="B657" s="24" t="str">
        <f t="shared" si="1"/>
        <v/>
      </c>
      <c r="C657" s="26" t="str">
        <f t="array" ref="C657">XLOOKUP($A657,LinkedIn_follows_raw!$A$2:$A1000,LinkedIn_follows_raw!$E$2:$E1000)</f>
        <v>#N/A</v>
      </c>
      <c r="D657" s="26" t="str">
        <f t="array" ref="D657">sum(XLOOKUP($A657,LinkedIn_content_raw!$A$2:$A1000,LinkedIn_content_raw!$K$2:$K1000),XLOOKUP($A657,LinkedIn_content_raw!$A$2:$A1000,LinkedIn_content_raw!$N$2:$N1000),XLOOKUP($A657,LinkedIn_content_raw!$A$2:$A1000,LinkedIn_content_raw!$Q$2:$Q1000))</f>
        <v>#N/A</v>
      </c>
      <c r="E657" s="26" t="str">
        <f t="array" ref="E657">XLOOKUP($A657,LinkedIn_content_raw!$A$2:$A1000,LinkedIn_content_raw!$E$2:$E1000)</f>
        <v>#N/A</v>
      </c>
    </row>
    <row r="658">
      <c r="A658" s="26" t="str">
        <f>LinkedIn_content_raw!$A659</f>
        <v/>
      </c>
      <c r="B658" s="24" t="str">
        <f t="shared" si="1"/>
        <v/>
      </c>
      <c r="C658" s="26" t="str">
        <f t="array" ref="C658">XLOOKUP($A658,LinkedIn_follows_raw!$A$2:$A1000,LinkedIn_follows_raw!$E$2:$E1000)</f>
        <v>#N/A</v>
      </c>
      <c r="D658" s="26" t="str">
        <f t="array" ref="D658">sum(XLOOKUP($A658,LinkedIn_content_raw!$A$2:$A1000,LinkedIn_content_raw!$K$2:$K1000),XLOOKUP($A658,LinkedIn_content_raw!$A$2:$A1000,LinkedIn_content_raw!$N$2:$N1000),XLOOKUP($A658,LinkedIn_content_raw!$A$2:$A1000,LinkedIn_content_raw!$Q$2:$Q1000))</f>
        <v>#N/A</v>
      </c>
      <c r="E658" s="26" t="str">
        <f t="array" ref="E658">XLOOKUP($A658,LinkedIn_content_raw!$A$2:$A1000,LinkedIn_content_raw!$E$2:$E1000)</f>
        <v>#N/A</v>
      </c>
    </row>
    <row r="659">
      <c r="A659" s="26" t="str">
        <f>LinkedIn_content_raw!$A660</f>
        <v/>
      </c>
      <c r="B659" s="24" t="str">
        <f t="shared" si="1"/>
        <v/>
      </c>
      <c r="C659" s="26" t="str">
        <f t="array" ref="C659">XLOOKUP($A659,LinkedIn_follows_raw!$A$2:$A1000,LinkedIn_follows_raw!$E$2:$E1000)</f>
        <v>#N/A</v>
      </c>
      <c r="D659" s="26" t="str">
        <f t="array" ref="D659">sum(XLOOKUP($A659,LinkedIn_content_raw!$A$2:$A1000,LinkedIn_content_raw!$K$2:$K1000),XLOOKUP($A659,LinkedIn_content_raw!$A$2:$A1000,LinkedIn_content_raw!$N$2:$N1000),XLOOKUP($A659,LinkedIn_content_raw!$A$2:$A1000,LinkedIn_content_raw!$Q$2:$Q1000))</f>
        <v>#N/A</v>
      </c>
      <c r="E659" s="26" t="str">
        <f t="array" ref="E659">XLOOKUP($A659,LinkedIn_content_raw!$A$2:$A1000,LinkedIn_content_raw!$E$2:$E1000)</f>
        <v>#N/A</v>
      </c>
    </row>
    <row r="660">
      <c r="A660" s="26" t="str">
        <f>LinkedIn_content_raw!$A661</f>
        <v/>
      </c>
      <c r="B660" s="24" t="str">
        <f t="shared" si="1"/>
        <v/>
      </c>
      <c r="C660" s="26" t="str">
        <f t="array" ref="C660">XLOOKUP($A660,LinkedIn_follows_raw!$A$2:$A1000,LinkedIn_follows_raw!$E$2:$E1000)</f>
        <v>#N/A</v>
      </c>
      <c r="D660" s="26" t="str">
        <f t="array" ref="D660">sum(XLOOKUP($A660,LinkedIn_content_raw!$A$2:$A1000,LinkedIn_content_raw!$K$2:$K1000),XLOOKUP($A660,LinkedIn_content_raw!$A$2:$A1000,LinkedIn_content_raw!$N$2:$N1000),XLOOKUP($A660,LinkedIn_content_raw!$A$2:$A1000,LinkedIn_content_raw!$Q$2:$Q1000))</f>
        <v>#N/A</v>
      </c>
      <c r="E660" s="26" t="str">
        <f t="array" ref="E660">XLOOKUP($A660,LinkedIn_content_raw!$A$2:$A1000,LinkedIn_content_raw!$E$2:$E1000)</f>
        <v>#N/A</v>
      </c>
    </row>
    <row r="661">
      <c r="A661" s="26" t="str">
        <f>LinkedIn_content_raw!$A662</f>
        <v/>
      </c>
      <c r="B661" s="24" t="str">
        <f t="shared" si="1"/>
        <v/>
      </c>
      <c r="C661" s="26" t="str">
        <f t="array" ref="C661">XLOOKUP($A661,LinkedIn_follows_raw!$A$2:$A1000,LinkedIn_follows_raw!$E$2:$E1000)</f>
        <v>#N/A</v>
      </c>
      <c r="D661" s="26" t="str">
        <f t="array" ref="D661">sum(XLOOKUP($A661,LinkedIn_content_raw!$A$2:$A1000,LinkedIn_content_raw!$K$2:$K1000),XLOOKUP($A661,LinkedIn_content_raw!$A$2:$A1000,LinkedIn_content_raw!$N$2:$N1000),XLOOKUP($A661,LinkedIn_content_raw!$A$2:$A1000,LinkedIn_content_raw!$Q$2:$Q1000))</f>
        <v>#N/A</v>
      </c>
      <c r="E661" s="26" t="str">
        <f t="array" ref="E661">XLOOKUP($A661,LinkedIn_content_raw!$A$2:$A1000,LinkedIn_content_raw!$E$2:$E1000)</f>
        <v>#N/A</v>
      </c>
    </row>
    <row r="662">
      <c r="A662" s="26" t="str">
        <f>LinkedIn_content_raw!$A663</f>
        <v/>
      </c>
      <c r="B662" s="24" t="str">
        <f t="shared" si="1"/>
        <v/>
      </c>
      <c r="C662" s="26" t="str">
        <f t="array" ref="C662">XLOOKUP($A662,LinkedIn_follows_raw!$A$2:$A1000,LinkedIn_follows_raw!$E$2:$E1000)</f>
        <v>#N/A</v>
      </c>
      <c r="D662" s="26" t="str">
        <f t="array" ref="D662">sum(XLOOKUP($A662,LinkedIn_content_raw!$A$2:$A1000,LinkedIn_content_raw!$K$2:$K1000),XLOOKUP($A662,LinkedIn_content_raw!$A$2:$A1000,LinkedIn_content_raw!$N$2:$N1000),XLOOKUP($A662,LinkedIn_content_raw!$A$2:$A1000,LinkedIn_content_raw!$Q$2:$Q1000))</f>
        <v>#N/A</v>
      </c>
      <c r="E662" s="26" t="str">
        <f t="array" ref="E662">XLOOKUP($A662,LinkedIn_content_raw!$A$2:$A1000,LinkedIn_content_raw!$E$2:$E1000)</f>
        <v>#N/A</v>
      </c>
    </row>
    <row r="663">
      <c r="A663" s="26" t="str">
        <f>LinkedIn_content_raw!$A664</f>
        <v/>
      </c>
      <c r="B663" s="24" t="str">
        <f t="shared" si="1"/>
        <v/>
      </c>
      <c r="C663" s="26" t="str">
        <f t="array" ref="C663">XLOOKUP($A663,LinkedIn_follows_raw!$A$2:$A1000,LinkedIn_follows_raw!$E$2:$E1000)</f>
        <v>#N/A</v>
      </c>
      <c r="D663" s="26" t="str">
        <f t="array" ref="D663">sum(XLOOKUP($A663,LinkedIn_content_raw!$A$2:$A1000,LinkedIn_content_raw!$K$2:$K1000),XLOOKUP($A663,LinkedIn_content_raw!$A$2:$A1000,LinkedIn_content_raw!$N$2:$N1000),XLOOKUP($A663,LinkedIn_content_raw!$A$2:$A1000,LinkedIn_content_raw!$Q$2:$Q1000))</f>
        <v>#N/A</v>
      </c>
      <c r="E663" s="26" t="str">
        <f t="array" ref="E663">XLOOKUP($A663,LinkedIn_content_raw!$A$2:$A1000,LinkedIn_content_raw!$E$2:$E1000)</f>
        <v>#N/A</v>
      </c>
    </row>
    <row r="664">
      <c r="A664" s="26" t="str">
        <f>LinkedIn_content_raw!$A665</f>
        <v/>
      </c>
      <c r="B664" s="24" t="str">
        <f t="shared" si="1"/>
        <v/>
      </c>
      <c r="C664" s="26" t="str">
        <f t="array" ref="C664">XLOOKUP($A664,LinkedIn_follows_raw!$A$2:$A1000,LinkedIn_follows_raw!$E$2:$E1000)</f>
        <v>#N/A</v>
      </c>
      <c r="D664" s="26" t="str">
        <f t="array" ref="D664">sum(XLOOKUP($A664,LinkedIn_content_raw!$A$2:$A1000,LinkedIn_content_raw!$K$2:$K1000),XLOOKUP($A664,LinkedIn_content_raw!$A$2:$A1000,LinkedIn_content_raw!$N$2:$N1000),XLOOKUP($A664,LinkedIn_content_raw!$A$2:$A1000,LinkedIn_content_raw!$Q$2:$Q1000))</f>
        <v>#N/A</v>
      </c>
      <c r="E664" s="26" t="str">
        <f t="array" ref="E664">XLOOKUP($A664,LinkedIn_content_raw!$A$2:$A1000,LinkedIn_content_raw!$E$2:$E1000)</f>
        <v>#N/A</v>
      </c>
    </row>
    <row r="665">
      <c r="A665" s="26" t="str">
        <f>LinkedIn_content_raw!$A666</f>
        <v/>
      </c>
      <c r="B665" s="24" t="str">
        <f t="shared" si="1"/>
        <v/>
      </c>
      <c r="C665" s="26" t="str">
        <f t="array" ref="C665">XLOOKUP($A665,LinkedIn_follows_raw!$A$2:$A1000,LinkedIn_follows_raw!$E$2:$E1000)</f>
        <v>#N/A</v>
      </c>
      <c r="D665" s="26" t="str">
        <f t="array" ref="D665">sum(XLOOKUP($A665,LinkedIn_content_raw!$A$2:$A1000,LinkedIn_content_raw!$K$2:$K1000),XLOOKUP($A665,LinkedIn_content_raw!$A$2:$A1000,LinkedIn_content_raw!$N$2:$N1000),XLOOKUP($A665,LinkedIn_content_raw!$A$2:$A1000,LinkedIn_content_raw!$Q$2:$Q1000))</f>
        <v>#N/A</v>
      </c>
      <c r="E665" s="26" t="str">
        <f t="array" ref="E665">XLOOKUP($A665,LinkedIn_content_raw!$A$2:$A1000,LinkedIn_content_raw!$E$2:$E1000)</f>
        <v>#N/A</v>
      </c>
    </row>
    <row r="666">
      <c r="A666" s="26" t="str">
        <f>LinkedIn_content_raw!$A667</f>
        <v/>
      </c>
      <c r="B666" s="24" t="str">
        <f t="shared" si="1"/>
        <v/>
      </c>
      <c r="C666" s="26" t="str">
        <f t="array" ref="C666">XLOOKUP($A666,LinkedIn_follows_raw!$A$2:$A1000,LinkedIn_follows_raw!$E$2:$E1000)</f>
        <v>#N/A</v>
      </c>
      <c r="D666" s="26" t="str">
        <f t="array" ref="D666">sum(XLOOKUP($A666,LinkedIn_content_raw!$A$2:$A1000,LinkedIn_content_raw!$K$2:$K1000),XLOOKUP($A666,LinkedIn_content_raw!$A$2:$A1000,LinkedIn_content_raw!$N$2:$N1000),XLOOKUP($A666,LinkedIn_content_raw!$A$2:$A1000,LinkedIn_content_raw!$Q$2:$Q1000))</f>
        <v>#N/A</v>
      </c>
      <c r="E666" s="26" t="str">
        <f t="array" ref="E666">XLOOKUP($A666,LinkedIn_content_raw!$A$2:$A1000,LinkedIn_content_raw!$E$2:$E1000)</f>
        <v>#N/A</v>
      </c>
    </row>
    <row r="667">
      <c r="A667" s="26" t="str">
        <f>LinkedIn_content_raw!$A668</f>
        <v/>
      </c>
      <c r="B667" s="24" t="str">
        <f t="shared" si="1"/>
        <v/>
      </c>
      <c r="C667" s="26" t="str">
        <f t="array" ref="C667">XLOOKUP($A667,LinkedIn_follows_raw!$A$2:$A1000,LinkedIn_follows_raw!$E$2:$E1000)</f>
        <v>#N/A</v>
      </c>
      <c r="D667" s="26" t="str">
        <f t="array" ref="D667">sum(XLOOKUP($A667,LinkedIn_content_raw!$A$2:$A1000,LinkedIn_content_raw!$K$2:$K1000),XLOOKUP($A667,LinkedIn_content_raw!$A$2:$A1000,LinkedIn_content_raw!$N$2:$N1000),XLOOKUP($A667,LinkedIn_content_raw!$A$2:$A1000,LinkedIn_content_raw!$Q$2:$Q1000))</f>
        <v>#N/A</v>
      </c>
      <c r="E667" s="26" t="str">
        <f t="array" ref="E667">XLOOKUP($A667,LinkedIn_content_raw!$A$2:$A1000,LinkedIn_content_raw!$E$2:$E1000)</f>
        <v>#N/A</v>
      </c>
    </row>
    <row r="668">
      <c r="A668" s="26" t="str">
        <f>LinkedIn_content_raw!$A669</f>
        <v/>
      </c>
      <c r="B668" s="24" t="str">
        <f t="shared" si="1"/>
        <v/>
      </c>
      <c r="C668" s="26" t="str">
        <f t="array" ref="C668">XLOOKUP($A668,LinkedIn_follows_raw!$A$2:$A1000,LinkedIn_follows_raw!$E$2:$E1000)</f>
        <v>#N/A</v>
      </c>
      <c r="D668" s="26" t="str">
        <f t="array" ref="D668">sum(XLOOKUP($A668,LinkedIn_content_raw!$A$2:$A1000,LinkedIn_content_raw!$K$2:$K1000),XLOOKUP($A668,LinkedIn_content_raw!$A$2:$A1000,LinkedIn_content_raw!$N$2:$N1000),XLOOKUP($A668,LinkedIn_content_raw!$A$2:$A1000,LinkedIn_content_raw!$Q$2:$Q1000))</f>
        <v>#N/A</v>
      </c>
      <c r="E668" s="26" t="str">
        <f t="array" ref="E668">XLOOKUP($A668,LinkedIn_content_raw!$A$2:$A1000,LinkedIn_content_raw!$E$2:$E1000)</f>
        <v>#N/A</v>
      </c>
    </row>
    <row r="669">
      <c r="A669" s="26" t="str">
        <f>LinkedIn_content_raw!$A670</f>
        <v/>
      </c>
      <c r="B669" s="24" t="str">
        <f t="shared" si="1"/>
        <v/>
      </c>
      <c r="C669" s="26" t="str">
        <f t="array" ref="C669">XLOOKUP($A669,LinkedIn_follows_raw!$A$2:$A1000,LinkedIn_follows_raw!$E$2:$E1000)</f>
        <v>#N/A</v>
      </c>
      <c r="D669" s="26" t="str">
        <f t="array" ref="D669">sum(XLOOKUP($A669,LinkedIn_content_raw!$A$2:$A1000,LinkedIn_content_raw!$K$2:$K1000),XLOOKUP($A669,LinkedIn_content_raw!$A$2:$A1000,LinkedIn_content_raw!$N$2:$N1000),XLOOKUP($A669,LinkedIn_content_raw!$A$2:$A1000,LinkedIn_content_raw!$Q$2:$Q1000))</f>
        <v>#N/A</v>
      </c>
      <c r="E669" s="26" t="str">
        <f t="array" ref="E669">XLOOKUP($A669,LinkedIn_content_raw!$A$2:$A1000,LinkedIn_content_raw!$E$2:$E1000)</f>
        <v>#N/A</v>
      </c>
    </row>
    <row r="670">
      <c r="A670" s="26" t="str">
        <f>LinkedIn_content_raw!$A671</f>
        <v/>
      </c>
      <c r="B670" s="24" t="str">
        <f t="shared" si="1"/>
        <v/>
      </c>
      <c r="C670" s="26" t="str">
        <f t="array" ref="C670">XLOOKUP($A670,LinkedIn_follows_raw!$A$2:$A1000,LinkedIn_follows_raw!$E$2:$E1000)</f>
        <v>#N/A</v>
      </c>
      <c r="D670" s="26" t="str">
        <f t="array" ref="D670">sum(XLOOKUP($A670,LinkedIn_content_raw!$A$2:$A1000,LinkedIn_content_raw!$K$2:$K1000),XLOOKUP($A670,LinkedIn_content_raw!$A$2:$A1000,LinkedIn_content_raw!$N$2:$N1000),XLOOKUP($A670,LinkedIn_content_raw!$A$2:$A1000,LinkedIn_content_raw!$Q$2:$Q1000))</f>
        <v>#N/A</v>
      </c>
      <c r="E670" s="26" t="str">
        <f t="array" ref="E670">XLOOKUP($A670,LinkedIn_content_raw!$A$2:$A1000,LinkedIn_content_raw!$E$2:$E1000)</f>
        <v>#N/A</v>
      </c>
    </row>
    <row r="671">
      <c r="A671" s="26" t="str">
        <f>LinkedIn_content_raw!$A672</f>
        <v/>
      </c>
      <c r="B671" s="24" t="str">
        <f t="shared" si="1"/>
        <v/>
      </c>
      <c r="C671" s="26" t="str">
        <f t="array" ref="C671">XLOOKUP($A671,LinkedIn_follows_raw!$A$2:$A1000,LinkedIn_follows_raw!$E$2:$E1000)</f>
        <v>#N/A</v>
      </c>
      <c r="D671" s="26" t="str">
        <f t="array" ref="D671">sum(XLOOKUP($A671,LinkedIn_content_raw!$A$2:$A1000,LinkedIn_content_raw!$K$2:$K1000),XLOOKUP($A671,LinkedIn_content_raw!$A$2:$A1000,LinkedIn_content_raw!$N$2:$N1000),XLOOKUP($A671,LinkedIn_content_raw!$A$2:$A1000,LinkedIn_content_raw!$Q$2:$Q1000))</f>
        <v>#N/A</v>
      </c>
      <c r="E671" s="26" t="str">
        <f t="array" ref="E671">XLOOKUP($A671,LinkedIn_content_raw!$A$2:$A1000,LinkedIn_content_raw!$E$2:$E1000)</f>
        <v>#N/A</v>
      </c>
    </row>
    <row r="672">
      <c r="A672" s="26" t="str">
        <f>LinkedIn_content_raw!$A673</f>
        <v/>
      </c>
      <c r="B672" s="24" t="str">
        <f t="shared" si="1"/>
        <v/>
      </c>
      <c r="C672" s="26" t="str">
        <f t="array" ref="C672">XLOOKUP($A672,LinkedIn_follows_raw!$A$2:$A1000,LinkedIn_follows_raw!$E$2:$E1000)</f>
        <v>#N/A</v>
      </c>
      <c r="D672" s="26" t="str">
        <f t="array" ref="D672">sum(XLOOKUP($A672,LinkedIn_content_raw!$A$2:$A1000,LinkedIn_content_raw!$K$2:$K1000),XLOOKUP($A672,LinkedIn_content_raw!$A$2:$A1000,LinkedIn_content_raw!$N$2:$N1000),XLOOKUP($A672,LinkedIn_content_raw!$A$2:$A1000,LinkedIn_content_raw!$Q$2:$Q1000))</f>
        <v>#N/A</v>
      </c>
      <c r="E672" s="26" t="str">
        <f t="array" ref="E672">XLOOKUP($A672,LinkedIn_content_raw!$A$2:$A1000,LinkedIn_content_raw!$E$2:$E1000)</f>
        <v>#N/A</v>
      </c>
    </row>
    <row r="673">
      <c r="A673" s="26" t="str">
        <f>LinkedIn_content_raw!$A674</f>
        <v/>
      </c>
      <c r="B673" s="24" t="str">
        <f t="shared" si="1"/>
        <v/>
      </c>
      <c r="C673" s="26" t="str">
        <f t="array" ref="C673">XLOOKUP($A673,LinkedIn_follows_raw!$A$2:$A1000,LinkedIn_follows_raw!$E$2:$E1000)</f>
        <v>#N/A</v>
      </c>
      <c r="D673" s="26" t="str">
        <f t="array" ref="D673">sum(XLOOKUP($A673,LinkedIn_content_raw!$A$2:$A1000,LinkedIn_content_raw!$K$2:$K1000),XLOOKUP($A673,LinkedIn_content_raw!$A$2:$A1000,LinkedIn_content_raw!$N$2:$N1000),XLOOKUP($A673,LinkedIn_content_raw!$A$2:$A1000,LinkedIn_content_raw!$Q$2:$Q1000))</f>
        <v>#N/A</v>
      </c>
      <c r="E673" s="26" t="str">
        <f t="array" ref="E673">XLOOKUP($A673,LinkedIn_content_raw!$A$2:$A1000,LinkedIn_content_raw!$E$2:$E1000)</f>
        <v>#N/A</v>
      </c>
    </row>
    <row r="674">
      <c r="A674" s="26" t="str">
        <f>LinkedIn_content_raw!$A675</f>
        <v/>
      </c>
      <c r="B674" s="24" t="str">
        <f t="shared" si="1"/>
        <v/>
      </c>
      <c r="C674" s="26" t="str">
        <f t="array" ref="C674">XLOOKUP($A674,LinkedIn_follows_raw!$A$2:$A1000,LinkedIn_follows_raw!$E$2:$E1000)</f>
        <v>#N/A</v>
      </c>
      <c r="D674" s="26" t="str">
        <f t="array" ref="D674">sum(XLOOKUP($A674,LinkedIn_content_raw!$A$2:$A1000,LinkedIn_content_raw!$K$2:$K1000),XLOOKUP($A674,LinkedIn_content_raw!$A$2:$A1000,LinkedIn_content_raw!$N$2:$N1000),XLOOKUP($A674,LinkedIn_content_raw!$A$2:$A1000,LinkedIn_content_raw!$Q$2:$Q1000))</f>
        <v>#N/A</v>
      </c>
      <c r="E674" s="26" t="str">
        <f t="array" ref="E674">XLOOKUP($A674,LinkedIn_content_raw!$A$2:$A1000,LinkedIn_content_raw!$E$2:$E1000)</f>
        <v>#N/A</v>
      </c>
    </row>
    <row r="675">
      <c r="A675" s="26" t="str">
        <f>LinkedIn_content_raw!$A676</f>
        <v/>
      </c>
      <c r="B675" s="24" t="str">
        <f t="shared" si="1"/>
        <v/>
      </c>
      <c r="C675" s="26" t="str">
        <f t="array" ref="C675">XLOOKUP($A675,LinkedIn_follows_raw!$A$2:$A1000,LinkedIn_follows_raw!$E$2:$E1000)</f>
        <v>#N/A</v>
      </c>
      <c r="D675" s="26" t="str">
        <f t="array" ref="D675">sum(XLOOKUP($A675,LinkedIn_content_raw!$A$2:$A1000,LinkedIn_content_raw!$K$2:$K1000),XLOOKUP($A675,LinkedIn_content_raw!$A$2:$A1000,LinkedIn_content_raw!$N$2:$N1000),XLOOKUP($A675,LinkedIn_content_raw!$A$2:$A1000,LinkedIn_content_raw!$Q$2:$Q1000))</f>
        <v>#N/A</v>
      </c>
      <c r="E675" s="26" t="str">
        <f t="array" ref="E675">XLOOKUP($A675,LinkedIn_content_raw!$A$2:$A1000,LinkedIn_content_raw!$E$2:$E1000)</f>
        <v>#N/A</v>
      </c>
    </row>
    <row r="676">
      <c r="A676" s="26" t="str">
        <f>LinkedIn_content_raw!$A677</f>
        <v/>
      </c>
      <c r="B676" s="24" t="str">
        <f t="shared" si="1"/>
        <v/>
      </c>
      <c r="C676" s="26" t="str">
        <f t="array" ref="C676">XLOOKUP($A676,LinkedIn_follows_raw!$A$2:$A1000,LinkedIn_follows_raw!$E$2:$E1000)</f>
        <v>#N/A</v>
      </c>
      <c r="D676" s="26" t="str">
        <f t="array" ref="D676">sum(XLOOKUP($A676,LinkedIn_content_raw!$A$2:$A1000,LinkedIn_content_raw!$K$2:$K1000),XLOOKUP($A676,LinkedIn_content_raw!$A$2:$A1000,LinkedIn_content_raw!$N$2:$N1000),XLOOKUP($A676,LinkedIn_content_raw!$A$2:$A1000,LinkedIn_content_raw!$Q$2:$Q1000))</f>
        <v>#N/A</v>
      </c>
      <c r="E676" s="26" t="str">
        <f t="array" ref="E676">XLOOKUP($A676,LinkedIn_content_raw!$A$2:$A1000,LinkedIn_content_raw!$E$2:$E1000)</f>
        <v>#N/A</v>
      </c>
    </row>
    <row r="677">
      <c r="A677" s="26" t="str">
        <f>LinkedIn_content_raw!$A678</f>
        <v/>
      </c>
      <c r="B677" s="24" t="str">
        <f t="shared" si="1"/>
        <v/>
      </c>
      <c r="C677" s="26" t="str">
        <f t="array" ref="C677">XLOOKUP($A677,LinkedIn_follows_raw!$A$2:$A1000,LinkedIn_follows_raw!$E$2:$E1000)</f>
        <v>#N/A</v>
      </c>
      <c r="D677" s="26" t="str">
        <f t="array" ref="D677">sum(XLOOKUP($A677,LinkedIn_content_raw!$A$2:$A1000,LinkedIn_content_raw!$K$2:$K1000),XLOOKUP($A677,LinkedIn_content_raw!$A$2:$A1000,LinkedIn_content_raw!$N$2:$N1000),XLOOKUP($A677,LinkedIn_content_raw!$A$2:$A1000,LinkedIn_content_raw!$Q$2:$Q1000))</f>
        <v>#N/A</v>
      </c>
      <c r="E677" s="26" t="str">
        <f t="array" ref="E677">XLOOKUP($A677,LinkedIn_content_raw!$A$2:$A1000,LinkedIn_content_raw!$E$2:$E1000)</f>
        <v>#N/A</v>
      </c>
    </row>
    <row r="678">
      <c r="A678" s="26" t="str">
        <f>LinkedIn_content_raw!$A679</f>
        <v/>
      </c>
      <c r="B678" s="24" t="str">
        <f t="shared" si="1"/>
        <v/>
      </c>
      <c r="C678" s="26" t="str">
        <f t="array" ref="C678">XLOOKUP($A678,LinkedIn_follows_raw!$A$2:$A1000,LinkedIn_follows_raw!$E$2:$E1000)</f>
        <v>#N/A</v>
      </c>
      <c r="D678" s="26" t="str">
        <f t="array" ref="D678">sum(XLOOKUP($A678,LinkedIn_content_raw!$A$2:$A1000,LinkedIn_content_raw!$K$2:$K1000),XLOOKUP($A678,LinkedIn_content_raw!$A$2:$A1000,LinkedIn_content_raw!$N$2:$N1000),XLOOKUP($A678,LinkedIn_content_raw!$A$2:$A1000,LinkedIn_content_raw!$Q$2:$Q1000))</f>
        <v>#N/A</v>
      </c>
      <c r="E678" s="26" t="str">
        <f t="array" ref="E678">XLOOKUP($A678,LinkedIn_content_raw!$A$2:$A1000,LinkedIn_content_raw!$E$2:$E1000)</f>
        <v>#N/A</v>
      </c>
    </row>
    <row r="679">
      <c r="A679" s="26" t="str">
        <f>LinkedIn_content_raw!$A680</f>
        <v/>
      </c>
      <c r="B679" s="24" t="str">
        <f t="shared" si="1"/>
        <v/>
      </c>
      <c r="C679" s="26" t="str">
        <f t="array" ref="C679">XLOOKUP($A679,LinkedIn_follows_raw!$A$2:$A1000,LinkedIn_follows_raw!$E$2:$E1000)</f>
        <v>#N/A</v>
      </c>
      <c r="D679" s="26" t="str">
        <f t="array" ref="D679">sum(XLOOKUP($A679,LinkedIn_content_raw!$A$2:$A1000,LinkedIn_content_raw!$K$2:$K1000),XLOOKUP($A679,LinkedIn_content_raw!$A$2:$A1000,LinkedIn_content_raw!$N$2:$N1000),XLOOKUP($A679,LinkedIn_content_raw!$A$2:$A1000,LinkedIn_content_raw!$Q$2:$Q1000))</f>
        <v>#N/A</v>
      </c>
      <c r="E679" s="26" t="str">
        <f t="array" ref="E679">XLOOKUP($A679,LinkedIn_content_raw!$A$2:$A1000,LinkedIn_content_raw!$E$2:$E1000)</f>
        <v>#N/A</v>
      </c>
    </row>
    <row r="680">
      <c r="A680" s="26" t="str">
        <f>LinkedIn_content_raw!$A681</f>
        <v/>
      </c>
      <c r="B680" s="24" t="str">
        <f t="shared" si="1"/>
        <v/>
      </c>
      <c r="C680" s="26" t="str">
        <f t="array" ref="C680">XLOOKUP($A680,LinkedIn_follows_raw!$A$2:$A1000,LinkedIn_follows_raw!$E$2:$E1000)</f>
        <v>#N/A</v>
      </c>
      <c r="D680" s="26" t="str">
        <f t="array" ref="D680">sum(XLOOKUP($A680,LinkedIn_content_raw!$A$2:$A1000,LinkedIn_content_raw!$K$2:$K1000),XLOOKUP($A680,LinkedIn_content_raw!$A$2:$A1000,LinkedIn_content_raw!$N$2:$N1000),XLOOKUP($A680,LinkedIn_content_raw!$A$2:$A1000,LinkedIn_content_raw!$Q$2:$Q1000))</f>
        <v>#N/A</v>
      </c>
      <c r="E680" s="26" t="str">
        <f t="array" ref="E680">XLOOKUP($A680,LinkedIn_content_raw!$A$2:$A1000,LinkedIn_content_raw!$E$2:$E1000)</f>
        <v>#N/A</v>
      </c>
    </row>
    <row r="681">
      <c r="A681" s="26" t="str">
        <f>LinkedIn_content_raw!$A682</f>
        <v/>
      </c>
      <c r="B681" s="24" t="str">
        <f t="shared" si="1"/>
        <v/>
      </c>
      <c r="C681" s="26" t="str">
        <f t="array" ref="C681">XLOOKUP($A681,LinkedIn_follows_raw!$A$2:$A1000,LinkedIn_follows_raw!$E$2:$E1000)</f>
        <v>#N/A</v>
      </c>
      <c r="D681" s="26" t="str">
        <f t="array" ref="D681">sum(XLOOKUP($A681,LinkedIn_content_raw!$A$2:$A1000,LinkedIn_content_raw!$K$2:$K1000),XLOOKUP($A681,LinkedIn_content_raw!$A$2:$A1000,LinkedIn_content_raw!$N$2:$N1000),XLOOKUP($A681,LinkedIn_content_raw!$A$2:$A1000,LinkedIn_content_raw!$Q$2:$Q1000))</f>
        <v>#N/A</v>
      </c>
      <c r="E681" s="26" t="str">
        <f t="array" ref="E681">XLOOKUP($A681,LinkedIn_content_raw!$A$2:$A1000,LinkedIn_content_raw!$E$2:$E1000)</f>
        <v>#N/A</v>
      </c>
    </row>
    <row r="682">
      <c r="A682" s="26" t="str">
        <f>LinkedIn_content_raw!$A683</f>
        <v/>
      </c>
      <c r="B682" s="24" t="str">
        <f t="shared" si="1"/>
        <v/>
      </c>
      <c r="C682" s="26" t="str">
        <f t="array" ref="C682">XLOOKUP($A682,LinkedIn_follows_raw!$A$2:$A1000,LinkedIn_follows_raw!$E$2:$E1000)</f>
        <v>#N/A</v>
      </c>
      <c r="D682" s="26" t="str">
        <f t="array" ref="D682">sum(XLOOKUP($A682,LinkedIn_content_raw!$A$2:$A1000,LinkedIn_content_raw!$K$2:$K1000),XLOOKUP($A682,LinkedIn_content_raw!$A$2:$A1000,LinkedIn_content_raw!$N$2:$N1000),XLOOKUP($A682,LinkedIn_content_raw!$A$2:$A1000,LinkedIn_content_raw!$Q$2:$Q1000))</f>
        <v>#N/A</v>
      </c>
      <c r="E682" s="26" t="str">
        <f t="array" ref="E682">XLOOKUP($A682,LinkedIn_content_raw!$A$2:$A1000,LinkedIn_content_raw!$E$2:$E1000)</f>
        <v>#N/A</v>
      </c>
    </row>
    <row r="683">
      <c r="A683" s="26" t="str">
        <f>LinkedIn_content_raw!$A684</f>
        <v/>
      </c>
      <c r="B683" s="24" t="str">
        <f t="shared" si="1"/>
        <v/>
      </c>
      <c r="C683" s="26" t="str">
        <f t="array" ref="C683">XLOOKUP($A683,LinkedIn_follows_raw!$A$2:$A1000,LinkedIn_follows_raw!$E$2:$E1000)</f>
        <v>#N/A</v>
      </c>
      <c r="D683" s="26" t="str">
        <f t="array" ref="D683">sum(XLOOKUP($A683,LinkedIn_content_raw!$A$2:$A1000,LinkedIn_content_raw!$K$2:$K1000),XLOOKUP($A683,LinkedIn_content_raw!$A$2:$A1000,LinkedIn_content_raw!$N$2:$N1000),XLOOKUP($A683,LinkedIn_content_raw!$A$2:$A1000,LinkedIn_content_raw!$Q$2:$Q1000))</f>
        <v>#N/A</v>
      </c>
      <c r="E683" s="26" t="str">
        <f t="array" ref="E683">XLOOKUP($A683,LinkedIn_content_raw!$A$2:$A1000,LinkedIn_content_raw!$E$2:$E1000)</f>
        <v>#N/A</v>
      </c>
    </row>
    <row r="684">
      <c r="A684" s="26" t="str">
        <f>LinkedIn_content_raw!$A685</f>
        <v/>
      </c>
      <c r="B684" s="24" t="str">
        <f t="shared" si="1"/>
        <v/>
      </c>
      <c r="C684" s="26" t="str">
        <f t="array" ref="C684">XLOOKUP($A684,LinkedIn_follows_raw!$A$2:$A1000,LinkedIn_follows_raw!$E$2:$E1000)</f>
        <v>#N/A</v>
      </c>
      <c r="D684" s="26" t="str">
        <f t="array" ref="D684">sum(XLOOKUP($A684,LinkedIn_content_raw!$A$2:$A1000,LinkedIn_content_raw!$K$2:$K1000),XLOOKUP($A684,LinkedIn_content_raw!$A$2:$A1000,LinkedIn_content_raw!$N$2:$N1000),XLOOKUP($A684,LinkedIn_content_raw!$A$2:$A1000,LinkedIn_content_raw!$Q$2:$Q1000))</f>
        <v>#N/A</v>
      </c>
      <c r="E684" s="26" t="str">
        <f t="array" ref="E684">XLOOKUP($A684,LinkedIn_content_raw!$A$2:$A1000,LinkedIn_content_raw!$E$2:$E1000)</f>
        <v>#N/A</v>
      </c>
    </row>
    <row r="685">
      <c r="A685" s="26" t="str">
        <f>LinkedIn_content_raw!$A686</f>
        <v/>
      </c>
      <c r="B685" s="24" t="str">
        <f t="shared" si="1"/>
        <v/>
      </c>
      <c r="C685" s="26" t="str">
        <f t="array" ref="C685">XLOOKUP($A685,LinkedIn_follows_raw!$A$2:$A1000,LinkedIn_follows_raw!$E$2:$E1000)</f>
        <v>#N/A</v>
      </c>
      <c r="D685" s="26" t="str">
        <f t="array" ref="D685">sum(XLOOKUP($A685,LinkedIn_content_raw!$A$2:$A1000,LinkedIn_content_raw!$K$2:$K1000),XLOOKUP($A685,LinkedIn_content_raw!$A$2:$A1000,LinkedIn_content_raw!$N$2:$N1000),XLOOKUP($A685,LinkedIn_content_raw!$A$2:$A1000,LinkedIn_content_raw!$Q$2:$Q1000))</f>
        <v>#N/A</v>
      </c>
      <c r="E685" s="26" t="str">
        <f t="array" ref="E685">XLOOKUP($A685,LinkedIn_content_raw!$A$2:$A1000,LinkedIn_content_raw!$E$2:$E1000)</f>
        <v>#N/A</v>
      </c>
    </row>
    <row r="686">
      <c r="A686" s="26" t="str">
        <f>LinkedIn_content_raw!$A687</f>
        <v/>
      </c>
      <c r="B686" s="24" t="str">
        <f t="shared" si="1"/>
        <v/>
      </c>
      <c r="C686" s="26" t="str">
        <f t="array" ref="C686">XLOOKUP($A686,LinkedIn_follows_raw!$A$2:$A1000,LinkedIn_follows_raw!$E$2:$E1000)</f>
        <v>#N/A</v>
      </c>
      <c r="D686" s="26" t="str">
        <f t="array" ref="D686">sum(XLOOKUP($A686,LinkedIn_content_raw!$A$2:$A1000,LinkedIn_content_raw!$K$2:$K1000),XLOOKUP($A686,LinkedIn_content_raw!$A$2:$A1000,LinkedIn_content_raw!$N$2:$N1000),XLOOKUP($A686,LinkedIn_content_raw!$A$2:$A1000,LinkedIn_content_raw!$Q$2:$Q1000))</f>
        <v>#N/A</v>
      </c>
      <c r="E686" s="26" t="str">
        <f t="array" ref="E686">XLOOKUP($A686,LinkedIn_content_raw!$A$2:$A1000,LinkedIn_content_raw!$E$2:$E1000)</f>
        <v>#N/A</v>
      </c>
    </row>
    <row r="687">
      <c r="A687" s="26" t="str">
        <f>LinkedIn_content_raw!$A688</f>
        <v/>
      </c>
      <c r="B687" s="24" t="str">
        <f t="shared" si="1"/>
        <v/>
      </c>
      <c r="C687" s="26" t="str">
        <f t="array" ref="C687">XLOOKUP($A687,LinkedIn_follows_raw!$A$2:$A1000,LinkedIn_follows_raw!$E$2:$E1000)</f>
        <v>#N/A</v>
      </c>
      <c r="D687" s="26" t="str">
        <f t="array" ref="D687">sum(XLOOKUP($A687,LinkedIn_content_raw!$A$2:$A1000,LinkedIn_content_raw!$K$2:$K1000),XLOOKUP($A687,LinkedIn_content_raw!$A$2:$A1000,LinkedIn_content_raw!$N$2:$N1000),XLOOKUP($A687,LinkedIn_content_raw!$A$2:$A1000,LinkedIn_content_raw!$Q$2:$Q1000))</f>
        <v>#N/A</v>
      </c>
      <c r="E687" s="26" t="str">
        <f t="array" ref="E687">XLOOKUP($A687,LinkedIn_content_raw!$A$2:$A1000,LinkedIn_content_raw!$E$2:$E1000)</f>
        <v>#N/A</v>
      </c>
    </row>
    <row r="688">
      <c r="A688" s="26" t="str">
        <f>LinkedIn_content_raw!$A689</f>
        <v/>
      </c>
      <c r="B688" s="24" t="str">
        <f t="shared" si="1"/>
        <v/>
      </c>
      <c r="C688" s="26" t="str">
        <f t="array" ref="C688">XLOOKUP($A688,LinkedIn_follows_raw!$A$2:$A1000,LinkedIn_follows_raw!$E$2:$E1000)</f>
        <v>#N/A</v>
      </c>
      <c r="D688" s="26" t="str">
        <f t="array" ref="D688">sum(XLOOKUP($A688,LinkedIn_content_raw!$A$2:$A1000,LinkedIn_content_raw!$K$2:$K1000),XLOOKUP($A688,LinkedIn_content_raw!$A$2:$A1000,LinkedIn_content_raw!$N$2:$N1000),XLOOKUP($A688,LinkedIn_content_raw!$A$2:$A1000,LinkedIn_content_raw!$Q$2:$Q1000))</f>
        <v>#N/A</v>
      </c>
      <c r="E688" s="26" t="str">
        <f t="array" ref="E688">XLOOKUP($A688,LinkedIn_content_raw!$A$2:$A1000,LinkedIn_content_raw!$E$2:$E1000)</f>
        <v>#N/A</v>
      </c>
    </row>
    <row r="689">
      <c r="A689" s="26" t="str">
        <f>LinkedIn_content_raw!$A690</f>
        <v/>
      </c>
      <c r="B689" s="24" t="str">
        <f t="shared" si="1"/>
        <v/>
      </c>
      <c r="C689" s="26" t="str">
        <f t="array" ref="C689">XLOOKUP($A689,LinkedIn_follows_raw!$A$2:$A1000,LinkedIn_follows_raw!$E$2:$E1000)</f>
        <v>#N/A</v>
      </c>
      <c r="D689" s="26" t="str">
        <f t="array" ref="D689">sum(XLOOKUP($A689,LinkedIn_content_raw!$A$2:$A1000,LinkedIn_content_raw!$K$2:$K1000),XLOOKUP($A689,LinkedIn_content_raw!$A$2:$A1000,LinkedIn_content_raw!$N$2:$N1000),XLOOKUP($A689,LinkedIn_content_raw!$A$2:$A1000,LinkedIn_content_raw!$Q$2:$Q1000))</f>
        <v>#N/A</v>
      </c>
      <c r="E689" s="26" t="str">
        <f t="array" ref="E689">XLOOKUP($A689,LinkedIn_content_raw!$A$2:$A1000,LinkedIn_content_raw!$E$2:$E1000)</f>
        <v>#N/A</v>
      </c>
    </row>
    <row r="690">
      <c r="A690" s="26" t="str">
        <f>LinkedIn_content_raw!$A691</f>
        <v/>
      </c>
      <c r="B690" s="24" t="str">
        <f t="shared" si="1"/>
        <v/>
      </c>
      <c r="C690" s="26" t="str">
        <f t="array" ref="C690">XLOOKUP($A690,LinkedIn_follows_raw!$A$2:$A1000,LinkedIn_follows_raw!$E$2:$E1000)</f>
        <v>#N/A</v>
      </c>
      <c r="D690" s="26" t="str">
        <f t="array" ref="D690">sum(XLOOKUP($A690,LinkedIn_content_raw!$A$2:$A1000,LinkedIn_content_raw!$K$2:$K1000),XLOOKUP($A690,LinkedIn_content_raw!$A$2:$A1000,LinkedIn_content_raw!$N$2:$N1000),XLOOKUP($A690,LinkedIn_content_raw!$A$2:$A1000,LinkedIn_content_raw!$Q$2:$Q1000))</f>
        <v>#N/A</v>
      </c>
      <c r="E690" s="26" t="str">
        <f t="array" ref="E690">XLOOKUP($A690,LinkedIn_content_raw!$A$2:$A1000,LinkedIn_content_raw!$E$2:$E1000)</f>
        <v>#N/A</v>
      </c>
    </row>
    <row r="691">
      <c r="A691" s="26" t="str">
        <f>LinkedIn_content_raw!$A692</f>
        <v/>
      </c>
      <c r="B691" s="24" t="str">
        <f t="shared" si="1"/>
        <v/>
      </c>
      <c r="C691" s="26" t="str">
        <f t="array" ref="C691">XLOOKUP($A691,LinkedIn_follows_raw!$A$2:$A1000,LinkedIn_follows_raw!$E$2:$E1000)</f>
        <v>#N/A</v>
      </c>
      <c r="D691" s="26" t="str">
        <f t="array" ref="D691">sum(XLOOKUP($A691,LinkedIn_content_raw!$A$2:$A1000,LinkedIn_content_raw!$K$2:$K1000),XLOOKUP($A691,LinkedIn_content_raw!$A$2:$A1000,LinkedIn_content_raw!$N$2:$N1000),XLOOKUP($A691,LinkedIn_content_raw!$A$2:$A1000,LinkedIn_content_raw!$Q$2:$Q1000))</f>
        <v>#N/A</v>
      </c>
      <c r="E691" s="26" t="str">
        <f t="array" ref="E691">XLOOKUP($A691,LinkedIn_content_raw!$A$2:$A1000,LinkedIn_content_raw!$E$2:$E1000)</f>
        <v>#N/A</v>
      </c>
    </row>
    <row r="692">
      <c r="A692" s="26" t="str">
        <f>LinkedIn_content_raw!$A693</f>
        <v/>
      </c>
      <c r="B692" s="24" t="str">
        <f t="shared" si="1"/>
        <v/>
      </c>
      <c r="C692" s="26" t="str">
        <f t="array" ref="C692">XLOOKUP($A692,LinkedIn_follows_raw!$A$2:$A1000,LinkedIn_follows_raw!$E$2:$E1000)</f>
        <v>#N/A</v>
      </c>
      <c r="D692" s="26" t="str">
        <f t="array" ref="D692">sum(XLOOKUP($A692,LinkedIn_content_raw!$A$2:$A1000,LinkedIn_content_raw!$K$2:$K1000),XLOOKUP($A692,LinkedIn_content_raw!$A$2:$A1000,LinkedIn_content_raw!$N$2:$N1000),XLOOKUP($A692,LinkedIn_content_raw!$A$2:$A1000,LinkedIn_content_raw!$Q$2:$Q1000))</f>
        <v>#N/A</v>
      </c>
      <c r="E692" s="26" t="str">
        <f t="array" ref="E692">XLOOKUP($A692,LinkedIn_content_raw!$A$2:$A1000,LinkedIn_content_raw!$E$2:$E1000)</f>
        <v>#N/A</v>
      </c>
    </row>
    <row r="693">
      <c r="A693" s="26" t="str">
        <f>LinkedIn_content_raw!$A694</f>
        <v/>
      </c>
      <c r="B693" s="24" t="str">
        <f t="shared" si="1"/>
        <v/>
      </c>
      <c r="C693" s="26" t="str">
        <f t="array" ref="C693">XLOOKUP($A693,LinkedIn_follows_raw!$A$2:$A1000,LinkedIn_follows_raw!$E$2:$E1000)</f>
        <v>#N/A</v>
      </c>
      <c r="D693" s="26" t="str">
        <f t="array" ref="D693">sum(XLOOKUP($A693,LinkedIn_content_raw!$A$2:$A1000,LinkedIn_content_raw!$K$2:$K1000),XLOOKUP($A693,LinkedIn_content_raw!$A$2:$A1000,LinkedIn_content_raw!$N$2:$N1000),XLOOKUP($A693,LinkedIn_content_raw!$A$2:$A1000,LinkedIn_content_raw!$Q$2:$Q1000))</f>
        <v>#N/A</v>
      </c>
      <c r="E693" s="26" t="str">
        <f t="array" ref="E693">XLOOKUP($A693,LinkedIn_content_raw!$A$2:$A1000,LinkedIn_content_raw!$E$2:$E1000)</f>
        <v>#N/A</v>
      </c>
    </row>
    <row r="694">
      <c r="A694" s="26" t="str">
        <f>LinkedIn_content_raw!$A695</f>
        <v/>
      </c>
      <c r="B694" s="24" t="str">
        <f t="shared" si="1"/>
        <v/>
      </c>
      <c r="C694" s="26" t="str">
        <f t="array" ref="C694">XLOOKUP($A694,LinkedIn_follows_raw!$A$2:$A1000,LinkedIn_follows_raw!$E$2:$E1000)</f>
        <v>#N/A</v>
      </c>
      <c r="D694" s="26" t="str">
        <f t="array" ref="D694">sum(XLOOKUP($A694,LinkedIn_content_raw!$A$2:$A1000,LinkedIn_content_raw!$K$2:$K1000),XLOOKUP($A694,LinkedIn_content_raw!$A$2:$A1000,LinkedIn_content_raw!$N$2:$N1000),XLOOKUP($A694,LinkedIn_content_raw!$A$2:$A1000,LinkedIn_content_raw!$Q$2:$Q1000))</f>
        <v>#N/A</v>
      </c>
      <c r="E694" s="26" t="str">
        <f t="array" ref="E694">XLOOKUP($A694,LinkedIn_content_raw!$A$2:$A1000,LinkedIn_content_raw!$E$2:$E1000)</f>
        <v>#N/A</v>
      </c>
    </row>
    <row r="695">
      <c r="A695" s="26" t="str">
        <f>LinkedIn_content_raw!$A696</f>
        <v/>
      </c>
      <c r="B695" s="24" t="str">
        <f t="shared" si="1"/>
        <v/>
      </c>
      <c r="C695" s="26" t="str">
        <f t="array" ref="C695">XLOOKUP($A695,LinkedIn_follows_raw!$A$2:$A1000,LinkedIn_follows_raw!$E$2:$E1000)</f>
        <v>#N/A</v>
      </c>
      <c r="D695" s="26" t="str">
        <f t="array" ref="D695">sum(XLOOKUP($A695,LinkedIn_content_raw!$A$2:$A1000,LinkedIn_content_raw!$K$2:$K1000),XLOOKUP($A695,LinkedIn_content_raw!$A$2:$A1000,LinkedIn_content_raw!$N$2:$N1000),XLOOKUP($A695,LinkedIn_content_raw!$A$2:$A1000,LinkedIn_content_raw!$Q$2:$Q1000))</f>
        <v>#N/A</v>
      </c>
      <c r="E695" s="26" t="str">
        <f t="array" ref="E695">XLOOKUP($A695,LinkedIn_content_raw!$A$2:$A1000,LinkedIn_content_raw!$E$2:$E1000)</f>
        <v>#N/A</v>
      </c>
    </row>
    <row r="696">
      <c r="A696" s="26" t="str">
        <f>LinkedIn_content_raw!$A697</f>
        <v/>
      </c>
      <c r="B696" s="24" t="str">
        <f t="shared" si="1"/>
        <v/>
      </c>
      <c r="C696" s="26" t="str">
        <f t="array" ref="C696">XLOOKUP($A696,LinkedIn_follows_raw!$A$2:$A1000,LinkedIn_follows_raw!$E$2:$E1000)</f>
        <v>#N/A</v>
      </c>
      <c r="D696" s="26" t="str">
        <f t="array" ref="D696">sum(XLOOKUP($A696,LinkedIn_content_raw!$A$2:$A1000,LinkedIn_content_raw!$K$2:$K1000),XLOOKUP($A696,LinkedIn_content_raw!$A$2:$A1000,LinkedIn_content_raw!$N$2:$N1000),XLOOKUP($A696,LinkedIn_content_raw!$A$2:$A1000,LinkedIn_content_raw!$Q$2:$Q1000))</f>
        <v>#N/A</v>
      </c>
      <c r="E696" s="26" t="str">
        <f t="array" ref="E696">XLOOKUP($A696,LinkedIn_content_raw!$A$2:$A1000,LinkedIn_content_raw!$E$2:$E1000)</f>
        <v>#N/A</v>
      </c>
    </row>
    <row r="697">
      <c r="A697" s="26" t="str">
        <f>LinkedIn_content_raw!$A698</f>
        <v/>
      </c>
      <c r="B697" s="24" t="str">
        <f t="shared" si="1"/>
        <v/>
      </c>
      <c r="C697" s="26" t="str">
        <f t="array" ref="C697">XLOOKUP($A697,LinkedIn_follows_raw!$A$2:$A1000,LinkedIn_follows_raw!$E$2:$E1000)</f>
        <v>#N/A</v>
      </c>
      <c r="D697" s="26" t="str">
        <f t="array" ref="D697">sum(XLOOKUP($A697,LinkedIn_content_raw!$A$2:$A1000,LinkedIn_content_raw!$K$2:$K1000),XLOOKUP($A697,LinkedIn_content_raw!$A$2:$A1000,LinkedIn_content_raw!$N$2:$N1000),XLOOKUP($A697,LinkedIn_content_raw!$A$2:$A1000,LinkedIn_content_raw!$Q$2:$Q1000))</f>
        <v>#N/A</v>
      </c>
      <c r="E697" s="26" t="str">
        <f t="array" ref="E697">XLOOKUP($A697,LinkedIn_content_raw!$A$2:$A1000,LinkedIn_content_raw!$E$2:$E1000)</f>
        <v>#N/A</v>
      </c>
    </row>
    <row r="698">
      <c r="A698" s="26" t="str">
        <f>LinkedIn_content_raw!$A699</f>
        <v/>
      </c>
      <c r="B698" s="24" t="str">
        <f t="shared" si="1"/>
        <v/>
      </c>
      <c r="C698" s="26" t="str">
        <f t="array" ref="C698">XLOOKUP($A698,LinkedIn_follows_raw!$A$2:$A1000,LinkedIn_follows_raw!$E$2:$E1000)</f>
        <v>#N/A</v>
      </c>
      <c r="D698" s="26" t="str">
        <f t="array" ref="D698">sum(XLOOKUP($A698,LinkedIn_content_raw!$A$2:$A1000,LinkedIn_content_raw!$K$2:$K1000),XLOOKUP($A698,LinkedIn_content_raw!$A$2:$A1000,LinkedIn_content_raw!$N$2:$N1000),XLOOKUP($A698,LinkedIn_content_raw!$A$2:$A1000,LinkedIn_content_raw!$Q$2:$Q1000))</f>
        <v>#N/A</v>
      </c>
      <c r="E698" s="26" t="str">
        <f t="array" ref="E698">XLOOKUP($A698,LinkedIn_content_raw!$A$2:$A1000,LinkedIn_content_raw!$E$2:$E1000)</f>
        <v>#N/A</v>
      </c>
    </row>
    <row r="699">
      <c r="A699" s="26" t="str">
        <f>LinkedIn_content_raw!$A700</f>
        <v/>
      </c>
      <c r="B699" s="24" t="str">
        <f t="shared" si="1"/>
        <v/>
      </c>
      <c r="C699" s="26" t="str">
        <f t="array" ref="C699">XLOOKUP($A699,LinkedIn_follows_raw!$A$2:$A1000,LinkedIn_follows_raw!$E$2:$E1000)</f>
        <v>#N/A</v>
      </c>
      <c r="D699" s="26" t="str">
        <f t="array" ref="D699">sum(XLOOKUP($A699,LinkedIn_content_raw!$A$2:$A1000,LinkedIn_content_raw!$K$2:$K1000),XLOOKUP($A699,LinkedIn_content_raw!$A$2:$A1000,LinkedIn_content_raw!$N$2:$N1000),XLOOKUP($A699,LinkedIn_content_raw!$A$2:$A1000,LinkedIn_content_raw!$Q$2:$Q1000))</f>
        <v>#N/A</v>
      </c>
      <c r="E699" s="26" t="str">
        <f t="array" ref="E699">XLOOKUP($A699,LinkedIn_content_raw!$A$2:$A1000,LinkedIn_content_raw!$E$2:$E1000)</f>
        <v>#N/A</v>
      </c>
    </row>
    <row r="700">
      <c r="A700" s="26" t="str">
        <f>LinkedIn_content_raw!$A701</f>
        <v/>
      </c>
      <c r="B700" s="24" t="str">
        <f t="shared" si="1"/>
        <v/>
      </c>
      <c r="C700" s="26" t="str">
        <f t="array" ref="C700">XLOOKUP($A700,LinkedIn_follows_raw!$A$2:$A1000,LinkedIn_follows_raw!$E$2:$E1000)</f>
        <v>#N/A</v>
      </c>
      <c r="D700" s="26" t="str">
        <f t="array" ref="D700">sum(XLOOKUP($A700,LinkedIn_content_raw!$A$2:$A1000,LinkedIn_content_raw!$K$2:$K1000),XLOOKUP($A700,LinkedIn_content_raw!$A$2:$A1000,LinkedIn_content_raw!$N$2:$N1000),XLOOKUP($A700,LinkedIn_content_raw!$A$2:$A1000,LinkedIn_content_raw!$Q$2:$Q1000))</f>
        <v>#N/A</v>
      </c>
      <c r="E700" s="26" t="str">
        <f t="array" ref="E700">XLOOKUP($A700,LinkedIn_content_raw!$A$2:$A1000,LinkedIn_content_raw!$E$2:$E1000)</f>
        <v>#N/A</v>
      </c>
    </row>
    <row r="701">
      <c r="A701" s="26" t="str">
        <f>LinkedIn_content_raw!$A702</f>
        <v/>
      </c>
      <c r="B701" s="24" t="str">
        <f t="shared" si="1"/>
        <v/>
      </c>
      <c r="C701" s="26" t="str">
        <f t="array" ref="C701">XLOOKUP($A701,LinkedIn_follows_raw!$A$2:$A1000,LinkedIn_follows_raw!$E$2:$E1000)</f>
        <v>#N/A</v>
      </c>
      <c r="D701" s="26" t="str">
        <f t="array" ref="D701">sum(XLOOKUP($A701,LinkedIn_content_raw!$A$2:$A1000,LinkedIn_content_raw!$K$2:$K1000),XLOOKUP($A701,LinkedIn_content_raw!$A$2:$A1000,LinkedIn_content_raw!$N$2:$N1000),XLOOKUP($A701,LinkedIn_content_raw!$A$2:$A1000,LinkedIn_content_raw!$Q$2:$Q1000))</f>
        <v>#N/A</v>
      </c>
      <c r="E701" s="26" t="str">
        <f t="array" ref="E701">XLOOKUP($A701,LinkedIn_content_raw!$A$2:$A1000,LinkedIn_content_raw!$E$2:$E1000)</f>
        <v>#N/A</v>
      </c>
    </row>
    <row r="702">
      <c r="A702" s="26" t="str">
        <f>LinkedIn_content_raw!$A703</f>
        <v/>
      </c>
      <c r="B702" s="24" t="str">
        <f t="shared" si="1"/>
        <v/>
      </c>
      <c r="C702" s="26" t="str">
        <f t="array" ref="C702">XLOOKUP($A702,LinkedIn_follows_raw!$A$2:$A1000,LinkedIn_follows_raw!$E$2:$E1000)</f>
        <v>#N/A</v>
      </c>
      <c r="D702" s="26" t="str">
        <f t="array" ref="D702">sum(XLOOKUP($A702,LinkedIn_content_raw!$A$2:$A1000,LinkedIn_content_raw!$K$2:$K1000),XLOOKUP($A702,LinkedIn_content_raw!$A$2:$A1000,LinkedIn_content_raw!$N$2:$N1000),XLOOKUP($A702,LinkedIn_content_raw!$A$2:$A1000,LinkedIn_content_raw!$Q$2:$Q1000))</f>
        <v>#N/A</v>
      </c>
      <c r="E702" s="26" t="str">
        <f t="array" ref="E702">XLOOKUP($A702,LinkedIn_content_raw!$A$2:$A1000,LinkedIn_content_raw!$E$2:$E1000)</f>
        <v>#N/A</v>
      </c>
    </row>
    <row r="703">
      <c r="A703" s="26" t="str">
        <f>LinkedIn_content_raw!$A704</f>
        <v/>
      </c>
      <c r="B703" s="24" t="str">
        <f t="shared" si="1"/>
        <v/>
      </c>
      <c r="C703" s="26" t="str">
        <f t="array" ref="C703">XLOOKUP($A703,LinkedIn_follows_raw!$A$2:$A1000,LinkedIn_follows_raw!$E$2:$E1000)</f>
        <v>#N/A</v>
      </c>
      <c r="D703" s="26" t="str">
        <f t="array" ref="D703">sum(XLOOKUP($A703,LinkedIn_content_raw!$A$2:$A1000,LinkedIn_content_raw!$K$2:$K1000),XLOOKUP($A703,LinkedIn_content_raw!$A$2:$A1000,LinkedIn_content_raw!$N$2:$N1000),XLOOKUP($A703,LinkedIn_content_raw!$A$2:$A1000,LinkedIn_content_raw!$Q$2:$Q1000))</f>
        <v>#N/A</v>
      </c>
      <c r="E703" s="26" t="str">
        <f t="array" ref="E703">XLOOKUP($A703,LinkedIn_content_raw!$A$2:$A1000,LinkedIn_content_raw!$E$2:$E1000)</f>
        <v>#N/A</v>
      </c>
    </row>
    <row r="704">
      <c r="A704" s="26" t="str">
        <f>LinkedIn_content_raw!$A705</f>
        <v/>
      </c>
      <c r="B704" s="24" t="str">
        <f t="shared" si="1"/>
        <v/>
      </c>
      <c r="C704" s="26" t="str">
        <f t="array" ref="C704">XLOOKUP($A704,LinkedIn_follows_raw!$A$2:$A1000,LinkedIn_follows_raw!$E$2:$E1000)</f>
        <v>#N/A</v>
      </c>
      <c r="D704" s="26" t="str">
        <f t="array" ref="D704">sum(XLOOKUP($A704,LinkedIn_content_raw!$A$2:$A1000,LinkedIn_content_raw!$K$2:$K1000),XLOOKUP($A704,LinkedIn_content_raw!$A$2:$A1000,LinkedIn_content_raw!$N$2:$N1000),XLOOKUP($A704,LinkedIn_content_raw!$A$2:$A1000,LinkedIn_content_raw!$Q$2:$Q1000))</f>
        <v>#N/A</v>
      </c>
      <c r="E704" s="26" t="str">
        <f t="array" ref="E704">XLOOKUP($A704,LinkedIn_content_raw!$A$2:$A1000,LinkedIn_content_raw!$E$2:$E1000)</f>
        <v>#N/A</v>
      </c>
    </row>
    <row r="705">
      <c r="A705" s="26" t="str">
        <f>LinkedIn_content_raw!$A706</f>
        <v/>
      </c>
      <c r="B705" s="24" t="str">
        <f t="shared" si="1"/>
        <v/>
      </c>
      <c r="C705" s="26" t="str">
        <f t="array" ref="C705">XLOOKUP($A705,LinkedIn_follows_raw!$A$2:$A1000,LinkedIn_follows_raw!$E$2:$E1000)</f>
        <v>#N/A</v>
      </c>
      <c r="D705" s="26" t="str">
        <f t="array" ref="D705">sum(XLOOKUP($A705,LinkedIn_content_raw!$A$2:$A1000,LinkedIn_content_raw!$K$2:$K1000),XLOOKUP($A705,LinkedIn_content_raw!$A$2:$A1000,LinkedIn_content_raw!$N$2:$N1000),XLOOKUP($A705,LinkedIn_content_raw!$A$2:$A1000,LinkedIn_content_raw!$Q$2:$Q1000))</f>
        <v>#N/A</v>
      </c>
      <c r="E705" s="26" t="str">
        <f t="array" ref="E705">XLOOKUP($A705,LinkedIn_content_raw!$A$2:$A1000,LinkedIn_content_raw!$E$2:$E1000)</f>
        <v>#N/A</v>
      </c>
    </row>
    <row r="706">
      <c r="A706" s="26" t="str">
        <f>LinkedIn_content_raw!$A707</f>
        <v/>
      </c>
      <c r="B706" s="24" t="str">
        <f t="shared" si="1"/>
        <v/>
      </c>
      <c r="C706" s="26" t="str">
        <f t="array" ref="C706">XLOOKUP($A706,LinkedIn_follows_raw!$A$2:$A1000,LinkedIn_follows_raw!$E$2:$E1000)</f>
        <v>#N/A</v>
      </c>
      <c r="D706" s="26" t="str">
        <f t="array" ref="D706">sum(XLOOKUP($A706,LinkedIn_content_raw!$A$2:$A1000,LinkedIn_content_raw!$K$2:$K1000),XLOOKUP($A706,LinkedIn_content_raw!$A$2:$A1000,LinkedIn_content_raw!$N$2:$N1000),XLOOKUP($A706,LinkedIn_content_raw!$A$2:$A1000,LinkedIn_content_raw!$Q$2:$Q1000))</f>
        <v>#N/A</v>
      </c>
      <c r="E706" s="26" t="str">
        <f t="array" ref="E706">XLOOKUP($A706,LinkedIn_content_raw!$A$2:$A1000,LinkedIn_content_raw!$E$2:$E1000)</f>
        <v>#N/A</v>
      </c>
    </row>
    <row r="707">
      <c r="A707" s="26" t="str">
        <f>LinkedIn_content_raw!$A708</f>
        <v/>
      </c>
      <c r="B707" s="24" t="str">
        <f t="shared" si="1"/>
        <v/>
      </c>
      <c r="C707" s="26" t="str">
        <f t="array" ref="C707">XLOOKUP($A707,LinkedIn_follows_raw!$A$2:$A1000,LinkedIn_follows_raw!$E$2:$E1000)</f>
        <v>#N/A</v>
      </c>
      <c r="D707" s="26" t="str">
        <f t="array" ref="D707">sum(XLOOKUP($A707,LinkedIn_content_raw!$A$2:$A1000,LinkedIn_content_raw!$K$2:$K1000),XLOOKUP($A707,LinkedIn_content_raw!$A$2:$A1000,LinkedIn_content_raw!$N$2:$N1000),XLOOKUP($A707,LinkedIn_content_raw!$A$2:$A1000,LinkedIn_content_raw!$Q$2:$Q1000))</f>
        <v>#N/A</v>
      </c>
      <c r="E707" s="26" t="str">
        <f t="array" ref="E707">XLOOKUP($A707,LinkedIn_content_raw!$A$2:$A1000,LinkedIn_content_raw!$E$2:$E1000)</f>
        <v>#N/A</v>
      </c>
    </row>
    <row r="708">
      <c r="A708" s="26" t="str">
        <f>LinkedIn_content_raw!$A709</f>
        <v/>
      </c>
      <c r="B708" s="24" t="str">
        <f t="shared" si="1"/>
        <v/>
      </c>
      <c r="C708" s="26" t="str">
        <f t="array" ref="C708">XLOOKUP($A708,LinkedIn_follows_raw!$A$2:$A1000,LinkedIn_follows_raw!$E$2:$E1000)</f>
        <v>#N/A</v>
      </c>
      <c r="D708" s="26" t="str">
        <f t="array" ref="D708">sum(XLOOKUP($A708,LinkedIn_content_raw!$A$2:$A1000,LinkedIn_content_raw!$K$2:$K1000),XLOOKUP($A708,LinkedIn_content_raw!$A$2:$A1000,LinkedIn_content_raw!$N$2:$N1000),XLOOKUP($A708,LinkedIn_content_raw!$A$2:$A1000,LinkedIn_content_raw!$Q$2:$Q1000))</f>
        <v>#N/A</v>
      </c>
      <c r="E708" s="26" t="str">
        <f t="array" ref="E708">XLOOKUP($A708,LinkedIn_content_raw!$A$2:$A1000,LinkedIn_content_raw!$E$2:$E1000)</f>
        <v>#N/A</v>
      </c>
    </row>
    <row r="709">
      <c r="A709" s="26" t="str">
        <f>LinkedIn_content_raw!$A710</f>
        <v/>
      </c>
      <c r="B709" s="24" t="str">
        <f t="shared" si="1"/>
        <v/>
      </c>
      <c r="C709" s="26" t="str">
        <f t="array" ref="C709">XLOOKUP($A709,LinkedIn_follows_raw!$A$2:$A1000,LinkedIn_follows_raw!$E$2:$E1000)</f>
        <v>#N/A</v>
      </c>
      <c r="D709" s="26" t="str">
        <f t="array" ref="D709">sum(XLOOKUP($A709,LinkedIn_content_raw!$A$2:$A1000,LinkedIn_content_raw!$K$2:$K1000),XLOOKUP($A709,LinkedIn_content_raw!$A$2:$A1000,LinkedIn_content_raw!$N$2:$N1000),XLOOKUP($A709,LinkedIn_content_raw!$A$2:$A1000,LinkedIn_content_raw!$Q$2:$Q1000))</f>
        <v>#N/A</v>
      </c>
      <c r="E709" s="26" t="str">
        <f t="array" ref="E709">XLOOKUP($A709,LinkedIn_content_raw!$A$2:$A1000,LinkedIn_content_raw!$E$2:$E1000)</f>
        <v>#N/A</v>
      </c>
    </row>
    <row r="710">
      <c r="A710" s="26" t="str">
        <f>LinkedIn_content_raw!$A711</f>
        <v/>
      </c>
      <c r="B710" s="24" t="str">
        <f t="shared" si="1"/>
        <v/>
      </c>
      <c r="C710" s="26" t="str">
        <f t="array" ref="C710">XLOOKUP($A710,LinkedIn_follows_raw!$A$2:$A1000,LinkedIn_follows_raw!$E$2:$E1000)</f>
        <v>#N/A</v>
      </c>
      <c r="D710" s="26" t="str">
        <f t="array" ref="D710">sum(XLOOKUP($A710,LinkedIn_content_raw!$A$2:$A1000,LinkedIn_content_raw!$K$2:$K1000),XLOOKUP($A710,LinkedIn_content_raw!$A$2:$A1000,LinkedIn_content_raw!$N$2:$N1000),XLOOKUP($A710,LinkedIn_content_raw!$A$2:$A1000,LinkedIn_content_raw!$Q$2:$Q1000))</f>
        <v>#N/A</v>
      </c>
      <c r="E710" s="26" t="str">
        <f t="array" ref="E710">XLOOKUP($A710,LinkedIn_content_raw!$A$2:$A1000,LinkedIn_content_raw!$E$2:$E1000)</f>
        <v>#N/A</v>
      </c>
    </row>
    <row r="711">
      <c r="A711" s="26" t="str">
        <f>LinkedIn_content_raw!$A712</f>
        <v/>
      </c>
      <c r="B711" s="24" t="str">
        <f t="shared" si="1"/>
        <v/>
      </c>
      <c r="C711" s="26" t="str">
        <f t="array" ref="C711">XLOOKUP($A711,LinkedIn_follows_raw!$A$2:$A1000,LinkedIn_follows_raw!$E$2:$E1000)</f>
        <v>#N/A</v>
      </c>
      <c r="D711" s="26" t="str">
        <f t="array" ref="D711">sum(XLOOKUP($A711,LinkedIn_content_raw!$A$2:$A1000,LinkedIn_content_raw!$K$2:$K1000),XLOOKUP($A711,LinkedIn_content_raw!$A$2:$A1000,LinkedIn_content_raw!$N$2:$N1000),XLOOKUP($A711,LinkedIn_content_raw!$A$2:$A1000,LinkedIn_content_raw!$Q$2:$Q1000))</f>
        <v>#N/A</v>
      </c>
      <c r="E711" s="26" t="str">
        <f t="array" ref="E711">XLOOKUP($A711,LinkedIn_content_raw!$A$2:$A1000,LinkedIn_content_raw!$E$2:$E1000)</f>
        <v>#N/A</v>
      </c>
    </row>
    <row r="712">
      <c r="A712" s="26" t="str">
        <f>LinkedIn_content_raw!$A713</f>
        <v/>
      </c>
      <c r="B712" s="24" t="str">
        <f t="shared" si="1"/>
        <v/>
      </c>
      <c r="C712" s="26" t="str">
        <f t="array" ref="C712">XLOOKUP($A712,LinkedIn_follows_raw!$A$2:$A1000,LinkedIn_follows_raw!$E$2:$E1000)</f>
        <v>#N/A</v>
      </c>
      <c r="D712" s="26" t="str">
        <f t="array" ref="D712">sum(XLOOKUP($A712,LinkedIn_content_raw!$A$2:$A1000,LinkedIn_content_raw!$K$2:$K1000),XLOOKUP($A712,LinkedIn_content_raw!$A$2:$A1000,LinkedIn_content_raw!$N$2:$N1000),XLOOKUP($A712,LinkedIn_content_raw!$A$2:$A1000,LinkedIn_content_raw!$Q$2:$Q1000))</f>
        <v>#N/A</v>
      </c>
      <c r="E712" s="26" t="str">
        <f t="array" ref="E712">XLOOKUP($A712,LinkedIn_content_raw!$A$2:$A1000,LinkedIn_content_raw!$E$2:$E1000)</f>
        <v>#N/A</v>
      </c>
    </row>
    <row r="713">
      <c r="A713" s="26" t="str">
        <f>LinkedIn_content_raw!$A714</f>
        <v/>
      </c>
      <c r="B713" s="24" t="str">
        <f t="shared" si="1"/>
        <v/>
      </c>
      <c r="C713" s="26" t="str">
        <f t="array" ref="C713">XLOOKUP($A713,LinkedIn_follows_raw!$A$2:$A1000,LinkedIn_follows_raw!$E$2:$E1000)</f>
        <v>#N/A</v>
      </c>
      <c r="D713" s="26" t="str">
        <f t="array" ref="D713">sum(XLOOKUP($A713,LinkedIn_content_raw!$A$2:$A1000,LinkedIn_content_raw!$K$2:$K1000),XLOOKUP($A713,LinkedIn_content_raw!$A$2:$A1000,LinkedIn_content_raw!$N$2:$N1000),XLOOKUP($A713,LinkedIn_content_raw!$A$2:$A1000,LinkedIn_content_raw!$Q$2:$Q1000))</f>
        <v>#N/A</v>
      </c>
      <c r="E713" s="26" t="str">
        <f t="array" ref="E713">XLOOKUP($A713,LinkedIn_content_raw!$A$2:$A1000,LinkedIn_content_raw!$E$2:$E1000)</f>
        <v>#N/A</v>
      </c>
    </row>
    <row r="714">
      <c r="A714" s="26" t="str">
        <f>LinkedIn_content_raw!$A715</f>
        <v/>
      </c>
      <c r="B714" s="24" t="str">
        <f t="shared" si="1"/>
        <v/>
      </c>
      <c r="C714" s="26" t="str">
        <f t="array" ref="C714">XLOOKUP($A714,LinkedIn_follows_raw!$A$2:$A1000,LinkedIn_follows_raw!$E$2:$E1000)</f>
        <v>#N/A</v>
      </c>
      <c r="D714" s="26" t="str">
        <f t="array" ref="D714">sum(XLOOKUP($A714,LinkedIn_content_raw!$A$2:$A1000,LinkedIn_content_raw!$K$2:$K1000),XLOOKUP($A714,LinkedIn_content_raw!$A$2:$A1000,LinkedIn_content_raw!$N$2:$N1000),XLOOKUP($A714,LinkedIn_content_raw!$A$2:$A1000,LinkedIn_content_raw!$Q$2:$Q1000))</f>
        <v>#N/A</v>
      </c>
      <c r="E714" s="26" t="str">
        <f t="array" ref="E714">XLOOKUP($A714,LinkedIn_content_raw!$A$2:$A1000,LinkedIn_content_raw!$E$2:$E1000)</f>
        <v>#N/A</v>
      </c>
    </row>
    <row r="715">
      <c r="A715" s="26" t="str">
        <f>LinkedIn_content_raw!$A716</f>
        <v/>
      </c>
      <c r="B715" s="24" t="str">
        <f t="shared" si="1"/>
        <v/>
      </c>
      <c r="C715" s="26" t="str">
        <f t="array" ref="C715">XLOOKUP($A715,LinkedIn_follows_raw!$A$2:$A1000,LinkedIn_follows_raw!$E$2:$E1000)</f>
        <v>#N/A</v>
      </c>
      <c r="D715" s="26" t="str">
        <f t="array" ref="D715">sum(XLOOKUP($A715,LinkedIn_content_raw!$A$2:$A1000,LinkedIn_content_raw!$K$2:$K1000),XLOOKUP($A715,LinkedIn_content_raw!$A$2:$A1000,LinkedIn_content_raw!$N$2:$N1000),XLOOKUP($A715,LinkedIn_content_raw!$A$2:$A1000,LinkedIn_content_raw!$Q$2:$Q1000))</f>
        <v>#N/A</v>
      </c>
      <c r="E715" s="26" t="str">
        <f t="array" ref="E715">XLOOKUP($A715,LinkedIn_content_raw!$A$2:$A1000,LinkedIn_content_raw!$E$2:$E1000)</f>
        <v>#N/A</v>
      </c>
    </row>
    <row r="716">
      <c r="A716" s="26" t="str">
        <f>LinkedIn_content_raw!$A717</f>
        <v/>
      </c>
      <c r="B716" s="24" t="str">
        <f t="shared" si="1"/>
        <v/>
      </c>
      <c r="C716" s="26" t="str">
        <f t="array" ref="C716">XLOOKUP($A716,LinkedIn_follows_raw!$A$2:$A1000,LinkedIn_follows_raw!$E$2:$E1000)</f>
        <v>#N/A</v>
      </c>
      <c r="D716" s="26" t="str">
        <f t="array" ref="D716">sum(XLOOKUP($A716,LinkedIn_content_raw!$A$2:$A1000,LinkedIn_content_raw!$K$2:$K1000),XLOOKUP($A716,LinkedIn_content_raw!$A$2:$A1000,LinkedIn_content_raw!$N$2:$N1000),XLOOKUP($A716,LinkedIn_content_raw!$A$2:$A1000,LinkedIn_content_raw!$Q$2:$Q1000))</f>
        <v>#N/A</v>
      </c>
      <c r="E716" s="26" t="str">
        <f t="array" ref="E716">XLOOKUP($A716,LinkedIn_content_raw!$A$2:$A1000,LinkedIn_content_raw!$E$2:$E1000)</f>
        <v>#N/A</v>
      </c>
    </row>
    <row r="717">
      <c r="A717" s="26" t="str">
        <f>LinkedIn_content_raw!$A718</f>
        <v/>
      </c>
      <c r="B717" s="24" t="str">
        <f t="shared" si="1"/>
        <v/>
      </c>
      <c r="C717" s="26" t="str">
        <f t="array" ref="C717">XLOOKUP($A717,LinkedIn_follows_raw!$A$2:$A1000,LinkedIn_follows_raw!$E$2:$E1000)</f>
        <v>#N/A</v>
      </c>
      <c r="D717" s="26" t="str">
        <f t="array" ref="D717">sum(XLOOKUP($A717,LinkedIn_content_raw!$A$2:$A1000,LinkedIn_content_raw!$K$2:$K1000),XLOOKUP($A717,LinkedIn_content_raw!$A$2:$A1000,LinkedIn_content_raw!$N$2:$N1000),XLOOKUP($A717,LinkedIn_content_raw!$A$2:$A1000,LinkedIn_content_raw!$Q$2:$Q1000))</f>
        <v>#N/A</v>
      </c>
      <c r="E717" s="26" t="str">
        <f t="array" ref="E717">XLOOKUP($A717,LinkedIn_content_raw!$A$2:$A1000,LinkedIn_content_raw!$E$2:$E1000)</f>
        <v>#N/A</v>
      </c>
    </row>
    <row r="718">
      <c r="A718" s="26" t="str">
        <f>LinkedIn_content_raw!$A719</f>
        <v/>
      </c>
      <c r="B718" s="24" t="str">
        <f t="shared" si="1"/>
        <v/>
      </c>
      <c r="C718" s="26" t="str">
        <f t="array" ref="C718">XLOOKUP($A718,LinkedIn_follows_raw!$A$2:$A1000,LinkedIn_follows_raw!$E$2:$E1000)</f>
        <v>#N/A</v>
      </c>
      <c r="D718" s="26" t="str">
        <f t="array" ref="D718">sum(XLOOKUP($A718,LinkedIn_content_raw!$A$2:$A1000,LinkedIn_content_raw!$K$2:$K1000),XLOOKUP($A718,LinkedIn_content_raw!$A$2:$A1000,LinkedIn_content_raw!$N$2:$N1000),XLOOKUP($A718,LinkedIn_content_raw!$A$2:$A1000,LinkedIn_content_raw!$Q$2:$Q1000))</f>
        <v>#N/A</v>
      </c>
      <c r="E718" s="26" t="str">
        <f t="array" ref="E718">XLOOKUP($A718,LinkedIn_content_raw!$A$2:$A1000,LinkedIn_content_raw!$E$2:$E1000)</f>
        <v>#N/A</v>
      </c>
    </row>
    <row r="719">
      <c r="A719" s="26" t="str">
        <f>LinkedIn_content_raw!$A720</f>
        <v/>
      </c>
      <c r="B719" s="24" t="str">
        <f t="shared" si="1"/>
        <v/>
      </c>
      <c r="C719" s="26" t="str">
        <f t="array" ref="C719">XLOOKUP($A719,LinkedIn_follows_raw!$A$2:$A1000,LinkedIn_follows_raw!$E$2:$E1000)</f>
        <v>#N/A</v>
      </c>
      <c r="D719" s="26" t="str">
        <f t="array" ref="D719">sum(XLOOKUP($A719,LinkedIn_content_raw!$A$2:$A1000,LinkedIn_content_raw!$K$2:$K1000),XLOOKUP($A719,LinkedIn_content_raw!$A$2:$A1000,LinkedIn_content_raw!$N$2:$N1000),XLOOKUP($A719,LinkedIn_content_raw!$A$2:$A1000,LinkedIn_content_raw!$Q$2:$Q1000))</f>
        <v>#N/A</v>
      </c>
      <c r="E719" s="26" t="str">
        <f t="array" ref="E719">XLOOKUP($A719,LinkedIn_content_raw!$A$2:$A1000,LinkedIn_content_raw!$E$2:$E1000)</f>
        <v>#N/A</v>
      </c>
    </row>
    <row r="720">
      <c r="A720" s="26" t="str">
        <f>LinkedIn_content_raw!$A721</f>
        <v/>
      </c>
      <c r="B720" s="24" t="str">
        <f t="shared" si="1"/>
        <v/>
      </c>
      <c r="C720" s="26" t="str">
        <f t="array" ref="C720">XLOOKUP($A720,LinkedIn_follows_raw!$A$2:$A1000,LinkedIn_follows_raw!$E$2:$E1000)</f>
        <v>#N/A</v>
      </c>
      <c r="D720" s="26" t="str">
        <f t="array" ref="D720">sum(XLOOKUP($A720,LinkedIn_content_raw!$A$2:$A1000,LinkedIn_content_raw!$K$2:$K1000),XLOOKUP($A720,LinkedIn_content_raw!$A$2:$A1000,LinkedIn_content_raw!$N$2:$N1000),XLOOKUP($A720,LinkedIn_content_raw!$A$2:$A1000,LinkedIn_content_raw!$Q$2:$Q1000))</f>
        <v>#N/A</v>
      </c>
      <c r="E720" s="26" t="str">
        <f t="array" ref="E720">XLOOKUP($A720,LinkedIn_content_raw!$A$2:$A1000,LinkedIn_content_raw!$E$2:$E1000)</f>
        <v>#N/A</v>
      </c>
    </row>
    <row r="721">
      <c r="A721" s="26" t="str">
        <f>LinkedIn_content_raw!$A722</f>
        <v/>
      </c>
      <c r="B721" s="24" t="str">
        <f t="shared" si="1"/>
        <v/>
      </c>
      <c r="C721" s="26" t="str">
        <f t="array" ref="C721">XLOOKUP($A721,LinkedIn_follows_raw!$A$2:$A1000,LinkedIn_follows_raw!$E$2:$E1000)</f>
        <v>#N/A</v>
      </c>
      <c r="D721" s="26" t="str">
        <f t="array" ref="D721">sum(XLOOKUP($A721,LinkedIn_content_raw!$A$2:$A1000,LinkedIn_content_raw!$K$2:$K1000),XLOOKUP($A721,LinkedIn_content_raw!$A$2:$A1000,LinkedIn_content_raw!$N$2:$N1000),XLOOKUP($A721,LinkedIn_content_raw!$A$2:$A1000,LinkedIn_content_raw!$Q$2:$Q1000))</f>
        <v>#N/A</v>
      </c>
      <c r="E721" s="26" t="str">
        <f t="array" ref="E721">XLOOKUP($A721,LinkedIn_content_raw!$A$2:$A1000,LinkedIn_content_raw!$E$2:$E1000)</f>
        <v>#N/A</v>
      </c>
    </row>
    <row r="722">
      <c r="A722" s="26" t="str">
        <f>LinkedIn_content_raw!$A723</f>
        <v/>
      </c>
      <c r="B722" s="24" t="str">
        <f t="shared" si="1"/>
        <v/>
      </c>
      <c r="C722" s="26" t="str">
        <f t="array" ref="C722">XLOOKUP($A722,LinkedIn_follows_raw!$A$2:$A1000,LinkedIn_follows_raw!$E$2:$E1000)</f>
        <v>#N/A</v>
      </c>
      <c r="D722" s="26" t="str">
        <f t="array" ref="D722">sum(XLOOKUP($A722,LinkedIn_content_raw!$A$2:$A1000,LinkedIn_content_raw!$K$2:$K1000),XLOOKUP($A722,LinkedIn_content_raw!$A$2:$A1000,LinkedIn_content_raw!$N$2:$N1000),XLOOKUP($A722,LinkedIn_content_raw!$A$2:$A1000,LinkedIn_content_raw!$Q$2:$Q1000))</f>
        <v>#N/A</v>
      </c>
      <c r="E722" s="26" t="str">
        <f t="array" ref="E722">XLOOKUP($A722,LinkedIn_content_raw!$A$2:$A1000,LinkedIn_content_raw!$E$2:$E1000)</f>
        <v>#N/A</v>
      </c>
    </row>
    <row r="723">
      <c r="A723" s="26" t="str">
        <f>LinkedIn_content_raw!$A724</f>
        <v/>
      </c>
      <c r="B723" s="24" t="str">
        <f t="shared" si="1"/>
        <v/>
      </c>
      <c r="C723" s="26" t="str">
        <f t="array" ref="C723">XLOOKUP($A723,LinkedIn_follows_raw!$A$2:$A1000,LinkedIn_follows_raw!$E$2:$E1000)</f>
        <v>#N/A</v>
      </c>
      <c r="D723" s="26" t="str">
        <f t="array" ref="D723">sum(XLOOKUP($A723,LinkedIn_content_raw!$A$2:$A1000,LinkedIn_content_raw!$K$2:$K1000),XLOOKUP($A723,LinkedIn_content_raw!$A$2:$A1000,LinkedIn_content_raw!$N$2:$N1000),XLOOKUP($A723,LinkedIn_content_raw!$A$2:$A1000,LinkedIn_content_raw!$Q$2:$Q1000))</f>
        <v>#N/A</v>
      </c>
      <c r="E723" s="26" t="str">
        <f t="array" ref="E723">XLOOKUP($A723,LinkedIn_content_raw!$A$2:$A1000,LinkedIn_content_raw!$E$2:$E1000)</f>
        <v>#N/A</v>
      </c>
    </row>
    <row r="724">
      <c r="A724" s="26" t="str">
        <f>LinkedIn_content_raw!$A725</f>
        <v/>
      </c>
      <c r="B724" s="24" t="str">
        <f t="shared" si="1"/>
        <v/>
      </c>
      <c r="C724" s="26" t="str">
        <f t="array" ref="C724">XLOOKUP($A724,LinkedIn_follows_raw!$A$2:$A1000,LinkedIn_follows_raw!$E$2:$E1000)</f>
        <v>#N/A</v>
      </c>
      <c r="D724" s="26" t="str">
        <f t="array" ref="D724">sum(XLOOKUP($A724,LinkedIn_content_raw!$A$2:$A1000,LinkedIn_content_raw!$K$2:$K1000),XLOOKUP($A724,LinkedIn_content_raw!$A$2:$A1000,LinkedIn_content_raw!$N$2:$N1000),XLOOKUP($A724,LinkedIn_content_raw!$A$2:$A1000,LinkedIn_content_raw!$Q$2:$Q1000))</f>
        <v>#N/A</v>
      </c>
      <c r="E724" s="26" t="str">
        <f t="array" ref="E724">XLOOKUP($A724,LinkedIn_content_raw!$A$2:$A1000,LinkedIn_content_raw!$E$2:$E1000)</f>
        <v>#N/A</v>
      </c>
    </row>
    <row r="725">
      <c r="A725" s="26" t="str">
        <f>LinkedIn_content_raw!$A726</f>
        <v/>
      </c>
      <c r="B725" s="24" t="str">
        <f t="shared" si="1"/>
        <v/>
      </c>
      <c r="C725" s="26" t="str">
        <f t="array" ref="C725">XLOOKUP($A725,LinkedIn_follows_raw!$A$2:$A1000,LinkedIn_follows_raw!$E$2:$E1000)</f>
        <v>#N/A</v>
      </c>
      <c r="D725" s="26" t="str">
        <f t="array" ref="D725">sum(XLOOKUP($A725,LinkedIn_content_raw!$A$2:$A1000,LinkedIn_content_raw!$K$2:$K1000),XLOOKUP($A725,LinkedIn_content_raw!$A$2:$A1000,LinkedIn_content_raw!$N$2:$N1000),XLOOKUP($A725,LinkedIn_content_raw!$A$2:$A1000,LinkedIn_content_raw!$Q$2:$Q1000))</f>
        <v>#N/A</v>
      </c>
      <c r="E725" s="26" t="str">
        <f t="array" ref="E725">XLOOKUP($A725,LinkedIn_content_raw!$A$2:$A1000,LinkedIn_content_raw!$E$2:$E1000)</f>
        <v>#N/A</v>
      </c>
    </row>
    <row r="726">
      <c r="A726" s="26" t="str">
        <f>LinkedIn_content_raw!$A727</f>
        <v/>
      </c>
      <c r="B726" s="24" t="str">
        <f t="shared" si="1"/>
        <v/>
      </c>
      <c r="C726" s="26" t="str">
        <f t="array" ref="C726">XLOOKUP($A726,LinkedIn_follows_raw!$A$2:$A1000,LinkedIn_follows_raw!$E$2:$E1000)</f>
        <v>#N/A</v>
      </c>
      <c r="D726" s="26" t="str">
        <f t="array" ref="D726">sum(XLOOKUP($A726,LinkedIn_content_raw!$A$2:$A1000,LinkedIn_content_raw!$K$2:$K1000),XLOOKUP($A726,LinkedIn_content_raw!$A$2:$A1000,LinkedIn_content_raw!$N$2:$N1000),XLOOKUP($A726,LinkedIn_content_raw!$A$2:$A1000,LinkedIn_content_raw!$Q$2:$Q1000))</f>
        <v>#N/A</v>
      </c>
      <c r="E726" s="26" t="str">
        <f t="array" ref="E726">XLOOKUP($A726,LinkedIn_content_raw!$A$2:$A1000,LinkedIn_content_raw!$E$2:$E1000)</f>
        <v>#N/A</v>
      </c>
    </row>
    <row r="727">
      <c r="A727" s="26" t="str">
        <f>LinkedIn_content_raw!$A728</f>
        <v/>
      </c>
      <c r="B727" s="24" t="str">
        <f t="shared" si="1"/>
        <v/>
      </c>
      <c r="C727" s="26" t="str">
        <f t="array" ref="C727">XLOOKUP($A727,LinkedIn_follows_raw!$A$2:$A1000,LinkedIn_follows_raw!$E$2:$E1000)</f>
        <v>#N/A</v>
      </c>
      <c r="D727" s="26" t="str">
        <f t="array" ref="D727">sum(XLOOKUP($A727,LinkedIn_content_raw!$A$2:$A1000,LinkedIn_content_raw!$K$2:$K1000),XLOOKUP($A727,LinkedIn_content_raw!$A$2:$A1000,LinkedIn_content_raw!$N$2:$N1000),XLOOKUP($A727,LinkedIn_content_raw!$A$2:$A1000,LinkedIn_content_raw!$Q$2:$Q1000))</f>
        <v>#N/A</v>
      </c>
      <c r="E727" s="26" t="str">
        <f t="array" ref="E727">XLOOKUP($A727,LinkedIn_content_raw!$A$2:$A1000,LinkedIn_content_raw!$E$2:$E1000)</f>
        <v>#N/A</v>
      </c>
    </row>
    <row r="728">
      <c r="A728" s="26" t="str">
        <f>LinkedIn_content_raw!$A729</f>
        <v/>
      </c>
      <c r="B728" s="24" t="str">
        <f t="shared" si="1"/>
        <v/>
      </c>
      <c r="C728" s="26" t="str">
        <f t="array" ref="C728">XLOOKUP($A728,LinkedIn_follows_raw!$A$2:$A1000,LinkedIn_follows_raw!$E$2:$E1000)</f>
        <v>#N/A</v>
      </c>
      <c r="D728" s="26" t="str">
        <f t="array" ref="D728">sum(XLOOKUP($A728,LinkedIn_content_raw!$A$2:$A1000,LinkedIn_content_raw!$K$2:$K1000),XLOOKUP($A728,LinkedIn_content_raw!$A$2:$A1000,LinkedIn_content_raw!$N$2:$N1000),XLOOKUP($A728,LinkedIn_content_raw!$A$2:$A1000,LinkedIn_content_raw!$Q$2:$Q1000))</f>
        <v>#N/A</v>
      </c>
      <c r="E728" s="26" t="str">
        <f t="array" ref="E728">XLOOKUP($A728,LinkedIn_content_raw!$A$2:$A1000,LinkedIn_content_raw!$E$2:$E1000)</f>
        <v>#N/A</v>
      </c>
    </row>
    <row r="729">
      <c r="A729" s="26" t="str">
        <f>LinkedIn_content_raw!$A730</f>
        <v/>
      </c>
      <c r="B729" s="24" t="str">
        <f t="shared" si="1"/>
        <v/>
      </c>
      <c r="C729" s="26" t="str">
        <f t="array" ref="C729">XLOOKUP($A729,LinkedIn_follows_raw!$A$2:$A1000,LinkedIn_follows_raw!$E$2:$E1000)</f>
        <v>#N/A</v>
      </c>
      <c r="D729" s="26" t="str">
        <f t="array" ref="D729">sum(XLOOKUP($A729,LinkedIn_content_raw!$A$2:$A1000,LinkedIn_content_raw!$K$2:$K1000),XLOOKUP($A729,LinkedIn_content_raw!$A$2:$A1000,LinkedIn_content_raw!$N$2:$N1000),XLOOKUP($A729,LinkedIn_content_raw!$A$2:$A1000,LinkedIn_content_raw!$Q$2:$Q1000))</f>
        <v>#N/A</v>
      </c>
      <c r="E729" s="26" t="str">
        <f t="array" ref="E729">XLOOKUP($A729,LinkedIn_content_raw!$A$2:$A1000,LinkedIn_content_raw!$E$2:$E1000)</f>
        <v>#N/A</v>
      </c>
    </row>
    <row r="730">
      <c r="A730" s="26" t="str">
        <f>LinkedIn_content_raw!$A731</f>
        <v/>
      </c>
      <c r="B730" s="24" t="str">
        <f t="shared" si="1"/>
        <v/>
      </c>
      <c r="C730" s="26" t="str">
        <f t="array" ref="C730">XLOOKUP($A730,LinkedIn_follows_raw!$A$2:$A1000,LinkedIn_follows_raw!$E$2:$E1000)</f>
        <v>#N/A</v>
      </c>
      <c r="D730" s="26" t="str">
        <f t="array" ref="D730">sum(XLOOKUP($A730,LinkedIn_content_raw!$A$2:$A1000,LinkedIn_content_raw!$K$2:$K1000),XLOOKUP($A730,LinkedIn_content_raw!$A$2:$A1000,LinkedIn_content_raw!$N$2:$N1000),XLOOKUP($A730,LinkedIn_content_raw!$A$2:$A1000,LinkedIn_content_raw!$Q$2:$Q1000))</f>
        <v>#N/A</v>
      </c>
      <c r="E730" s="26" t="str">
        <f t="array" ref="E730">XLOOKUP($A730,LinkedIn_content_raw!$A$2:$A1000,LinkedIn_content_raw!$E$2:$E1000)</f>
        <v>#N/A</v>
      </c>
    </row>
    <row r="731">
      <c r="A731" s="26" t="str">
        <f>LinkedIn_content_raw!$A732</f>
        <v/>
      </c>
      <c r="B731" s="24" t="str">
        <f t="shared" si="1"/>
        <v/>
      </c>
      <c r="C731" s="26" t="str">
        <f t="array" ref="C731">XLOOKUP($A731,LinkedIn_follows_raw!$A$2:$A1000,LinkedIn_follows_raw!$E$2:$E1000)</f>
        <v>#N/A</v>
      </c>
      <c r="D731" s="26" t="str">
        <f t="array" ref="D731">sum(XLOOKUP($A731,LinkedIn_content_raw!$A$2:$A1000,LinkedIn_content_raw!$K$2:$K1000),XLOOKUP($A731,LinkedIn_content_raw!$A$2:$A1000,LinkedIn_content_raw!$N$2:$N1000),XLOOKUP($A731,LinkedIn_content_raw!$A$2:$A1000,LinkedIn_content_raw!$Q$2:$Q1000))</f>
        <v>#N/A</v>
      </c>
      <c r="E731" s="26" t="str">
        <f t="array" ref="E731">XLOOKUP($A731,LinkedIn_content_raw!$A$2:$A1000,LinkedIn_content_raw!$E$2:$E1000)</f>
        <v>#N/A</v>
      </c>
    </row>
    <row r="732">
      <c r="A732" s="26" t="str">
        <f>LinkedIn_content_raw!$A733</f>
        <v/>
      </c>
      <c r="B732" s="24" t="str">
        <f t="shared" si="1"/>
        <v/>
      </c>
      <c r="C732" s="26" t="str">
        <f t="array" ref="C732">XLOOKUP($A732,LinkedIn_follows_raw!$A$2:$A1000,LinkedIn_follows_raw!$E$2:$E1000)</f>
        <v>#N/A</v>
      </c>
      <c r="D732" s="26" t="str">
        <f t="array" ref="D732">sum(XLOOKUP($A732,LinkedIn_content_raw!$A$2:$A1000,LinkedIn_content_raw!$K$2:$K1000),XLOOKUP($A732,LinkedIn_content_raw!$A$2:$A1000,LinkedIn_content_raw!$N$2:$N1000),XLOOKUP($A732,LinkedIn_content_raw!$A$2:$A1000,LinkedIn_content_raw!$Q$2:$Q1000))</f>
        <v>#N/A</v>
      </c>
      <c r="E732" s="26" t="str">
        <f t="array" ref="E732">XLOOKUP($A732,LinkedIn_content_raw!$A$2:$A1000,LinkedIn_content_raw!$E$2:$E1000)</f>
        <v>#N/A</v>
      </c>
    </row>
    <row r="733">
      <c r="A733" s="26" t="str">
        <f>LinkedIn_content_raw!$A734</f>
        <v/>
      </c>
      <c r="B733" s="24" t="str">
        <f t="shared" si="1"/>
        <v/>
      </c>
      <c r="C733" s="26" t="str">
        <f t="array" ref="C733">XLOOKUP($A733,LinkedIn_follows_raw!$A$2:$A1000,LinkedIn_follows_raw!$E$2:$E1000)</f>
        <v>#N/A</v>
      </c>
      <c r="D733" s="26" t="str">
        <f t="array" ref="D733">sum(XLOOKUP($A733,LinkedIn_content_raw!$A$2:$A1000,LinkedIn_content_raw!$K$2:$K1000),XLOOKUP($A733,LinkedIn_content_raw!$A$2:$A1000,LinkedIn_content_raw!$N$2:$N1000),XLOOKUP($A733,LinkedIn_content_raw!$A$2:$A1000,LinkedIn_content_raw!$Q$2:$Q1000))</f>
        <v>#N/A</v>
      </c>
      <c r="E733" s="26" t="str">
        <f t="array" ref="E733">XLOOKUP($A733,LinkedIn_content_raw!$A$2:$A1000,LinkedIn_content_raw!$E$2:$E1000)</f>
        <v>#N/A</v>
      </c>
    </row>
    <row r="734">
      <c r="A734" s="26" t="str">
        <f>LinkedIn_content_raw!$A735</f>
        <v/>
      </c>
      <c r="B734" s="24" t="str">
        <f t="shared" si="1"/>
        <v/>
      </c>
      <c r="C734" s="26" t="str">
        <f t="array" ref="C734">XLOOKUP($A734,LinkedIn_follows_raw!$A$2:$A1000,LinkedIn_follows_raw!$E$2:$E1000)</f>
        <v>#N/A</v>
      </c>
      <c r="D734" s="26" t="str">
        <f t="array" ref="D734">sum(XLOOKUP($A734,LinkedIn_content_raw!$A$2:$A1000,LinkedIn_content_raw!$K$2:$K1000),XLOOKUP($A734,LinkedIn_content_raw!$A$2:$A1000,LinkedIn_content_raw!$N$2:$N1000),XLOOKUP($A734,LinkedIn_content_raw!$A$2:$A1000,LinkedIn_content_raw!$Q$2:$Q1000))</f>
        <v>#N/A</v>
      </c>
      <c r="E734" s="26" t="str">
        <f t="array" ref="E734">XLOOKUP($A734,LinkedIn_content_raw!$A$2:$A1000,LinkedIn_content_raw!$E$2:$E1000)</f>
        <v>#N/A</v>
      </c>
    </row>
    <row r="735">
      <c r="A735" s="26" t="str">
        <f>LinkedIn_content_raw!$A736</f>
        <v/>
      </c>
      <c r="B735" s="24" t="str">
        <f t="shared" si="1"/>
        <v/>
      </c>
      <c r="C735" s="26" t="str">
        <f t="array" ref="C735">XLOOKUP($A735,LinkedIn_follows_raw!$A$2:$A1000,LinkedIn_follows_raw!$E$2:$E1000)</f>
        <v>#N/A</v>
      </c>
      <c r="D735" s="26" t="str">
        <f t="array" ref="D735">sum(XLOOKUP($A735,LinkedIn_content_raw!$A$2:$A1000,LinkedIn_content_raw!$K$2:$K1000),XLOOKUP($A735,LinkedIn_content_raw!$A$2:$A1000,LinkedIn_content_raw!$N$2:$N1000),XLOOKUP($A735,LinkedIn_content_raw!$A$2:$A1000,LinkedIn_content_raw!$Q$2:$Q1000))</f>
        <v>#N/A</v>
      </c>
      <c r="E735" s="26" t="str">
        <f t="array" ref="E735">XLOOKUP($A735,LinkedIn_content_raw!$A$2:$A1000,LinkedIn_content_raw!$E$2:$E1000)</f>
        <v>#N/A</v>
      </c>
    </row>
    <row r="736">
      <c r="A736" s="26" t="str">
        <f>LinkedIn_content_raw!$A737</f>
        <v/>
      </c>
      <c r="B736" s="24" t="str">
        <f t="shared" si="1"/>
        <v/>
      </c>
      <c r="C736" s="26" t="str">
        <f t="array" ref="C736">XLOOKUP($A736,LinkedIn_follows_raw!$A$2:$A1000,LinkedIn_follows_raw!$E$2:$E1000)</f>
        <v>#N/A</v>
      </c>
      <c r="D736" s="26" t="str">
        <f t="array" ref="D736">sum(XLOOKUP($A736,LinkedIn_content_raw!$A$2:$A1000,LinkedIn_content_raw!$K$2:$K1000),XLOOKUP($A736,LinkedIn_content_raw!$A$2:$A1000,LinkedIn_content_raw!$N$2:$N1000),XLOOKUP($A736,LinkedIn_content_raw!$A$2:$A1000,LinkedIn_content_raw!$Q$2:$Q1000))</f>
        <v>#N/A</v>
      </c>
      <c r="E736" s="26" t="str">
        <f t="array" ref="E736">XLOOKUP($A736,LinkedIn_content_raw!$A$2:$A1000,LinkedIn_content_raw!$E$2:$E1000)</f>
        <v>#N/A</v>
      </c>
    </row>
    <row r="737">
      <c r="A737" s="26" t="str">
        <f>LinkedIn_content_raw!$A738</f>
        <v/>
      </c>
      <c r="B737" s="24" t="str">
        <f t="shared" si="1"/>
        <v/>
      </c>
      <c r="C737" s="26" t="str">
        <f t="array" ref="C737">XLOOKUP($A737,LinkedIn_follows_raw!$A$2:$A1000,LinkedIn_follows_raw!$E$2:$E1000)</f>
        <v>#N/A</v>
      </c>
      <c r="D737" s="26" t="str">
        <f t="array" ref="D737">sum(XLOOKUP($A737,LinkedIn_content_raw!$A$2:$A1000,LinkedIn_content_raw!$K$2:$K1000),XLOOKUP($A737,LinkedIn_content_raw!$A$2:$A1000,LinkedIn_content_raw!$N$2:$N1000),XLOOKUP($A737,LinkedIn_content_raw!$A$2:$A1000,LinkedIn_content_raw!$Q$2:$Q1000))</f>
        <v>#N/A</v>
      </c>
      <c r="E737" s="26" t="str">
        <f t="array" ref="E737">XLOOKUP($A737,LinkedIn_content_raw!$A$2:$A1000,LinkedIn_content_raw!$E$2:$E1000)</f>
        <v>#N/A</v>
      </c>
    </row>
    <row r="738">
      <c r="A738" s="26" t="str">
        <f>LinkedIn_content_raw!$A739</f>
        <v/>
      </c>
      <c r="B738" s="24" t="str">
        <f t="shared" si="1"/>
        <v/>
      </c>
      <c r="C738" s="26" t="str">
        <f t="array" ref="C738">XLOOKUP($A738,LinkedIn_follows_raw!$A$2:$A1000,LinkedIn_follows_raw!$E$2:$E1000)</f>
        <v>#N/A</v>
      </c>
      <c r="D738" s="26" t="str">
        <f t="array" ref="D738">sum(XLOOKUP($A738,LinkedIn_content_raw!$A$2:$A1000,LinkedIn_content_raw!$K$2:$K1000),XLOOKUP($A738,LinkedIn_content_raw!$A$2:$A1000,LinkedIn_content_raw!$N$2:$N1000),XLOOKUP($A738,LinkedIn_content_raw!$A$2:$A1000,LinkedIn_content_raw!$Q$2:$Q1000))</f>
        <v>#N/A</v>
      </c>
      <c r="E738" s="26" t="str">
        <f t="array" ref="E738">XLOOKUP($A738,LinkedIn_content_raw!$A$2:$A1000,LinkedIn_content_raw!$E$2:$E1000)</f>
        <v>#N/A</v>
      </c>
    </row>
    <row r="739">
      <c r="A739" s="26" t="str">
        <f>LinkedIn_content_raw!$A740</f>
        <v/>
      </c>
      <c r="B739" s="24" t="str">
        <f t="shared" si="1"/>
        <v/>
      </c>
      <c r="C739" s="26" t="str">
        <f t="array" ref="C739">XLOOKUP($A739,LinkedIn_follows_raw!$A$2:$A1000,LinkedIn_follows_raw!$E$2:$E1000)</f>
        <v>#N/A</v>
      </c>
      <c r="D739" s="26" t="str">
        <f t="array" ref="D739">sum(XLOOKUP($A739,LinkedIn_content_raw!$A$2:$A1000,LinkedIn_content_raw!$K$2:$K1000),XLOOKUP($A739,LinkedIn_content_raw!$A$2:$A1000,LinkedIn_content_raw!$N$2:$N1000),XLOOKUP($A739,LinkedIn_content_raw!$A$2:$A1000,LinkedIn_content_raw!$Q$2:$Q1000))</f>
        <v>#N/A</v>
      </c>
      <c r="E739" s="26" t="str">
        <f t="array" ref="E739">XLOOKUP($A739,LinkedIn_content_raw!$A$2:$A1000,LinkedIn_content_raw!$E$2:$E1000)</f>
        <v>#N/A</v>
      </c>
    </row>
    <row r="740">
      <c r="A740" s="26" t="str">
        <f>LinkedIn_content_raw!$A741</f>
        <v/>
      </c>
      <c r="B740" s="24" t="str">
        <f t="shared" si="1"/>
        <v/>
      </c>
      <c r="C740" s="26" t="str">
        <f t="array" ref="C740">XLOOKUP($A740,LinkedIn_follows_raw!$A$2:$A1000,LinkedIn_follows_raw!$E$2:$E1000)</f>
        <v>#N/A</v>
      </c>
      <c r="D740" s="26" t="str">
        <f t="array" ref="D740">sum(XLOOKUP($A740,LinkedIn_content_raw!$A$2:$A1000,LinkedIn_content_raw!$K$2:$K1000),XLOOKUP($A740,LinkedIn_content_raw!$A$2:$A1000,LinkedIn_content_raw!$N$2:$N1000),XLOOKUP($A740,LinkedIn_content_raw!$A$2:$A1000,LinkedIn_content_raw!$Q$2:$Q1000))</f>
        <v>#N/A</v>
      </c>
      <c r="E740" s="26" t="str">
        <f t="array" ref="E740">XLOOKUP($A740,LinkedIn_content_raw!$A$2:$A1000,LinkedIn_content_raw!$E$2:$E1000)</f>
        <v>#N/A</v>
      </c>
    </row>
    <row r="741">
      <c r="A741" s="26" t="str">
        <f>LinkedIn_content_raw!$A742</f>
        <v/>
      </c>
      <c r="B741" s="24" t="str">
        <f t="shared" si="1"/>
        <v/>
      </c>
      <c r="C741" s="26" t="str">
        <f t="array" ref="C741">XLOOKUP($A741,LinkedIn_follows_raw!$A$2:$A1000,LinkedIn_follows_raw!$E$2:$E1000)</f>
        <v>#N/A</v>
      </c>
      <c r="D741" s="26" t="str">
        <f t="array" ref="D741">sum(XLOOKUP($A741,LinkedIn_content_raw!$A$2:$A1000,LinkedIn_content_raw!$K$2:$K1000),XLOOKUP($A741,LinkedIn_content_raw!$A$2:$A1000,LinkedIn_content_raw!$N$2:$N1000),XLOOKUP($A741,LinkedIn_content_raw!$A$2:$A1000,LinkedIn_content_raw!$Q$2:$Q1000))</f>
        <v>#N/A</v>
      </c>
      <c r="E741" s="26" t="str">
        <f t="array" ref="E741">XLOOKUP($A741,LinkedIn_content_raw!$A$2:$A1000,LinkedIn_content_raw!$E$2:$E1000)</f>
        <v>#N/A</v>
      </c>
    </row>
    <row r="742">
      <c r="A742" s="26" t="str">
        <f>LinkedIn_content_raw!$A743</f>
        <v/>
      </c>
      <c r="B742" s="24" t="str">
        <f t="shared" si="1"/>
        <v/>
      </c>
      <c r="C742" s="26" t="str">
        <f t="array" ref="C742">XLOOKUP($A742,LinkedIn_follows_raw!$A$2:$A1000,LinkedIn_follows_raw!$E$2:$E1000)</f>
        <v>#N/A</v>
      </c>
      <c r="D742" s="26" t="str">
        <f t="array" ref="D742">sum(XLOOKUP($A742,LinkedIn_content_raw!$A$2:$A1000,LinkedIn_content_raw!$K$2:$K1000),XLOOKUP($A742,LinkedIn_content_raw!$A$2:$A1000,LinkedIn_content_raw!$N$2:$N1000),XLOOKUP($A742,LinkedIn_content_raw!$A$2:$A1000,LinkedIn_content_raw!$Q$2:$Q1000))</f>
        <v>#N/A</v>
      </c>
      <c r="E742" s="26" t="str">
        <f t="array" ref="E742">XLOOKUP($A742,LinkedIn_content_raw!$A$2:$A1000,LinkedIn_content_raw!$E$2:$E1000)</f>
        <v>#N/A</v>
      </c>
    </row>
    <row r="743">
      <c r="A743" s="26" t="str">
        <f>LinkedIn_content_raw!$A744</f>
        <v/>
      </c>
      <c r="B743" s="24" t="str">
        <f t="shared" si="1"/>
        <v/>
      </c>
      <c r="C743" s="26" t="str">
        <f t="array" ref="C743">XLOOKUP($A743,LinkedIn_follows_raw!$A$2:$A1000,LinkedIn_follows_raw!$E$2:$E1000)</f>
        <v>#N/A</v>
      </c>
      <c r="D743" s="26" t="str">
        <f t="array" ref="D743">sum(XLOOKUP($A743,LinkedIn_content_raw!$A$2:$A1000,LinkedIn_content_raw!$K$2:$K1000),XLOOKUP($A743,LinkedIn_content_raw!$A$2:$A1000,LinkedIn_content_raw!$N$2:$N1000),XLOOKUP($A743,LinkedIn_content_raw!$A$2:$A1000,LinkedIn_content_raw!$Q$2:$Q1000))</f>
        <v>#N/A</v>
      </c>
      <c r="E743" s="26" t="str">
        <f t="array" ref="E743">XLOOKUP($A743,LinkedIn_content_raw!$A$2:$A1000,LinkedIn_content_raw!$E$2:$E1000)</f>
        <v>#N/A</v>
      </c>
    </row>
    <row r="744">
      <c r="A744" s="26" t="str">
        <f>LinkedIn_content_raw!$A745</f>
        <v/>
      </c>
      <c r="B744" s="24" t="str">
        <f t="shared" si="1"/>
        <v/>
      </c>
      <c r="C744" s="26" t="str">
        <f t="array" ref="C744">XLOOKUP($A744,LinkedIn_follows_raw!$A$2:$A1000,LinkedIn_follows_raw!$E$2:$E1000)</f>
        <v>#N/A</v>
      </c>
      <c r="D744" s="26" t="str">
        <f t="array" ref="D744">sum(XLOOKUP($A744,LinkedIn_content_raw!$A$2:$A1000,LinkedIn_content_raw!$K$2:$K1000),XLOOKUP($A744,LinkedIn_content_raw!$A$2:$A1000,LinkedIn_content_raw!$N$2:$N1000),XLOOKUP($A744,LinkedIn_content_raw!$A$2:$A1000,LinkedIn_content_raw!$Q$2:$Q1000))</f>
        <v>#N/A</v>
      </c>
      <c r="E744" s="26" t="str">
        <f t="array" ref="E744">XLOOKUP($A744,LinkedIn_content_raw!$A$2:$A1000,LinkedIn_content_raw!$E$2:$E1000)</f>
        <v>#N/A</v>
      </c>
    </row>
    <row r="745">
      <c r="A745" s="26" t="str">
        <f>LinkedIn_content_raw!$A746</f>
        <v/>
      </c>
      <c r="B745" s="24" t="str">
        <f t="shared" si="1"/>
        <v/>
      </c>
      <c r="C745" s="26" t="str">
        <f t="array" ref="C745">XLOOKUP($A745,LinkedIn_follows_raw!$A$2:$A1000,LinkedIn_follows_raw!$E$2:$E1000)</f>
        <v>#N/A</v>
      </c>
      <c r="D745" s="26" t="str">
        <f t="array" ref="D745">sum(XLOOKUP($A745,LinkedIn_content_raw!$A$2:$A1000,LinkedIn_content_raw!$K$2:$K1000),XLOOKUP($A745,LinkedIn_content_raw!$A$2:$A1000,LinkedIn_content_raw!$N$2:$N1000),XLOOKUP($A745,LinkedIn_content_raw!$A$2:$A1000,LinkedIn_content_raw!$Q$2:$Q1000))</f>
        <v>#N/A</v>
      </c>
      <c r="E745" s="26" t="str">
        <f t="array" ref="E745">XLOOKUP($A745,LinkedIn_content_raw!$A$2:$A1000,LinkedIn_content_raw!$E$2:$E1000)</f>
        <v>#N/A</v>
      </c>
    </row>
    <row r="746">
      <c r="A746" s="26" t="str">
        <f>LinkedIn_content_raw!$A747</f>
        <v/>
      </c>
      <c r="B746" s="24" t="str">
        <f t="shared" si="1"/>
        <v/>
      </c>
      <c r="C746" s="26" t="str">
        <f t="array" ref="C746">XLOOKUP($A746,LinkedIn_follows_raw!$A$2:$A1000,LinkedIn_follows_raw!$E$2:$E1000)</f>
        <v>#N/A</v>
      </c>
      <c r="D746" s="26" t="str">
        <f t="array" ref="D746">sum(XLOOKUP($A746,LinkedIn_content_raw!$A$2:$A1000,LinkedIn_content_raw!$K$2:$K1000),XLOOKUP($A746,LinkedIn_content_raw!$A$2:$A1000,LinkedIn_content_raw!$N$2:$N1000),XLOOKUP($A746,LinkedIn_content_raw!$A$2:$A1000,LinkedIn_content_raw!$Q$2:$Q1000))</f>
        <v>#N/A</v>
      </c>
      <c r="E746" s="26" t="str">
        <f t="array" ref="E746">XLOOKUP($A746,LinkedIn_content_raw!$A$2:$A1000,LinkedIn_content_raw!$E$2:$E1000)</f>
        <v>#N/A</v>
      </c>
    </row>
    <row r="747">
      <c r="A747" s="26" t="str">
        <f>LinkedIn_content_raw!$A748</f>
        <v/>
      </c>
      <c r="B747" s="24" t="str">
        <f t="shared" si="1"/>
        <v/>
      </c>
      <c r="C747" s="26" t="str">
        <f t="array" ref="C747">XLOOKUP($A747,LinkedIn_follows_raw!$A$2:$A1000,LinkedIn_follows_raw!$E$2:$E1000)</f>
        <v>#N/A</v>
      </c>
      <c r="D747" s="26" t="str">
        <f t="array" ref="D747">sum(XLOOKUP($A747,LinkedIn_content_raw!$A$2:$A1000,LinkedIn_content_raw!$K$2:$K1000),XLOOKUP($A747,LinkedIn_content_raw!$A$2:$A1000,LinkedIn_content_raw!$N$2:$N1000),XLOOKUP($A747,LinkedIn_content_raw!$A$2:$A1000,LinkedIn_content_raw!$Q$2:$Q1000))</f>
        <v>#N/A</v>
      </c>
      <c r="E747" s="26" t="str">
        <f t="array" ref="E747">XLOOKUP($A747,LinkedIn_content_raw!$A$2:$A1000,LinkedIn_content_raw!$E$2:$E1000)</f>
        <v>#N/A</v>
      </c>
    </row>
    <row r="748">
      <c r="A748" s="26" t="str">
        <f>LinkedIn_content_raw!$A749</f>
        <v/>
      </c>
      <c r="B748" s="24" t="str">
        <f t="shared" si="1"/>
        <v/>
      </c>
      <c r="C748" s="26" t="str">
        <f t="array" ref="C748">XLOOKUP($A748,LinkedIn_follows_raw!$A$2:$A1000,LinkedIn_follows_raw!$E$2:$E1000)</f>
        <v>#N/A</v>
      </c>
      <c r="D748" s="26" t="str">
        <f t="array" ref="D748">sum(XLOOKUP($A748,LinkedIn_content_raw!$A$2:$A1000,LinkedIn_content_raw!$K$2:$K1000),XLOOKUP($A748,LinkedIn_content_raw!$A$2:$A1000,LinkedIn_content_raw!$N$2:$N1000),XLOOKUP($A748,LinkedIn_content_raw!$A$2:$A1000,LinkedIn_content_raw!$Q$2:$Q1000))</f>
        <v>#N/A</v>
      </c>
      <c r="E748" s="26" t="str">
        <f t="array" ref="E748">XLOOKUP($A748,LinkedIn_content_raw!$A$2:$A1000,LinkedIn_content_raw!$E$2:$E1000)</f>
        <v>#N/A</v>
      </c>
    </row>
    <row r="749">
      <c r="A749" s="26" t="str">
        <f>LinkedIn_content_raw!$A750</f>
        <v/>
      </c>
      <c r="B749" s="24" t="str">
        <f t="shared" si="1"/>
        <v/>
      </c>
      <c r="C749" s="26" t="str">
        <f t="array" ref="C749">XLOOKUP($A749,LinkedIn_follows_raw!$A$2:$A1000,LinkedIn_follows_raw!$E$2:$E1000)</f>
        <v>#N/A</v>
      </c>
      <c r="D749" s="26" t="str">
        <f t="array" ref="D749">sum(XLOOKUP($A749,LinkedIn_content_raw!$A$2:$A1000,LinkedIn_content_raw!$K$2:$K1000),XLOOKUP($A749,LinkedIn_content_raw!$A$2:$A1000,LinkedIn_content_raw!$N$2:$N1000),XLOOKUP($A749,LinkedIn_content_raw!$A$2:$A1000,LinkedIn_content_raw!$Q$2:$Q1000))</f>
        <v>#N/A</v>
      </c>
      <c r="E749" s="26" t="str">
        <f t="array" ref="E749">XLOOKUP($A749,LinkedIn_content_raw!$A$2:$A1000,LinkedIn_content_raw!$E$2:$E1000)</f>
        <v>#N/A</v>
      </c>
    </row>
    <row r="750">
      <c r="A750" s="26" t="str">
        <f>LinkedIn_content_raw!$A751</f>
        <v/>
      </c>
      <c r="B750" s="24" t="str">
        <f t="shared" si="1"/>
        <v/>
      </c>
      <c r="C750" s="26" t="str">
        <f t="array" ref="C750">XLOOKUP($A750,LinkedIn_follows_raw!$A$2:$A1000,LinkedIn_follows_raw!$E$2:$E1000)</f>
        <v>#N/A</v>
      </c>
      <c r="D750" s="26" t="str">
        <f t="array" ref="D750">sum(XLOOKUP($A750,LinkedIn_content_raw!$A$2:$A1000,LinkedIn_content_raw!$K$2:$K1000),XLOOKUP($A750,LinkedIn_content_raw!$A$2:$A1000,LinkedIn_content_raw!$N$2:$N1000),XLOOKUP($A750,LinkedIn_content_raw!$A$2:$A1000,LinkedIn_content_raw!$Q$2:$Q1000))</f>
        <v>#N/A</v>
      </c>
      <c r="E750" s="26" t="str">
        <f t="array" ref="E750">XLOOKUP($A750,LinkedIn_content_raw!$A$2:$A1000,LinkedIn_content_raw!$E$2:$E1000)</f>
        <v>#N/A</v>
      </c>
    </row>
    <row r="751">
      <c r="A751" s="26" t="str">
        <f>LinkedIn_content_raw!$A752</f>
        <v/>
      </c>
      <c r="B751" s="24" t="str">
        <f t="shared" si="1"/>
        <v/>
      </c>
      <c r="C751" s="26" t="str">
        <f t="array" ref="C751">XLOOKUP($A751,LinkedIn_follows_raw!$A$2:$A1000,LinkedIn_follows_raw!$E$2:$E1000)</f>
        <v>#N/A</v>
      </c>
      <c r="D751" s="26" t="str">
        <f t="array" ref="D751">sum(XLOOKUP($A751,LinkedIn_content_raw!$A$2:$A1000,LinkedIn_content_raw!$K$2:$K1000),XLOOKUP($A751,LinkedIn_content_raw!$A$2:$A1000,LinkedIn_content_raw!$N$2:$N1000),XLOOKUP($A751,LinkedIn_content_raw!$A$2:$A1000,LinkedIn_content_raw!$Q$2:$Q1000))</f>
        <v>#N/A</v>
      </c>
      <c r="E751" s="26" t="str">
        <f t="array" ref="E751">XLOOKUP($A751,LinkedIn_content_raw!$A$2:$A1000,LinkedIn_content_raw!$E$2:$E1000)</f>
        <v>#N/A</v>
      </c>
    </row>
    <row r="752">
      <c r="A752" s="26" t="str">
        <f>LinkedIn_content_raw!$A753</f>
        <v/>
      </c>
      <c r="B752" s="24" t="str">
        <f t="shared" si="1"/>
        <v/>
      </c>
      <c r="C752" s="26" t="str">
        <f t="array" ref="C752">XLOOKUP($A752,LinkedIn_follows_raw!$A$2:$A1000,LinkedIn_follows_raw!$E$2:$E1000)</f>
        <v>#N/A</v>
      </c>
      <c r="D752" s="26" t="str">
        <f t="array" ref="D752">sum(XLOOKUP($A752,LinkedIn_content_raw!$A$2:$A1000,LinkedIn_content_raw!$K$2:$K1000),XLOOKUP($A752,LinkedIn_content_raw!$A$2:$A1000,LinkedIn_content_raw!$N$2:$N1000),XLOOKUP($A752,LinkedIn_content_raw!$A$2:$A1000,LinkedIn_content_raw!$Q$2:$Q1000))</f>
        <v>#N/A</v>
      </c>
      <c r="E752" s="26" t="str">
        <f t="array" ref="E752">XLOOKUP($A752,LinkedIn_content_raw!$A$2:$A1000,LinkedIn_content_raw!$E$2:$E1000)</f>
        <v>#N/A</v>
      </c>
    </row>
    <row r="753">
      <c r="A753" s="26" t="str">
        <f>LinkedIn_content_raw!$A754</f>
        <v/>
      </c>
      <c r="B753" s="24" t="str">
        <f t="shared" si="1"/>
        <v/>
      </c>
      <c r="C753" s="26" t="str">
        <f t="array" ref="C753">XLOOKUP($A753,LinkedIn_follows_raw!$A$2:$A1000,LinkedIn_follows_raw!$E$2:$E1000)</f>
        <v>#N/A</v>
      </c>
      <c r="D753" s="26" t="str">
        <f t="array" ref="D753">sum(XLOOKUP($A753,LinkedIn_content_raw!$A$2:$A1000,LinkedIn_content_raw!$K$2:$K1000),XLOOKUP($A753,LinkedIn_content_raw!$A$2:$A1000,LinkedIn_content_raw!$N$2:$N1000),XLOOKUP($A753,LinkedIn_content_raw!$A$2:$A1000,LinkedIn_content_raw!$Q$2:$Q1000))</f>
        <v>#N/A</v>
      </c>
      <c r="E753" s="26" t="str">
        <f t="array" ref="E753">XLOOKUP($A753,LinkedIn_content_raw!$A$2:$A1000,LinkedIn_content_raw!$E$2:$E1000)</f>
        <v>#N/A</v>
      </c>
    </row>
    <row r="754">
      <c r="A754" s="26" t="str">
        <f>LinkedIn_content_raw!$A755</f>
        <v/>
      </c>
      <c r="B754" s="24" t="str">
        <f t="shared" si="1"/>
        <v/>
      </c>
      <c r="C754" s="26" t="str">
        <f t="array" ref="C754">XLOOKUP($A754,LinkedIn_follows_raw!$A$2:$A1000,LinkedIn_follows_raw!$E$2:$E1000)</f>
        <v>#N/A</v>
      </c>
      <c r="D754" s="26" t="str">
        <f t="array" ref="D754">sum(XLOOKUP($A754,LinkedIn_content_raw!$A$2:$A1000,LinkedIn_content_raw!$K$2:$K1000),XLOOKUP($A754,LinkedIn_content_raw!$A$2:$A1000,LinkedIn_content_raw!$N$2:$N1000),XLOOKUP($A754,LinkedIn_content_raw!$A$2:$A1000,LinkedIn_content_raw!$Q$2:$Q1000))</f>
        <v>#N/A</v>
      </c>
      <c r="E754" s="26" t="str">
        <f t="array" ref="E754">XLOOKUP($A754,LinkedIn_content_raw!$A$2:$A1000,LinkedIn_content_raw!$E$2:$E1000)</f>
        <v>#N/A</v>
      </c>
    </row>
    <row r="755">
      <c r="A755" s="26" t="str">
        <f>LinkedIn_content_raw!$A756</f>
        <v/>
      </c>
      <c r="B755" s="24" t="str">
        <f t="shared" si="1"/>
        <v/>
      </c>
      <c r="C755" s="26" t="str">
        <f t="array" ref="C755">XLOOKUP($A755,LinkedIn_follows_raw!$A$2:$A1000,LinkedIn_follows_raw!$E$2:$E1000)</f>
        <v>#N/A</v>
      </c>
      <c r="D755" s="26" t="str">
        <f t="array" ref="D755">sum(XLOOKUP($A755,LinkedIn_content_raw!$A$2:$A1000,LinkedIn_content_raw!$K$2:$K1000),XLOOKUP($A755,LinkedIn_content_raw!$A$2:$A1000,LinkedIn_content_raw!$N$2:$N1000),XLOOKUP($A755,LinkedIn_content_raw!$A$2:$A1000,LinkedIn_content_raw!$Q$2:$Q1000))</f>
        <v>#N/A</v>
      </c>
      <c r="E755" s="26" t="str">
        <f t="array" ref="E755">XLOOKUP($A755,LinkedIn_content_raw!$A$2:$A1000,LinkedIn_content_raw!$E$2:$E1000)</f>
        <v>#N/A</v>
      </c>
    </row>
    <row r="756">
      <c r="A756" s="26" t="str">
        <f>LinkedIn_content_raw!$A757</f>
        <v/>
      </c>
      <c r="B756" s="24" t="str">
        <f t="shared" si="1"/>
        <v/>
      </c>
      <c r="C756" s="26" t="str">
        <f t="array" ref="C756">XLOOKUP($A756,LinkedIn_follows_raw!$A$2:$A1000,LinkedIn_follows_raw!$E$2:$E1000)</f>
        <v>#N/A</v>
      </c>
      <c r="D756" s="26" t="str">
        <f t="array" ref="D756">sum(XLOOKUP($A756,LinkedIn_content_raw!$A$2:$A1000,LinkedIn_content_raw!$K$2:$K1000),XLOOKUP($A756,LinkedIn_content_raw!$A$2:$A1000,LinkedIn_content_raw!$N$2:$N1000),XLOOKUP($A756,LinkedIn_content_raw!$A$2:$A1000,LinkedIn_content_raw!$Q$2:$Q1000))</f>
        <v>#N/A</v>
      </c>
      <c r="E756" s="26" t="str">
        <f t="array" ref="E756">XLOOKUP($A756,LinkedIn_content_raw!$A$2:$A1000,LinkedIn_content_raw!$E$2:$E1000)</f>
        <v>#N/A</v>
      </c>
    </row>
    <row r="757">
      <c r="A757" s="26" t="str">
        <f>LinkedIn_content_raw!$A758</f>
        <v/>
      </c>
      <c r="B757" s="24" t="str">
        <f t="shared" si="1"/>
        <v/>
      </c>
      <c r="C757" s="26" t="str">
        <f t="array" ref="C757">XLOOKUP($A757,LinkedIn_follows_raw!$A$2:$A1000,LinkedIn_follows_raw!$E$2:$E1000)</f>
        <v>#N/A</v>
      </c>
      <c r="D757" s="26" t="str">
        <f t="array" ref="D757">sum(XLOOKUP($A757,LinkedIn_content_raw!$A$2:$A1000,LinkedIn_content_raw!$K$2:$K1000),XLOOKUP($A757,LinkedIn_content_raw!$A$2:$A1000,LinkedIn_content_raw!$N$2:$N1000),XLOOKUP($A757,LinkedIn_content_raw!$A$2:$A1000,LinkedIn_content_raw!$Q$2:$Q1000))</f>
        <v>#N/A</v>
      </c>
      <c r="E757" s="26" t="str">
        <f t="array" ref="E757">XLOOKUP($A757,LinkedIn_content_raw!$A$2:$A1000,LinkedIn_content_raw!$E$2:$E1000)</f>
        <v>#N/A</v>
      </c>
    </row>
    <row r="758">
      <c r="A758" s="26" t="str">
        <f>LinkedIn_content_raw!$A759</f>
        <v/>
      </c>
      <c r="B758" s="24" t="str">
        <f t="shared" si="1"/>
        <v/>
      </c>
      <c r="C758" s="26" t="str">
        <f t="array" ref="C758">XLOOKUP($A758,LinkedIn_follows_raw!$A$2:$A1000,LinkedIn_follows_raw!$E$2:$E1000)</f>
        <v>#N/A</v>
      </c>
      <c r="D758" s="26" t="str">
        <f t="array" ref="D758">sum(XLOOKUP($A758,LinkedIn_content_raw!$A$2:$A1000,LinkedIn_content_raw!$K$2:$K1000),XLOOKUP($A758,LinkedIn_content_raw!$A$2:$A1000,LinkedIn_content_raw!$N$2:$N1000),XLOOKUP($A758,LinkedIn_content_raw!$A$2:$A1000,LinkedIn_content_raw!$Q$2:$Q1000))</f>
        <v>#N/A</v>
      </c>
      <c r="E758" s="26" t="str">
        <f t="array" ref="E758">XLOOKUP($A758,LinkedIn_content_raw!$A$2:$A1000,LinkedIn_content_raw!$E$2:$E1000)</f>
        <v>#N/A</v>
      </c>
    </row>
    <row r="759">
      <c r="A759" s="26" t="str">
        <f>LinkedIn_content_raw!$A760</f>
        <v/>
      </c>
      <c r="B759" s="24" t="str">
        <f t="shared" si="1"/>
        <v/>
      </c>
      <c r="C759" s="26" t="str">
        <f t="array" ref="C759">XLOOKUP($A759,LinkedIn_follows_raw!$A$2:$A1000,LinkedIn_follows_raw!$E$2:$E1000)</f>
        <v>#N/A</v>
      </c>
      <c r="D759" s="26" t="str">
        <f t="array" ref="D759">sum(XLOOKUP($A759,LinkedIn_content_raw!$A$2:$A1000,LinkedIn_content_raw!$K$2:$K1000),XLOOKUP($A759,LinkedIn_content_raw!$A$2:$A1000,LinkedIn_content_raw!$N$2:$N1000),XLOOKUP($A759,LinkedIn_content_raw!$A$2:$A1000,LinkedIn_content_raw!$Q$2:$Q1000))</f>
        <v>#N/A</v>
      </c>
      <c r="E759" s="26" t="str">
        <f t="array" ref="E759">XLOOKUP($A759,LinkedIn_content_raw!$A$2:$A1000,LinkedIn_content_raw!$E$2:$E1000)</f>
        <v>#N/A</v>
      </c>
    </row>
    <row r="760">
      <c r="A760" s="26" t="str">
        <f>LinkedIn_content_raw!$A761</f>
        <v/>
      </c>
      <c r="B760" s="24" t="str">
        <f t="shared" si="1"/>
        <v/>
      </c>
      <c r="C760" s="26" t="str">
        <f t="array" ref="C760">XLOOKUP($A760,LinkedIn_follows_raw!$A$2:$A1000,LinkedIn_follows_raw!$E$2:$E1000)</f>
        <v>#N/A</v>
      </c>
      <c r="D760" s="26" t="str">
        <f t="array" ref="D760">sum(XLOOKUP($A760,LinkedIn_content_raw!$A$2:$A1000,LinkedIn_content_raw!$K$2:$K1000),XLOOKUP($A760,LinkedIn_content_raw!$A$2:$A1000,LinkedIn_content_raw!$N$2:$N1000),XLOOKUP($A760,LinkedIn_content_raw!$A$2:$A1000,LinkedIn_content_raw!$Q$2:$Q1000))</f>
        <v>#N/A</v>
      </c>
      <c r="E760" s="26" t="str">
        <f t="array" ref="E760">XLOOKUP($A760,LinkedIn_content_raw!$A$2:$A1000,LinkedIn_content_raw!$E$2:$E1000)</f>
        <v>#N/A</v>
      </c>
    </row>
    <row r="761">
      <c r="A761" s="26" t="str">
        <f>LinkedIn_content_raw!$A762</f>
        <v/>
      </c>
      <c r="B761" s="24" t="str">
        <f t="shared" si="1"/>
        <v/>
      </c>
      <c r="C761" s="26" t="str">
        <f t="array" ref="C761">XLOOKUP($A761,LinkedIn_follows_raw!$A$2:$A1000,LinkedIn_follows_raw!$E$2:$E1000)</f>
        <v>#N/A</v>
      </c>
      <c r="D761" s="26" t="str">
        <f t="array" ref="D761">sum(XLOOKUP($A761,LinkedIn_content_raw!$A$2:$A1000,LinkedIn_content_raw!$K$2:$K1000),XLOOKUP($A761,LinkedIn_content_raw!$A$2:$A1000,LinkedIn_content_raw!$N$2:$N1000),XLOOKUP($A761,LinkedIn_content_raw!$A$2:$A1000,LinkedIn_content_raw!$Q$2:$Q1000))</f>
        <v>#N/A</v>
      </c>
      <c r="E761" s="26" t="str">
        <f t="array" ref="E761">XLOOKUP($A761,LinkedIn_content_raw!$A$2:$A1000,LinkedIn_content_raw!$E$2:$E1000)</f>
        <v>#N/A</v>
      </c>
    </row>
    <row r="762">
      <c r="A762" s="26" t="str">
        <f>LinkedIn_content_raw!$A763</f>
        <v/>
      </c>
      <c r="B762" s="24" t="str">
        <f t="shared" si="1"/>
        <v/>
      </c>
      <c r="C762" s="26" t="str">
        <f t="array" ref="C762">XLOOKUP($A762,LinkedIn_follows_raw!$A$2:$A1000,LinkedIn_follows_raw!$E$2:$E1000)</f>
        <v>#N/A</v>
      </c>
      <c r="D762" s="26" t="str">
        <f t="array" ref="D762">sum(XLOOKUP($A762,LinkedIn_content_raw!$A$2:$A1000,LinkedIn_content_raw!$K$2:$K1000),XLOOKUP($A762,LinkedIn_content_raw!$A$2:$A1000,LinkedIn_content_raw!$N$2:$N1000),XLOOKUP($A762,LinkedIn_content_raw!$A$2:$A1000,LinkedIn_content_raw!$Q$2:$Q1000))</f>
        <v>#N/A</v>
      </c>
      <c r="E762" s="26" t="str">
        <f t="array" ref="E762">XLOOKUP($A762,LinkedIn_content_raw!$A$2:$A1000,LinkedIn_content_raw!$E$2:$E1000)</f>
        <v>#N/A</v>
      </c>
    </row>
    <row r="763">
      <c r="A763" s="26" t="str">
        <f>LinkedIn_content_raw!$A764</f>
        <v/>
      </c>
      <c r="B763" s="24" t="str">
        <f t="shared" si="1"/>
        <v/>
      </c>
      <c r="C763" s="26" t="str">
        <f t="array" ref="C763">XLOOKUP($A763,LinkedIn_follows_raw!$A$2:$A1000,LinkedIn_follows_raw!$E$2:$E1000)</f>
        <v>#N/A</v>
      </c>
      <c r="D763" s="26" t="str">
        <f t="array" ref="D763">sum(XLOOKUP($A763,LinkedIn_content_raw!$A$2:$A1000,LinkedIn_content_raw!$K$2:$K1000),XLOOKUP($A763,LinkedIn_content_raw!$A$2:$A1000,LinkedIn_content_raw!$N$2:$N1000),XLOOKUP($A763,LinkedIn_content_raw!$A$2:$A1000,LinkedIn_content_raw!$Q$2:$Q1000))</f>
        <v>#N/A</v>
      </c>
      <c r="E763" s="26" t="str">
        <f t="array" ref="E763">XLOOKUP($A763,LinkedIn_content_raw!$A$2:$A1000,LinkedIn_content_raw!$E$2:$E1000)</f>
        <v>#N/A</v>
      </c>
    </row>
    <row r="764">
      <c r="A764" s="26" t="str">
        <f>LinkedIn_content_raw!$A765</f>
        <v/>
      </c>
      <c r="B764" s="24" t="str">
        <f t="shared" si="1"/>
        <v/>
      </c>
      <c r="C764" s="26" t="str">
        <f t="array" ref="C764">XLOOKUP($A764,LinkedIn_follows_raw!$A$2:$A1000,LinkedIn_follows_raw!$E$2:$E1000)</f>
        <v>#N/A</v>
      </c>
      <c r="D764" s="26" t="str">
        <f t="array" ref="D764">sum(XLOOKUP($A764,LinkedIn_content_raw!$A$2:$A1000,LinkedIn_content_raw!$K$2:$K1000),XLOOKUP($A764,LinkedIn_content_raw!$A$2:$A1000,LinkedIn_content_raw!$N$2:$N1000),XLOOKUP($A764,LinkedIn_content_raw!$A$2:$A1000,LinkedIn_content_raw!$Q$2:$Q1000))</f>
        <v>#N/A</v>
      </c>
      <c r="E764" s="26" t="str">
        <f t="array" ref="E764">XLOOKUP($A764,LinkedIn_content_raw!$A$2:$A1000,LinkedIn_content_raw!$E$2:$E1000)</f>
        <v>#N/A</v>
      </c>
    </row>
    <row r="765">
      <c r="A765" s="26" t="str">
        <f>LinkedIn_content_raw!$A766</f>
        <v/>
      </c>
      <c r="B765" s="24" t="str">
        <f t="shared" si="1"/>
        <v/>
      </c>
      <c r="C765" s="26" t="str">
        <f t="array" ref="C765">XLOOKUP($A765,LinkedIn_follows_raw!$A$2:$A1000,LinkedIn_follows_raw!$E$2:$E1000)</f>
        <v>#N/A</v>
      </c>
      <c r="D765" s="26" t="str">
        <f t="array" ref="D765">sum(XLOOKUP($A765,LinkedIn_content_raw!$A$2:$A1000,LinkedIn_content_raw!$K$2:$K1000),XLOOKUP($A765,LinkedIn_content_raw!$A$2:$A1000,LinkedIn_content_raw!$N$2:$N1000),XLOOKUP($A765,LinkedIn_content_raw!$A$2:$A1000,LinkedIn_content_raw!$Q$2:$Q1000))</f>
        <v>#N/A</v>
      </c>
      <c r="E765" s="26" t="str">
        <f t="array" ref="E765">XLOOKUP($A765,LinkedIn_content_raw!$A$2:$A1000,LinkedIn_content_raw!$E$2:$E1000)</f>
        <v>#N/A</v>
      </c>
    </row>
    <row r="766">
      <c r="A766" s="26" t="str">
        <f>LinkedIn_content_raw!$A767</f>
        <v/>
      </c>
      <c r="B766" s="24" t="str">
        <f t="shared" si="1"/>
        <v/>
      </c>
      <c r="C766" s="26" t="str">
        <f t="array" ref="C766">XLOOKUP($A766,LinkedIn_follows_raw!$A$2:$A1000,LinkedIn_follows_raw!$E$2:$E1000)</f>
        <v>#N/A</v>
      </c>
      <c r="D766" s="26" t="str">
        <f t="array" ref="D766">sum(XLOOKUP($A766,LinkedIn_content_raw!$A$2:$A1000,LinkedIn_content_raw!$K$2:$K1000),XLOOKUP($A766,LinkedIn_content_raw!$A$2:$A1000,LinkedIn_content_raw!$N$2:$N1000),XLOOKUP($A766,LinkedIn_content_raw!$A$2:$A1000,LinkedIn_content_raw!$Q$2:$Q1000))</f>
        <v>#N/A</v>
      </c>
      <c r="E766" s="26" t="str">
        <f t="array" ref="E766">XLOOKUP($A766,LinkedIn_content_raw!$A$2:$A1000,LinkedIn_content_raw!$E$2:$E1000)</f>
        <v>#N/A</v>
      </c>
    </row>
    <row r="767">
      <c r="A767" s="26" t="str">
        <f>LinkedIn_content_raw!$A768</f>
        <v/>
      </c>
      <c r="B767" s="24" t="str">
        <f t="shared" si="1"/>
        <v/>
      </c>
      <c r="C767" s="26" t="str">
        <f t="array" ref="C767">XLOOKUP($A767,LinkedIn_follows_raw!$A$2:$A1000,LinkedIn_follows_raw!$E$2:$E1000)</f>
        <v>#N/A</v>
      </c>
      <c r="D767" s="26" t="str">
        <f t="array" ref="D767">sum(XLOOKUP($A767,LinkedIn_content_raw!$A$2:$A1000,LinkedIn_content_raw!$K$2:$K1000),XLOOKUP($A767,LinkedIn_content_raw!$A$2:$A1000,LinkedIn_content_raw!$N$2:$N1000),XLOOKUP($A767,LinkedIn_content_raw!$A$2:$A1000,LinkedIn_content_raw!$Q$2:$Q1000))</f>
        <v>#N/A</v>
      </c>
      <c r="E767" s="26" t="str">
        <f t="array" ref="E767">XLOOKUP($A767,LinkedIn_content_raw!$A$2:$A1000,LinkedIn_content_raw!$E$2:$E1000)</f>
        <v>#N/A</v>
      </c>
    </row>
    <row r="768">
      <c r="A768" s="26" t="str">
        <f>LinkedIn_content_raw!$A769</f>
        <v/>
      </c>
      <c r="B768" s="24" t="str">
        <f t="shared" si="1"/>
        <v/>
      </c>
      <c r="C768" s="26" t="str">
        <f t="array" ref="C768">XLOOKUP($A768,LinkedIn_follows_raw!$A$2:$A1000,LinkedIn_follows_raw!$E$2:$E1000)</f>
        <v>#N/A</v>
      </c>
      <c r="D768" s="26" t="str">
        <f t="array" ref="D768">sum(XLOOKUP($A768,LinkedIn_content_raw!$A$2:$A1000,LinkedIn_content_raw!$K$2:$K1000),XLOOKUP($A768,LinkedIn_content_raw!$A$2:$A1000,LinkedIn_content_raw!$N$2:$N1000),XLOOKUP($A768,LinkedIn_content_raw!$A$2:$A1000,LinkedIn_content_raw!$Q$2:$Q1000))</f>
        <v>#N/A</v>
      </c>
      <c r="E768" s="26" t="str">
        <f t="array" ref="E768">XLOOKUP($A768,LinkedIn_content_raw!$A$2:$A1000,LinkedIn_content_raw!$E$2:$E1000)</f>
        <v>#N/A</v>
      </c>
    </row>
    <row r="769">
      <c r="A769" s="26" t="str">
        <f>LinkedIn_content_raw!$A770</f>
        <v/>
      </c>
      <c r="B769" s="24" t="str">
        <f t="shared" si="1"/>
        <v/>
      </c>
      <c r="C769" s="26" t="str">
        <f t="array" ref="C769">XLOOKUP($A769,LinkedIn_follows_raw!$A$2:$A1000,LinkedIn_follows_raw!$E$2:$E1000)</f>
        <v>#N/A</v>
      </c>
      <c r="D769" s="26" t="str">
        <f t="array" ref="D769">sum(XLOOKUP($A769,LinkedIn_content_raw!$A$2:$A1000,LinkedIn_content_raw!$K$2:$K1000),XLOOKUP($A769,LinkedIn_content_raw!$A$2:$A1000,LinkedIn_content_raw!$N$2:$N1000),XLOOKUP($A769,LinkedIn_content_raw!$A$2:$A1000,LinkedIn_content_raw!$Q$2:$Q1000))</f>
        <v>#N/A</v>
      </c>
      <c r="E769" s="26" t="str">
        <f t="array" ref="E769">XLOOKUP($A769,LinkedIn_content_raw!$A$2:$A1000,LinkedIn_content_raw!$E$2:$E1000)</f>
        <v>#N/A</v>
      </c>
    </row>
    <row r="770">
      <c r="A770" s="26" t="str">
        <f>LinkedIn_content_raw!$A771</f>
        <v/>
      </c>
      <c r="B770" s="24" t="str">
        <f t="shared" si="1"/>
        <v/>
      </c>
      <c r="C770" s="26" t="str">
        <f t="array" ref="C770">XLOOKUP($A770,LinkedIn_follows_raw!$A$2:$A1000,LinkedIn_follows_raw!$E$2:$E1000)</f>
        <v>#N/A</v>
      </c>
      <c r="D770" s="26" t="str">
        <f t="array" ref="D770">sum(XLOOKUP($A770,LinkedIn_content_raw!$A$2:$A1000,LinkedIn_content_raw!$K$2:$K1000),XLOOKUP($A770,LinkedIn_content_raw!$A$2:$A1000,LinkedIn_content_raw!$N$2:$N1000),XLOOKUP($A770,LinkedIn_content_raw!$A$2:$A1000,LinkedIn_content_raw!$Q$2:$Q1000))</f>
        <v>#N/A</v>
      </c>
      <c r="E770" s="26" t="str">
        <f t="array" ref="E770">XLOOKUP($A770,LinkedIn_content_raw!$A$2:$A1000,LinkedIn_content_raw!$E$2:$E1000)</f>
        <v>#N/A</v>
      </c>
    </row>
    <row r="771">
      <c r="A771" s="26" t="str">
        <f>LinkedIn_content_raw!$A772</f>
        <v/>
      </c>
      <c r="B771" s="24" t="str">
        <f t="shared" si="1"/>
        <v/>
      </c>
      <c r="C771" s="26" t="str">
        <f t="array" ref="C771">XLOOKUP($A771,LinkedIn_follows_raw!$A$2:$A1000,LinkedIn_follows_raw!$E$2:$E1000)</f>
        <v>#N/A</v>
      </c>
      <c r="D771" s="26" t="str">
        <f t="array" ref="D771">sum(XLOOKUP($A771,LinkedIn_content_raw!$A$2:$A1000,LinkedIn_content_raw!$K$2:$K1000),XLOOKUP($A771,LinkedIn_content_raw!$A$2:$A1000,LinkedIn_content_raw!$N$2:$N1000),XLOOKUP($A771,LinkedIn_content_raw!$A$2:$A1000,LinkedIn_content_raw!$Q$2:$Q1000))</f>
        <v>#N/A</v>
      </c>
      <c r="E771" s="26" t="str">
        <f t="array" ref="E771">XLOOKUP($A771,LinkedIn_content_raw!$A$2:$A1000,LinkedIn_content_raw!$E$2:$E1000)</f>
        <v>#N/A</v>
      </c>
    </row>
    <row r="772">
      <c r="A772" s="26" t="str">
        <f>LinkedIn_content_raw!$A773</f>
        <v/>
      </c>
      <c r="B772" s="24" t="str">
        <f t="shared" si="1"/>
        <v/>
      </c>
      <c r="C772" s="26" t="str">
        <f t="array" ref="C772">XLOOKUP($A772,LinkedIn_follows_raw!$A$2:$A1000,LinkedIn_follows_raw!$E$2:$E1000)</f>
        <v>#N/A</v>
      </c>
      <c r="D772" s="26" t="str">
        <f t="array" ref="D772">sum(XLOOKUP($A772,LinkedIn_content_raw!$A$2:$A1000,LinkedIn_content_raw!$K$2:$K1000),XLOOKUP($A772,LinkedIn_content_raw!$A$2:$A1000,LinkedIn_content_raw!$N$2:$N1000),XLOOKUP($A772,LinkedIn_content_raw!$A$2:$A1000,LinkedIn_content_raw!$Q$2:$Q1000))</f>
        <v>#N/A</v>
      </c>
      <c r="E772" s="26" t="str">
        <f t="array" ref="E772">XLOOKUP($A772,LinkedIn_content_raw!$A$2:$A1000,LinkedIn_content_raw!$E$2:$E1000)</f>
        <v>#N/A</v>
      </c>
    </row>
    <row r="773">
      <c r="A773" s="26" t="str">
        <f>LinkedIn_content_raw!$A774</f>
        <v/>
      </c>
      <c r="B773" s="24" t="str">
        <f t="shared" si="1"/>
        <v/>
      </c>
      <c r="C773" s="26" t="str">
        <f t="array" ref="C773">XLOOKUP($A773,LinkedIn_follows_raw!$A$2:$A1000,LinkedIn_follows_raw!$E$2:$E1000)</f>
        <v>#N/A</v>
      </c>
      <c r="D773" s="26" t="str">
        <f t="array" ref="D773">sum(XLOOKUP($A773,LinkedIn_content_raw!$A$2:$A1000,LinkedIn_content_raw!$K$2:$K1000),XLOOKUP($A773,LinkedIn_content_raw!$A$2:$A1000,LinkedIn_content_raw!$N$2:$N1000),XLOOKUP($A773,LinkedIn_content_raw!$A$2:$A1000,LinkedIn_content_raw!$Q$2:$Q1000))</f>
        <v>#N/A</v>
      </c>
      <c r="E773" s="26" t="str">
        <f t="array" ref="E773">XLOOKUP($A773,LinkedIn_content_raw!$A$2:$A1000,LinkedIn_content_raw!$E$2:$E1000)</f>
        <v>#N/A</v>
      </c>
    </row>
    <row r="774">
      <c r="A774" s="26" t="str">
        <f>LinkedIn_content_raw!$A775</f>
        <v/>
      </c>
      <c r="B774" s="24" t="str">
        <f t="shared" si="1"/>
        <v/>
      </c>
      <c r="C774" s="26" t="str">
        <f t="array" ref="C774">XLOOKUP($A774,LinkedIn_follows_raw!$A$2:$A1000,LinkedIn_follows_raw!$E$2:$E1000)</f>
        <v>#N/A</v>
      </c>
      <c r="D774" s="26" t="str">
        <f t="array" ref="D774">sum(XLOOKUP($A774,LinkedIn_content_raw!$A$2:$A1000,LinkedIn_content_raw!$K$2:$K1000),XLOOKUP($A774,LinkedIn_content_raw!$A$2:$A1000,LinkedIn_content_raw!$N$2:$N1000),XLOOKUP($A774,LinkedIn_content_raw!$A$2:$A1000,LinkedIn_content_raw!$Q$2:$Q1000))</f>
        <v>#N/A</v>
      </c>
      <c r="E774" s="26" t="str">
        <f t="array" ref="E774">XLOOKUP($A774,LinkedIn_content_raw!$A$2:$A1000,LinkedIn_content_raw!$E$2:$E1000)</f>
        <v>#N/A</v>
      </c>
    </row>
    <row r="775">
      <c r="A775" s="26" t="str">
        <f>LinkedIn_content_raw!$A776</f>
        <v/>
      </c>
      <c r="B775" s="24" t="str">
        <f t="shared" si="1"/>
        <v/>
      </c>
      <c r="C775" s="26" t="str">
        <f t="array" ref="C775">XLOOKUP($A775,LinkedIn_follows_raw!$A$2:$A1000,LinkedIn_follows_raw!$E$2:$E1000)</f>
        <v>#N/A</v>
      </c>
      <c r="D775" s="26" t="str">
        <f t="array" ref="D775">sum(XLOOKUP($A775,LinkedIn_content_raw!$A$2:$A1000,LinkedIn_content_raw!$K$2:$K1000),XLOOKUP($A775,LinkedIn_content_raw!$A$2:$A1000,LinkedIn_content_raw!$N$2:$N1000),XLOOKUP($A775,LinkedIn_content_raw!$A$2:$A1000,LinkedIn_content_raw!$Q$2:$Q1000))</f>
        <v>#N/A</v>
      </c>
      <c r="E775" s="26" t="str">
        <f t="array" ref="E775">XLOOKUP($A775,LinkedIn_content_raw!$A$2:$A1000,LinkedIn_content_raw!$E$2:$E1000)</f>
        <v>#N/A</v>
      </c>
    </row>
    <row r="776">
      <c r="A776" s="26" t="str">
        <f>LinkedIn_content_raw!$A777</f>
        <v/>
      </c>
      <c r="B776" s="24" t="str">
        <f t="shared" si="1"/>
        <v/>
      </c>
      <c r="C776" s="26" t="str">
        <f t="array" ref="C776">XLOOKUP($A776,LinkedIn_follows_raw!$A$2:$A1000,LinkedIn_follows_raw!$E$2:$E1000)</f>
        <v>#N/A</v>
      </c>
      <c r="D776" s="26" t="str">
        <f t="array" ref="D776">sum(XLOOKUP($A776,LinkedIn_content_raw!$A$2:$A1000,LinkedIn_content_raw!$K$2:$K1000),XLOOKUP($A776,LinkedIn_content_raw!$A$2:$A1000,LinkedIn_content_raw!$N$2:$N1000),XLOOKUP($A776,LinkedIn_content_raw!$A$2:$A1000,LinkedIn_content_raw!$Q$2:$Q1000))</f>
        <v>#N/A</v>
      </c>
      <c r="E776" s="26" t="str">
        <f t="array" ref="E776">XLOOKUP($A776,LinkedIn_content_raw!$A$2:$A1000,LinkedIn_content_raw!$E$2:$E1000)</f>
        <v>#N/A</v>
      </c>
    </row>
    <row r="777">
      <c r="A777" s="26" t="str">
        <f>LinkedIn_content_raw!$A778</f>
        <v/>
      </c>
      <c r="B777" s="24" t="str">
        <f t="shared" si="1"/>
        <v/>
      </c>
      <c r="C777" s="26" t="str">
        <f t="array" ref="C777">XLOOKUP($A777,LinkedIn_follows_raw!$A$2:$A1000,LinkedIn_follows_raw!$E$2:$E1000)</f>
        <v>#N/A</v>
      </c>
      <c r="D777" s="26" t="str">
        <f t="array" ref="D777">sum(XLOOKUP($A777,LinkedIn_content_raw!$A$2:$A1000,LinkedIn_content_raw!$K$2:$K1000),XLOOKUP($A777,LinkedIn_content_raw!$A$2:$A1000,LinkedIn_content_raw!$N$2:$N1000),XLOOKUP($A777,LinkedIn_content_raw!$A$2:$A1000,LinkedIn_content_raw!$Q$2:$Q1000))</f>
        <v>#N/A</v>
      </c>
      <c r="E777" s="26" t="str">
        <f t="array" ref="E777">XLOOKUP($A777,LinkedIn_content_raw!$A$2:$A1000,LinkedIn_content_raw!$E$2:$E1000)</f>
        <v>#N/A</v>
      </c>
    </row>
    <row r="778">
      <c r="A778" s="26" t="str">
        <f>LinkedIn_content_raw!$A779</f>
        <v/>
      </c>
      <c r="B778" s="24" t="str">
        <f t="shared" si="1"/>
        <v/>
      </c>
      <c r="C778" s="26" t="str">
        <f t="array" ref="C778">XLOOKUP($A778,LinkedIn_follows_raw!$A$2:$A1000,LinkedIn_follows_raw!$E$2:$E1000)</f>
        <v>#N/A</v>
      </c>
      <c r="D778" s="26" t="str">
        <f t="array" ref="D778">sum(XLOOKUP($A778,LinkedIn_content_raw!$A$2:$A1000,LinkedIn_content_raw!$K$2:$K1000),XLOOKUP($A778,LinkedIn_content_raw!$A$2:$A1000,LinkedIn_content_raw!$N$2:$N1000),XLOOKUP($A778,LinkedIn_content_raw!$A$2:$A1000,LinkedIn_content_raw!$Q$2:$Q1000))</f>
        <v>#N/A</v>
      </c>
      <c r="E778" s="26" t="str">
        <f t="array" ref="E778">XLOOKUP($A778,LinkedIn_content_raw!$A$2:$A1000,LinkedIn_content_raw!$E$2:$E1000)</f>
        <v>#N/A</v>
      </c>
    </row>
    <row r="779">
      <c r="A779" s="26" t="str">
        <f>LinkedIn_content_raw!$A780</f>
        <v/>
      </c>
      <c r="B779" s="24" t="str">
        <f t="shared" si="1"/>
        <v/>
      </c>
      <c r="C779" s="26" t="str">
        <f t="array" ref="C779">XLOOKUP($A779,LinkedIn_follows_raw!$A$2:$A1000,LinkedIn_follows_raw!$E$2:$E1000)</f>
        <v>#N/A</v>
      </c>
      <c r="D779" s="26" t="str">
        <f t="array" ref="D779">sum(XLOOKUP($A779,LinkedIn_content_raw!$A$2:$A1000,LinkedIn_content_raw!$K$2:$K1000),XLOOKUP($A779,LinkedIn_content_raw!$A$2:$A1000,LinkedIn_content_raw!$N$2:$N1000),XLOOKUP($A779,LinkedIn_content_raw!$A$2:$A1000,LinkedIn_content_raw!$Q$2:$Q1000))</f>
        <v>#N/A</v>
      </c>
      <c r="E779" s="26" t="str">
        <f t="array" ref="E779">XLOOKUP($A779,LinkedIn_content_raw!$A$2:$A1000,LinkedIn_content_raw!$E$2:$E1000)</f>
        <v>#N/A</v>
      </c>
    </row>
    <row r="780">
      <c r="A780" s="26" t="str">
        <f>LinkedIn_content_raw!$A781</f>
        <v/>
      </c>
      <c r="B780" s="24" t="str">
        <f t="shared" si="1"/>
        <v/>
      </c>
      <c r="C780" s="26" t="str">
        <f t="array" ref="C780">XLOOKUP($A780,LinkedIn_follows_raw!$A$2:$A1000,LinkedIn_follows_raw!$E$2:$E1000)</f>
        <v>#N/A</v>
      </c>
      <c r="D780" s="26" t="str">
        <f t="array" ref="D780">sum(XLOOKUP($A780,LinkedIn_content_raw!$A$2:$A1000,LinkedIn_content_raw!$K$2:$K1000),XLOOKUP($A780,LinkedIn_content_raw!$A$2:$A1000,LinkedIn_content_raw!$N$2:$N1000),XLOOKUP($A780,LinkedIn_content_raw!$A$2:$A1000,LinkedIn_content_raw!$Q$2:$Q1000))</f>
        <v>#N/A</v>
      </c>
      <c r="E780" s="26" t="str">
        <f t="array" ref="E780">XLOOKUP($A780,LinkedIn_content_raw!$A$2:$A1000,LinkedIn_content_raw!$E$2:$E1000)</f>
        <v>#N/A</v>
      </c>
    </row>
    <row r="781">
      <c r="A781" s="26" t="str">
        <f>LinkedIn_content_raw!$A782</f>
        <v/>
      </c>
      <c r="B781" s="24" t="str">
        <f t="shared" si="1"/>
        <v/>
      </c>
      <c r="C781" s="26" t="str">
        <f t="array" ref="C781">XLOOKUP($A781,LinkedIn_follows_raw!$A$2:$A1000,LinkedIn_follows_raw!$E$2:$E1000)</f>
        <v>#N/A</v>
      </c>
      <c r="D781" s="26" t="str">
        <f t="array" ref="D781">sum(XLOOKUP($A781,LinkedIn_content_raw!$A$2:$A1000,LinkedIn_content_raw!$K$2:$K1000),XLOOKUP($A781,LinkedIn_content_raw!$A$2:$A1000,LinkedIn_content_raw!$N$2:$N1000),XLOOKUP($A781,LinkedIn_content_raw!$A$2:$A1000,LinkedIn_content_raw!$Q$2:$Q1000))</f>
        <v>#N/A</v>
      </c>
      <c r="E781" s="26" t="str">
        <f t="array" ref="E781">XLOOKUP($A781,LinkedIn_content_raw!$A$2:$A1000,LinkedIn_content_raw!$E$2:$E1000)</f>
        <v>#N/A</v>
      </c>
    </row>
    <row r="782">
      <c r="A782" s="26" t="str">
        <f>LinkedIn_content_raw!$A783</f>
        <v/>
      </c>
      <c r="B782" s="24" t="str">
        <f t="shared" si="1"/>
        <v/>
      </c>
      <c r="C782" s="26" t="str">
        <f t="array" ref="C782">XLOOKUP($A782,LinkedIn_follows_raw!$A$2:$A1000,LinkedIn_follows_raw!$E$2:$E1000)</f>
        <v>#N/A</v>
      </c>
      <c r="D782" s="26" t="str">
        <f t="array" ref="D782">sum(XLOOKUP($A782,LinkedIn_content_raw!$A$2:$A1000,LinkedIn_content_raw!$K$2:$K1000),XLOOKUP($A782,LinkedIn_content_raw!$A$2:$A1000,LinkedIn_content_raw!$N$2:$N1000),XLOOKUP($A782,LinkedIn_content_raw!$A$2:$A1000,LinkedIn_content_raw!$Q$2:$Q1000))</f>
        <v>#N/A</v>
      </c>
      <c r="E782" s="26" t="str">
        <f t="array" ref="E782">XLOOKUP($A782,LinkedIn_content_raw!$A$2:$A1000,LinkedIn_content_raw!$E$2:$E1000)</f>
        <v>#N/A</v>
      </c>
    </row>
    <row r="783">
      <c r="A783" s="26" t="str">
        <f>LinkedIn_content_raw!$A784</f>
        <v/>
      </c>
      <c r="B783" s="24" t="str">
        <f t="shared" si="1"/>
        <v/>
      </c>
      <c r="C783" s="26" t="str">
        <f t="array" ref="C783">XLOOKUP($A783,LinkedIn_follows_raw!$A$2:$A1000,LinkedIn_follows_raw!$E$2:$E1000)</f>
        <v>#N/A</v>
      </c>
      <c r="D783" s="26" t="str">
        <f t="array" ref="D783">sum(XLOOKUP($A783,LinkedIn_content_raw!$A$2:$A1000,LinkedIn_content_raw!$K$2:$K1000),XLOOKUP($A783,LinkedIn_content_raw!$A$2:$A1000,LinkedIn_content_raw!$N$2:$N1000),XLOOKUP($A783,LinkedIn_content_raw!$A$2:$A1000,LinkedIn_content_raw!$Q$2:$Q1000))</f>
        <v>#N/A</v>
      </c>
      <c r="E783" s="26" t="str">
        <f t="array" ref="E783">XLOOKUP($A783,LinkedIn_content_raw!$A$2:$A1000,LinkedIn_content_raw!$E$2:$E1000)</f>
        <v>#N/A</v>
      </c>
    </row>
    <row r="784">
      <c r="A784" s="26" t="str">
        <f>LinkedIn_content_raw!$A785</f>
        <v/>
      </c>
      <c r="B784" s="24" t="str">
        <f t="shared" si="1"/>
        <v/>
      </c>
      <c r="C784" s="26" t="str">
        <f t="array" ref="C784">XLOOKUP($A784,LinkedIn_follows_raw!$A$2:$A1000,LinkedIn_follows_raw!$E$2:$E1000)</f>
        <v>#N/A</v>
      </c>
      <c r="D784" s="26" t="str">
        <f t="array" ref="D784">sum(XLOOKUP($A784,LinkedIn_content_raw!$A$2:$A1000,LinkedIn_content_raw!$K$2:$K1000),XLOOKUP($A784,LinkedIn_content_raw!$A$2:$A1000,LinkedIn_content_raw!$N$2:$N1000),XLOOKUP($A784,LinkedIn_content_raw!$A$2:$A1000,LinkedIn_content_raw!$Q$2:$Q1000))</f>
        <v>#N/A</v>
      </c>
      <c r="E784" s="26" t="str">
        <f t="array" ref="E784">XLOOKUP($A784,LinkedIn_content_raw!$A$2:$A1000,LinkedIn_content_raw!$E$2:$E1000)</f>
        <v>#N/A</v>
      </c>
    </row>
    <row r="785">
      <c r="A785" s="26" t="str">
        <f>LinkedIn_content_raw!$A786</f>
        <v/>
      </c>
      <c r="B785" s="24" t="str">
        <f t="shared" si="1"/>
        <v/>
      </c>
      <c r="C785" s="26" t="str">
        <f t="array" ref="C785">XLOOKUP($A785,LinkedIn_follows_raw!$A$2:$A1000,LinkedIn_follows_raw!$E$2:$E1000)</f>
        <v>#N/A</v>
      </c>
      <c r="D785" s="26" t="str">
        <f t="array" ref="D785">sum(XLOOKUP($A785,LinkedIn_content_raw!$A$2:$A1000,LinkedIn_content_raw!$K$2:$K1000),XLOOKUP($A785,LinkedIn_content_raw!$A$2:$A1000,LinkedIn_content_raw!$N$2:$N1000),XLOOKUP($A785,LinkedIn_content_raw!$A$2:$A1000,LinkedIn_content_raw!$Q$2:$Q1000))</f>
        <v>#N/A</v>
      </c>
      <c r="E785" s="26" t="str">
        <f t="array" ref="E785">XLOOKUP($A785,LinkedIn_content_raw!$A$2:$A1000,LinkedIn_content_raw!$E$2:$E1000)</f>
        <v>#N/A</v>
      </c>
    </row>
    <row r="786">
      <c r="A786" s="26" t="str">
        <f>LinkedIn_content_raw!$A787</f>
        <v/>
      </c>
      <c r="B786" s="24" t="str">
        <f t="shared" si="1"/>
        <v/>
      </c>
      <c r="C786" s="26" t="str">
        <f t="array" ref="C786">XLOOKUP($A786,LinkedIn_follows_raw!$A$2:$A1000,LinkedIn_follows_raw!$E$2:$E1000)</f>
        <v>#N/A</v>
      </c>
      <c r="D786" s="26" t="str">
        <f t="array" ref="D786">sum(XLOOKUP($A786,LinkedIn_content_raw!$A$2:$A1000,LinkedIn_content_raw!$K$2:$K1000),XLOOKUP($A786,LinkedIn_content_raw!$A$2:$A1000,LinkedIn_content_raw!$N$2:$N1000),XLOOKUP($A786,LinkedIn_content_raw!$A$2:$A1000,LinkedIn_content_raw!$Q$2:$Q1000))</f>
        <v>#N/A</v>
      </c>
      <c r="E786" s="26" t="str">
        <f t="array" ref="E786">XLOOKUP($A786,LinkedIn_content_raw!$A$2:$A1000,LinkedIn_content_raw!$E$2:$E1000)</f>
        <v>#N/A</v>
      </c>
    </row>
    <row r="787">
      <c r="A787" s="26" t="str">
        <f>LinkedIn_content_raw!$A788</f>
        <v/>
      </c>
      <c r="B787" s="24" t="str">
        <f t="shared" si="1"/>
        <v/>
      </c>
      <c r="C787" s="26" t="str">
        <f t="array" ref="C787">XLOOKUP($A787,LinkedIn_follows_raw!$A$2:$A1000,LinkedIn_follows_raw!$E$2:$E1000)</f>
        <v>#N/A</v>
      </c>
      <c r="D787" s="26" t="str">
        <f t="array" ref="D787">sum(XLOOKUP($A787,LinkedIn_content_raw!$A$2:$A1000,LinkedIn_content_raw!$K$2:$K1000),XLOOKUP($A787,LinkedIn_content_raw!$A$2:$A1000,LinkedIn_content_raw!$N$2:$N1000),XLOOKUP($A787,LinkedIn_content_raw!$A$2:$A1000,LinkedIn_content_raw!$Q$2:$Q1000))</f>
        <v>#N/A</v>
      </c>
      <c r="E787" s="26" t="str">
        <f t="array" ref="E787">XLOOKUP($A787,LinkedIn_content_raw!$A$2:$A1000,LinkedIn_content_raw!$E$2:$E1000)</f>
        <v>#N/A</v>
      </c>
    </row>
    <row r="788">
      <c r="A788" s="26" t="str">
        <f>LinkedIn_content_raw!$A789</f>
        <v/>
      </c>
      <c r="B788" s="24" t="str">
        <f t="shared" si="1"/>
        <v/>
      </c>
      <c r="C788" s="26" t="str">
        <f t="array" ref="C788">XLOOKUP($A788,LinkedIn_follows_raw!$A$2:$A1000,LinkedIn_follows_raw!$E$2:$E1000)</f>
        <v>#N/A</v>
      </c>
      <c r="D788" s="26" t="str">
        <f t="array" ref="D788">sum(XLOOKUP($A788,LinkedIn_content_raw!$A$2:$A1000,LinkedIn_content_raw!$K$2:$K1000),XLOOKUP($A788,LinkedIn_content_raw!$A$2:$A1000,LinkedIn_content_raw!$N$2:$N1000),XLOOKUP($A788,LinkedIn_content_raw!$A$2:$A1000,LinkedIn_content_raw!$Q$2:$Q1000))</f>
        <v>#N/A</v>
      </c>
      <c r="E788" s="26" t="str">
        <f t="array" ref="E788">XLOOKUP($A788,LinkedIn_content_raw!$A$2:$A1000,LinkedIn_content_raw!$E$2:$E1000)</f>
        <v>#N/A</v>
      </c>
    </row>
    <row r="789">
      <c r="A789" s="26" t="str">
        <f>LinkedIn_content_raw!$A790</f>
        <v/>
      </c>
      <c r="B789" s="24" t="str">
        <f t="shared" si="1"/>
        <v/>
      </c>
      <c r="C789" s="26" t="str">
        <f t="array" ref="C789">XLOOKUP($A789,LinkedIn_follows_raw!$A$2:$A1000,LinkedIn_follows_raw!$E$2:$E1000)</f>
        <v>#N/A</v>
      </c>
      <c r="D789" s="26" t="str">
        <f t="array" ref="D789">sum(XLOOKUP($A789,LinkedIn_content_raw!$A$2:$A1000,LinkedIn_content_raw!$K$2:$K1000),XLOOKUP($A789,LinkedIn_content_raw!$A$2:$A1000,LinkedIn_content_raw!$N$2:$N1000),XLOOKUP($A789,LinkedIn_content_raw!$A$2:$A1000,LinkedIn_content_raw!$Q$2:$Q1000))</f>
        <v>#N/A</v>
      </c>
      <c r="E789" s="26" t="str">
        <f t="array" ref="E789">XLOOKUP($A789,LinkedIn_content_raw!$A$2:$A1000,LinkedIn_content_raw!$E$2:$E1000)</f>
        <v>#N/A</v>
      </c>
    </row>
    <row r="790">
      <c r="A790" s="26" t="str">
        <f>LinkedIn_content_raw!$A791</f>
        <v/>
      </c>
      <c r="B790" s="24" t="str">
        <f t="shared" si="1"/>
        <v/>
      </c>
      <c r="C790" s="26" t="str">
        <f t="array" ref="C790">XLOOKUP($A790,LinkedIn_follows_raw!$A$2:$A1000,LinkedIn_follows_raw!$E$2:$E1000)</f>
        <v>#N/A</v>
      </c>
      <c r="D790" s="26" t="str">
        <f t="array" ref="D790">sum(XLOOKUP($A790,LinkedIn_content_raw!$A$2:$A1000,LinkedIn_content_raw!$K$2:$K1000),XLOOKUP($A790,LinkedIn_content_raw!$A$2:$A1000,LinkedIn_content_raw!$N$2:$N1000),XLOOKUP($A790,LinkedIn_content_raw!$A$2:$A1000,LinkedIn_content_raw!$Q$2:$Q1000))</f>
        <v>#N/A</v>
      </c>
      <c r="E790" s="26" t="str">
        <f t="array" ref="E790">XLOOKUP($A790,LinkedIn_content_raw!$A$2:$A1000,LinkedIn_content_raw!$E$2:$E1000)</f>
        <v>#N/A</v>
      </c>
    </row>
    <row r="791">
      <c r="A791" s="26" t="str">
        <f>LinkedIn_content_raw!$A792</f>
        <v/>
      </c>
      <c r="B791" s="24" t="str">
        <f t="shared" si="1"/>
        <v/>
      </c>
      <c r="C791" s="26" t="str">
        <f t="array" ref="C791">XLOOKUP($A791,LinkedIn_follows_raw!$A$2:$A1000,LinkedIn_follows_raw!$E$2:$E1000)</f>
        <v>#N/A</v>
      </c>
      <c r="D791" s="26" t="str">
        <f t="array" ref="D791">sum(XLOOKUP($A791,LinkedIn_content_raw!$A$2:$A1000,LinkedIn_content_raw!$K$2:$K1000),XLOOKUP($A791,LinkedIn_content_raw!$A$2:$A1000,LinkedIn_content_raw!$N$2:$N1000),XLOOKUP($A791,LinkedIn_content_raw!$A$2:$A1000,LinkedIn_content_raw!$Q$2:$Q1000))</f>
        <v>#N/A</v>
      </c>
      <c r="E791" s="26" t="str">
        <f t="array" ref="E791">XLOOKUP($A791,LinkedIn_content_raw!$A$2:$A1000,LinkedIn_content_raw!$E$2:$E1000)</f>
        <v>#N/A</v>
      </c>
    </row>
    <row r="792">
      <c r="A792" s="26" t="str">
        <f>LinkedIn_content_raw!$A793</f>
        <v/>
      </c>
      <c r="B792" s="24" t="str">
        <f t="shared" si="1"/>
        <v/>
      </c>
      <c r="C792" s="26" t="str">
        <f t="array" ref="C792">XLOOKUP($A792,LinkedIn_follows_raw!$A$2:$A1000,LinkedIn_follows_raw!$E$2:$E1000)</f>
        <v>#N/A</v>
      </c>
      <c r="D792" s="26" t="str">
        <f t="array" ref="D792">sum(XLOOKUP($A792,LinkedIn_content_raw!$A$2:$A1000,LinkedIn_content_raw!$K$2:$K1000),XLOOKUP($A792,LinkedIn_content_raw!$A$2:$A1000,LinkedIn_content_raw!$N$2:$N1000),XLOOKUP($A792,LinkedIn_content_raw!$A$2:$A1000,LinkedIn_content_raw!$Q$2:$Q1000))</f>
        <v>#N/A</v>
      </c>
      <c r="E792" s="26" t="str">
        <f t="array" ref="E792">XLOOKUP($A792,LinkedIn_content_raw!$A$2:$A1000,LinkedIn_content_raw!$E$2:$E1000)</f>
        <v>#N/A</v>
      </c>
    </row>
    <row r="793">
      <c r="A793" s="26" t="str">
        <f>LinkedIn_content_raw!$A794</f>
        <v/>
      </c>
      <c r="B793" s="24" t="str">
        <f t="shared" si="1"/>
        <v/>
      </c>
      <c r="C793" s="26" t="str">
        <f t="array" ref="C793">XLOOKUP($A793,LinkedIn_follows_raw!$A$2:$A1000,LinkedIn_follows_raw!$E$2:$E1000)</f>
        <v>#N/A</v>
      </c>
      <c r="D793" s="26" t="str">
        <f t="array" ref="D793">sum(XLOOKUP($A793,LinkedIn_content_raw!$A$2:$A1000,LinkedIn_content_raw!$K$2:$K1000),XLOOKUP($A793,LinkedIn_content_raw!$A$2:$A1000,LinkedIn_content_raw!$N$2:$N1000),XLOOKUP($A793,LinkedIn_content_raw!$A$2:$A1000,LinkedIn_content_raw!$Q$2:$Q1000))</f>
        <v>#N/A</v>
      </c>
      <c r="E793" s="26" t="str">
        <f t="array" ref="E793">XLOOKUP($A793,LinkedIn_content_raw!$A$2:$A1000,LinkedIn_content_raw!$E$2:$E1000)</f>
        <v>#N/A</v>
      </c>
    </row>
    <row r="794">
      <c r="A794" s="26" t="str">
        <f>LinkedIn_content_raw!$A795</f>
        <v/>
      </c>
      <c r="B794" s="24" t="str">
        <f t="shared" si="1"/>
        <v/>
      </c>
      <c r="C794" s="26" t="str">
        <f t="array" ref="C794">XLOOKUP($A794,LinkedIn_follows_raw!$A$2:$A1000,LinkedIn_follows_raw!$E$2:$E1000)</f>
        <v>#N/A</v>
      </c>
      <c r="D794" s="26" t="str">
        <f t="array" ref="D794">sum(XLOOKUP($A794,LinkedIn_content_raw!$A$2:$A1000,LinkedIn_content_raw!$K$2:$K1000),XLOOKUP($A794,LinkedIn_content_raw!$A$2:$A1000,LinkedIn_content_raw!$N$2:$N1000),XLOOKUP($A794,LinkedIn_content_raw!$A$2:$A1000,LinkedIn_content_raw!$Q$2:$Q1000))</f>
        <v>#N/A</v>
      </c>
      <c r="E794" s="26" t="str">
        <f t="array" ref="E794">XLOOKUP($A794,LinkedIn_content_raw!$A$2:$A1000,LinkedIn_content_raw!$E$2:$E1000)</f>
        <v>#N/A</v>
      </c>
    </row>
    <row r="795">
      <c r="A795" s="26" t="str">
        <f>LinkedIn_content_raw!$A796</f>
        <v/>
      </c>
      <c r="B795" s="24" t="str">
        <f t="shared" si="1"/>
        <v/>
      </c>
      <c r="C795" s="26" t="str">
        <f t="array" ref="C795">XLOOKUP($A795,LinkedIn_follows_raw!$A$2:$A1000,LinkedIn_follows_raw!$E$2:$E1000)</f>
        <v>#N/A</v>
      </c>
      <c r="D795" s="26" t="str">
        <f t="array" ref="D795">sum(XLOOKUP($A795,LinkedIn_content_raw!$A$2:$A1000,LinkedIn_content_raw!$K$2:$K1000),XLOOKUP($A795,LinkedIn_content_raw!$A$2:$A1000,LinkedIn_content_raw!$N$2:$N1000),XLOOKUP($A795,LinkedIn_content_raw!$A$2:$A1000,LinkedIn_content_raw!$Q$2:$Q1000))</f>
        <v>#N/A</v>
      </c>
      <c r="E795" s="26" t="str">
        <f t="array" ref="E795">XLOOKUP($A795,LinkedIn_content_raw!$A$2:$A1000,LinkedIn_content_raw!$E$2:$E1000)</f>
        <v>#N/A</v>
      </c>
    </row>
    <row r="796">
      <c r="A796" s="26" t="str">
        <f>LinkedIn_content_raw!$A797</f>
        <v/>
      </c>
      <c r="B796" s="24" t="str">
        <f t="shared" si="1"/>
        <v/>
      </c>
      <c r="C796" s="26" t="str">
        <f t="array" ref="C796">XLOOKUP($A796,LinkedIn_follows_raw!$A$2:$A1000,LinkedIn_follows_raw!$E$2:$E1000)</f>
        <v>#N/A</v>
      </c>
      <c r="D796" s="26" t="str">
        <f t="array" ref="D796">sum(XLOOKUP($A796,LinkedIn_content_raw!$A$2:$A1000,LinkedIn_content_raw!$K$2:$K1000),XLOOKUP($A796,LinkedIn_content_raw!$A$2:$A1000,LinkedIn_content_raw!$N$2:$N1000),XLOOKUP($A796,LinkedIn_content_raw!$A$2:$A1000,LinkedIn_content_raw!$Q$2:$Q1000))</f>
        <v>#N/A</v>
      </c>
      <c r="E796" s="26" t="str">
        <f t="array" ref="E796">XLOOKUP($A796,LinkedIn_content_raw!$A$2:$A1000,LinkedIn_content_raw!$E$2:$E1000)</f>
        <v>#N/A</v>
      </c>
    </row>
    <row r="797">
      <c r="A797" s="26" t="str">
        <f>LinkedIn_content_raw!$A798</f>
        <v/>
      </c>
      <c r="B797" s="24" t="str">
        <f t="shared" si="1"/>
        <v/>
      </c>
      <c r="C797" s="26" t="str">
        <f t="array" ref="C797">XLOOKUP($A797,LinkedIn_follows_raw!$A$2:$A1000,LinkedIn_follows_raw!$E$2:$E1000)</f>
        <v>#N/A</v>
      </c>
      <c r="D797" s="26" t="str">
        <f t="array" ref="D797">sum(XLOOKUP($A797,LinkedIn_content_raw!$A$2:$A1000,LinkedIn_content_raw!$K$2:$K1000),XLOOKUP($A797,LinkedIn_content_raw!$A$2:$A1000,LinkedIn_content_raw!$N$2:$N1000),XLOOKUP($A797,LinkedIn_content_raw!$A$2:$A1000,LinkedIn_content_raw!$Q$2:$Q1000))</f>
        <v>#N/A</v>
      </c>
      <c r="E797" s="26" t="str">
        <f t="array" ref="E797">XLOOKUP($A797,LinkedIn_content_raw!$A$2:$A1000,LinkedIn_content_raw!$E$2:$E1000)</f>
        <v>#N/A</v>
      </c>
    </row>
    <row r="798">
      <c r="A798" s="26" t="str">
        <f>LinkedIn_content_raw!$A799</f>
        <v/>
      </c>
      <c r="B798" s="24" t="str">
        <f t="shared" si="1"/>
        <v/>
      </c>
      <c r="C798" s="26" t="str">
        <f t="array" ref="C798">XLOOKUP($A798,LinkedIn_follows_raw!$A$2:$A1000,LinkedIn_follows_raw!$E$2:$E1000)</f>
        <v>#N/A</v>
      </c>
      <c r="D798" s="26" t="str">
        <f t="array" ref="D798">sum(XLOOKUP($A798,LinkedIn_content_raw!$A$2:$A1000,LinkedIn_content_raw!$K$2:$K1000),XLOOKUP($A798,LinkedIn_content_raw!$A$2:$A1000,LinkedIn_content_raw!$N$2:$N1000),XLOOKUP($A798,LinkedIn_content_raw!$A$2:$A1000,LinkedIn_content_raw!$Q$2:$Q1000))</f>
        <v>#N/A</v>
      </c>
      <c r="E798" s="26" t="str">
        <f t="array" ref="E798">XLOOKUP($A798,LinkedIn_content_raw!$A$2:$A1000,LinkedIn_content_raw!$E$2:$E1000)</f>
        <v>#N/A</v>
      </c>
    </row>
    <row r="799">
      <c r="A799" s="26" t="str">
        <f>LinkedIn_content_raw!$A800</f>
        <v/>
      </c>
      <c r="B799" s="24" t="str">
        <f t="shared" si="1"/>
        <v/>
      </c>
      <c r="C799" s="26" t="str">
        <f t="array" ref="C799">XLOOKUP($A799,LinkedIn_follows_raw!$A$2:$A1000,LinkedIn_follows_raw!$E$2:$E1000)</f>
        <v>#N/A</v>
      </c>
      <c r="D799" s="26" t="str">
        <f t="array" ref="D799">sum(XLOOKUP($A799,LinkedIn_content_raw!$A$2:$A1000,LinkedIn_content_raw!$K$2:$K1000),XLOOKUP($A799,LinkedIn_content_raw!$A$2:$A1000,LinkedIn_content_raw!$N$2:$N1000),XLOOKUP($A799,LinkedIn_content_raw!$A$2:$A1000,LinkedIn_content_raw!$Q$2:$Q1000))</f>
        <v>#N/A</v>
      </c>
      <c r="E799" s="26" t="str">
        <f t="array" ref="E799">XLOOKUP($A799,LinkedIn_content_raw!$A$2:$A1000,LinkedIn_content_raw!$E$2:$E1000)</f>
        <v>#N/A</v>
      </c>
    </row>
    <row r="800">
      <c r="A800" s="26" t="str">
        <f>LinkedIn_content_raw!$A801</f>
        <v/>
      </c>
      <c r="B800" s="24" t="str">
        <f t="shared" si="1"/>
        <v/>
      </c>
      <c r="C800" s="26" t="str">
        <f t="array" ref="C800">XLOOKUP($A800,LinkedIn_follows_raw!$A$2:$A1000,LinkedIn_follows_raw!$E$2:$E1000)</f>
        <v>#N/A</v>
      </c>
      <c r="D800" s="26" t="str">
        <f t="array" ref="D800">sum(XLOOKUP($A800,LinkedIn_content_raw!$A$2:$A1000,LinkedIn_content_raw!$K$2:$K1000),XLOOKUP($A800,LinkedIn_content_raw!$A$2:$A1000,LinkedIn_content_raw!$N$2:$N1000),XLOOKUP($A800,LinkedIn_content_raw!$A$2:$A1000,LinkedIn_content_raw!$Q$2:$Q1000))</f>
        <v>#N/A</v>
      </c>
      <c r="E800" s="26" t="str">
        <f t="array" ref="E800">XLOOKUP($A800,LinkedIn_content_raw!$A$2:$A1000,LinkedIn_content_raw!$E$2:$E1000)</f>
        <v>#N/A</v>
      </c>
    </row>
    <row r="801">
      <c r="A801" s="26" t="str">
        <f>LinkedIn_content_raw!$A802</f>
        <v/>
      </c>
      <c r="B801" s="24" t="str">
        <f t="shared" si="1"/>
        <v/>
      </c>
      <c r="C801" s="26" t="str">
        <f t="array" ref="C801">XLOOKUP($A801,LinkedIn_follows_raw!$A$2:$A1000,LinkedIn_follows_raw!$E$2:$E1000)</f>
        <v>#N/A</v>
      </c>
      <c r="D801" s="26" t="str">
        <f t="array" ref="D801">sum(XLOOKUP($A801,LinkedIn_content_raw!$A$2:$A1000,LinkedIn_content_raw!$K$2:$K1000),XLOOKUP($A801,LinkedIn_content_raw!$A$2:$A1000,LinkedIn_content_raw!$N$2:$N1000),XLOOKUP($A801,LinkedIn_content_raw!$A$2:$A1000,LinkedIn_content_raw!$Q$2:$Q1000))</f>
        <v>#N/A</v>
      </c>
      <c r="E801" s="26" t="str">
        <f t="array" ref="E801">XLOOKUP($A801,LinkedIn_content_raw!$A$2:$A1000,LinkedIn_content_raw!$E$2:$E1000)</f>
        <v>#N/A</v>
      </c>
    </row>
    <row r="802">
      <c r="A802" s="26" t="str">
        <f>LinkedIn_content_raw!$A803</f>
        <v/>
      </c>
      <c r="B802" s="24" t="str">
        <f t="shared" si="1"/>
        <v/>
      </c>
      <c r="C802" s="26" t="str">
        <f t="array" ref="C802">XLOOKUP($A802,LinkedIn_follows_raw!$A$2:$A1000,LinkedIn_follows_raw!$E$2:$E1000)</f>
        <v>#N/A</v>
      </c>
      <c r="D802" s="26" t="str">
        <f t="array" ref="D802">sum(XLOOKUP($A802,LinkedIn_content_raw!$A$2:$A1000,LinkedIn_content_raw!$K$2:$K1000),XLOOKUP($A802,LinkedIn_content_raw!$A$2:$A1000,LinkedIn_content_raw!$N$2:$N1000),XLOOKUP($A802,LinkedIn_content_raw!$A$2:$A1000,LinkedIn_content_raw!$Q$2:$Q1000))</f>
        <v>#N/A</v>
      </c>
      <c r="E802" s="26" t="str">
        <f t="array" ref="E802">XLOOKUP($A802,LinkedIn_content_raw!$A$2:$A1000,LinkedIn_content_raw!$E$2:$E1000)</f>
        <v>#N/A</v>
      </c>
    </row>
    <row r="803">
      <c r="A803" s="26" t="str">
        <f>LinkedIn_content_raw!$A804</f>
        <v/>
      </c>
      <c r="B803" s="24" t="str">
        <f t="shared" si="1"/>
        <v/>
      </c>
      <c r="C803" s="26" t="str">
        <f t="array" ref="C803">XLOOKUP($A803,LinkedIn_follows_raw!$A$2:$A1000,LinkedIn_follows_raw!$E$2:$E1000)</f>
        <v>#N/A</v>
      </c>
      <c r="D803" s="26" t="str">
        <f t="array" ref="D803">sum(XLOOKUP($A803,LinkedIn_content_raw!$A$2:$A1000,LinkedIn_content_raw!$K$2:$K1000),XLOOKUP($A803,LinkedIn_content_raw!$A$2:$A1000,LinkedIn_content_raw!$N$2:$N1000),XLOOKUP($A803,LinkedIn_content_raw!$A$2:$A1000,LinkedIn_content_raw!$Q$2:$Q1000))</f>
        <v>#N/A</v>
      </c>
      <c r="E803" s="26" t="str">
        <f t="array" ref="E803">XLOOKUP($A803,LinkedIn_content_raw!$A$2:$A1000,LinkedIn_content_raw!$E$2:$E1000)</f>
        <v>#N/A</v>
      </c>
    </row>
    <row r="804">
      <c r="A804" s="26" t="str">
        <f>LinkedIn_content_raw!$A805</f>
        <v/>
      </c>
      <c r="B804" s="24" t="str">
        <f t="shared" si="1"/>
        <v/>
      </c>
      <c r="C804" s="26" t="str">
        <f t="array" ref="C804">XLOOKUP($A804,LinkedIn_follows_raw!$A$2:$A1000,LinkedIn_follows_raw!$E$2:$E1000)</f>
        <v>#N/A</v>
      </c>
      <c r="D804" s="26" t="str">
        <f t="array" ref="D804">sum(XLOOKUP($A804,LinkedIn_content_raw!$A$2:$A1000,LinkedIn_content_raw!$K$2:$K1000),XLOOKUP($A804,LinkedIn_content_raw!$A$2:$A1000,LinkedIn_content_raw!$N$2:$N1000),XLOOKUP($A804,LinkedIn_content_raw!$A$2:$A1000,LinkedIn_content_raw!$Q$2:$Q1000))</f>
        <v>#N/A</v>
      </c>
      <c r="E804" s="26" t="str">
        <f t="array" ref="E804">XLOOKUP($A804,LinkedIn_content_raw!$A$2:$A1000,LinkedIn_content_raw!$E$2:$E1000)</f>
        <v>#N/A</v>
      </c>
    </row>
    <row r="805">
      <c r="A805" s="26" t="str">
        <f>LinkedIn_content_raw!$A806</f>
        <v/>
      </c>
      <c r="B805" s="24" t="str">
        <f t="shared" si="1"/>
        <v/>
      </c>
      <c r="C805" s="26" t="str">
        <f t="array" ref="C805">XLOOKUP($A805,LinkedIn_follows_raw!$A$2:$A1000,LinkedIn_follows_raw!$E$2:$E1000)</f>
        <v>#N/A</v>
      </c>
      <c r="D805" s="26" t="str">
        <f t="array" ref="D805">sum(XLOOKUP($A805,LinkedIn_content_raw!$A$2:$A1000,LinkedIn_content_raw!$K$2:$K1000),XLOOKUP($A805,LinkedIn_content_raw!$A$2:$A1000,LinkedIn_content_raw!$N$2:$N1000),XLOOKUP($A805,LinkedIn_content_raw!$A$2:$A1000,LinkedIn_content_raw!$Q$2:$Q1000))</f>
        <v>#N/A</v>
      </c>
      <c r="E805" s="26" t="str">
        <f t="array" ref="E805">XLOOKUP($A805,LinkedIn_content_raw!$A$2:$A1000,LinkedIn_content_raw!$E$2:$E1000)</f>
        <v>#N/A</v>
      </c>
    </row>
    <row r="806">
      <c r="A806" s="26" t="str">
        <f>LinkedIn_content_raw!$A807</f>
        <v/>
      </c>
      <c r="B806" s="24" t="str">
        <f t="shared" si="1"/>
        <v/>
      </c>
      <c r="C806" s="26" t="str">
        <f t="array" ref="C806">XLOOKUP($A806,LinkedIn_follows_raw!$A$2:$A1000,LinkedIn_follows_raw!$E$2:$E1000)</f>
        <v>#N/A</v>
      </c>
      <c r="D806" s="26" t="str">
        <f t="array" ref="D806">sum(XLOOKUP($A806,LinkedIn_content_raw!$A$2:$A1000,LinkedIn_content_raw!$K$2:$K1000),XLOOKUP($A806,LinkedIn_content_raw!$A$2:$A1000,LinkedIn_content_raw!$N$2:$N1000),XLOOKUP($A806,LinkedIn_content_raw!$A$2:$A1000,LinkedIn_content_raw!$Q$2:$Q1000))</f>
        <v>#N/A</v>
      </c>
      <c r="E806" s="26" t="str">
        <f t="array" ref="E806">XLOOKUP($A806,LinkedIn_content_raw!$A$2:$A1000,LinkedIn_content_raw!$E$2:$E1000)</f>
        <v>#N/A</v>
      </c>
    </row>
    <row r="807">
      <c r="A807" s="26" t="str">
        <f>LinkedIn_content_raw!$A808</f>
        <v/>
      </c>
      <c r="B807" s="24" t="str">
        <f t="shared" si="1"/>
        <v/>
      </c>
      <c r="C807" s="26" t="str">
        <f t="array" ref="C807">XLOOKUP($A807,LinkedIn_follows_raw!$A$2:$A1000,LinkedIn_follows_raw!$E$2:$E1000)</f>
        <v>#N/A</v>
      </c>
      <c r="D807" s="26" t="str">
        <f t="array" ref="D807">sum(XLOOKUP($A807,LinkedIn_content_raw!$A$2:$A1000,LinkedIn_content_raw!$K$2:$K1000),XLOOKUP($A807,LinkedIn_content_raw!$A$2:$A1000,LinkedIn_content_raw!$N$2:$N1000),XLOOKUP($A807,LinkedIn_content_raw!$A$2:$A1000,LinkedIn_content_raw!$Q$2:$Q1000))</f>
        <v>#N/A</v>
      </c>
      <c r="E807" s="26" t="str">
        <f t="array" ref="E807">XLOOKUP($A807,LinkedIn_content_raw!$A$2:$A1000,LinkedIn_content_raw!$E$2:$E1000)</f>
        <v>#N/A</v>
      </c>
    </row>
    <row r="808">
      <c r="A808" s="26" t="str">
        <f>LinkedIn_content_raw!$A809</f>
        <v/>
      </c>
      <c r="B808" s="24" t="str">
        <f t="shared" si="1"/>
        <v/>
      </c>
      <c r="C808" s="26" t="str">
        <f t="array" ref="C808">XLOOKUP($A808,LinkedIn_follows_raw!$A$2:$A1000,LinkedIn_follows_raw!$E$2:$E1000)</f>
        <v>#N/A</v>
      </c>
      <c r="D808" s="26" t="str">
        <f t="array" ref="D808">sum(XLOOKUP($A808,LinkedIn_content_raw!$A$2:$A1000,LinkedIn_content_raw!$K$2:$K1000),XLOOKUP($A808,LinkedIn_content_raw!$A$2:$A1000,LinkedIn_content_raw!$N$2:$N1000),XLOOKUP($A808,LinkedIn_content_raw!$A$2:$A1000,LinkedIn_content_raw!$Q$2:$Q1000))</f>
        <v>#N/A</v>
      </c>
      <c r="E808" s="26" t="str">
        <f t="array" ref="E808">XLOOKUP($A808,LinkedIn_content_raw!$A$2:$A1000,LinkedIn_content_raw!$E$2:$E1000)</f>
        <v>#N/A</v>
      </c>
    </row>
    <row r="809">
      <c r="A809" s="26" t="str">
        <f>LinkedIn_content_raw!$A810</f>
        <v/>
      </c>
      <c r="B809" s="24" t="str">
        <f t="shared" si="1"/>
        <v/>
      </c>
      <c r="C809" s="26" t="str">
        <f t="array" ref="C809">XLOOKUP($A809,LinkedIn_follows_raw!$A$2:$A1000,LinkedIn_follows_raw!$E$2:$E1000)</f>
        <v>#N/A</v>
      </c>
      <c r="D809" s="26" t="str">
        <f t="array" ref="D809">sum(XLOOKUP($A809,LinkedIn_content_raw!$A$2:$A1000,LinkedIn_content_raw!$K$2:$K1000),XLOOKUP($A809,LinkedIn_content_raw!$A$2:$A1000,LinkedIn_content_raw!$N$2:$N1000),XLOOKUP($A809,LinkedIn_content_raw!$A$2:$A1000,LinkedIn_content_raw!$Q$2:$Q1000))</f>
        <v>#N/A</v>
      </c>
      <c r="E809" s="26" t="str">
        <f t="array" ref="E809">XLOOKUP($A809,LinkedIn_content_raw!$A$2:$A1000,LinkedIn_content_raw!$E$2:$E1000)</f>
        <v>#N/A</v>
      </c>
    </row>
    <row r="810">
      <c r="A810" s="26" t="str">
        <f>LinkedIn_content_raw!$A811</f>
        <v/>
      </c>
      <c r="B810" s="24" t="str">
        <f t="shared" si="1"/>
        <v/>
      </c>
      <c r="C810" s="26" t="str">
        <f t="array" ref="C810">XLOOKUP($A810,LinkedIn_follows_raw!$A$2:$A1000,LinkedIn_follows_raw!$E$2:$E1000)</f>
        <v>#N/A</v>
      </c>
      <c r="D810" s="26" t="str">
        <f t="array" ref="D810">sum(XLOOKUP($A810,LinkedIn_content_raw!$A$2:$A1000,LinkedIn_content_raw!$K$2:$K1000),XLOOKUP($A810,LinkedIn_content_raw!$A$2:$A1000,LinkedIn_content_raw!$N$2:$N1000),XLOOKUP($A810,LinkedIn_content_raw!$A$2:$A1000,LinkedIn_content_raw!$Q$2:$Q1000))</f>
        <v>#N/A</v>
      </c>
      <c r="E810" s="26" t="str">
        <f t="array" ref="E810">XLOOKUP($A810,LinkedIn_content_raw!$A$2:$A1000,LinkedIn_content_raw!$E$2:$E1000)</f>
        <v>#N/A</v>
      </c>
    </row>
    <row r="811">
      <c r="A811" s="26" t="str">
        <f>LinkedIn_content_raw!$A812</f>
        <v/>
      </c>
      <c r="B811" s="24" t="str">
        <f t="shared" si="1"/>
        <v/>
      </c>
      <c r="C811" s="26" t="str">
        <f t="array" ref="C811">XLOOKUP($A811,LinkedIn_follows_raw!$A$2:$A1000,LinkedIn_follows_raw!$E$2:$E1000)</f>
        <v>#N/A</v>
      </c>
      <c r="D811" s="26" t="str">
        <f t="array" ref="D811">sum(XLOOKUP($A811,LinkedIn_content_raw!$A$2:$A1000,LinkedIn_content_raw!$K$2:$K1000),XLOOKUP($A811,LinkedIn_content_raw!$A$2:$A1000,LinkedIn_content_raw!$N$2:$N1000),XLOOKUP($A811,LinkedIn_content_raw!$A$2:$A1000,LinkedIn_content_raw!$Q$2:$Q1000))</f>
        <v>#N/A</v>
      </c>
      <c r="E811" s="26" t="str">
        <f t="array" ref="E811">XLOOKUP($A811,LinkedIn_content_raw!$A$2:$A1000,LinkedIn_content_raw!$E$2:$E1000)</f>
        <v>#N/A</v>
      </c>
    </row>
    <row r="812">
      <c r="A812" s="26" t="str">
        <f>LinkedIn_content_raw!$A813</f>
        <v/>
      </c>
      <c r="B812" s="24" t="str">
        <f t="shared" si="1"/>
        <v/>
      </c>
      <c r="C812" s="26" t="str">
        <f t="array" ref="C812">XLOOKUP($A812,LinkedIn_follows_raw!$A$2:$A1000,LinkedIn_follows_raw!$E$2:$E1000)</f>
        <v>#N/A</v>
      </c>
      <c r="D812" s="26" t="str">
        <f t="array" ref="D812">sum(XLOOKUP($A812,LinkedIn_content_raw!$A$2:$A1000,LinkedIn_content_raw!$K$2:$K1000),XLOOKUP($A812,LinkedIn_content_raw!$A$2:$A1000,LinkedIn_content_raw!$N$2:$N1000),XLOOKUP($A812,LinkedIn_content_raw!$A$2:$A1000,LinkedIn_content_raw!$Q$2:$Q1000))</f>
        <v>#N/A</v>
      </c>
      <c r="E812" s="26" t="str">
        <f t="array" ref="E812">XLOOKUP($A812,LinkedIn_content_raw!$A$2:$A1000,LinkedIn_content_raw!$E$2:$E1000)</f>
        <v>#N/A</v>
      </c>
    </row>
    <row r="813">
      <c r="A813" s="26" t="str">
        <f>LinkedIn_content_raw!$A814</f>
        <v/>
      </c>
      <c r="B813" s="24" t="str">
        <f t="shared" si="1"/>
        <v/>
      </c>
      <c r="C813" s="26" t="str">
        <f t="array" ref="C813">XLOOKUP($A813,LinkedIn_follows_raw!$A$2:$A1000,LinkedIn_follows_raw!$E$2:$E1000)</f>
        <v>#N/A</v>
      </c>
      <c r="D813" s="26" t="str">
        <f t="array" ref="D813">sum(XLOOKUP($A813,LinkedIn_content_raw!$A$2:$A1000,LinkedIn_content_raw!$K$2:$K1000),XLOOKUP($A813,LinkedIn_content_raw!$A$2:$A1000,LinkedIn_content_raw!$N$2:$N1000),XLOOKUP($A813,LinkedIn_content_raw!$A$2:$A1000,LinkedIn_content_raw!$Q$2:$Q1000))</f>
        <v>#N/A</v>
      </c>
      <c r="E813" s="26" t="str">
        <f t="array" ref="E813">XLOOKUP($A813,LinkedIn_content_raw!$A$2:$A1000,LinkedIn_content_raw!$E$2:$E1000)</f>
        <v>#N/A</v>
      </c>
    </row>
    <row r="814">
      <c r="A814" s="26" t="str">
        <f>LinkedIn_content_raw!$A815</f>
        <v/>
      </c>
      <c r="B814" s="24" t="str">
        <f t="shared" si="1"/>
        <v/>
      </c>
      <c r="C814" s="26" t="str">
        <f t="array" ref="C814">XLOOKUP($A814,LinkedIn_follows_raw!$A$2:$A1000,LinkedIn_follows_raw!$E$2:$E1000)</f>
        <v>#N/A</v>
      </c>
      <c r="D814" s="26" t="str">
        <f t="array" ref="D814">sum(XLOOKUP($A814,LinkedIn_content_raw!$A$2:$A1000,LinkedIn_content_raw!$K$2:$K1000),XLOOKUP($A814,LinkedIn_content_raw!$A$2:$A1000,LinkedIn_content_raw!$N$2:$N1000),XLOOKUP($A814,LinkedIn_content_raw!$A$2:$A1000,LinkedIn_content_raw!$Q$2:$Q1000))</f>
        <v>#N/A</v>
      </c>
      <c r="E814" s="26" t="str">
        <f t="array" ref="E814">XLOOKUP($A814,LinkedIn_content_raw!$A$2:$A1000,LinkedIn_content_raw!$E$2:$E1000)</f>
        <v>#N/A</v>
      </c>
    </row>
    <row r="815">
      <c r="A815" s="26" t="str">
        <f>LinkedIn_content_raw!$A816</f>
        <v/>
      </c>
      <c r="B815" s="24" t="str">
        <f t="shared" si="1"/>
        <v/>
      </c>
      <c r="C815" s="26" t="str">
        <f t="array" ref="C815">XLOOKUP($A815,LinkedIn_follows_raw!$A$2:$A1000,LinkedIn_follows_raw!$E$2:$E1000)</f>
        <v>#N/A</v>
      </c>
      <c r="D815" s="26" t="str">
        <f t="array" ref="D815">sum(XLOOKUP($A815,LinkedIn_content_raw!$A$2:$A1000,LinkedIn_content_raw!$K$2:$K1000),XLOOKUP($A815,LinkedIn_content_raw!$A$2:$A1000,LinkedIn_content_raw!$N$2:$N1000),XLOOKUP($A815,LinkedIn_content_raw!$A$2:$A1000,LinkedIn_content_raw!$Q$2:$Q1000))</f>
        <v>#N/A</v>
      </c>
      <c r="E815" s="26" t="str">
        <f t="array" ref="E815">XLOOKUP($A815,LinkedIn_content_raw!$A$2:$A1000,LinkedIn_content_raw!$E$2:$E1000)</f>
        <v>#N/A</v>
      </c>
    </row>
    <row r="816">
      <c r="A816" s="26" t="str">
        <f>LinkedIn_content_raw!$A817</f>
        <v/>
      </c>
      <c r="B816" s="24" t="str">
        <f t="shared" si="1"/>
        <v/>
      </c>
      <c r="C816" s="26" t="str">
        <f t="array" ref="C816">XLOOKUP($A816,LinkedIn_follows_raw!$A$2:$A1000,LinkedIn_follows_raw!$E$2:$E1000)</f>
        <v>#N/A</v>
      </c>
      <c r="D816" s="26" t="str">
        <f t="array" ref="D816">sum(XLOOKUP($A816,LinkedIn_content_raw!$A$2:$A1000,LinkedIn_content_raw!$K$2:$K1000),XLOOKUP($A816,LinkedIn_content_raw!$A$2:$A1000,LinkedIn_content_raw!$N$2:$N1000),XLOOKUP($A816,LinkedIn_content_raw!$A$2:$A1000,LinkedIn_content_raw!$Q$2:$Q1000))</f>
        <v>#N/A</v>
      </c>
      <c r="E816" s="26" t="str">
        <f t="array" ref="E816">XLOOKUP($A816,LinkedIn_content_raw!$A$2:$A1000,LinkedIn_content_raw!$E$2:$E1000)</f>
        <v>#N/A</v>
      </c>
    </row>
    <row r="817">
      <c r="A817" s="26" t="str">
        <f>LinkedIn_content_raw!$A818</f>
        <v/>
      </c>
      <c r="B817" s="24" t="str">
        <f t="shared" si="1"/>
        <v/>
      </c>
      <c r="C817" s="26" t="str">
        <f t="array" ref="C817">XLOOKUP($A817,LinkedIn_follows_raw!$A$2:$A1000,LinkedIn_follows_raw!$E$2:$E1000)</f>
        <v>#N/A</v>
      </c>
      <c r="D817" s="26" t="str">
        <f t="array" ref="D817">sum(XLOOKUP($A817,LinkedIn_content_raw!$A$2:$A1000,LinkedIn_content_raw!$K$2:$K1000),XLOOKUP($A817,LinkedIn_content_raw!$A$2:$A1000,LinkedIn_content_raw!$N$2:$N1000),XLOOKUP($A817,LinkedIn_content_raw!$A$2:$A1000,LinkedIn_content_raw!$Q$2:$Q1000))</f>
        <v>#N/A</v>
      </c>
      <c r="E817" s="26" t="str">
        <f t="array" ref="E817">XLOOKUP($A817,LinkedIn_content_raw!$A$2:$A1000,LinkedIn_content_raw!$E$2:$E1000)</f>
        <v>#N/A</v>
      </c>
    </row>
    <row r="818">
      <c r="A818" s="26" t="str">
        <f>LinkedIn_content_raw!$A819</f>
        <v/>
      </c>
      <c r="B818" s="24" t="str">
        <f t="shared" si="1"/>
        <v/>
      </c>
      <c r="C818" s="26" t="str">
        <f t="array" ref="C818">XLOOKUP($A818,LinkedIn_follows_raw!$A$2:$A1000,LinkedIn_follows_raw!$E$2:$E1000)</f>
        <v>#N/A</v>
      </c>
      <c r="D818" s="26" t="str">
        <f t="array" ref="D818">sum(XLOOKUP($A818,LinkedIn_content_raw!$A$2:$A1000,LinkedIn_content_raw!$K$2:$K1000),XLOOKUP($A818,LinkedIn_content_raw!$A$2:$A1000,LinkedIn_content_raw!$N$2:$N1000),XLOOKUP($A818,LinkedIn_content_raw!$A$2:$A1000,LinkedIn_content_raw!$Q$2:$Q1000))</f>
        <v>#N/A</v>
      </c>
      <c r="E818" s="26" t="str">
        <f t="array" ref="E818">XLOOKUP($A818,LinkedIn_content_raw!$A$2:$A1000,LinkedIn_content_raw!$E$2:$E1000)</f>
        <v>#N/A</v>
      </c>
    </row>
    <row r="819">
      <c r="A819" s="26" t="str">
        <f>LinkedIn_content_raw!$A820</f>
        <v/>
      </c>
      <c r="B819" s="24" t="str">
        <f t="shared" si="1"/>
        <v/>
      </c>
      <c r="C819" s="26" t="str">
        <f t="array" ref="C819">XLOOKUP($A819,LinkedIn_follows_raw!$A$2:$A1000,LinkedIn_follows_raw!$E$2:$E1000)</f>
        <v>#N/A</v>
      </c>
      <c r="D819" s="26" t="str">
        <f t="array" ref="D819">sum(XLOOKUP($A819,LinkedIn_content_raw!$A$2:$A1000,LinkedIn_content_raw!$K$2:$K1000),XLOOKUP($A819,LinkedIn_content_raw!$A$2:$A1000,LinkedIn_content_raw!$N$2:$N1000),XLOOKUP($A819,LinkedIn_content_raw!$A$2:$A1000,LinkedIn_content_raw!$Q$2:$Q1000))</f>
        <v>#N/A</v>
      </c>
      <c r="E819" s="26" t="str">
        <f t="array" ref="E819">XLOOKUP($A819,LinkedIn_content_raw!$A$2:$A1000,LinkedIn_content_raw!$E$2:$E1000)</f>
        <v>#N/A</v>
      </c>
    </row>
    <row r="820">
      <c r="A820" s="26" t="str">
        <f>LinkedIn_content_raw!$A821</f>
        <v/>
      </c>
      <c r="B820" s="24" t="str">
        <f t="shared" si="1"/>
        <v/>
      </c>
      <c r="C820" s="26" t="str">
        <f t="array" ref="C820">XLOOKUP($A820,LinkedIn_follows_raw!$A$2:$A1000,LinkedIn_follows_raw!$E$2:$E1000)</f>
        <v>#N/A</v>
      </c>
      <c r="D820" s="26" t="str">
        <f t="array" ref="D820">sum(XLOOKUP($A820,LinkedIn_content_raw!$A$2:$A1000,LinkedIn_content_raw!$K$2:$K1000),XLOOKUP($A820,LinkedIn_content_raw!$A$2:$A1000,LinkedIn_content_raw!$N$2:$N1000),XLOOKUP($A820,LinkedIn_content_raw!$A$2:$A1000,LinkedIn_content_raw!$Q$2:$Q1000))</f>
        <v>#N/A</v>
      </c>
      <c r="E820" s="26" t="str">
        <f t="array" ref="E820">XLOOKUP($A820,LinkedIn_content_raw!$A$2:$A1000,LinkedIn_content_raw!$E$2:$E1000)</f>
        <v>#N/A</v>
      </c>
    </row>
    <row r="821">
      <c r="A821" s="26" t="str">
        <f>LinkedIn_content_raw!$A822</f>
        <v/>
      </c>
      <c r="B821" s="24" t="str">
        <f t="shared" si="1"/>
        <v/>
      </c>
      <c r="C821" s="26" t="str">
        <f t="array" ref="C821">XLOOKUP($A821,LinkedIn_follows_raw!$A$2:$A1000,LinkedIn_follows_raw!$E$2:$E1000)</f>
        <v>#N/A</v>
      </c>
      <c r="D821" s="26" t="str">
        <f t="array" ref="D821">sum(XLOOKUP($A821,LinkedIn_content_raw!$A$2:$A1000,LinkedIn_content_raw!$K$2:$K1000),XLOOKUP($A821,LinkedIn_content_raw!$A$2:$A1000,LinkedIn_content_raw!$N$2:$N1000),XLOOKUP($A821,LinkedIn_content_raw!$A$2:$A1000,LinkedIn_content_raw!$Q$2:$Q1000))</f>
        <v>#N/A</v>
      </c>
      <c r="E821" s="26" t="str">
        <f t="array" ref="E821">XLOOKUP($A821,LinkedIn_content_raw!$A$2:$A1000,LinkedIn_content_raw!$E$2:$E1000)</f>
        <v>#N/A</v>
      </c>
    </row>
    <row r="822">
      <c r="A822" s="26" t="str">
        <f>LinkedIn_content_raw!$A823</f>
        <v/>
      </c>
      <c r="B822" s="24" t="str">
        <f t="shared" si="1"/>
        <v/>
      </c>
      <c r="C822" s="26" t="str">
        <f t="array" ref="C822">XLOOKUP($A822,LinkedIn_follows_raw!$A$2:$A1000,LinkedIn_follows_raw!$E$2:$E1000)</f>
        <v>#N/A</v>
      </c>
      <c r="D822" s="26" t="str">
        <f t="array" ref="D822">sum(XLOOKUP($A822,LinkedIn_content_raw!$A$2:$A1000,LinkedIn_content_raw!$K$2:$K1000),XLOOKUP($A822,LinkedIn_content_raw!$A$2:$A1000,LinkedIn_content_raw!$N$2:$N1000),XLOOKUP($A822,LinkedIn_content_raw!$A$2:$A1000,LinkedIn_content_raw!$Q$2:$Q1000))</f>
        <v>#N/A</v>
      </c>
      <c r="E822" s="26" t="str">
        <f t="array" ref="E822">XLOOKUP($A822,LinkedIn_content_raw!$A$2:$A1000,LinkedIn_content_raw!$E$2:$E1000)</f>
        <v>#N/A</v>
      </c>
    </row>
    <row r="823">
      <c r="A823" s="26" t="str">
        <f>LinkedIn_content_raw!$A824</f>
        <v/>
      </c>
      <c r="B823" s="24" t="str">
        <f t="shared" si="1"/>
        <v/>
      </c>
      <c r="C823" s="26" t="str">
        <f t="array" ref="C823">XLOOKUP($A823,LinkedIn_follows_raw!$A$2:$A1000,LinkedIn_follows_raw!$E$2:$E1000)</f>
        <v>#N/A</v>
      </c>
      <c r="D823" s="26" t="str">
        <f t="array" ref="D823">sum(XLOOKUP($A823,LinkedIn_content_raw!$A$2:$A1000,LinkedIn_content_raw!$K$2:$K1000),XLOOKUP($A823,LinkedIn_content_raw!$A$2:$A1000,LinkedIn_content_raw!$N$2:$N1000),XLOOKUP($A823,LinkedIn_content_raw!$A$2:$A1000,LinkedIn_content_raw!$Q$2:$Q1000))</f>
        <v>#N/A</v>
      </c>
      <c r="E823" s="26" t="str">
        <f t="array" ref="E823">XLOOKUP($A823,LinkedIn_content_raw!$A$2:$A1000,LinkedIn_content_raw!$E$2:$E1000)</f>
        <v>#N/A</v>
      </c>
    </row>
    <row r="824">
      <c r="A824" s="26" t="str">
        <f>LinkedIn_content_raw!$A825</f>
        <v/>
      </c>
      <c r="B824" s="24" t="str">
        <f t="shared" si="1"/>
        <v/>
      </c>
      <c r="C824" s="26" t="str">
        <f t="array" ref="C824">XLOOKUP($A824,LinkedIn_follows_raw!$A$2:$A1000,LinkedIn_follows_raw!$E$2:$E1000)</f>
        <v>#N/A</v>
      </c>
      <c r="D824" s="26" t="str">
        <f t="array" ref="D824">sum(XLOOKUP($A824,LinkedIn_content_raw!$A$2:$A1000,LinkedIn_content_raw!$K$2:$K1000),XLOOKUP($A824,LinkedIn_content_raw!$A$2:$A1000,LinkedIn_content_raw!$N$2:$N1000),XLOOKUP($A824,LinkedIn_content_raw!$A$2:$A1000,LinkedIn_content_raw!$Q$2:$Q1000))</f>
        <v>#N/A</v>
      </c>
      <c r="E824" s="26" t="str">
        <f t="array" ref="E824">XLOOKUP($A824,LinkedIn_content_raw!$A$2:$A1000,LinkedIn_content_raw!$E$2:$E1000)</f>
        <v>#N/A</v>
      </c>
    </row>
    <row r="825">
      <c r="A825" s="26" t="str">
        <f>LinkedIn_content_raw!$A826</f>
        <v/>
      </c>
      <c r="B825" s="24" t="str">
        <f t="shared" si="1"/>
        <v/>
      </c>
      <c r="C825" s="26" t="str">
        <f t="array" ref="C825">XLOOKUP($A825,LinkedIn_follows_raw!$A$2:$A1000,LinkedIn_follows_raw!$E$2:$E1000)</f>
        <v>#N/A</v>
      </c>
      <c r="D825" s="26" t="str">
        <f t="array" ref="D825">sum(XLOOKUP($A825,LinkedIn_content_raw!$A$2:$A1000,LinkedIn_content_raw!$K$2:$K1000),XLOOKUP($A825,LinkedIn_content_raw!$A$2:$A1000,LinkedIn_content_raw!$N$2:$N1000),XLOOKUP($A825,LinkedIn_content_raw!$A$2:$A1000,LinkedIn_content_raw!$Q$2:$Q1000))</f>
        <v>#N/A</v>
      </c>
      <c r="E825" s="26" t="str">
        <f t="array" ref="E825">XLOOKUP($A825,LinkedIn_content_raw!$A$2:$A1000,LinkedIn_content_raw!$E$2:$E1000)</f>
        <v>#N/A</v>
      </c>
    </row>
    <row r="826">
      <c r="A826" s="26" t="str">
        <f>LinkedIn_content_raw!$A827</f>
        <v/>
      </c>
      <c r="B826" s="24" t="str">
        <f t="shared" si="1"/>
        <v/>
      </c>
      <c r="C826" s="26" t="str">
        <f t="array" ref="C826">XLOOKUP($A826,LinkedIn_follows_raw!$A$2:$A1000,LinkedIn_follows_raw!$E$2:$E1000)</f>
        <v>#N/A</v>
      </c>
      <c r="D826" s="26" t="str">
        <f t="array" ref="D826">sum(XLOOKUP($A826,LinkedIn_content_raw!$A$2:$A1000,LinkedIn_content_raw!$K$2:$K1000),XLOOKUP($A826,LinkedIn_content_raw!$A$2:$A1000,LinkedIn_content_raw!$N$2:$N1000),XLOOKUP($A826,LinkedIn_content_raw!$A$2:$A1000,LinkedIn_content_raw!$Q$2:$Q1000))</f>
        <v>#N/A</v>
      </c>
      <c r="E826" s="26" t="str">
        <f t="array" ref="E826">XLOOKUP($A826,LinkedIn_content_raw!$A$2:$A1000,LinkedIn_content_raw!$E$2:$E1000)</f>
        <v>#N/A</v>
      </c>
    </row>
    <row r="827">
      <c r="A827" s="26" t="str">
        <f>LinkedIn_content_raw!$A828</f>
        <v/>
      </c>
      <c r="B827" s="24" t="str">
        <f t="shared" si="1"/>
        <v/>
      </c>
      <c r="C827" s="26" t="str">
        <f t="array" ref="C827">XLOOKUP($A827,LinkedIn_follows_raw!$A$2:$A1000,LinkedIn_follows_raw!$E$2:$E1000)</f>
        <v>#N/A</v>
      </c>
      <c r="D827" s="26" t="str">
        <f t="array" ref="D827">sum(XLOOKUP($A827,LinkedIn_content_raw!$A$2:$A1000,LinkedIn_content_raw!$K$2:$K1000),XLOOKUP($A827,LinkedIn_content_raw!$A$2:$A1000,LinkedIn_content_raw!$N$2:$N1000),XLOOKUP($A827,LinkedIn_content_raw!$A$2:$A1000,LinkedIn_content_raw!$Q$2:$Q1000))</f>
        <v>#N/A</v>
      </c>
      <c r="E827" s="26" t="str">
        <f t="array" ref="E827">XLOOKUP($A827,LinkedIn_content_raw!$A$2:$A1000,LinkedIn_content_raw!$E$2:$E1000)</f>
        <v>#N/A</v>
      </c>
    </row>
    <row r="828">
      <c r="A828" s="26" t="str">
        <f>LinkedIn_content_raw!$A829</f>
        <v/>
      </c>
      <c r="B828" s="24" t="str">
        <f t="shared" si="1"/>
        <v/>
      </c>
      <c r="C828" s="26" t="str">
        <f t="array" ref="C828">XLOOKUP($A828,LinkedIn_follows_raw!$A$2:$A1000,LinkedIn_follows_raw!$E$2:$E1000)</f>
        <v>#N/A</v>
      </c>
      <c r="D828" s="26" t="str">
        <f t="array" ref="D828">sum(XLOOKUP($A828,LinkedIn_content_raw!$A$2:$A1000,LinkedIn_content_raw!$K$2:$K1000),XLOOKUP($A828,LinkedIn_content_raw!$A$2:$A1000,LinkedIn_content_raw!$N$2:$N1000),XLOOKUP($A828,LinkedIn_content_raw!$A$2:$A1000,LinkedIn_content_raw!$Q$2:$Q1000))</f>
        <v>#N/A</v>
      </c>
      <c r="E828" s="26" t="str">
        <f t="array" ref="E828">XLOOKUP($A828,LinkedIn_content_raw!$A$2:$A1000,LinkedIn_content_raw!$E$2:$E1000)</f>
        <v>#N/A</v>
      </c>
    </row>
    <row r="829">
      <c r="A829" s="26" t="str">
        <f>LinkedIn_content_raw!$A830</f>
        <v/>
      </c>
      <c r="B829" s="24" t="str">
        <f t="shared" si="1"/>
        <v/>
      </c>
      <c r="C829" s="26" t="str">
        <f t="array" ref="C829">XLOOKUP($A829,LinkedIn_follows_raw!$A$2:$A1000,LinkedIn_follows_raw!$E$2:$E1000)</f>
        <v>#N/A</v>
      </c>
      <c r="D829" s="26" t="str">
        <f t="array" ref="D829">sum(XLOOKUP($A829,LinkedIn_content_raw!$A$2:$A1000,LinkedIn_content_raw!$K$2:$K1000),XLOOKUP($A829,LinkedIn_content_raw!$A$2:$A1000,LinkedIn_content_raw!$N$2:$N1000),XLOOKUP($A829,LinkedIn_content_raw!$A$2:$A1000,LinkedIn_content_raw!$Q$2:$Q1000))</f>
        <v>#N/A</v>
      </c>
      <c r="E829" s="26" t="str">
        <f t="array" ref="E829">XLOOKUP($A829,LinkedIn_content_raw!$A$2:$A1000,LinkedIn_content_raw!$E$2:$E1000)</f>
        <v>#N/A</v>
      </c>
    </row>
    <row r="830">
      <c r="A830" s="26" t="str">
        <f>LinkedIn_content_raw!$A831</f>
        <v/>
      </c>
      <c r="B830" s="24" t="str">
        <f t="shared" si="1"/>
        <v/>
      </c>
      <c r="C830" s="26" t="str">
        <f t="array" ref="C830">XLOOKUP($A830,LinkedIn_follows_raw!$A$2:$A1000,LinkedIn_follows_raw!$E$2:$E1000)</f>
        <v>#N/A</v>
      </c>
      <c r="D830" s="26" t="str">
        <f t="array" ref="D830">sum(XLOOKUP($A830,LinkedIn_content_raw!$A$2:$A1000,LinkedIn_content_raw!$K$2:$K1000),XLOOKUP($A830,LinkedIn_content_raw!$A$2:$A1000,LinkedIn_content_raw!$N$2:$N1000),XLOOKUP($A830,LinkedIn_content_raw!$A$2:$A1000,LinkedIn_content_raw!$Q$2:$Q1000))</f>
        <v>#N/A</v>
      </c>
      <c r="E830" s="26" t="str">
        <f t="array" ref="E830">XLOOKUP($A830,LinkedIn_content_raw!$A$2:$A1000,LinkedIn_content_raw!$E$2:$E1000)</f>
        <v>#N/A</v>
      </c>
    </row>
    <row r="831">
      <c r="A831" s="26" t="str">
        <f>LinkedIn_content_raw!$A832</f>
        <v/>
      </c>
      <c r="B831" s="24" t="str">
        <f t="shared" si="1"/>
        <v/>
      </c>
      <c r="C831" s="26" t="str">
        <f t="array" ref="C831">XLOOKUP($A831,LinkedIn_follows_raw!$A$2:$A1000,LinkedIn_follows_raw!$E$2:$E1000)</f>
        <v>#N/A</v>
      </c>
      <c r="D831" s="26" t="str">
        <f t="array" ref="D831">sum(XLOOKUP($A831,LinkedIn_content_raw!$A$2:$A1000,LinkedIn_content_raw!$K$2:$K1000),XLOOKUP($A831,LinkedIn_content_raw!$A$2:$A1000,LinkedIn_content_raw!$N$2:$N1000),XLOOKUP($A831,LinkedIn_content_raw!$A$2:$A1000,LinkedIn_content_raw!$Q$2:$Q1000))</f>
        <v>#N/A</v>
      </c>
      <c r="E831" s="26" t="str">
        <f t="array" ref="E831">XLOOKUP($A831,LinkedIn_content_raw!$A$2:$A1000,LinkedIn_content_raw!$E$2:$E1000)</f>
        <v>#N/A</v>
      </c>
    </row>
    <row r="832">
      <c r="A832" s="26" t="str">
        <f>LinkedIn_content_raw!$A833</f>
        <v/>
      </c>
      <c r="B832" s="24" t="str">
        <f t="shared" si="1"/>
        <v/>
      </c>
      <c r="C832" s="26" t="str">
        <f t="array" ref="C832">XLOOKUP($A832,LinkedIn_follows_raw!$A$2:$A1000,LinkedIn_follows_raw!$E$2:$E1000)</f>
        <v>#N/A</v>
      </c>
      <c r="D832" s="26" t="str">
        <f t="array" ref="D832">sum(XLOOKUP($A832,LinkedIn_content_raw!$A$2:$A1000,LinkedIn_content_raw!$K$2:$K1000),XLOOKUP($A832,LinkedIn_content_raw!$A$2:$A1000,LinkedIn_content_raw!$N$2:$N1000),XLOOKUP($A832,LinkedIn_content_raw!$A$2:$A1000,LinkedIn_content_raw!$Q$2:$Q1000))</f>
        <v>#N/A</v>
      </c>
      <c r="E832" s="26" t="str">
        <f t="array" ref="E832">XLOOKUP($A832,LinkedIn_content_raw!$A$2:$A1000,LinkedIn_content_raw!$E$2:$E1000)</f>
        <v>#N/A</v>
      </c>
    </row>
    <row r="833">
      <c r="A833" s="26" t="str">
        <f>LinkedIn_content_raw!$A834</f>
        <v/>
      </c>
      <c r="B833" s="24" t="str">
        <f t="shared" si="1"/>
        <v/>
      </c>
      <c r="C833" s="26" t="str">
        <f t="array" ref="C833">XLOOKUP($A833,LinkedIn_follows_raw!$A$2:$A1000,LinkedIn_follows_raw!$E$2:$E1000)</f>
        <v>#N/A</v>
      </c>
      <c r="D833" s="26" t="str">
        <f t="array" ref="D833">sum(XLOOKUP($A833,LinkedIn_content_raw!$A$2:$A1000,LinkedIn_content_raw!$K$2:$K1000),XLOOKUP($A833,LinkedIn_content_raw!$A$2:$A1000,LinkedIn_content_raw!$N$2:$N1000),XLOOKUP($A833,LinkedIn_content_raw!$A$2:$A1000,LinkedIn_content_raw!$Q$2:$Q1000))</f>
        <v>#N/A</v>
      </c>
      <c r="E833" s="26" t="str">
        <f t="array" ref="E833">XLOOKUP($A833,LinkedIn_content_raw!$A$2:$A1000,LinkedIn_content_raw!$E$2:$E1000)</f>
        <v>#N/A</v>
      </c>
    </row>
    <row r="834">
      <c r="A834" s="26" t="str">
        <f>LinkedIn_content_raw!$A835</f>
        <v/>
      </c>
      <c r="B834" s="24" t="str">
        <f t="shared" si="1"/>
        <v/>
      </c>
      <c r="C834" s="26" t="str">
        <f t="array" ref="C834">XLOOKUP($A834,LinkedIn_follows_raw!$A$2:$A1000,LinkedIn_follows_raw!$E$2:$E1000)</f>
        <v>#N/A</v>
      </c>
      <c r="D834" s="26" t="str">
        <f t="array" ref="D834">sum(XLOOKUP($A834,LinkedIn_content_raw!$A$2:$A1000,LinkedIn_content_raw!$K$2:$K1000),XLOOKUP($A834,LinkedIn_content_raw!$A$2:$A1000,LinkedIn_content_raw!$N$2:$N1000),XLOOKUP($A834,LinkedIn_content_raw!$A$2:$A1000,LinkedIn_content_raw!$Q$2:$Q1000))</f>
        <v>#N/A</v>
      </c>
      <c r="E834" s="26" t="str">
        <f t="array" ref="E834">XLOOKUP($A834,LinkedIn_content_raw!$A$2:$A1000,LinkedIn_content_raw!$E$2:$E1000)</f>
        <v>#N/A</v>
      </c>
    </row>
    <row r="835">
      <c r="A835" s="26" t="str">
        <f>LinkedIn_content_raw!$A836</f>
        <v/>
      </c>
      <c r="B835" s="24" t="str">
        <f t="shared" si="1"/>
        <v/>
      </c>
      <c r="C835" s="26" t="str">
        <f t="array" ref="C835">XLOOKUP($A835,LinkedIn_follows_raw!$A$2:$A1000,LinkedIn_follows_raw!$E$2:$E1000)</f>
        <v>#N/A</v>
      </c>
      <c r="D835" s="26" t="str">
        <f t="array" ref="D835">sum(XLOOKUP($A835,LinkedIn_content_raw!$A$2:$A1000,LinkedIn_content_raw!$K$2:$K1000),XLOOKUP($A835,LinkedIn_content_raw!$A$2:$A1000,LinkedIn_content_raw!$N$2:$N1000),XLOOKUP($A835,LinkedIn_content_raw!$A$2:$A1000,LinkedIn_content_raw!$Q$2:$Q1000))</f>
        <v>#N/A</v>
      </c>
      <c r="E835" s="26" t="str">
        <f t="array" ref="E835">XLOOKUP($A835,LinkedIn_content_raw!$A$2:$A1000,LinkedIn_content_raw!$E$2:$E1000)</f>
        <v>#N/A</v>
      </c>
    </row>
    <row r="836">
      <c r="A836" s="26" t="str">
        <f>LinkedIn_content_raw!$A837</f>
        <v/>
      </c>
      <c r="B836" s="24" t="str">
        <f t="shared" si="1"/>
        <v/>
      </c>
      <c r="C836" s="26" t="str">
        <f t="array" ref="C836">XLOOKUP($A836,LinkedIn_follows_raw!$A$2:$A1000,LinkedIn_follows_raw!$E$2:$E1000)</f>
        <v>#N/A</v>
      </c>
      <c r="D836" s="26" t="str">
        <f t="array" ref="D836">sum(XLOOKUP($A836,LinkedIn_content_raw!$A$2:$A1000,LinkedIn_content_raw!$K$2:$K1000),XLOOKUP($A836,LinkedIn_content_raw!$A$2:$A1000,LinkedIn_content_raw!$N$2:$N1000),XLOOKUP($A836,LinkedIn_content_raw!$A$2:$A1000,LinkedIn_content_raw!$Q$2:$Q1000))</f>
        <v>#N/A</v>
      </c>
      <c r="E836" s="26" t="str">
        <f t="array" ref="E836">XLOOKUP($A836,LinkedIn_content_raw!$A$2:$A1000,LinkedIn_content_raw!$E$2:$E1000)</f>
        <v>#N/A</v>
      </c>
    </row>
    <row r="837">
      <c r="A837" s="26" t="str">
        <f>LinkedIn_content_raw!$A838</f>
        <v/>
      </c>
      <c r="B837" s="24" t="str">
        <f t="shared" si="1"/>
        <v/>
      </c>
      <c r="C837" s="26" t="str">
        <f t="array" ref="C837">XLOOKUP($A837,LinkedIn_follows_raw!$A$2:$A1000,LinkedIn_follows_raw!$E$2:$E1000)</f>
        <v>#N/A</v>
      </c>
      <c r="D837" s="26" t="str">
        <f t="array" ref="D837">sum(XLOOKUP($A837,LinkedIn_content_raw!$A$2:$A1000,LinkedIn_content_raw!$K$2:$K1000),XLOOKUP($A837,LinkedIn_content_raw!$A$2:$A1000,LinkedIn_content_raw!$N$2:$N1000),XLOOKUP($A837,LinkedIn_content_raw!$A$2:$A1000,LinkedIn_content_raw!$Q$2:$Q1000))</f>
        <v>#N/A</v>
      </c>
      <c r="E837" s="26" t="str">
        <f t="array" ref="E837">XLOOKUP($A837,LinkedIn_content_raw!$A$2:$A1000,LinkedIn_content_raw!$E$2:$E1000)</f>
        <v>#N/A</v>
      </c>
    </row>
    <row r="838">
      <c r="A838" s="26" t="str">
        <f>LinkedIn_content_raw!$A839</f>
        <v/>
      </c>
      <c r="B838" s="24" t="str">
        <f t="shared" si="1"/>
        <v/>
      </c>
      <c r="C838" s="26" t="str">
        <f t="array" ref="C838">XLOOKUP($A838,LinkedIn_follows_raw!$A$2:$A1000,LinkedIn_follows_raw!$E$2:$E1000)</f>
        <v>#N/A</v>
      </c>
      <c r="D838" s="26" t="str">
        <f t="array" ref="D838">sum(XLOOKUP($A838,LinkedIn_content_raw!$A$2:$A1000,LinkedIn_content_raw!$K$2:$K1000),XLOOKUP($A838,LinkedIn_content_raw!$A$2:$A1000,LinkedIn_content_raw!$N$2:$N1000),XLOOKUP($A838,LinkedIn_content_raw!$A$2:$A1000,LinkedIn_content_raw!$Q$2:$Q1000))</f>
        <v>#N/A</v>
      </c>
      <c r="E838" s="26" t="str">
        <f t="array" ref="E838">XLOOKUP($A838,LinkedIn_content_raw!$A$2:$A1000,LinkedIn_content_raw!$E$2:$E1000)</f>
        <v>#N/A</v>
      </c>
    </row>
    <row r="839">
      <c r="A839" s="26" t="str">
        <f>LinkedIn_content_raw!$A840</f>
        <v/>
      </c>
      <c r="B839" s="24" t="str">
        <f t="shared" si="1"/>
        <v/>
      </c>
      <c r="C839" s="26" t="str">
        <f t="array" ref="C839">XLOOKUP($A839,LinkedIn_follows_raw!$A$2:$A1000,LinkedIn_follows_raw!$E$2:$E1000)</f>
        <v>#N/A</v>
      </c>
      <c r="D839" s="26" t="str">
        <f t="array" ref="D839">sum(XLOOKUP($A839,LinkedIn_content_raw!$A$2:$A1000,LinkedIn_content_raw!$K$2:$K1000),XLOOKUP($A839,LinkedIn_content_raw!$A$2:$A1000,LinkedIn_content_raw!$N$2:$N1000),XLOOKUP($A839,LinkedIn_content_raw!$A$2:$A1000,LinkedIn_content_raw!$Q$2:$Q1000))</f>
        <v>#N/A</v>
      </c>
      <c r="E839" s="26" t="str">
        <f t="array" ref="E839">XLOOKUP($A839,LinkedIn_content_raw!$A$2:$A1000,LinkedIn_content_raw!$E$2:$E1000)</f>
        <v>#N/A</v>
      </c>
    </row>
    <row r="840">
      <c r="A840" s="26" t="str">
        <f>LinkedIn_content_raw!$A841</f>
        <v/>
      </c>
      <c r="B840" s="24" t="str">
        <f t="shared" si="1"/>
        <v/>
      </c>
      <c r="C840" s="26" t="str">
        <f t="array" ref="C840">XLOOKUP($A840,LinkedIn_follows_raw!$A$2:$A1000,LinkedIn_follows_raw!$E$2:$E1000)</f>
        <v>#N/A</v>
      </c>
      <c r="D840" s="26" t="str">
        <f t="array" ref="D840">sum(XLOOKUP($A840,LinkedIn_content_raw!$A$2:$A1000,LinkedIn_content_raw!$K$2:$K1000),XLOOKUP($A840,LinkedIn_content_raw!$A$2:$A1000,LinkedIn_content_raw!$N$2:$N1000),XLOOKUP($A840,LinkedIn_content_raw!$A$2:$A1000,LinkedIn_content_raw!$Q$2:$Q1000))</f>
        <v>#N/A</v>
      </c>
      <c r="E840" s="26" t="str">
        <f t="array" ref="E840">XLOOKUP($A840,LinkedIn_content_raw!$A$2:$A1000,LinkedIn_content_raw!$E$2:$E1000)</f>
        <v>#N/A</v>
      </c>
    </row>
    <row r="841">
      <c r="A841" s="26" t="str">
        <f>LinkedIn_content_raw!$A842</f>
        <v/>
      </c>
      <c r="B841" s="24" t="str">
        <f t="shared" si="1"/>
        <v/>
      </c>
      <c r="C841" s="26" t="str">
        <f t="array" ref="C841">XLOOKUP($A841,LinkedIn_follows_raw!$A$2:$A1000,LinkedIn_follows_raw!$E$2:$E1000)</f>
        <v>#N/A</v>
      </c>
      <c r="D841" s="26" t="str">
        <f t="array" ref="D841">sum(XLOOKUP($A841,LinkedIn_content_raw!$A$2:$A1000,LinkedIn_content_raw!$K$2:$K1000),XLOOKUP($A841,LinkedIn_content_raw!$A$2:$A1000,LinkedIn_content_raw!$N$2:$N1000),XLOOKUP($A841,LinkedIn_content_raw!$A$2:$A1000,LinkedIn_content_raw!$Q$2:$Q1000))</f>
        <v>#N/A</v>
      </c>
      <c r="E841" s="26" t="str">
        <f t="array" ref="E841">XLOOKUP($A841,LinkedIn_content_raw!$A$2:$A1000,LinkedIn_content_raw!$E$2:$E1000)</f>
        <v>#N/A</v>
      </c>
    </row>
    <row r="842">
      <c r="A842" s="26" t="str">
        <f>LinkedIn_content_raw!$A843</f>
        <v/>
      </c>
      <c r="B842" s="24" t="str">
        <f t="shared" si="1"/>
        <v/>
      </c>
      <c r="C842" s="26" t="str">
        <f t="array" ref="C842">XLOOKUP($A842,LinkedIn_follows_raw!$A$2:$A1000,LinkedIn_follows_raw!$E$2:$E1000)</f>
        <v>#N/A</v>
      </c>
      <c r="D842" s="26" t="str">
        <f t="array" ref="D842">sum(XLOOKUP($A842,LinkedIn_content_raw!$A$2:$A1000,LinkedIn_content_raw!$K$2:$K1000),XLOOKUP($A842,LinkedIn_content_raw!$A$2:$A1000,LinkedIn_content_raw!$N$2:$N1000),XLOOKUP($A842,LinkedIn_content_raw!$A$2:$A1000,LinkedIn_content_raw!$Q$2:$Q1000))</f>
        <v>#N/A</v>
      </c>
      <c r="E842" s="26" t="str">
        <f t="array" ref="E842">XLOOKUP($A842,LinkedIn_content_raw!$A$2:$A1000,LinkedIn_content_raw!$E$2:$E1000)</f>
        <v>#N/A</v>
      </c>
    </row>
    <row r="843">
      <c r="A843" s="26" t="str">
        <f>LinkedIn_content_raw!$A844</f>
        <v/>
      </c>
      <c r="B843" s="24" t="str">
        <f t="shared" si="1"/>
        <v/>
      </c>
      <c r="C843" s="26" t="str">
        <f t="array" ref="C843">XLOOKUP($A843,LinkedIn_follows_raw!$A$2:$A1000,LinkedIn_follows_raw!$E$2:$E1000)</f>
        <v>#N/A</v>
      </c>
      <c r="D843" s="26" t="str">
        <f t="array" ref="D843">sum(XLOOKUP($A843,LinkedIn_content_raw!$A$2:$A1000,LinkedIn_content_raw!$K$2:$K1000),XLOOKUP($A843,LinkedIn_content_raw!$A$2:$A1000,LinkedIn_content_raw!$N$2:$N1000),XLOOKUP($A843,LinkedIn_content_raw!$A$2:$A1000,LinkedIn_content_raw!$Q$2:$Q1000))</f>
        <v>#N/A</v>
      </c>
      <c r="E843" s="26" t="str">
        <f t="array" ref="E843">XLOOKUP($A843,LinkedIn_content_raw!$A$2:$A1000,LinkedIn_content_raw!$E$2:$E1000)</f>
        <v>#N/A</v>
      </c>
    </row>
    <row r="844">
      <c r="A844" s="26" t="str">
        <f>LinkedIn_content_raw!$A845</f>
        <v/>
      </c>
      <c r="B844" s="24" t="str">
        <f t="shared" si="1"/>
        <v/>
      </c>
      <c r="C844" s="26" t="str">
        <f t="array" ref="C844">XLOOKUP($A844,LinkedIn_follows_raw!$A$2:$A1000,LinkedIn_follows_raw!$E$2:$E1000)</f>
        <v>#N/A</v>
      </c>
      <c r="D844" s="26" t="str">
        <f t="array" ref="D844">sum(XLOOKUP($A844,LinkedIn_content_raw!$A$2:$A1000,LinkedIn_content_raw!$K$2:$K1000),XLOOKUP($A844,LinkedIn_content_raw!$A$2:$A1000,LinkedIn_content_raw!$N$2:$N1000),XLOOKUP($A844,LinkedIn_content_raw!$A$2:$A1000,LinkedIn_content_raw!$Q$2:$Q1000))</f>
        <v>#N/A</v>
      </c>
      <c r="E844" s="26" t="str">
        <f t="array" ref="E844">XLOOKUP($A844,LinkedIn_content_raw!$A$2:$A1000,LinkedIn_content_raw!$E$2:$E1000)</f>
        <v>#N/A</v>
      </c>
    </row>
    <row r="845">
      <c r="A845" s="26" t="str">
        <f>LinkedIn_content_raw!$A846</f>
        <v/>
      </c>
      <c r="B845" s="24" t="str">
        <f t="shared" si="1"/>
        <v/>
      </c>
      <c r="C845" s="26" t="str">
        <f t="array" ref="C845">XLOOKUP($A845,LinkedIn_follows_raw!$A$2:$A1000,LinkedIn_follows_raw!$E$2:$E1000)</f>
        <v>#N/A</v>
      </c>
      <c r="D845" s="26" t="str">
        <f t="array" ref="D845">sum(XLOOKUP($A845,LinkedIn_content_raw!$A$2:$A1000,LinkedIn_content_raw!$K$2:$K1000),XLOOKUP($A845,LinkedIn_content_raw!$A$2:$A1000,LinkedIn_content_raw!$N$2:$N1000),XLOOKUP($A845,LinkedIn_content_raw!$A$2:$A1000,LinkedIn_content_raw!$Q$2:$Q1000))</f>
        <v>#N/A</v>
      </c>
      <c r="E845" s="26" t="str">
        <f t="array" ref="E845">XLOOKUP($A845,LinkedIn_content_raw!$A$2:$A1000,LinkedIn_content_raw!$E$2:$E1000)</f>
        <v>#N/A</v>
      </c>
    </row>
    <row r="846">
      <c r="A846" s="26" t="str">
        <f>LinkedIn_content_raw!$A847</f>
        <v/>
      </c>
      <c r="B846" s="24" t="str">
        <f t="shared" si="1"/>
        <v/>
      </c>
      <c r="C846" s="26" t="str">
        <f t="array" ref="C846">XLOOKUP($A846,LinkedIn_follows_raw!$A$2:$A1000,LinkedIn_follows_raw!$E$2:$E1000)</f>
        <v>#N/A</v>
      </c>
      <c r="D846" s="26" t="str">
        <f t="array" ref="D846">sum(XLOOKUP($A846,LinkedIn_content_raw!$A$2:$A1000,LinkedIn_content_raw!$K$2:$K1000),XLOOKUP($A846,LinkedIn_content_raw!$A$2:$A1000,LinkedIn_content_raw!$N$2:$N1000),XLOOKUP($A846,LinkedIn_content_raw!$A$2:$A1000,LinkedIn_content_raw!$Q$2:$Q1000))</f>
        <v>#N/A</v>
      </c>
      <c r="E846" s="26" t="str">
        <f t="array" ref="E846">XLOOKUP($A846,LinkedIn_content_raw!$A$2:$A1000,LinkedIn_content_raw!$E$2:$E1000)</f>
        <v>#N/A</v>
      </c>
    </row>
    <row r="847">
      <c r="A847" s="26" t="str">
        <f>LinkedIn_content_raw!$A848</f>
        <v/>
      </c>
      <c r="B847" s="24" t="str">
        <f t="shared" si="1"/>
        <v/>
      </c>
      <c r="C847" s="26" t="str">
        <f t="array" ref="C847">XLOOKUP($A847,LinkedIn_follows_raw!$A$2:$A1000,LinkedIn_follows_raw!$E$2:$E1000)</f>
        <v>#N/A</v>
      </c>
      <c r="D847" s="26" t="str">
        <f t="array" ref="D847">sum(XLOOKUP($A847,LinkedIn_content_raw!$A$2:$A1000,LinkedIn_content_raw!$K$2:$K1000),XLOOKUP($A847,LinkedIn_content_raw!$A$2:$A1000,LinkedIn_content_raw!$N$2:$N1000),XLOOKUP($A847,LinkedIn_content_raw!$A$2:$A1000,LinkedIn_content_raw!$Q$2:$Q1000))</f>
        <v>#N/A</v>
      </c>
      <c r="E847" s="26" t="str">
        <f t="array" ref="E847">XLOOKUP($A847,LinkedIn_content_raw!$A$2:$A1000,LinkedIn_content_raw!$E$2:$E1000)</f>
        <v>#N/A</v>
      </c>
    </row>
    <row r="848">
      <c r="A848" s="26" t="str">
        <f>LinkedIn_content_raw!$A849</f>
        <v/>
      </c>
      <c r="B848" s="24" t="str">
        <f t="shared" si="1"/>
        <v/>
      </c>
      <c r="C848" s="26" t="str">
        <f t="array" ref="C848">XLOOKUP($A848,LinkedIn_follows_raw!$A$2:$A1000,LinkedIn_follows_raw!$E$2:$E1000)</f>
        <v>#N/A</v>
      </c>
      <c r="D848" s="26" t="str">
        <f t="array" ref="D848">sum(XLOOKUP($A848,LinkedIn_content_raw!$A$2:$A1000,LinkedIn_content_raw!$K$2:$K1000),XLOOKUP($A848,LinkedIn_content_raw!$A$2:$A1000,LinkedIn_content_raw!$N$2:$N1000),XLOOKUP($A848,LinkedIn_content_raw!$A$2:$A1000,LinkedIn_content_raw!$Q$2:$Q1000))</f>
        <v>#N/A</v>
      </c>
      <c r="E848" s="26" t="str">
        <f t="array" ref="E848">XLOOKUP($A848,LinkedIn_content_raw!$A$2:$A1000,LinkedIn_content_raw!$E$2:$E1000)</f>
        <v>#N/A</v>
      </c>
    </row>
    <row r="849">
      <c r="A849" s="26" t="str">
        <f>LinkedIn_content_raw!$A850</f>
        <v/>
      </c>
      <c r="B849" s="24" t="str">
        <f t="shared" si="1"/>
        <v/>
      </c>
      <c r="C849" s="26" t="str">
        <f t="array" ref="C849">XLOOKUP($A849,LinkedIn_follows_raw!$A$2:$A1000,LinkedIn_follows_raw!$E$2:$E1000)</f>
        <v>#N/A</v>
      </c>
      <c r="D849" s="26" t="str">
        <f t="array" ref="D849">sum(XLOOKUP($A849,LinkedIn_content_raw!$A$2:$A1000,LinkedIn_content_raw!$K$2:$K1000),XLOOKUP($A849,LinkedIn_content_raw!$A$2:$A1000,LinkedIn_content_raw!$N$2:$N1000),XLOOKUP($A849,LinkedIn_content_raw!$A$2:$A1000,LinkedIn_content_raw!$Q$2:$Q1000))</f>
        <v>#N/A</v>
      </c>
      <c r="E849" s="26" t="str">
        <f t="array" ref="E849">XLOOKUP($A849,LinkedIn_content_raw!$A$2:$A1000,LinkedIn_content_raw!$E$2:$E1000)</f>
        <v>#N/A</v>
      </c>
    </row>
    <row r="850">
      <c r="A850" s="26" t="str">
        <f>LinkedIn_content_raw!$A851</f>
        <v/>
      </c>
      <c r="B850" s="24" t="str">
        <f t="shared" si="1"/>
        <v/>
      </c>
      <c r="C850" s="26" t="str">
        <f t="array" ref="C850">XLOOKUP($A850,LinkedIn_follows_raw!$A$2:$A1000,LinkedIn_follows_raw!$E$2:$E1000)</f>
        <v>#N/A</v>
      </c>
      <c r="D850" s="26" t="str">
        <f t="array" ref="D850">sum(XLOOKUP($A850,LinkedIn_content_raw!$A$2:$A1000,LinkedIn_content_raw!$K$2:$K1000),XLOOKUP($A850,LinkedIn_content_raw!$A$2:$A1000,LinkedIn_content_raw!$N$2:$N1000),XLOOKUP($A850,LinkedIn_content_raw!$A$2:$A1000,LinkedIn_content_raw!$Q$2:$Q1000))</f>
        <v>#N/A</v>
      </c>
      <c r="E850" s="26" t="str">
        <f t="array" ref="E850">XLOOKUP($A850,LinkedIn_content_raw!$A$2:$A1000,LinkedIn_content_raw!$E$2:$E1000)</f>
        <v>#N/A</v>
      </c>
    </row>
    <row r="851">
      <c r="A851" s="26" t="str">
        <f>LinkedIn_content_raw!$A852</f>
        <v/>
      </c>
      <c r="B851" s="24" t="str">
        <f t="shared" si="1"/>
        <v/>
      </c>
      <c r="C851" s="26" t="str">
        <f t="array" ref="C851">XLOOKUP($A851,LinkedIn_follows_raw!$A$2:$A1000,LinkedIn_follows_raw!$E$2:$E1000)</f>
        <v>#N/A</v>
      </c>
      <c r="D851" s="26" t="str">
        <f t="array" ref="D851">sum(XLOOKUP($A851,LinkedIn_content_raw!$A$2:$A1000,LinkedIn_content_raw!$K$2:$K1000),XLOOKUP($A851,LinkedIn_content_raw!$A$2:$A1000,LinkedIn_content_raw!$N$2:$N1000),XLOOKUP($A851,LinkedIn_content_raw!$A$2:$A1000,LinkedIn_content_raw!$Q$2:$Q1000))</f>
        <v>#N/A</v>
      </c>
      <c r="E851" s="26" t="str">
        <f t="array" ref="E851">XLOOKUP($A851,LinkedIn_content_raw!$A$2:$A1000,LinkedIn_content_raw!$E$2:$E1000)</f>
        <v>#N/A</v>
      </c>
    </row>
    <row r="852">
      <c r="A852" s="26" t="str">
        <f>LinkedIn_content_raw!$A853</f>
        <v/>
      </c>
      <c r="B852" s="24" t="str">
        <f t="shared" si="1"/>
        <v/>
      </c>
      <c r="C852" s="26" t="str">
        <f t="array" ref="C852">XLOOKUP($A852,LinkedIn_follows_raw!$A$2:$A1000,LinkedIn_follows_raw!$E$2:$E1000)</f>
        <v>#N/A</v>
      </c>
      <c r="D852" s="26" t="str">
        <f t="array" ref="D852">sum(XLOOKUP($A852,LinkedIn_content_raw!$A$2:$A1000,LinkedIn_content_raw!$K$2:$K1000),XLOOKUP($A852,LinkedIn_content_raw!$A$2:$A1000,LinkedIn_content_raw!$N$2:$N1000),XLOOKUP($A852,LinkedIn_content_raw!$A$2:$A1000,LinkedIn_content_raw!$Q$2:$Q1000))</f>
        <v>#N/A</v>
      </c>
      <c r="E852" s="26" t="str">
        <f t="array" ref="E852">XLOOKUP($A852,LinkedIn_content_raw!$A$2:$A1000,LinkedIn_content_raw!$E$2:$E1000)</f>
        <v>#N/A</v>
      </c>
    </row>
    <row r="853">
      <c r="A853" s="26" t="str">
        <f>LinkedIn_content_raw!$A854</f>
        <v/>
      </c>
      <c r="B853" s="24" t="str">
        <f t="shared" si="1"/>
        <v/>
      </c>
      <c r="C853" s="26" t="str">
        <f t="array" ref="C853">XLOOKUP($A853,LinkedIn_follows_raw!$A$2:$A1000,LinkedIn_follows_raw!$E$2:$E1000)</f>
        <v>#N/A</v>
      </c>
      <c r="D853" s="26" t="str">
        <f t="array" ref="D853">sum(XLOOKUP($A853,LinkedIn_content_raw!$A$2:$A1000,LinkedIn_content_raw!$K$2:$K1000),XLOOKUP($A853,LinkedIn_content_raw!$A$2:$A1000,LinkedIn_content_raw!$N$2:$N1000),XLOOKUP($A853,LinkedIn_content_raw!$A$2:$A1000,LinkedIn_content_raw!$Q$2:$Q1000))</f>
        <v>#N/A</v>
      </c>
      <c r="E853" s="26" t="str">
        <f t="array" ref="E853">XLOOKUP($A853,LinkedIn_content_raw!$A$2:$A1000,LinkedIn_content_raw!$E$2:$E1000)</f>
        <v>#N/A</v>
      </c>
    </row>
    <row r="854">
      <c r="A854" s="26" t="str">
        <f>LinkedIn_content_raw!$A855</f>
        <v/>
      </c>
      <c r="B854" s="24" t="str">
        <f t="shared" si="1"/>
        <v/>
      </c>
      <c r="C854" s="26" t="str">
        <f t="array" ref="C854">XLOOKUP($A854,LinkedIn_follows_raw!$A$2:$A1000,LinkedIn_follows_raw!$E$2:$E1000)</f>
        <v>#N/A</v>
      </c>
      <c r="D854" s="26" t="str">
        <f t="array" ref="D854">sum(XLOOKUP($A854,LinkedIn_content_raw!$A$2:$A1000,LinkedIn_content_raw!$K$2:$K1000),XLOOKUP($A854,LinkedIn_content_raw!$A$2:$A1000,LinkedIn_content_raw!$N$2:$N1000),XLOOKUP($A854,LinkedIn_content_raw!$A$2:$A1000,LinkedIn_content_raw!$Q$2:$Q1000))</f>
        <v>#N/A</v>
      </c>
      <c r="E854" s="26" t="str">
        <f t="array" ref="E854">XLOOKUP($A854,LinkedIn_content_raw!$A$2:$A1000,LinkedIn_content_raw!$E$2:$E1000)</f>
        <v>#N/A</v>
      </c>
    </row>
    <row r="855">
      <c r="A855" s="26" t="str">
        <f>LinkedIn_content_raw!$A856</f>
        <v/>
      </c>
      <c r="B855" s="24" t="str">
        <f t="shared" si="1"/>
        <v/>
      </c>
      <c r="C855" s="26" t="str">
        <f t="array" ref="C855">XLOOKUP($A855,LinkedIn_follows_raw!$A$2:$A1000,LinkedIn_follows_raw!$E$2:$E1000)</f>
        <v>#N/A</v>
      </c>
      <c r="D855" s="26" t="str">
        <f t="array" ref="D855">sum(XLOOKUP($A855,LinkedIn_content_raw!$A$2:$A1000,LinkedIn_content_raw!$K$2:$K1000),XLOOKUP($A855,LinkedIn_content_raw!$A$2:$A1000,LinkedIn_content_raw!$N$2:$N1000),XLOOKUP($A855,LinkedIn_content_raw!$A$2:$A1000,LinkedIn_content_raw!$Q$2:$Q1000))</f>
        <v>#N/A</v>
      </c>
      <c r="E855" s="26" t="str">
        <f t="array" ref="E855">XLOOKUP($A855,LinkedIn_content_raw!$A$2:$A1000,LinkedIn_content_raw!$E$2:$E1000)</f>
        <v>#N/A</v>
      </c>
    </row>
    <row r="856">
      <c r="A856" s="26" t="str">
        <f>LinkedIn_content_raw!$A857</f>
        <v/>
      </c>
      <c r="B856" s="24" t="str">
        <f t="shared" si="1"/>
        <v/>
      </c>
      <c r="C856" s="26" t="str">
        <f t="array" ref="C856">XLOOKUP($A856,LinkedIn_follows_raw!$A$2:$A1000,LinkedIn_follows_raw!$E$2:$E1000)</f>
        <v>#N/A</v>
      </c>
      <c r="D856" s="26" t="str">
        <f t="array" ref="D856">sum(XLOOKUP($A856,LinkedIn_content_raw!$A$2:$A1000,LinkedIn_content_raw!$K$2:$K1000),XLOOKUP($A856,LinkedIn_content_raw!$A$2:$A1000,LinkedIn_content_raw!$N$2:$N1000),XLOOKUP($A856,LinkedIn_content_raw!$A$2:$A1000,LinkedIn_content_raw!$Q$2:$Q1000))</f>
        <v>#N/A</v>
      </c>
      <c r="E856" s="26" t="str">
        <f t="array" ref="E856">XLOOKUP($A856,LinkedIn_content_raw!$A$2:$A1000,LinkedIn_content_raw!$E$2:$E1000)</f>
        <v>#N/A</v>
      </c>
    </row>
    <row r="857">
      <c r="A857" s="26" t="str">
        <f>LinkedIn_content_raw!$A858</f>
        <v/>
      </c>
      <c r="B857" s="24" t="str">
        <f t="shared" si="1"/>
        <v/>
      </c>
      <c r="C857" s="26" t="str">
        <f t="array" ref="C857">XLOOKUP($A857,LinkedIn_follows_raw!$A$2:$A1000,LinkedIn_follows_raw!$E$2:$E1000)</f>
        <v>#N/A</v>
      </c>
      <c r="D857" s="26" t="str">
        <f t="array" ref="D857">sum(XLOOKUP($A857,LinkedIn_content_raw!$A$2:$A1000,LinkedIn_content_raw!$K$2:$K1000),XLOOKUP($A857,LinkedIn_content_raw!$A$2:$A1000,LinkedIn_content_raw!$N$2:$N1000),XLOOKUP($A857,LinkedIn_content_raw!$A$2:$A1000,LinkedIn_content_raw!$Q$2:$Q1000))</f>
        <v>#N/A</v>
      </c>
      <c r="E857" s="26" t="str">
        <f t="array" ref="E857">XLOOKUP($A857,LinkedIn_content_raw!$A$2:$A1000,LinkedIn_content_raw!$E$2:$E1000)</f>
        <v>#N/A</v>
      </c>
    </row>
    <row r="858">
      <c r="A858" s="26" t="str">
        <f>LinkedIn_content_raw!$A859</f>
        <v/>
      </c>
      <c r="B858" s="24" t="str">
        <f t="shared" si="1"/>
        <v/>
      </c>
      <c r="C858" s="26" t="str">
        <f t="array" ref="C858">XLOOKUP($A858,LinkedIn_follows_raw!$A$2:$A1000,LinkedIn_follows_raw!$E$2:$E1000)</f>
        <v>#N/A</v>
      </c>
      <c r="D858" s="26" t="str">
        <f t="array" ref="D858">sum(XLOOKUP($A858,LinkedIn_content_raw!$A$2:$A1000,LinkedIn_content_raw!$K$2:$K1000),XLOOKUP($A858,LinkedIn_content_raw!$A$2:$A1000,LinkedIn_content_raw!$N$2:$N1000),XLOOKUP($A858,LinkedIn_content_raw!$A$2:$A1000,LinkedIn_content_raw!$Q$2:$Q1000))</f>
        <v>#N/A</v>
      </c>
      <c r="E858" s="26" t="str">
        <f t="array" ref="E858">XLOOKUP($A858,LinkedIn_content_raw!$A$2:$A1000,LinkedIn_content_raw!$E$2:$E1000)</f>
        <v>#N/A</v>
      </c>
    </row>
    <row r="859">
      <c r="A859" s="26" t="str">
        <f>LinkedIn_content_raw!$A860</f>
        <v/>
      </c>
      <c r="B859" s="24" t="str">
        <f t="shared" si="1"/>
        <v/>
      </c>
      <c r="C859" s="26" t="str">
        <f t="array" ref="C859">XLOOKUP($A859,LinkedIn_follows_raw!$A$2:$A1000,LinkedIn_follows_raw!$E$2:$E1000)</f>
        <v>#N/A</v>
      </c>
      <c r="D859" s="26" t="str">
        <f t="array" ref="D859">sum(XLOOKUP($A859,LinkedIn_content_raw!$A$2:$A1000,LinkedIn_content_raw!$K$2:$K1000),XLOOKUP($A859,LinkedIn_content_raw!$A$2:$A1000,LinkedIn_content_raw!$N$2:$N1000),XLOOKUP($A859,LinkedIn_content_raw!$A$2:$A1000,LinkedIn_content_raw!$Q$2:$Q1000))</f>
        <v>#N/A</v>
      </c>
      <c r="E859" s="26" t="str">
        <f t="array" ref="E859">XLOOKUP($A859,LinkedIn_content_raw!$A$2:$A1000,LinkedIn_content_raw!$E$2:$E1000)</f>
        <v>#N/A</v>
      </c>
    </row>
    <row r="860">
      <c r="A860" s="26" t="str">
        <f>LinkedIn_content_raw!$A861</f>
        <v/>
      </c>
      <c r="B860" s="24" t="str">
        <f t="shared" si="1"/>
        <v/>
      </c>
      <c r="C860" s="26" t="str">
        <f t="array" ref="C860">XLOOKUP($A860,LinkedIn_follows_raw!$A$2:$A1000,LinkedIn_follows_raw!$E$2:$E1000)</f>
        <v>#N/A</v>
      </c>
      <c r="D860" s="26" t="str">
        <f t="array" ref="D860">sum(XLOOKUP($A860,LinkedIn_content_raw!$A$2:$A1000,LinkedIn_content_raw!$K$2:$K1000),XLOOKUP($A860,LinkedIn_content_raw!$A$2:$A1000,LinkedIn_content_raw!$N$2:$N1000),XLOOKUP($A860,LinkedIn_content_raw!$A$2:$A1000,LinkedIn_content_raw!$Q$2:$Q1000))</f>
        <v>#N/A</v>
      </c>
      <c r="E860" s="26" t="str">
        <f t="array" ref="E860">XLOOKUP($A860,LinkedIn_content_raw!$A$2:$A1000,LinkedIn_content_raw!$E$2:$E1000)</f>
        <v>#N/A</v>
      </c>
    </row>
    <row r="861">
      <c r="A861" s="26" t="str">
        <f>LinkedIn_content_raw!$A862</f>
        <v/>
      </c>
      <c r="B861" s="24" t="str">
        <f t="shared" si="1"/>
        <v/>
      </c>
      <c r="C861" s="26" t="str">
        <f t="array" ref="C861">XLOOKUP($A861,LinkedIn_follows_raw!$A$2:$A1000,LinkedIn_follows_raw!$E$2:$E1000)</f>
        <v>#N/A</v>
      </c>
      <c r="D861" s="26" t="str">
        <f t="array" ref="D861">sum(XLOOKUP($A861,LinkedIn_content_raw!$A$2:$A1000,LinkedIn_content_raw!$K$2:$K1000),XLOOKUP($A861,LinkedIn_content_raw!$A$2:$A1000,LinkedIn_content_raw!$N$2:$N1000),XLOOKUP($A861,LinkedIn_content_raw!$A$2:$A1000,LinkedIn_content_raw!$Q$2:$Q1000))</f>
        <v>#N/A</v>
      </c>
      <c r="E861" s="26" t="str">
        <f t="array" ref="E861">XLOOKUP($A861,LinkedIn_content_raw!$A$2:$A1000,LinkedIn_content_raw!$E$2:$E1000)</f>
        <v>#N/A</v>
      </c>
    </row>
    <row r="862">
      <c r="A862" s="26" t="str">
        <f>LinkedIn_content_raw!$A863</f>
        <v/>
      </c>
      <c r="B862" s="24" t="str">
        <f t="shared" si="1"/>
        <v/>
      </c>
      <c r="C862" s="26" t="str">
        <f t="array" ref="C862">XLOOKUP($A862,LinkedIn_follows_raw!$A$2:$A1000,LinkedIn_follows_raw!$E$2:$E1000)</f>
        <v>#N/A</v>
      </c>
      <c r="D862" s="26" t="str">
        <f t="array" ref="D862">sum(XLOOKUP($A862,LinkedIn_content_raw!$A$2:$A1000,LinkedIn_content_raw!$K$2:$K1000),XLOOKUP($A862,LinkedIn_content_raw!$A$2:$A1000,LinkedIn_content_raw!$N$2:$N1000),XLOOKUP($A862,LinkedIn_content_raw!$A$2:$A1000,LinkedIn_content_raw!$Q$2:$Q1000))</f>
        <v>#N/A</v>
      </c>
      <c r="E862" s="26" t="str">
        <f t="array" ref="E862">XLOOKUP($A862,LinkedIn_content_raw!$A$2:$A1000,LinkedIn_content_raw!$E$2:$E1000)</f>
        <v>#N/A</v>
      </c>
    </row>
    <row r="863">
      <c r="A863" s="26" t="str">
        <f>LinkedIn_content_raw!$A864</f>
        <v/>
      </c>
      <c r="B863" s="24" t="str">
        <f t="shared" si="1"/>
        <v/>
      </c>
      <c r="C863" s="26" t="str">
        <f t="array" ref="C863">XLOOKUP($A863,LinkedIn_follows_raw!$A$2:$A1000,LinkedIn_follows_raw!$E$2:$E1000)</f>
        <v>#N/A</v>
      </c>
      <c r="D863" s="26" t="str">
        <f t="array" ref="D863">sum(XLOOKUP($A863,LinkedIn_content_raw!$A$2:$A1000,LinkedIn_content_raw!$K$2:$K1000),XLOOKUP($A863,LinkedIn_content_raw!$A$2:$A1000,LinkedIn_content_raw!$N$2:$N1000),XLOOKUP($A863,LinkedIn_content_raw!$A$2:$A1000,LinkedIn_content_raw!$Q$2:$Q1000))</f>
        <v>#N/A</v>
      </c>
      <c r="E863" s="26" t="str">
        <f t="array" ref="E863">XLOOKUP($A863,LinkedIn_content_raw!$A$2:$A1000,LinkedIn_content_raw!$E$2:$E1000)</f>
        <v>#N/A</v>
      </c>
    </row>
    <row r="864">
      <c r="A864" s="26" t="str">
        <f>LinkedIn_content_raw!$A865</f>
        <v/>
      </c>
      <c r="B864" s="24" t="str">
        <f t="shared" si="1"/>
        <v/>
      </c>
      <c r="C864" s="26" t="str">
        <f t="array" ref="C864">XLOOKUP($A864,LinkedIn_follows_raw!$A$2:$A1000,LinkedIn_follows_raw!$E$2:$E1000)</f>
        <v>#N/A</v>
      </c>
      <c r="D864" s="26" t="str">
        <f t="array" ref="D864">sum(XLOOKUP($A864,LinkedIn_content_raw!$A$2:$A1000,LinkedIn_content_raw!$K$2:$K1000),XLOOKUP($A864,LinkedIn_content_raw!$A$2:$A1000,LinkedIn_content_raw!$N$2:$N1000),XLOOKUP($A864,LinkedIn_content_raw!$A$2:$A1000,LinkedIn_content_raw!$Q$2:$Q1000))</f>
        <v>#N/A</v>
      </c>
      <c r="E864" s="26" t="str">
        <f t="array" ref="E864">XLOOKUP($A864,LinkedIn_content_raw!$A$2:$A1000,LinkedIn_content_raw!$E$2:$E1000)</f>
        <v>#N/A</v>
      </c>
    </row>
    <row r="865">
      <c r="A865" s="26" t="str">
        <f>LinkedIn_content_raw!$A866</f>
        <v/>
      </c>
      <c r="B865" s="24" t="str">
        <f t="shared" si="1"/>
        <v/>
      </c>
      <c r="C865" s="26" t="str">
        <f t="array" ref="C865">XLOOKUP($A865,LinkedIn_follows_raw!$A$2:$A1000,LinkedIn_follows_raw!$E$2:$E1000)</f>
        <v>#N/A</v>
      </c>
      <c r="D865" s="26" t="str">
        <f t="array" ref="D865">sum(XLOOKUP($A865,LinkedIn_content_raw!$A$2:$A1000,LinkedIn_content_raw!$K$2:$K1000),XLOOKUP($A865,LinkedIn_content_raw!$A$2:$A1000,LinkedIn_content_raw!$N$2:$N1000),XLOOKUP($A865,LinkedIn_content_raw!$A$2:$A1000,LinkedIn_content_raw!$Q$2:$Q1000))</f>
        <v>#N/A</v>
      </c>
      <c r="E865" s="26" t="str">
        <f t="array" ref="E865">XLOOKUP($A865,LinkedIn_content_raw!$A$2:$A1000,LinkedIn_content_raw!$E$2:$E1000)</f>
        <v>#N/A</v>
      </c>
    </row>
    <row r="866">
      <c r="A866" s="26" t="str">
        <f>LinkedIn_content_raw!$A867</f>
        <v/>
      </c>
      <c r="B866" s="24" t="str">
        <f t="shared" si="1"/>
        <v/>
      </c>
      <c r="C866" s="26" t="str">
        <f t="array" ref="C866">XLOOKUP($A866,LinkedIn_follows_raw!$A$2:$A1000,LinkedIn_follows_raw!$E$2:$E1000)</f>
        <v>#N/A</v>
      </c>
      <c r="D866" s="26" t="str">
        <f t="array" ref="D866">sum(XLOOKUP($A866,LinkedIn_content_raw!$A$2:$A1000,LinkedIn_content_raw!$K$2:$K1000),XLOOKUP($A866,LinkedIn_content_raw!$A$2:$A1000,LinkedIn_content_raw!$N$2:$N1000),XLOOKUP($A866,LinkedIn_content_raw!$A$2:$A1000,LinkedIn_content_raw!$Q$2:$Q1000))</f>
        <v>#N/A</v>
      </c>
      <c r="E866" s="26" t="str">
        <f t="array" ref="E866">XLOOKUP($A866,LinkedIn_content_raw!$A$2:$A1000,LinkedIn_content_raw!$E$2:$E1000)</f>
        <v>#N/A</v>
      </c>
    </row>
    <row r="867">
      <c r="A867" s="26" t="str">
        <f>LinkedIn_content_raw!$A868</f>
        <v/>
      </c>
      <c r="B867" s="24" t="str">
        <f t="shared" si="1"/>
        <v/>
      </c>
      <c r="C867" s="26" t="str">
        <f t="array" ref="C867">XLOOKUP($A867,LinkedIn_follows_raw!$A$2:$A1000,LinkedIn_follows_raw!$E$2:$E1000)</f>
        <v>#N/A</v>
      </c>
      <c r="D867" s="26" t="str">
        <f t="array" ref="D867">sum(XLOOKUP($A867,LinkedIn_content_raw!$A$2:$A1000,LinkedIn_content_raw!$K$2:$K1000),XLOOKUP($A867,LinkedIn_content_raw!$A$2:$A1000,LinkedIn_content_raw!$N$2:$N1000),XLOOKUP($A867,LinkedIn_content_raw!$A$2:$A1000,LinkedIn_content_raw!$Q$2:$Q1000))</f>
        <v>#N/A</v>
      </c>
      <c r="E867" s="26" t="str">
        <f t="array" ref="E867">XLOOKUP($A867,LinkedIn_content_raw!$A$2:$A1000,LinkedIn_content_raw!$E$2:$E1000)</f>
        <v>#N/A</v>
      </c>
    </row>
    <row r="868">
      <c r="A868" s="26" t="str">
        <f>LinkedIn_content_raw!$A869</f>
        <v/>
      </c>
      <c r="B868" s="24" t="str">
        <f t="shared" si="1"/>
        <v/>
      </c>
      <c r="C868" s="26" t="str">
        <f t="array" ref="C868">XLOOKUP($A868,LinkedIn_follows_raw!$A$2:$A1000,LinkedIn_follows_raw!$E$2:$E1000)</f>
        <v>#N/A</v>
      </c>
      <c r="D868" s="26" t="str">
        <f t="array" ref="D868">sum(XLOOKUP($A868,LinkedIn_content_raw!$A$2:$A1000,LinkedIn_content_raw!$K$2:$K1000),XLOOKUP($A868,LinkedIn_content_raw!$A$2:$A1000,LinkedIn_content_raw!$N$2:$N1000),XLOOKUP($A868,LinkedIn_content_raw!$A$2:$A1000,LinkedIn_content_raw!$Q$2:$Q1000))</f>
        <v>#N/A</v>
      </c>
      <c r="E868" s="26" t="str">
        <f t="array" ref="E868">XLOOKUP($A868,LinkedIn_content_raw!$A$2:$A1000,LinkedIn_content_raw!$E$2:$E1000)</f>
        <v>#N/A</v>
      </c>
    </row>
    <row r="869">
      <c r="A869" s="26" t="str">
        <f>LinkedIn_content_raw!$A870</f>
        <v/>
      </c>
      <c r="B869" s="24" t="str">
        <f t="shared" si="1"/>
        <v/>
      </c>
      <c r="C869" s="26" t="str">
        <f t="array" ref="C869">XLOOKUP($A869,LinkedIn_follows_raw!$A$2:$A1000,LinkedIn_follows_raw!$E$2:$E1000)</f>
        <v>#N/A</v>
      </c>
      <c r="D869" s="26" t="str">
        <f t="array" ref="D869">sum(XLOOKUP($A869,LinkedIn_content_raw!$A$2:$A1000,LinkedIn_content_raw!$K$2:$K1000),XLOOKUP($A869,LinkedIn_content_raw!$A$2:$A1000,LinkedIn_content_raw!$N$2:$N1000),XLOOKUP($A869,LinkedIn_content_raw!$A$2:$A1000,LinkedIn_content_raw!$Q$2:$Q1000))</f>
        <v>#N/A</v>
      </c>
      <c r="E869" s="26" t="str">
        <f t="array" ref="E869">XLOOKUP($A869,LinkedIn_content_raw!$A$2:$A1000,LinkedIn_content_raw!$E$2:$E1000)</f>
        <v>#N/A</v>
      </c>
    </row>
    <row r="870">
      <c r="A870" s="26" t="str">
        <f>LinkedIn_content_raw!$A871</f>
        <v/>
      </c>
      <c r="B870" s="24" t="str">
        <f t="shared" si="1"/>
        <v/>
      </c>
      <c r="C870" s="26" t="str">
        <f t="array" ref="C870">XLOOKUP($A870,LinkedIn_follows_raw!$A$2:$A1000,LinkedIn_follows_raw!$E$2:$E1000)</f>
        <v>#N/A</v>
      </c>
      <c r="D870" s="26" t="str">
        <f t="array" ref="D870">sum(XLOOKUP($A870,LinkedIn_content_raw!$A$2:$A1000,LinkedIn_content_raw!$K$2:$K1000),XLOOKUP($A870,LinkedIn_content_raw!$A$2:$A1000,LinkedIn_content_raw!$N$2:$N1000),XLOOKUP($A870,LinkedIn_content_raw!$A$2:$A1000,LinkedIn_content_raw!$Q$2:$Q1000))</f>
        <v>#N/A</v>
      </c>
      <c r="E870" s="26" t="str">
        <f t="array" ref="E870">XLOOKUP($A870,LinkedIn_content_raw!$A$2:$A1000,LinkedIn_content_raw!$E$2:$E1000)</f>
        <v>#N/A</v>
      </c>
    </row>
    <row r="871">
      <c r="A871" s="26" t="str">
        <f>LinkedIn_content_raw!$A872</f>
        <v/>
      </c>
      <c r="B871" s="24" t="str">
        <f t="shared" si="1"/>
        <v/>
      </c>
      <c r="C871" s="26" t="str">
        <f t="array" ref="C871">XLOOKUP($A871,LinkedIn_follows_raw!$A$2:$A1000,LinkedIn_follows_raw!$E$2:$E1000)</f>
        <v>#N/A</v>
      </c>
      <c r="D871" s="26" t="str">
        <f t="array" ref="D871">sum(XLOOKUP($A871,LinkedIn_content_raw!$A$2:$A1000,LinkedIn_content_raw!$K$2:$K1000),XLOOKUP($A871,LinkedIn_content_raw!$A$2:$A1000,LinkedIn_content_raw!$N$2:$N1000),XLOOKUP($A871,LinkedIn_content_raw!$A$2:$A1000,LinkedIn_content_raw!$Q$2:$Q1000))</f>
        <v>#N/A</v>
      </c>
      <c r="E871" s="26" t="str">
        <f t="array" ref="E871">XLOOKUP($A871,LinkedIn_content_raw!$A$2:$A1000,LinkedIn_content_raw!$E$2:$E1000)</f>
        <v>#N/A</v>
      </c>
    </row>
    <row r="872">
      <c r="A872" s="26" t="str">
        <f>LinkedIn_content_raw!$A873</f>
        <v/>
      </c>
      <c r="B872" s="24" t="str">
        <f t="shared" si="1"/>
        <v/>
      </c>
      <c r="C872" s="26" t="str">
        <f t="array" ref="C872">XLOOKUP($A872,LinkedIn_follows_raw!$A$2:$A1000,LinkedIn_follows_raw!$E$2:$E1000)</f>
        <v>#N/A</v>
      </c>
      <c r="D872" s="26" t="str">
        <f t="array" ref="D872">sum(XLOOKUP($A872,LinkedIn_content_raw!$A$2:$A1000,LinkedIn_content_raw!$K$2:$K1000),XLOOKUP($A872,LinkedIn_content_raw!$A$2:$A1000,LinkedIn_content_raw!$N$2:$N1000),XLOOKUP($A872,LinkedIn_content_raw!$A$2:$A1000,LinkedIn_content_raw!$Q$2:$Q1000))</f>
        <v>#N/A</v>
      </c>
      <c r="E872" s="26" t="str">
        <f t="array" ref="E872">XLOOKUP($A872,LinkedIn_content_raw!$A$2:$A1000,LinkedIn_content_raw!$E$2:$E1000)</f>
        <v>#N/A</v>
      </c>
    </row>
    <row r="873">
      <c r="A873" s="26" t="str">
        <f>LinkedIn_content_raw!$A874</f>
        <v/>
      </c>
      <c r="B873" s="24" t="str">
        <f t="shared" si="1"/>
        <v/>
      </c>
      <c r="C873" s="26" t="str">
        <f t="array" ref="C873">XLOOKUP($A873,LinkedIn_follows_raw!$A$2:$A1000,LinkedIn_follows_raw!$E$2:$E1000)</f>
        <v>#N/A</v>
      </c>
      <c r="D873" s="26" t="str">
        <f t="array" ref="D873">sum(XLOOKUP($A873,LinkedIn_content_raw!$A$2:$A1000,LinkedIn_content_raw!$K$2:$K1000),XLOOKUP($A873,LinkedIn_content_raw!$A$2:$A1000,LinkedIn_content_raw!$N$2:$N1000),XLOOKUP($A873,LinkedIn_content_raw!$A$2:$A1000,LinkedIn_content_raw!$Q$2:$Q1000))</f>
        <v>#N/A</v>
      </c>
      <c r="E873" s="26" t="str">
        <f t="array" ref="E873">XLOOKUP($A873,LinkedIn_content_raw!$A$2:$A1000,LinkedIn_content_raw!$E$2:$E1000)</f>
        <v>#N/A</v>
      </c>
    </row>
    <row r="874">
      <c r="A874" s="26" t="str">
        <f>LinkedIn_content_raw!$A875</f>
        <v/>
      </c>
      <c r="B874" s="24" t="str">
        <f t="shared" si="1"/>
        <v/>
      </c>
      <c r="C874" s="26" t="str">
        <f t="array" ref="C874">XLOOKUP($A874,LinkedIn_follows_raw!$A$2:$A1000,LinkedIn_follows_raw!$E$2:$E1000)</f>
        <v>#N/A</v>
      </c>
      <c r="D874" s="26" t="str">
        <f t="array" ref="D874">sum(XLOOKUP($A874,LinkedIn_content_raw!$A$2:$A1000,LinkedIn_content_raw!$K$2:$K1000),XLOOKUP($A874,LinkedIn_content_raw!$A$2:$A1000,LinkedIn_content_raw!$N$2:$N1000),XLOOKUP($A874,LinkedIn_content_raw!$A$2:$A1000,LinkedIn_content_raw!$Q$2:$Q1000))</f>
        <v>#N/A</v>
      </c>
      <c r="E874" s="26" t="str">
        <f t="array" ref="E874">XLOOKUP($A874,LinkedIn_content_raw!$A$2:$A1000,LinkedIn_content_raw!$E$2:$E1000)</f>
        <v>#N/A</v>
      </c>
    </row>
    <row r="875">
      <c r="A875" s="26" t="str">
        <f>LinkedIn_content_raw!$A876</f>
        <v/>
      </c>
      <c r="B875" s="24" t="str">
        <f t="shared" si="1"/>
        <v/>
      </c>
      <c r="C875" s="26" t="str">
        <f t="array" ref="C875">XLOOKUP($A875,LinkedIn_follows_raw!$A$2:$A1000,LinkedIn_follows_raw!$E$2:$E1000)</f>
        <v>#N/A</v>
      </c>
      <c r="D875" s="26" t="str">
        <f t="array" ref="D875">sum(XLOOKUP($A875,LinkedIn_content_raw!$A$2:$A1000,LinkedIn_content_raw!$K$2:$K1000),XLOOKUP($A875,LinkedIn_content_raw!$A$2:$A1000,LinkedIn_content_raw!$N$2:$N1000),XLOOKUP($A875,LinkedIn_content_raw!$A$2:$A1000,LinkedIn_content_raw!$Q$2:$Q1000))</f>
        <v>#N/A</v>
      </c>
      <c r="E875" s="26" t="str">
        <f t="array" ref="E875">XLOOKUP($A875,LinkedIn_content_raw!$A$2:$A1000,LinkedIn_content_raw!$E$2:$E1000)</f>
        <v>#N/A</v>
      </c>
    </row>
    <row r="876">
      <c r="A876" s="26" t="str">
        <f>LinkedIn_content_raw!$A877</f>
        <v/>
      </c>
      <c r="B876" s="24" t="str">
        <f t="shared" si="1"/>
        <v/>
      </c>
      <c r="C876" s="26" t="str">
        <f t="array" ref="C876">XLOOKUP($A876,LinkedIn_follows_raw!$A$2:$A1000,LinkedIn_follows_raw!$E$2:$E1000)</f>
        <v>#N/A</v>
      </c>
      <c r="D876" s="26" t="str">
        <f t="array" ref="D876">sum(XLOOKUP($A876,LinkedIn_content_raw!$A$2:$A1000,LinkedIn_content_raw!$K$2:$K1000),XLOOKUP($A876,LinkedIn_content_raw!$A$2:$A1000,LinkedIn_content_raw!$N$2:$N1000),XLOOKUP($A876,LinkedIn_content_raw!$A$2:$A1000,LinkedIn_content_raw!$Q$2:$Q1000))</f>
        <v>#N/A</v>
      </c>
      <c r="E876" s="26" t="str">
        <f t="array" ref="E876">XLOOKUP($A876,LinkedIn_content_raw!$A$2:$A1000,LinkedIn_content_raw!$E$2:$E1000)</f>
        <v>#N/A</v>
      </c>
    </row>
    <row r="877">
      <c r="A877" s="26" t="str">
        <f>LinkedIn_content_raw!$A878</f>
        <v/>
      </c>
      <c r="B877" s="24" t="str">
        <f t="shared" si="1"/>
        <v/>
      </c>
      <c r="C877" s="26" t="str">
        <f t="array" ref="C877">XLOOKUP($A877,LinkedIn_follows_raw!$A$2:$A1000,LinkedIn_follows_raw!$E$2:$E1000)</f>
        <v>#N/A</v>
      </c>
      <c r="D877" s="26" t="str">
        <f t="array" ref="D877">sum(XLOOKUP($A877,LinkedIn_content_raw!$A$2:$A1000,LinkedIn_content_raw!$K$2:$K1000),XLOOKUP($A877,LinkedIn_content_raw!$A$2:$A1000,LinkedIn_content_raw!$N$2:$N1000),XLOOKUP($A877,LinkedIn_content_raw!$A$2:$A1000,LinkedIn_content_raw!$Q$2:$Q1000))</f>
        <v>#N/A</v>
      </c>
      <c r="E877" s="26" t="str">
        <f t="array" ref="E877">XLOOKUP($A877,LinkedIn_content_raw!$A$2:$A1000,LinkedIn_content_raw!$E$2:$E1000)</f>
        <v>#N/A</v>
      </c>
    </row>
    <row r="878">
      <c r="A878" s="26" t="str">
        <f>LinkedIn_content_raw!$A879</f>
        <v/>
      </c>
      <c r="B878" s="24" t="str">
        <f t="shared" si="1"/>
        <v/>
      </c>
      <c r="C878" s="26" t="str">
        <f t="array" ref="C878">XLOOKUP($A878,LinkedIn_follows_raw!$A$2:$A1000,LinkedIn_follows_raw!$E$2:$E1000)</f>
        <v>#N/A</v>
      </c>
      <c r="D878" s="26" t="str">
        <f t="array" ref="D878">sum(XLOOKUP($A878,LinkedIn_content_raw!$A$2:$A1000,LinkedIn_content_raw!$K$2:$K1000),XLOOKUP($A878,LinkedIn_content_raw!$A$2:$A1000,LinkedIn_content_raw!$N$2:$N1000),XLOOKUP($A878,LinkedIn_content_raw!$A$2:$A1000,LinkedIn_content_raw!$Q$2:$Q1000))</f>
        <v>#N/A</v>
      </c>
      <c r="E878" s="26" t="str">
        <f t="array" ref="E878">XLOOKUP($A878,LinkedIn_content_raw!$A$2:$A1000,LinkedIn_content_raw!$E$2:$E1000)</f>
        <v>#N/A</v>
      </c>
    </row>
    <row r="879">
      <c r="A879" s="26" t="str">
        <f>LinkedIn_content_raw!$A880</f>
        <v/>
      </c>
      <c r="B879" s="24" t="str">
        <f t="shared" si="1"/>
        <v/>
      </c>
      <c r="C879" s="26" t="str">
        <f t="array" ref="C879">XLOOKUP($A879,LinkedIn_follows_raw!$A$2:$A1000,LinkedIn_follows_raw!$E$2:$E1000)</f>
        <v>#N/A</v>
      </c>
      <c r="D879" s="26" t="str">
        <f t="array" ref="D879">sum(XLOOKUP($A879,LinkedIn_content_raw!$A$2:$A1000,LinkedIn_content_raw!$K$2:$K1000),XLOOKUP($A879,LinkedIn_content_raw!$A$2:$A1000,LinkedIn_content_raw!$N$2:$N1000),XLOOKUP($A879,LinkedIn_content_raw!$A$2:$A1000,LinkedIn_content_raw!$Q$2:$Q1000))</f>
        <v>#N/A</v>
      </c>
      <c r="E879" s="26" t="str">
        <f t="array" ref="E879">XLOOKUP($A879,LinkedIn_content_raw!$A$2:$A1000,LinkedIn_content_raw!$E$2:$E1000)</f>
        <v>#N/A</v>
      </c>
    </row>
    <row r="880">
      <c r="A880" s="26" t="str">
        <f>LinkedIn_content_raw!$A881</f>
        <v/>
      </c>
      <c r="B880" s="24" t="str">
        <f t="shared" si="1"/>
        <v/>
      </c>
      <c r="C880" s="26" t="str">
        <f t="array" ref="C880">XLOOKUP($A880,LinkedIn_follows_raw!$A$2:$A1000,LinkedIn_follows_raw!$E$2:$E1000)</f>
        <v>#N/A</v>
      </c>
      <c r="D880" s="26" t="str">
        <f t="array" ref="D880">sum(XLOOKUP($A880,LinkedIn_content_raw!$A$2:$A1000,LinkedIn_content_raw!$K$2:$K1000),XLOOKUP($A880,LinkedIn_content_raw!$A$2:$A1000,LinkedIn_content_raw!$N$2:$N1000),XLOOKUP($A880,LinkedIn_content_raw!$A$2:$A1000,LinkedIn_content_raw!$Q$2:$Q1000))</f>
        <v>#N/A</v>
      </c>
      <c r="E880" s="26" t="str">
        <f t="array" ref="E880">XLOOKUP($A880,LinkedIn_content_raw!$A$2:$A1000,LinkedIn_content_raw!$E$2:$E1000)</f>
        <v>#N/A</v>
      </c>
    </row>
    <row r="881">
      <c r="A881" s="26" t="str">
        <f>LinkedIn_content_raw!$A882</f>
        <v/>
      </c>
      <c r="B881" s="24" t="str">
        <f t="shared" si="1"/>
        <v/>
      </c>
      <c r="C881" s="26" t="str">
        <f t="array" ref="C881">XLOOKUP($A881,LinkedIn_follows_raw!$A$2:$A1000,LinkedIn_follows_raw!$E$2:$E1000)</f>
        <v>#N/A</v>
      </c>
      <c r="D881" s="26" t="str">
        <f t="array" ref="D881">sum(XLOOKUP($A881,LinkedIn_content_raw!$A$2:$A1000,LinkedIn_content_raw!$K$2:$K1000),XLOOKUP($A881,LinkedIn_content_raw!$A$2:$A1000,LinkedIn_content_raw!$N$2:$N1000),XLOOKUP($A881,LinkedIn_content_raw!$A$2:$A1000,LinkedIn_content_raw!$Q$2:$Q1000))</f>
        <v>#N/A</v>
      </c>
      <c r="E881" s="26" t="str">
        <f t="array" ref="E881">XLOOKUP($A881,LinkedIn_content_raw!$A$2:$A1000,LinkedIn_content_raw!$E$2:$E1000)</f>
        <v>#N/A</v>
      </c>
    </row>
    <row r="882">
      <c r="A882" s="26" t="str">
        <f>LinkedIn_content_raw!$A883</f>
        <v/>
      </c>
      <c r="B882" s="24" t="str">
        <f t="shared" si="1"/>
        <v/>
      </c>
      <c r="C882" s="26" t="str">
        <f t="array" ref="C882">XLOOKUP($A882,LinkedIn_follows_raw!$A$2:$A1000,LinkedIn_follows_raw!$E$2:$E1000)</f>
        <v>#N/A</v>
      </c>
      <c r="D882" s="26" t="str">
        <f t="array" ref="D882">sum(XLOOKUP($A882,LinkedIn_content_raw!$A$2:$A1000,LinkedIn_content_raw!$K$2:$K1000),XLOOKUP($A882,LinkedIn_content_raw!$A$2:$A1000,LinkedIn_content_raw!$N$2:$N1000),XLOOKUP($A882,LinkedIn_content_raw!$A$2:$A1000,LinkedIn_content_raw!$Q$2:$Q1000))</f>
        <v>#N/A</v>
      </c>
      <c r="E882" s="26" t="str">
        <f t="array" ref="E882">XLOOKUP($A882,LinkedIn_content_raw!$A$2:$A1000,LinkedIn_content_raw!$E$2:$E1000)</f>
        <v>#N/A</v>
      </c>
    </row>
    <row r="883">
      <c r="A883" s="26" t="str">
        <f>LinkedIn_content_raw!$A884</f>
        <v/>
      </c>
      <c r="B883" s="24" t="str">
        <f t="shared" si="1"/>
        <v/>
      </c>
      <c r="C883" s="26" t="str">
        <f t="array" ref="C883">XLOOKUP($A883,LinkedIn_follows_raw!$A$2:$A1000,LinkedIn_follows_raw!$E$2:$E1000)</f>
        <v>#N/A</v>
      </c>
      <c r="D883" s="26" t="str">
        <f t="array" ref="D883">sum(XLOOKUP($A883,LinkedIn_content_raw!$A$2:$A1000,LinkedIn_content_raw!$K$2:$K1000),XLOOKUP($A883,LinkedIn_content_raw!$A$2:$A1000,LinkedIn_content_raw!$N$2:$N1000),XLOOKUP($A883,LinkedIn_content_raw!$A$2:$A1000,LinkedIn_content_raw!$Q$2:$Q1000))</f>
        <v>#N/A</v>
      </c>
      <c r="E883" s="26" t="str">
        <f t="array" ref="E883">XLOOKUP($A883,LinkedIn_content_raw!$A$2:$A1000,LinkedIn_content_raw!$E$2:$E1000)</f>
        <v>#N/A</v>
      </c>
    </row>
    <row r="884">
      <c r="A884" s="26" t="str">
        <f>LinkedIn_content_raw!$A885</f>
        <v/>
      </c>
      <c r="B884" s="24" t="str">
        <f t="shared" si="1"/>
        <v/>
      </c>
      <c r="C884" s="26" t="str">
        <f t="array" ref="C884">XLOOKUP($A884,LinkedIn_follows_raw!$A$2:$A1000,LinkedIn_follows_raw!$E$2:$E1000)</f>
        <v>#N/A</v>
      </c>
      <c r="D884" s="26" t="str">
        <f t="array" ref="D884">sum(XLOOKUP($A884,LinkedIn_content_raw!$A$2:$A1000,LinkedIn_content_raw!$K$2:$K1000),XLOOKUP($A884,LinkedIn_content_raw!$A$2:$A1000,LinkedIn_content_raw!$N$2:$N1000),XLOOKUP($A884,LinkedIn_content_raw!$A$2:$A1000,LinkedIn_content_raw!$Q$2:$Q1000))</f>
        <v>#N/A</v>
      </c>
      <c r="E884" s="26" t="str">
        <f t="array" ref="E884">XLOOKUP($A884,LinkedIn_content_raw!$A$2:$A1000,LinkedIn_content_raw!$E$2:$E1000)</f>
        <v>#N/A</v>
      </c>
    </row>
    <row r="885">
      <c r="A885" s="26" t="str">
        <f>LinkedIn_content_raw!$A886</f>
        <v/>
      </c>
      <c r="B885" s="24" t="str">
        <f t="shared" si="1"/>
        <v/>
      </c>
      <c r="C885" s="26" t="str">
        <f t="array" ref="C885">XLOOKUP($A885,LinkedIn_follows_raw!$A$2:$A1000,LinkedIn_follows_raw!$E$2:$E1000)</f>
        <v>#N/A</v>
      </c>
      <c r="D885" s="26" t="str">
        <f t="array" ref="D885">sum(XLOOKUP($A885,LinkedIn_content_raw!$A$2:$A1000,LinkedIn_content_raw!$K$2:$K1000),XLOOKUP($A885,LinkedIn_content_raw!$A$2:$A1000,LinkedIn_content_raw!$N$2:$N1000),XLOOKUP($A885,LinkedIn_content_raw!$A$2:$A1000,LinkedIn_content_raw!$Q$2:$Q1000))</f>
        <v>#N/A</v>
      </c>
      <c r="E885" s="26" t="str">
        <f t="array" ref="E885">XLOOKUP($A885,LinkedIn_content_raw!$A$2:$A1000,LinkedIn_content_raw!$E$2:$E1000)</f>
        <v>#N/A</v>
      </c>
    </row>
    <row r="886">
      <c r="A886" s="26" t="str">
        <f>LinkedIn_content_raw!$A887</f>
        <v/>
      </c>
      <c r="B886" s="24" t="str">
        <f t="shared" si="1"/>
        <v/>
      </c>
      <c r="C886" s="26" t="str">
        <f t="array" ref="C886">XLOOKUP($A886,LinkedIn_follows_raw!$A$2:$A1000,LinkedIn_follows_raw!$E$2:$E1000)</f>
        <v>#N/A</v>
      </c>
      <c r="D886" s="26" t="str">
        <f t="array" ref="D886">sum(XLOOKUP($A886,LinkedIn_content_raw!$A$2:$A1000,LinkedIn_content_raw!$K$2:$K1000),XLOOKUP($A886,LinkedIn_content_raw!$A$2:$A1000,LinkedIn_content_raw!$N$2:$N1000),XLOOKUP($A886,LinkedIn_content_raw!$A$2:$A1000,LinkedIn_content_raw!$Q$2:$Q1000))</f>
        <v>#N/A</v>
      </c>
      <c r="E886" s="26" t="str">
        <f t="array" ref="E886">XLOOKUP($A886,LinkedIn_content_raw!$A$2:$A1000,LinkedIn_content_raw!$E$2:$E1000)</f>
        <v>#N/A</v>
      </c>
    </row>
    <row r="887">
      <c r="A887" s="26" t="str">
        <f>LinkedIn_content_raw!$A888</f>
        <v/>
      </c>
      <c r="B887" s="24" t="str">
        <f t="shared" si="1"/>
        <v/>
      </c>
      <c r="C887" s="26" t="str">
        <f t="array" ref="C887">XLOOKUP($A887,LinkedIn_follows_raw!$A$2:$A1000,LinkedIn_follows_raw!$E$2:$E1000)</f>
        <v>#N/A</v>
      </c>
      <c r="D887" s="26" t="str">
        <f t="array" ref="D887">sum(XLOOKUP($A887,LinkedIn_content_raw!$A$2:$A1000,LinkedIn_content_raw!$K$2:$K1000),XLOOKUP($A887,LinkedIn_content_raw!$A$2:$A1000,LinkedIn_content_raw!$N$2:$N1000),XLOOKUP($A887,LinkedIn_content_raw!$A$2:$A1000,LinkedIn_content_raw!$Q$2:$Q1000))</f>
        <v>#N/A</v>
      </c>
      <c r="E887" s="26" t="str">
        <f t="array" ref="E887">XLOOKUP($A887,LinkedIn_content_raw!$A$2:$A1000,LinkedIn_content_raw!$E$2:$E1000)</f>
        <v>#N/A</v>
      </c>
    </row>
    <row r="888">
      <c r="A888" s="26" t="str">
        <f>LinkedIn_content_raw!$A889</f>
        <v/>
      </c>
      <c r="B888" s="24" t="str">
        <f t="shared" si="1"/>
        <v/>
      </c>
      <c r="C888" s="26" t="str">
        <f t="array" ref="C888">XLOOKUP($A888,LinkedIn_follows_raw!$A$2:$A1000,LinkedIn_follows_raw!$E$2:$E1000)</f>
        <v>#N/A</v>
      </c>
      <c r="D888" s="26" t="str">
        <f t="array" ref="D888">sum(XLOOKUP($A888,LinkedIn_content_raw!$A$2:$A1000,LinkedIn_content_raw!$K$2:$K1000),XLOOKUP($A888,LinkedIn_content_raw!$A$2:$A1000,LinkedIn_content_raw!$N$2:$N1000),XLOOKUP($A888,LinkedIn_content_raw!$A$2:$A1000,LinkedIn_content_raw!$Q$2:$Q1000))</f>
        <v>#N/A</v>
      </c>
      <c r="E888" s="26" t="str">
        <f t="array" ref="E888">XLOOKUP($A888,LinkedIn_content_raw!$A$2:$A1000,LinkedIn_content_raw!$E$2:$E1000)</f>
        <v>#N/A</v>
      </c>
    </row>
    <row r="889">
      <c r="A889" s="26" t="str">
        <f>LinkedIn_content_raw!$A890</f>
        <v/>
      </c>
      <c r="B889" s="24" t="str">
        <f t="shared" si="1"/>
        <v/>
      </c>
      <c r="C889" s="26" t="str">
        <f t="array" ref="C889">XLOOKUP($A889,LinkedIn_follows_raw!$A$2:$A1000,LinkedIn_follows_raw!$E$2:$E1000)</f>
        <v>#N/A</v>
      </c>
      <c r="D889" s="26" t="str">
        <f t="array" ref="D889">sum(XLOOKUP($A889,LinkedIn_content_raw!$A$2:$A1000,LinkedIn_content_raw!$K$2:$K1000),XLOOKUP($A889,LinkedIn_content_raw!$A$2:$A1000,LinkedIn_content_raw!$N$2:$N1000),XLOOKUP($A889,LinkedIn_content_raw!$A$2:$A1000,LinkedIn_content_raw!$Q$2:$Q1000))</f>
        <v>#N/A</v>
      </c>
      <c r="E889" s="26" t="str">
        <f t="array" ref="E889">XLOOKUP($A889,LinkedIn_content_raw!$A$2:$A1000,LinkedIn_content_raw!$E$2:$E1000)</f>
        <v>#N/A</v>
      </c>
    </row>
    <row r="890">
      <c r="A890" s="26" t="str">
        <f>LinkedIn_content_raw!$A891</f>
        <v/>
      </c>
      <c r="B890" s="24" t="str">
        <f t="shared" si="1"/>
        <v/>
      </c>
      <c r="C890" s="26" t="str">
        <f t="array" ref="C890">XLOOKUP($A890,LinkedIn_follows_raw!$A$2:$A1000,LinkedIn_follows_raw!$E$2:$E1000)</f>
        <v>#N/A</v>
      </c>
      <c r="D890" s="26" t="str">
        <f t="array" ref="D890">sum(XLOOKUP($A890,LinkedIn_content_raw!$A$2:$A1000,LinkedIn_content_raw!$K$2:$K1000),XLOOKUP($A890,LinkedIn_content_raw!$A$2:$A1000,LinkedIn_content_raw!$N$2:$N1000),XLOOKUP($A890,LinkedIn_content_raw!$A$2:$A1000,LinkedIn_content_raw!$Q$2:$Q1000))</f>
        <v>#N/A</v>
      </c>
      <c r="E890" s="26" t="str">
        <f t="array" ref="E890">XLOOKUP($A890,LinkedIn_content_raw!$A$2:$A1000,LinkedIn_content_raw!$E$2:$E1000)</f>
        <v>#N/A</v>
      </c>
    </row>
    <row r="891">
      <c r="A891" s="26" t="str">
        <f>LinkedIn_content_raw!$A892</f>
        <v/>
      </c>
      <c r="B891" s="24" t="str">
        <f t="shared" si="1"/>
        <v/>
      </c>
      <c r="C891" s="26" t="str">
        <f t="array" ref="C891">XLOOKUP($A891,LinkedIn_follows_raw!$A$2:$A1000,LinkedIn_follows_raw!$E$2:$E1000)</f>
        <v>#N/A</v>
      </c>
      <c r="D891" s="26" t="str">
        <f t="array" ref="D891">sum(XLOOKUP($A891,LinkedIn_content_raw!$A$2:$A1000,LinkedIn_content_raw!$K$2:$K1000),XLOOKUP($A891,LinkedIn_content_raw!$A$2:$A1000,LinkedIn_content_raw!$N$2:$N1000),XLOOKUP($A891,LinkedIn_content_raw!$A$2:$A1000,LinkedIn_content_raw!$Q$2:$Q1000))</f>
        <v>#N/A</v>
      </c>
      <c r="E891" s="26" t="str">
        <f t="array" ref="E891">XLOOKUP($A891,LinkedIn_content_raw!$A$2:$A1000,LinkedIn_content_raw!$E$2:$E1000)</f>
        <v>#N/A</v>
      </c>
    </row>
    <row r="892">
      <c r="A892" s="26" t="str">
        <f>LinkedIn_content_raw!$A893</f>
        <v/>
      </c>
      <c r="B892" s="24" t="str">
        <f t="shared" si="1"/>
        <v/>
      </c>
      <c r="C892" s="26" t="str">
        <f t="array" ref="C892">XLOOKUP($A892,LinkedIn_follows_raw!$A$2:$A1000,LinkedIn_follows_raw!$E$2:$E1000)</f>
        <v>#N/A</v>
      </c>
      <c r="D892" s="26" t="str">
        <f t="array" ref="D892">sum(XLOOKUP($A892,LinkedIn_content_raw!$A$2:$A1000,LinkedIn_content_raw!$K$2:$K1000),XLOOKUP($A892,LinkedIn_content_raw!$A$2:$A1000,LinkedIn_content_raw!$N$2:$N1000),XLOOKUP($A892,LinkedIn_content_raw!$A$2:$A1000,LinkedIn_content_raw!$Q$2:$Q1000))</f>
        <v>#N/A</v>
      </c>
      <c r="E892" s="26" t="str">
        <f t="array" ref="E892">XLOOKUP($A892,LinkedIn_content_raw!$A$2:$A1000,LinkedIn_content_raw!$E$2:$E1000)</f>
        <v>#N/A</v>
      </c>
    </row>
    <row r="893">
      <c r="A893" s="26" t="str">
        <f>LinkedIn_content_raw!$A894</f>
        <v/>
      </c>
      <c r="B893" s="24" t="str">
        <f t="shared" si="1"/>
        <v/>
      </c>
      <c r="C893" s="26" t="str">
        <f t="array" ref="C893">XLOOKUP($A893,LinkedIn_follows_raw!$A$2:$A1000,LinkedIn_follows_raw!$E$2:$E1000)</f>
        <v>#N/A</v>
      </c>
      <c r="D893" s="26" t="str">
        <f t="array" ref="D893">sum(XLOOKUP($A893,LinkedIn_content_raw!$A$2:$A1000,LinkedIn_content_raw!$K$2:$K1000),XLOOKUP($A893,LinkedIn_content_raw!$A$2:$A1000,LinkedIn_content_raw!$N$2:$N1000),XLOOKUP($A893,LinkedIn_content_raw!$A$2:$A1000,LinkedIn_content_raw!$Q$2:$Q1000))</f>
        <v>#N/A</v>
      </c>
      <c r="E893" s="26" t="str">
        <f t="array" ref="E893">XLOOKUP($A893,LinkedIn_content_raw!$A$2:$A1000,LinkedIn_content_raw!$E$2:$E1000)</f>
        <v>#N/A</v>
      </c>
    </row>
    <row r="894">
      <c r="A894" s="26" t="str">
        <f>LinkedIn_content_raw!$A895</f>
        <v/>
      </c>
      <c r="B894" s="24" t="str">
        <f t="shared" si="1"/>
        <v/>
      </c>
      <c r="C894" s="26" t="str">
        <f t="array" ref="C894">XLOOKUP($A894,LinkedIn_follows_raw!$A$2:$A1000,LinkedIn_follows_raw!$E$2:$E1000)</f>
        <v>#N/A</v>
      </c>
      <c r="D894" s="26" t="str">
        <f t="array" ref="D894">sum(XLOOKUP($A894,LinkedIn_content_raw!$A$2:$A1000,LinkedIn_content_raw!$K$2:$K1000),XLOOKUP($A894,LinkedIn_content_raw!$A$2:$A1000,LinkedIn_content_raw!$N$2:$N1000),XLOOKUP($A894,LinkedIn_content_raw!$A$2:$A1000,LinkedIn_content_raw!$Q$2:$Q1000))</f>
        <v>#N/A</v>
      </c>
      <c r="E894" s="26" t="str">
        <f t="array" ref="E894">XLOOKUP($A894,LinkedIn_content_raw!$A$2:$A1000,LinkedIn_content_raw!$E$2:$E1000)</f>
        <v>#N/A</v>
      </c>
    </row>
    <row r="895">
      <c r="A895" s="26" t="str">
        <f>LinkedIn_content_raw!$A896</f>
        <v/>
      </c>
      <c r="B895" s="24" t="str">
        <f t="shared" si="1"/>
        <v/>
      </c>
      <c r="C895" s="26" t="str">
        <f t="array" ref="C895">XLOOKUP($A895,LinkedIn_follows_raw!$A$2:$A1000,LinkedIn_follows_raw!$E$2:$E1000)</f>
        <v>#N/A</v>
      </c>
      <c r="D895" s="26" t="str">
        <f t="array" ref="D895">sum(XLOOKUP($A895,LinkedIn_content_raw!$A$2:$A1000,LinkedIn_content_raw!$K$2:$K1000),XLOOKUP($A895,LinkedIn_content_raw!$A$2:$A1000,LinkedIn_content_raw!$N$2:$N1000),XLOOKUP($A895,LinkedIn_content_raw!$A$2:$A1000,LinkedIn_content_raw!$Q$2:$Q1000))</f>
        <v>#N/A</v>
      </c>
      <c r="E895" s="26" t="str">
        <f t="array" ref="E895">XLOOKUP($A895,LinkedIn_content_raw!$A$2:$A1000,LinkedIn_content_raw!$E$2:$E1000)</f>
        <v>#N/A</v>
      </c>
    </row>
    <row r="896">
      <c r="A896" s="26" t="str">
        <f>LinkedIn_content_raw!$A897</f>
        <v/>
      </c>
      <c r="B896" s="24" t="str">
        <f t="shared" si="1"/>
        <v/>
      </c>
      <c r="C896" s="26" t="str">
        <f t="array" ref="C896">XLOOKUP($A896,LinkedIn_follows_raw!$A$2:$A1000,LinkedIn_follows_raw!$E$2:$E1000)</f>
        <v>#N/A</v>
      </c>
      <c r="D896" s="26" t="str">
        <f t="array" ref="D896">sum(XLOOKUP($A896,LinkedIn_content_raw!$A$2:$A1000,LinkedIn_content_raw!$K$2:$K1000),XLOOKUP($A896,LinkedIn_content_raw!$A$2:$A1000,LinkedIn_content_raw!$N$2:$N1000),XLOOKUP($A896,LinkedIn_content_raw!$A$2:$A1000,LinkedIn_content_raw!$Q$2:$Q1000))</f>
        <v>#N/A</v>
      </c>
      <c r="E896" s="26" t="str">
        <f t="array" ref="E896">XLOOKUP($A896,LinkedIn_content_raw!$A$2:$A1000,LinkedIn_content_raw!$E$2:$E1000)</f>
        <v>#N/A</v>
      </c>
    </row>
    <row r="897">
      <c r="A897" s="26" t="str">
        <f>LinkedIn_content_raw!$A898</f>
        <v/>
      </c>
      <c r="B897" s="24" t="str">
        <f t="shared" si="1"/>
        <v/>
      </c>
      <c r="C897" s="26" t="str">
        <f t="array" ref="C897">XLOOKUP($A897,LinkedIn_follows_raw!$A$2:$A1000,LinkedIn_follows_raw!$E$2:$E1000)</f>
        <v>#N/A</v>
      </c>
      <c r="D897" s="26" t="str">
        <f t="array" ref="D897">sum(XLOOKUP($A897,LinkedIn_content_raw!$A$2:$A1000,LinkedIn_content_raw!$K$2:$K1000),XLOOKUP($A897,LinkedIn_content_raw!$A$2:$A1000,LinkedIn_content_raw!$N$2:$N1000),XLOOKUP($A897,LinkedIn_content_raw!$A$2:$A1000,LinkedIn_content_raw!$Q$2:$Q1000))</f>
        <v>#N/A</v>
      </c>
      <c r="E897" s="26" t="str">
        <f t="array" ref="E897">XLOOKUP($A897,LinkedIn_content_raw!$A$2:$A1000,LinkedIn_content_raw!$E$2:$E1000)</f>
        <v>#N/A</v>
      </c>
    </row>
    <row r="898">
      <c r="A898" s="26" t="str">
        <f>LinkedIn_content_raw!$A899</f>
        <v/>
      </c>
      <c r="B898" s="24" t="str">
        <f t="shared" si="1"/>
        <v/>
      </c>
      <c r="C898" s="26" t="str">
        <f t="array" ref="C898">XLOOKUP($A898,LinkedIn_follows_raw!$A$2:$A1000,LinkedIn_follows_raw!$E$2:$E1000)</f>
        <v>#N/A</v>
      </c>
      <c r="D898" s="26" t="str">
        <f t="array" ref="D898">sum(XLOOKUP($A898,LinkedIn_content_raw!$A$2:$A1000,LinkedIn_content_raw!$K$2:$K1000),XLOOKUP($A898,LinkedIn_content_raw!$A$2:$A1000,LinkedIn_content_raw!$N$2:$N1000),XLOOKUP($A898,LinkedIn_content_raw!$A$2:$A1000,LinkedIn_content_raw!$Q$2:$Q1000))</f>
        <v>#N/A</v>
      </c>
      <c r="E898" s="26" t="str">
        <f t="array" ref="E898">XLOOKUP($A898,LinkedIn_content_raw!$A$2:$A1000,LinkedIn_content_raw!$E$2:$E1000)</f>
        <v>#N/A</v>
      </c>
    </row>
    <row r="899">
      <c r="A899" s="26" t="str">
        <f>LinkedIn_content_raw!$A900</f>
        <v/>
      </c>
      <c r="B899" s="24" t="str">
        <f t="shared" si="1"/>
        <v/>
      </c>
      <c r="C899" s="26" t="str">
        <f t="array" ref="C899">XLOOKUP($A899,LinkedIn_follows_raw!$A$2:$A1000,LinkedIn_follows_raw!$E$2:$E1000)</f>
        <v>#N/A</v>
      </c>
      <c r="D899" s="26" t="str">
        <f t="array" ref="D899">sum(XLOOKUP($A899,LinkedIn_content_raw!$A$2:$A1000,LinkedIn_content_raw!$K$2:$K1000),XLOOKUP($A899,LinkedIn_content_raw!$A$2:$A1000,LinkedIn_content_raw!$N$2:$N1000),XLOOKUP($A899,LinkedIn_content_raw!$A$2:$A1000,LinkedIn_content_raw!$Q$2:$Q1000))</f>
        <v>#N/A</v>
      </c>
      <c r="E899" s="26" t="str">
        <f t="array" ref="E899">XLOOKUP($A899,LinkedIn_content_raw!$A$2:$A1000,LinkedIn_content_raw!$E$2:$E1000)</f>
        <v>#N/A</v>
      </c>
    </row>
    <row r="900">
      <c r="A900" s="26" t="str">
        <f>LinkedIn_content_raw!$A901</f>
        <v/>
      </c>
      <c r="B900" s="24" t="str">
        <f t="shared" si="1"/>
        <v/>
      </c>
      <c r="C900" s="26" t="str">
        <f t="array" ref="C900">XLOOKUP($A900,LinkedIn_follows_raw!$A$2:$A1000,LinkedIn_follows_raw!$E$2:$E1000)</f>
        <v>#N/A</v>
      </c>
      <c r="D900" s="26" t="str">
        <f t="array" ref="D900">sum(XLOOKUP($A900,LinkedIn_content_raw!$A$2:$A1000,LinkedIn_content_raw!$K$2:$K1000),XLOOKUP($A900,LinkedIn_content_raw!$A$2:$A1000,LinkedIn_content_raw!$N$2:$N1000),XLOOKUP($A900,LinkedIn_content_raw!$A$2:$A1000,LinkedIn_content_raw!$Q$2:$Q1000))</f>
        <v>#N/A</v>
      </c>
      <c r="E900" s="26" t="str">
        <f t="array" ref="E900">XLOOKUP($A900,LinkedIn_content_raw!$A$2:$A1000,LinkedIn_content_raw!$E$2:$E1000)</f>
        <v>#N/A</v>
      </c>
    </row>
    <row r="901">
      <c r="A901" s="26" t="str">
        <f>LinkedIn_content_raw!$A902</f>
        <v/>
      </c>
      <c r="B901" s="24" t="str">
        <f t="shared" si="1"/>
        <v/>
      </c>
      <c r="C901" s="26" t="str">
        <f t="array" ref="C901">XLOOKUP($A901,LinkedIn_follows_raw!$A$2:$A1000,LinkedIn_follows_raw!$E$2:$E1000)</f>
        <v>#N/A</v>
      </c>
      <c r="D901" s="26" t="str">
        <f t="array" ref="D901">sum(XLOOKUP($A901,LinkedIn_content_raw!$A$2:$A1000,LinkedIn_content_raw!$K$2:$K1000),XLOOKUP($A901,LinkedIn_content_raw!$A$2:$A1000,LinkedIn_content_raw!$N$2:$N1000),XLOOKUP($A901,LinkedIn_content_raw!$A$2:$A1000,LinkedIn_content_raw!$Q$2:$Q1000))</f>
        <v>#N/A</v>
      </c>
      <c r="E901" s="26" t="str">
        <f t="array" ref="E901">XLOOKUP($A901,LinkedIn_content_raw!$A$2:$A1000,LinkedIn_content_raw!$E$2:$E1000)</f>
        <v>#N/A</v>
      </c>
    </row>
    <row r="902">
      <c r="A902" s="26" t="str">
        <f>LinkedIn_content_raw!$A903</f>
        <v/>
      </c>
      <c r="B902" s="24" t="str">
        <f t="shared" si="1"/>
        <v/>
      </c>
      <c r="C902" s="26" t="str">
        <f t="array" ref="C902">XLOOKUP($A902,LinkedIn_follows_raw!$A$2:$A1000,LinkedIn_follows_raw!$E$2:$E1000)</f>
        <v>#N/A</v>
      </c>
      <c r="D902" s="26" t="str">
        <f t="array" ref="D902">sum(XLOOKUP($A902,LinkedIn_content_raw!$A$2:$A1000,LinkedIn_content_raw!$K$2:$K1000),XLOOKUP($A902,LinkedIn_content_raw!$A$2:$A1000,LinkedIn_content_raw!$N$2:$N1000),XLOOKUP($A902,LinkedIn_content_raw!$A$2:$A1000,LinkedIn_content_raw!$Q$2:$Q1000))</f>
        <v>#N/A</v>
      </c>
      <c r="E902" s="26" t="str">
        <f t="array" ref="E902">XLOOKUP($A902,LinkedIn_content_raw!$A$2:$A1000,LinkedIn_content_raw!$E$2:$E1000)</f>
        <v>#N/A</v>
      </c>
    </row>
    <row r="903">
      <c r="A903" s="26" t="str">
        <f>LinkedIn_content_raw!$A904</f>
        <v/>
      </c>
      <c r="B903" s="24" t="str">
        <f t="shared" si="1"/>
        <v/>
      </c>
      <c r="C903" s="26" t="str">
        <f t="array" ref="C903">XLOOKUP($A903,LinkedIn_follows_raw!$A$2:$A1000,LinkedIn_follows_raw!$E$2:$E1000)</f>
        <v>#N/A</v>
      </c>
      <c r="D903" s="26" t="str">
        <f t="array" ref="D903">sum(XLOOKUP($A903,LinkedIn_content_raw!$A$2:$A1000,LinkedIn_content_raw!$K$2:$K1000),XLOOKUP($A903,LinkedIn_content_raw!$A$2:$A1000,LinkedIn_content_raw!$N$2:$N1000),XLOOKUP($A903,LinkedIn_content_raw!$A$2:$A1000,LinkedIn_content_raw!$Q$2:$Q1000))</f>
        <v>#N/A</v>
      </c>
      <c r="E903" s="26" t="str">
        <f t="array" ref="E903">XLOOKUP($A903,LinkedIn_content_raw!$A$2:$A1000,LinkedIn_content_raw!$E$2:$E1000)</f>
        <v>#N/A</v>
      </c>
    </row>
    <row r="904">
      <c r="A904" s="26" t="str">
        <f>LinkedIn_content_raw!$A905</f>
        <v/>
      </c>
      <c r="B904" s="24" t="str">
        <f t="shared" si="1"/>
        <v/>
      </c>
      <c r="C904" s="26" t="str">
        <f t="array" ref="C904">XLOOKUP($A904,LinkedIn_follows_raw!$A$2:$A1000,LinkedIn_follows_raw!$E$2:$E1000)</f>
        <v>#N/A</v>
      </c>
      <c r="D904" s="26" t="str">
        <f t="array" ref="D904">sum(XLOOKUP($A904,LinkedIn_content_raw!$A$2:$A1000,LinkedIn_content_raw!$K$2:$K1000),XLOOKUP($A904,LinkedIn_content_raw!$A$2:$A1000,LinkedIn_content_raw!$N$2:$N1000),XLOOKUP($A904,LinkedIn_content_raw!$A$2:$A1000,LinkedIn_content_raw!$Q$2:$Q1000))</f>
        <v>#N/A</v>
      </c>
      <c r="E904" s="26" t="str">
        <f t="array" ref="E904">XLOOKUP($A904,LinkedIn_content_raw!$A$2:$A1000,LinkedIn_content_raw!$E$2:$E1000)</f>
        <v>#N/A</v>
      </c>
    </row>
    <row r="905">
      <c r="A905" s="26" t="str">
        <f>LinkedIn_content_raw!$A906</f>
        <v/>
      </c>
      <c r="B905" s="24" t="str">
        <f t="shared" si="1"/>
        <v/>
      </c>
      <c r="C905" s="26" t="str">
        <f t="array" ref="C905">XLOOKUP($A905,LinkedIn_follows_raw!$A$2:$A1000,LinkedIn_follows_raw!$E$2:$E1000)</f>
        <v>#N/A</v>
      </c>
      <c r="D905" s="26" t="str">
        <f t="array" ref="D905">sum(XLOOKUP($A905,LinkedIn_content_raw!$A$2:$A1000,LinkedIn_content_raw!$K$2:$K1000),XLOOKUP($A905,LinkedIn_content_raw!$A$2:$A1000,LinkedIn_content_raw!$N$2:$N1000),XLOOKUP($A905,LinkedIn_content_raw!$A$2:$A1000,LinkedIn_content_raw!$Q$2:$Q1000))</f>
        <v>#N/A</v>
      </c>
      <c r="E905" s="26" t="str">
        <f t="array" ref="E905">XLOOKUP($A905,LinkedIn_content_raw!$A$2:$A1000,LinkedIn_content_raw!$E$2:$E1000)</f>
        <v>#N/A</v>
      </c>
    </row>
    <row r="906">
      <c r="A906" s="26" t="str">
        <f>LinkedIn_content_raw!$A907</f>
        <v/>
      </c>
      <c r="B906" s="24" t="str">
        <f t="shared" si="1"/>
        <v/>
      </c>
      <c r="C906" s="26" t="str">
        <f t="array" ref="C906">XLOOKUP($A906,LinkedIn_follows_raw!$A$2:$A1000,LinkedIn_follows_raw!$E$2:$E1000)</f>
        <v>#N/A</v>
      </c>
      <c r="D906" s="26" t="str">
        <f t="array" ref="D906">sum(XLOOKUP($A906,LinkedIn_content_raw!$A$2:$A1000,LinkedIn_content_raw!$K$2:$K1000),XLOOKUP($A906,LinkedIn_content_raw!$A$2:$A1000,LinkedIn_content_raw!$N$2:$N1000),XLOOKUP($A906,LinkedIn_content_raw!$A$2:$A1000,LinkedIn_content_raw!$Q$2:$Q1000))</f>
        <v>#N/A</v>
      </c>
      <c r="E906" s="26" t="str">
        <f t="array" ref="E906">XLOOKUP($A906,LinkedIn_content_raw!$A$2:$A1000,LinkedIn_content_raw!$E$2:$E1000)</f>
        <v>#N/A</v>
      </c>
    </row>
    <row r="907">
      <c r="A907" s="26" t="str">
        <f>LinkedIn_content_raw!$A908</f>
        <v/>
      </c>
      <c r="B907" s="24" t="str">
        <f t="shared" si="1"/>
        <v/>
      </c>
      <c r="C907" s="26" t="str">
        <f t="array" ref="C907">XLOOKUP($A907,LinkedIn_follows_raw!$A$2:$A1000,LinkedIn_follows_raw!$E$2:$E1000)</f>
        <v>#N/A</v>
      </c>
      <c r="D907" s="26" t="str">
        <f t="array" ref="D907">sum(XLOOKUP($A907,LinkedIn_content_raw!$A$2:$A1000,LinkedIn_content_raw!$K$2:$K1000),XLOOKUP($A907,LinkedIn_content_raw!$A$2:$A1000,LinkedIn_content_raw!$N$2:$N1000),XLOOKUP($A907,LinkedIn_content_raw!$A$2:$A1000,LinkedIn_content_raw!$Q$2:$Q1000))</f>
        <v>#N/A</v>
      </c>
      <c r="E907" s="26" t="str">
        <f t="array" ref="E907">XLOOKUP($A907,LinkedIn_content_raw!$A$2:$A1000,LinkedIn_content_raw!$E$2:$E1000)</f>
        <v>#N/A</v>
      </c>
    </row>
    <row r="908">
      <c r="A908" s="26" t="str">
        <f>LinkedIn_content_raw!$A909</f>
        <v/>
      </c>
      <c r="B908" s="24" t="str">
        <f t="shared" si="1"/>
        <v/>
      </c>
      <c r="C908" s="26" t="str">
        <f t="array" ref="C908">XLOOKUP($A908,LinkedIn_follows_raw!$A$2:$A1000,LinkedIn_follows_raw!$E$2:$E1000)</f>
        <v>#N/A</v>
      </c>
      <c r="D908" s="26" t="str">
        <f t="array" ref="D908">sum(XLOOKUP($A908,LinkedIn_content_raw!$A$2:$A1000,LinkedIn_content_raw!$K$2:$K1000),XLOOKUP($A908,LinkedIn_content_raw!$A$2:$A1000,LinkedIn_content_raw!$N$2:$N1000),XLOOKUP($A908,LinkedIn_content_raw!$A$2:$A1000,LinkedIn_content_raw!$Q$2:$Q1000))</f>
        <v>#N/A</v>
      </c>
      <c r="E908" s="26" t="str">
        <f t="array" ref="E908">XLOOKUP($A908,LinkedIn_content_raw!$A$2:$A1000,LinkedIn_content_raw!$E$2:$E1000)</f>
        <v>#N/A</v>
      </c>
    </row>
    <row r="909">
      <c r="A909" s="26" t="str">
        <f>LinkedIn_content_raw!$A910</f>
        <v/>
      </c>
      <c r="B909" s="24" t="str">
        <f t="shared" si="1"/>
        <v/>
      </c>
      <c r="C909" s="26" t="str">
        <f t="array" ref="C909">XLOOKUP($A909,LinkedIn_follows_raw!$A$2:$A1000,LinkedIn_follows_raw!$E$2:$E1000)</f>
        <v>#N/A</v>
      </c>
      <c r="D909" s="26" t="str">
        <f t="array" ref="D909">sum(XLOOKUP($A909,LinkedIn_content_raw!$A$2:$A1000,LinkedIn_content_raw!$K$2:$K1000),XLOOKUP($A909,LinkedIn_content_raw!$A$2:$A1000,LinkedIn_content_raw!$N$2:$N1000),XLOOKUP($A909,LinkedIn_content_raw!$A$2:$A1000,LinkedIn_content_raw!$Q$2:$Q1000))</f>
        <v>#N/A</v>
      </c>
      <c r="E909" s="26" t="str">
        <f t="array" ref="E909">XLOOKUP($A909,LinkedIn_content_raw!$A$2:$A1000,LinkedIn_content_raw!$E$2:$E1000)</f>
        <v>#N/A</v>
      </c>
    </row>
    <row r="910">
      <c r="A910" s="26" t="str">
        <f>LinkedIn_content_raw!$A911</f>
        <v/>
      </c>
      <c r="B910" s="24" t="str">
        <f t="shared" si="1"/>
        <v/>
      </c>
      <c r="C910" s="26" t="str">
        <f t="array" ref="C910">XLOOKUP($A910,LinkedIn_follows_raw!$A$2:$A1000,LinkedIn_follows_raw!$E$2:$E1000)</f>
        <v>#N/A</v>
      </c>
      <c r="D910" s="26" t="str">
        <f t="array" ref="D910">sum(XLOOKUP($A910,LinkedIn_content_raw!$A$2:$A1000,LinkedIn_content_raw!$K$2:$K1000),XLOOKUP($A910,LinkedIn_content_raw!$A$2:$A1000,LinkedIn_content_raw!$N$2:$N1000),XLOOKUP($A910,LinkedIn_content_raw!$A$2:$A1000,LinkedIn_content_raw!$Q$2:$Q1000))</f>
        <v>#N/A</v>
      </c>
      <c r="E910" s="26" t="str">
        <f t="array" ref="E910">XLOOKUP($A910,LinkedIn_content_raw!$A$2:$A1000,LinkedIn_content_raw!$E$2:$E1000)</f>
        <v>#N/A</v>
      </c>
    </row>
    <row r="911">
      <c r="A911" s="26" t="str">
        <f>LinkedIn_content_raw!$A912</f>
        <v/>
      </c>
      <c r="B911" s="24" t="str">
        <f t="shared" si="1"/>
        <v/>
      </c>
      <c r="C911" s="26" t="str">
        <f t="array" ref="C911">XLOOKUP($A911,LinkedIn_follows_raw!$A$2:$A1000,LinkedIn_follows_raw!$E$2:$E1000)</f>
        <v>#N/A</v>
      </c>
      <c r="D911" s="26" t="str">
        <f t="array" ref="D911">sum(XLOOKUP($A911,LinkedIn_content_raw!$A$2:$A1000,LinkedIn_content_raw!$K$2:$K1000),XLOOKUP($A911,LinkedIn_content_raw!$A$2:$A1000,LinkedIn_content_raw!$N$2:$N1000),XLOOKUP($A911,LinkedIn_content_raw!$A$2:$A1000,LinkedIn_content_raw!$Q$2:$Q1000))</f>
        <v>#N/A</v>
      </c>
      <c r="E911" s="26" t="str">
        <f t="array" ref="E911">XLOOKUP($A911,LinkedIn_content_raw!$A$2:$A1000,LinkedIn_content_raw!$E$2:$E1000)</f>
        <v>#N/A</v>
      </c>
    </row>
    <row r="912">
      <c r="A912" s="26" t="str">
        <f>LinkedIn_content_raw!$A913</f>
        <v/>
      </c>
      <c r="B912" s="24" t="str">
        <f t="shared" si="1"/>
        <v/>
      </c>
      <c r="C912" s="26" t="str">
        <f t="array" ref="C912">XLOOKUP($A912,LinkedIn_follows_raw!$A$2:$A1000,LinkedIn_follows_raw!$E$2:$E1000)</f>
        <v>#N/A</v>
      </c>
      <c r="D912" s="26" t="str">
        <f t="array" ref="D912">sum(XLOOKUP($A912,LinkedIn_content_raw!$A$2:$A1000,LinkedIn_content_raw!$K$2:$K1000),XLOOKUP($A912,LinkedIn_content_raw!$A$2:$A1000,LinkedIn_content_raw!$N$2:$N1000),XLOOKUP($A912,LinkedIn_content_raw!$A$2:$A1000,LinkedIn_content_raw!$Q$2:$Q1000))</f>
        <v>#N/A</v>
      </c>
      <c r="E912" s="26" t="str">
        <f t="array" ref="E912">XLOOKUP($A912,LinkedIn_content_raw!$A$2:$A1000,LinkedIn_content_raw!$E$2:$E1000)</f>
        <v>#N/A</v>
      </c>
    </row>
    <row r="913">
      <c r="A913" s="26" t="str">
        <f>LinkedIn_content_raw!$A914</f>
        <v/>
      </c>
      <c r="B913" s="24" t="str">
        <f t="shared" si="1"/>
        <v/>
      </c>
      <c r="C913" s="26" t="str">
        <f t="array" ref="C913">XLOOKUP($A913,LinkedIn_follows_raw!$A$2:$A1000,LinkedIn_follows_raw!$E$2:$E1000)</f>
        <v>#N/A</v>
      </c>
      <c r="D913" s="26" t="str">
        <f t="array" ref="D913">sum(XLOOKUP($A913,LinkedIn_content_raw!$A$2:$A1000,LinkedIn_content_raw!$K$2:$K1000),XLOOKUP($A913,LinkedIn_content_raw!$A$2:$A1000,LinkedIn_content_raw!$N$2:$N1000),XLOOKUP($A913,LinkedIn_content_raw!$A$2:$A1000,LinkedIn_content_raw!$Q$2:$Q1000))</f>
        <v>#N/A</v>
      </c>
      <c r="E913" s="26" t="str">
        <f t="array" ref="E913">XLOOKUP($A913,LinkedIn_content_raw!$A$2:$A1000,LinkedIn_content_raw!$E$2:$E1000)</f>
        <v>#N/A</v>
      </c>
    </row>
    <row r="914">
      <c r="A914" s="26" t="str">
        <f>LinkedIn_content_raw!$A915</f>
        <v/>
      </c>
      <c r="B914" s="24" t="str">
        <f t="shared" si="1"/>
        <v/>
      </c>
      <c r="C914" s="26" t="str">
        <f t="array" ref="C914">XLOOKUP($A914,LinkedIn_follows_raw!$A$2:$A1000,LinkedIn_follows_raw!$E$2:$E1000)</f>
        <v>#N/A</v>
      </c>
      <c r="D914" s="26" t="str">
        <f t="array" ref="D914">sum(XLOOKUP($A914,LinkedIn_content_raw!$A$2:$A1000,LinkedIn_content_raw!$K$2:$K1000),XLOOKUP($A914,LinkedIn_content_raw!$A$2:$A1000,LinkedIn_content_raw!$N$2:$N1000),XLOOKUP($A914,LinkedIn_content_raw!$A$2:$A1000,LinkedIn_content_raw!$Q$2:$Q1000))</f>
        <v>#N/A</v>
      </c>
      <c r="E914" s="26" t="str">
        <f t="array" ref="E914">XLOOKUP($A914,LinkedIn_content_raw!$A$2:$A1000,LinkedIn_content_raw!$E$2:$E1000)</f>
        <v>#N/A</v>
      </c>
    </row>
    <row r="915">
      <c r="A915" s="26" t="str">
        <f>LinkedIn_content_raw!$A916</f>
        <v/>
      </c>
      <c r="B915" s="24" t="str">
        <f t="shared" si="1"/>
        <v/>
      </c>
      <c r="C915" s="26" t="str">
        <f t="array" ref="C915">XLOOKUP($A915,LinkedIn_follows_raw!$A$2:$A1000,LinkedIn_follows_raw!$E$2:$E1000)</f>
        <v>#N/A</v>
      </c>
      <c r="D915" s="26" t="str">
        <f t="array" ref="D915">sum(XLOOKUP($A915,LinkedIn_content_raw!$A$2:$A1000,LinkedIn_content_raw!$K$2:$K1000),XLOOKUP($A915,LinkedIn_content_raw!$A$2:$A1000,LinkedIn_content_raw!$N$2:$N1000),XLOOKUP($A915,LinkedIn_content_raw!$A$2:$A1000,LinkedIn_content_raw!$Q$2:$Q1000))</f>
        <v>#N/A</v>
      </c>
      <c r="E915" s="26" t="str">
        <f t="array" ref="E915">XLOOKUP($A915,LinkedIn_content_raw!$A$2:$A1000,LinkedIn_content_raw!$E$2:$E1000)</f>
        <v>#N/A</v>
      </c>
    </row>
    <row r="916">
      <c r="A916" s="26" t="str">
        <f>LinkedIn_content_raw!$A917</f>
        <v/>
      </c>
      <c r="B916" s="24" t="str">
        <f t="shared" si="1"/>
        <v/>
      </c>
      <c r="C916" s="26" t="str">
        <f t="array" ref="C916">XLOOKUP($A916,LinkedIn_follows_raw!$A$2:$A1000,LinkedIn_follows_raw!$E$2:$E1000)</f>
        <v>#N/A</v>
      </c>
      <c r="D916" s="26" t="str">
        <f t="array" ref="D916">sum(XLOOKUP($A916,LinkedIn_content_raw!$A$2:$A1000,LinkedIn_content_raw!$K$2:$K1000),XLOOKUP($A916,LinkedIn_content_raw!$A$2:$A1000,LinkedIn_content_raw!$N$2:$N1000),XLOOKUP($A916,LinkedIn_content_raw!$A$2:$A1000,LinkedIn_content_raw!$Q$2:$Q1000))</f>
        <v>#N/A</v>
      </c>
      <c r="E916" s="26" t="str">
        <f t="array" ref="E916">XLOOKUP($A916,LinkedIn_content_raw!$A$2:$A1000,LinkedIn_content_raw!$E$2:$E1000)</f>
        <v>#N/A</v>
      </c>
    </row>
    <row r="917">
      <c r="A917" s="26" t="str">
        <f>LinkedIn_content_raw!$A918</f>
        <v/>
      </c>
      <c r="B917" s="24" t="str">
        <f t="shared" si="1"/>
        <v/>
      </c>
      <c r="C917" s="26" t="str">
        <f t="array" ref="C917">XLOOKUP($A917,LinkedIn_follows_raw!$A$2:$A1000,LinkedIn_follows_raw!$E$2:$E1000)</f>
        <v>#N/A</v>
      </c>
      <c r="D917" s="26" t="str">
        <f t="array" ref="D917">sum(XLOOKUP($A917,LinkedIn_content_raw!$A$2:$A1000,LinkedIn_content_raw!$K$2:$K1000),XLOOKUP($A917,LinkedIn_content_raw!$A$2:$A1000,LinkedIn_content_raw!$N$2:$N1000),XLOOKUP($A917,LinkedIn_content_raw!$A$2:$A1000,LinkedIn_content_raw!$Q$2:$Q1000))</f>
        <v>#N/A</v>
      </c>
      <c r="E917" s="26" t="str">
        <f t="array" ref="E917">XLOOKUP($A917,LinkedIn_content_raw!$A$2:$A1000,LinkedIn_content_raw!$E$2:$E1000)</f>
        <v>#N/A</v>
      </c>
    </row>
    <row r="918">
      <c r="A918" s="26" t="str">
        <f>LinkedIn_content_raw!$A919</f>
        <v/>
      </c>
      <c r="B918" s="24" t="str">
        <f t="shared" si="1"/>
        <v/>
      </c>
      <c r="C918" s="26" t="str">
        <f t="array" ref="C918">XLOOKUP($A918,LinkedIn_follows_raw!$A$2:$A1000,LinkedIn_follows_raw!$E$2:$E1000)</f>
        <v>#N/A</v>
      </c>
      <c r="D918" s="26" t="str">
        <f t="array" ref="D918">sum(XLOOKUP($A918,LinkedIn_content_raw!$A$2:$A1000,LinkedIn_content_raw!$K$2:$K1000),XLOOKUP($A918,LinkedIn_content_raw!$A$2:$A1000,LinkedIn_content_raw!$N$2:$N1000),XLOOKUP($A918,LinkedIn_content_raw!$A$2:$A1000,LinkedIn_content_raw!$Q$2:$Q1000))</f>
        <v>#N/A</v>
      </c>
      <c r="E918" s="26" t="str">
        <f t="array" ref="E918">XLOOKUP($A918,LinkedIn_content_raw!$A$2:$A1000,LinkedIn_content_raw!$E$2:$E1000)</f>
        <v>#N/A</v>
      </c>
    </row>
    <row r="919">
      <c r="A919" s="26" t="str">
        <f>LinkedIn_content_raw!$A920</f>
        <v/>
      </c>
      <c r="B919" s="24" t="str">
        <f t="shared" si="1"/>
        <v/>
      </c>
      <c r="C919" s="26" t="str">
        <f t="array" ref="C919">XLOOKUP($A919,LinkedIn_follows_raw!$A$2:$A1000,LinkedIn_follows_raw!$E$2:$E1000)</f>
        <v>#N/A</v>
      </c>
      <c r="D919" s="26" t="str">
        <f t="array" ref="D919">sum(XLOOKUP($A919,LinkedIn_content_raw!$A$2:$A1000,LinkedIn_content_raw!$K$2:$K1000),XLOOKUP($A919,LinkedIn_content_raw!$A$2:$A1000,LinkedIn_content_raw!$N$2:$N1000),XLOOKUP($A919,LinkedIn_content_raw!$A$2:$A1000,LinkedIn_content_raw!$Q$2:$Q1000))</f>
        <v>#N/A</v>
      </c>
      <c r="E919" s="26" t="str">
        <f t="array" ref="E919">XLOOKUP($A919,LinkedIn_content_raw!$A$2:$A1000,LinkedIn_content_raw!$E$2:$E1000)</f>
        <v>#N/A</v>
      </c>
    </row>
    <row r="920">
      <c r="A920" s="26" t="str">
        <f>LinkedIn_content_raw!$A921</f>
        <v/>
      </c>
      <c r="B920" s="24" t="str">
        <f t="shared" si="1"/>
        <v/>
      </c>
      <c r="C920" s="26" t="str">
        <f t="array" ref="C920">XLOOKUP($A920,LinkedIn_follows_raw!$A$2:$A1000,LinkedIn_follows_raw!$E$2:$E1000)</f>
        <v>#N/A</v>
      </c>
      <c r="D920" s="26" t="str">
        <f t="array" ref="D920">sum(XLOOKUP($A920,LinkedIn_content_raw!$A$2:$A1000,LinkedIn_content_raw!$K$2:$K1000),XLOOKUP($A920,LinkedIn_content_raw!$A$2:$A1000,LinkedIn_content_raw!$N$2:$N1000),XLOOKUP($A920,LinkedIn_content_raw!$A$2:$A1000,LinkedIn_content_raw!$Q$2:$Q1000))</f>
        <v>#N/A</v>
      </c>
      <c r="E920" s="26" t="str">
        <f t="array" ref="E920">XLOOKUP($A920,LinkedIn_content_raw!$A$2:$A1000,LinkedIn_content_raw!$E$2:$E1000)</f>
        <v>#N/A</v>
      </c>
    </row>
    <row r="921">
      <c r="A921" s="26" t="str">
        <f>LinkedIn_content_raw!$A922</f>
        <v/>
      </c>
      <c r="B921" s="24" t="str">
        <f t="shared" si="1"/>
        <v/>
      </c>
      <c r="C921" s="26" t="str">
        <f t="array" ref="C921">XLOOKUP($A921,LinkedIn_follows_raw!$A$2:$A1000,LinkedIn_follows_raw!$E$2:$E1000)</f>
        <v>#N/A</v>
      </c>
      <c r="D921" s="26" t="str">
        <f t="array" ref="D921">sum(XLOOKUP($A921,LinkedIn_content_raw!$A$2:$A1000,LinkedIn_content_raw!$K$2:$K1000),XLOOKUP($A921,LinkedIn_content_raw!$A$2:$A1000,LinkedIn_content_raw!$N$2:$N1000),XLOOKUP($A921,LinkedIn_content_raw!$A$2:$A1000,LinkedIn_content_raw!$Q$2:$Q1000))</f>
        <v>#N/A</v>
      </c>
      <c r="E921" s="26" t="str">
        <f t="array" ref="E921">XLOOKUP($A921,LinkedIn_content_raw!$A$2:$A1000,LinkedIn_content_raw!$E$2:$E1000)</f>
        <v>#N/A</v>
      </c>
    </row>
    <row r="922">
      <c r="A922" s="26" t="str">
        <f>LinkedIn_content_raw!$A923</f>
        <v/>
      </c>
      <c r="B922" s="24" t="str">
        <f t="shared" si="1"/>
        <v/>
      </c>
      <c r="C922" s="26" t="str">
        <f t="array" ref="C922">XLOOKUP($A922,LinkedIn_follows_raw!$A$2:$A1000,LinkedIn_follows_raw!$E$2:$E1000)</f>
        <v>#N/A</v>
      </c>
      <c r="D922" s="26" t="str">
        <f t="array" ref="D922">sum(XLOOKUP($A922,LinkedIn_content_raw!$A$2:$A1000,LinkedIn_content_raw!$K$2:$K1000),XLOOKUP($A922,LinkedIn_content_raw!$A$2:$A1000,LinkedIn_content_raw!$N$2:$N1000),XLOOKUP($A922,LinkedIn_content_raw!$A$2:$A1000,LinkedIn_content_raw!$Q$2:$Q1000))</f>
        <v>#N/A</v>
      </c>
      <c r="E922" s="26" t="str">
        <f t="array" ref="E922">XLOOKUP($A922,LinkedIn_content_raw!$A$2:$A1000,LinkedIn_content_raw!$E$2:$E1000)</f>
        <v>#N/A</v>
      </c>
    </row>
    <row r="923">
      <c r="A923" s="26" t="str">
        <f>LinkedIn_content_raw!$A924</f>
        <v/>
      </c>
      <c r="B923" s="24" t="str">
        <f t="shared" si="1"/>
        <v/>
      </c>
      <c r="C923" s="26" t="str">
        <f t="array" ref="C923">XLOOKUP($A923,LinkedIn_follows_raw!$A$2:$A1000,LinkedIn_follows_raw!$E$2:$E1000)</f>
        <v>#N/A</v>
      </c>
      <c r="D923" s="26" t="str">
        <f t="array" ref="D923">sum(XLOOKUP($A923,LinkedIn_content_raw!$A$2:$A1000,LinkedIn_content_raw!$K$2:$K1000),XLOOKUP($A923,LinkedIn_content_raw!$A$2:$A1000,LinkedIn_content_raw!$N$2:$N1000),XLOOKUP($A923,LinkedIn_content_raw!$A$2:$A1000,LinkedIn_content_raw!$Q$2:$Q1000))</f>
        <v>#N/A</v>
      </c>
      <c r="E923" s="26" t="str">
        <f t="array" ref="E923">XLOOKUP($A923,LinkedIn_content_raw!$A$2:$A1000,LinkedIn_content_raw!$E$2:$E1000)</f>
        <v>#N/A</v>
      </c>
    </row>
    <row r="924">
      <c r="A924" s="26" t="str">
        <f>LinkedIn_content_raw!$A925</f>
        <v/>
      </c>
      <c r="B924" s="24" t="str">
        <f t="shared" si="1"/>
        <v/>
      </c>
      <c r="C924" s="26" t="str">
        <f t="array" ref="C924">XLOOKUP($A924,LinkedIn_follows_raw!$A$2:$A1000,LinkedIn_follows_raw!$E$2:$E1000)</f>
        <v>#N/A</v>
      </c>
      <c r="D924" s="26" t="str">
        <f t="array" ref="D924">sum(XLOOKUP($A924,LinkedIn_content_raw!$A$2:$A1000,LinkedIn_content_raw!$K$2:$K1000),XLOOKUP($A924,LinkedIn_content_raw!$A$2:$A1000,LinkedIn_content_raw!$N$2:$N1000),XLOOKUP($A924,LinkedIn_content_raw!$A$2:$A1000,LinkedIn_content_raw!$Q$2:$Q1000))</f>
        <v>#N/A</v>
      </c>
      <c r="E924" s="26" t="str">
        <f t="array" ref="E924">XLOOKUP($A924,LinkedIn_content_raw!$A$2:$A1000,LinkedIn_content_raw!$E$2:$E1000)</f>
        <v>#N/A</v>
      </c>
    </row>
    <row r="925">
      <c r="A925" s="26" t="str">
        <f>LinkedIn_content_raw!$A926</f>
        <v/>
      </c>
      <c r="B925" s="24" t="str">
        <f t="shared" si="1"/>
        <v/>
      </c>
      <c r="C925" s="26" t="str">
        <f t="array" ref="C925">XLOOKUP($A925,LinkedIn_follows_raw!$A$2:$A1000,LinkedIn_follows_raw!$E$2:$E1000)</f>
        <v>#N/A</v>
      </c>
      <c r="D925" s="26" t="str">
        <f t="array" ref="D925">sum(XLOOKUP($A925,LinkedIn_content_raw!$A$2:$A1000,LinkedIn_content_raw!$K$2:$K1000),XLOOKUP($A925,LinkedIn_content_raw!$A$2:$A1000,LinkedIn_content_raw!$N$2:$N1000),XLOOKUP($A925,LinkedIn_content_raw!$A$2:$A1000,LinkedIn_content_raw!$Q$2:$Q1000))</f>
        <v>#N/A</v>
      </c>
      <c r="E925" s="26" t="str">
        <f t="array" ref="E925">XLOOKUP($A925,LinkedIn_content_raw!$A$2:$A1000,LinkedIn_content_raw!$E$2:$E1000)</f>
        <v>#N/A</v>
      </c>
    </row>
    <row r="926">
      <c r="A926" s="26" t="str">
        <f>LinkedIn_content_raw!$A927</f>
        <v/>
      </c>
      <c r="B926" s="24" t="str">
        <f t="shared" si="1"/>
        <v/>
      </c>
      <c r="C926" s="26" t="str">
        <f t="array" ref="C926">XLOOKUP($A926,LinkedIn_follows_raw!$A$2:$A1000,LinkedIn_follows_raw!$E$2:$E1000)</f>
        <v>#N/A</v>
      </c>
      <c r="D926" s="26" t="str">
        <f t="array" ref="D926">sum(XLOOKUP($A926,LinkedIn_content_raw!$A$2:$A1000,LinkedIn_content_raw!$K$2:$K1000),XLOOKUP($A926,LinkedIn_content_raw!$A$2:$A1000,LinkedIn_content_raw!$N$2:$N1000),XLOOKUP($A926,LinkedIn_content_raw!$A$2:$A1000,LinkedIn_content_raw!$Q$2:$Q1000))</f>
        <v>#N/A</v>
      </c>
      <c r="E926" s="26" t="str">
        <f t="array" ref="E926">XLOOKUP($A926,LinkedIn_content_raw!$A$2:$A1000,LinkedIn_content_raw!$E$2:$E1000)</f>
        <v>#N/A</v>
      </c>
    </row>
    <row r="927">
      <c r="A927" s="26" t="str">
        <f>LinkedIn_content_raw!$A928</f>
        <v/>
      </c>
      <c r="B927" s="24" t="str">
        <f t="shared" si="1"/>
        <v/>
      </c>
      <c r="C927" s="26" t="str">
        <f t="array" ref="C927">XLOOKUP($A927,LinkedIn_follows_raw!$A$2:$A1000,LinkedIn_follows_raw!$E$2:$E1000)</f>
        <v>#N/A</v>
      </c>
      <c r="D927" s="26" t="str">
        <f t="array" ref="D927">sum(XLOOKUP($A927,LinkedIn_content_raw!$A$2:$A1000,LinkedIn_content_raw!$K$2:$K1000),XLOOKUP($A927,LinkedIn_content_raw!$A$2:$A1000,LinkedIn_content_raw!$N$2:$N1000),XLOOKUP($A927,LinkedIn_content_raw!$A$2:$A1000,LinkedIn_content_raw!$Q$2:$Q1000))</f>
        <v>#N/A</v>
      </c>
      <c r="E927" s="26" t="str">
        <f t="array" ref="E927">XLOOKUP($A927,LinkedIn_content_raw!$A$2:$A1000,LinkedIn_content_raw!$E$2:$E1000)</f>
        <v>#N/A</v>
      </c>
    </row>
    <row r="928">
      <c r="A928" s="26" t="str">
        <f>LinkedIn_content_raw!$A929</f>
        <v/>
      </c>
      <c r="B928" s="24" t="str">
        <f t="shared" si="1"/>
        <v/>
      </c>
      <c r="C928" s="26" t="str">
        <f t="array" ref="C928">XLOOKUP($A928,LinkedIn_follows_raw!$A$2:$A1000,LinkedIn_follows_raw!$E$2:$E1000)</f>
        <v>#N/A</v>
      </c>
      <c r="D928" s="26" t="str">
        <f t="array" ref="D928">sum(XLOOKUP($A928,LinkedIn_content_raw!$A$2:$A1000,LinkedIn_content_raw!$K$2:$K1000),XLOOKUP($A928,LinkedIn_content_raw!$A$2:$A1000,LinkedIn_content_raw!$N$2:$N1000),XLOOKUP($A928,LinkedIn_content_raw!$A$2:$A1000,LinkedIn_content_raw!$Q$2:$Q1000))</f>
        <v>#N/A</v>
      </c>
      <c r="E928" s="26" t="str">
        <f t="array" ref="E928">XLOOKUP($A928,LinkedIn_content_raw!$A$2:$A1000,LinkedIn_content_raw!$E$2:$E1000)</f>
        <v>#N/A</v>
      </c>
    </row>
    <row r="929">
      <c r="A929" s="26" t="str">
        <f>LinkedIn_content_raw!$A930</f>
        <v/>
      </c>
      <c r="B929" s="24" t="str">
        <f t="shared" si="1"/>
        <v/>
      </c>
      <c r="C929" s="26" t="str">
        <f t="array" ref="C929">XLOOKUP($A929,LinkedIn_follows_raw!$A$2:$A1000,LinkedIn_follows_raw!$E$2:$E1000)</f>
        <v>#N/A</v>
      </c>
      <c r="D929" s="26" t="str">
        <f t="array" ref="D929">sum(XLOOKUP($A929,LinkedIn_content_raw!$A$2:$A1000,LinkedIn_content_raw!$K$2:$K1000),XLOOKUP($A929,LinkedIn_content_raw!$A$2:$A1000,LinkedIn_content_raw!$N$2:$N1000),XLOOKUP($A929,LinkedIn_content_raw!$A$2:$A1000,LinkedIn_content_raw!$Q$2:$Q1000))</f>
        <v>#N/A</v>
      </c>
      <c r="E929" s="26" t="str">
        <f t="array" ref="E929">XLOOKUP($A929,LinkedIn_content_raw!$A$2:$A1000,LinkedIn_content_raw!$E$2:$E1000)</f>
        <v>#N/A</v>
      </c>
    </row>
    <row r="930">
      <c r="A930" s="26" t="str">
        <f>LinkedIn_content_raw!$A931</f>
        <v/>
      </c>
      <c r="B930" s="24" t="str">
        <f t="shared" si="1"/>
        <v/>
      </c>
      <c r="C930" s="26" t="str">
        <f t="array" ref="C930">XLOOKUP($A930,LinkedIn_follows_raw!$A$2:$A1000,LinkedIn_follows_raw!$E$2:$E1000)</f>
        <v>#N/A</v>
      </c>
      <c r="D930" s="26" t="str">
        <f t="array" ref="D930">sum(XLOOKUP($A930,LinkedIn_content_raw!$A$2:$A1000,LinkedIn_content_raw!$K$2:$K1000),XLOOKUP($A930,LinkedIn_content_raw!$A$2:$A1000,LinkedIn_content_raw!$N$2:$N1000),XLOOKUP($A930,LinkedIn_content_raw!$A$2:$A1000,LinkedIn_content_raw!$Q$2:$Q1000))</f>
        <v>#N/A</v>
      </c>
      <c r="E930" s="26" t="str">
        <f t="array" ref="E930">XLOOKUP($A930,LinkedIn_content_raw!$A$2:$A1000,LinkedIn_content_raw!$E$2:$E1000)</f>
        <v>#N/A</v>
      </c>
    </row>
    <row r="931">
      <c r="A931" s="26" t="str">
        <f>LinkedIn_content_raw!$A932</f>
        <v/>
      </c>
      <c r="B931" s="24" t="str">
        <f t="shared" si="1"/>
        <v/>
      </c>
      <c r="C931" s="26" t="str">
        <f t="array" ref="C931">XLOOKUP($A931,LinkedIn_follows_raw!$A$2:$A1000,LinkedIn_follows_raw!$E$2:$E1000)</f>
        <v>#N/A</v>
      </c>
      <c r="D931" s="26" t="str">
        <f t="array" ref="D931">sum(XLOOKUP($A931,LinkedIn_content_raw!$A$2:$A1000,LinkedIn_content_raw!$K$2:$K1000),XLOOKUP($A931,LinkedIn_content_raw!$A$2:$A1000,LinkedIn_content_raw!$N$2:$N1000),XLOOKUP($A931,LinkedIn_content_raw!$A$2:$A1000,LinkedIn_content_raw!$Q$2:$Q1000))</f>
        <v>#N/A</v>
      </c>
      <c r="E931" s="26" t="str">
        <f t="array" ref="E931">XLOOKUP($A931,LinkedIn_content_raw!$A$2:$A1000,LinkedIn_content_raw!$E$2:$E1000)</f>
        <v>#N/A</v>
      </c>
    </row>
    <row r="932">
      <c r="A932" s="26" t="str">
        <f>LinkedIn_content_raw!$A933</f>
        <v/>
      </c>
      <c r="B932" s="24" t="str">
        <f t="shared" si="1"/>
        <v/>
      </c>
      <c r="C932" s="26" t="str">
        <f t="array" ref="C932">XLOOKUP($A932,LinkedIn_follows_raw!$A$2:$A1000,LinkedIn_follows_raw!$E$2:$E1000)</f>
        <v>#N/A</v>
      </c>
      <c r="D932" s="26" t="str">
        <f t="array" ref="D932">sum(XLOOKUP($A932,LinkedIn_content_raw!$A$2:$A1000,LinkedIn_content_raw!$K$2:$K1000),XLOOKUP($A932,LinkedIn_content_raw!$A$2:$A1000,LinkedIn_content_raw!$N$2:$N1000),XLOOKUP($A932,LinkedIn_content_raw!$A$2:$A1000,LinkedIn_content_raw!$Q$2:$Q1000))</f>
        <v>#N/A</v>
      </c>
      <c r="E932" s="26" t="str">
        <f t="array" ref="E932">XLOOKUP($A932,LinkedIn_content_raw!$A$2:$A1000,LinkedIn_content_raw!$E$2:$E1000)</f>
        <v>#N/A</v>
      </c>
    </row>
    <row r="933">
      <c r="A933" s="26" t="str">
        <f>LinkedIn_content_raw!$A934</f>
        <v/>
      </c>
      <c r="B933" s="24" t="str">
        <f t="shared" si="1"/>
        <v/>
      </c>
      <c r="C933" s="26" t="str">
        <f t="array" ref="C933">XLOOKUP($A933,LinkedIn_follows_raw!$A$2:$A1000,LinkedIn_follows_raw!$E$2:$E1000)</f>
        <v>#N/A</v>
      </c>
      <c r="D933" s="26" t="str">
        <f t="array" ref="D933">sum(XLOOKUP($A933,LinkedIn_content_raw!$A$2:$A1000,LinkedIn_content_raw!$K$2:$K1000),XLOOKUP($A933,LinkedIn_content_raw!$A$2:$A1000,LinkedIn_content_raw!$N$2:$N1000),XLOOKUP($A933,LinkedIn_content_raw!$A$2:$A1000,LinkedIn_content_raw!$Q$2:$Q1000))</f>
        <v>#N/A</v>
      </c>
      <c r="E933" s="26" t="str">
        <f t="array" ref="E933">XLOOKUP($A933,LinkedIn_content_raw!$A$2:$A1000,LinkedIn_content_raw!$E$2:$E1000)</f>
        <v>#N/A</v>
      </c>
    </row>
    <row r="934">
      <c r="A934" s="26" t="str">
        <f>LinkedIn_content_raw!$A935</f>
        <v/>
      </c>
      <c r="B934" s="24" t="str">
        <f t="shared" si="1"/>
        <v/>
      </c>
      <c r="C934" s="26" t="str">
        <f t="array" ref="C934">XLOOKUP($A934,LinkedIn_follows_raw!$A$2:$A1000,LinkedIn_follows_raw!$E$2:$E1000)</f>
        <v>#N/A</v>
      </c>
      <c r="D934" s="26" t="str">
        <f t="array" ref="D934">sum(XLOOKUP($A934,LinkedIn_content_raw!$A$2:$A1000,LinkedIn_content_raw!$K$2:$K1000),XLOOKUP($A934,LinkedIn_content_raw!$A$2:$A1000,LinkedIn_content_raw!$N$2:$N1000),XLOOKUP($A934,LinkedIn_content_raw!$A$2:$A1000,LinkedIn_content_raw!$Q$2:$Q1000))</f>
        <v>#N/A</v>
      </c>
      <c r="E934" s="26" t="str">
        <f t="array" ref="E934">XLOOKUP($A934,LinkedIn_content_raw!$A$2:$A1000,LinkedIn_content_raw!$E$2:$E1000)</f>
        <v>#N/A</v>
      </c>
    </row>
    <row r="935">
      <c r="A935" s="26" t="str">
        <f>LinkedIn_content_raw!$A936</f>
        <v/>
      </c>
      <c r="B935" s="24" t="str">
        <f t="shared" si="1"/>
        <v/>
      </c>
      <c r="C935" s="26" t="str">
        <f t="array" ref="C935">XLOOKUP($A935,LinkedIn_follows_raw!$A$2:$A1000,LinkedIn_follows_raw!$E$2:$E1000)</f>
        <v>#N/A</v>
      </c>
      <c r="D935" s="26" t="str">
        <f t="array" ref="D935">sum(XLOOKUP($A935,LinkedIn_content_raw!$A$2:$A1000,LinkedIn_content_raw!$K$2:$K1000),XLOOKUP($A935,LinkedIn_content_raw!$A$2:$A1000,LinkedIn_content_raw!$N$2:$N1000),XLOOKUP($A935,LinkedIn_content_raw!$A$2:$A1000,LinkedIn_content_raw!$Q$2:$Q1000))</f>
        <v>#N/A</v>
      </c>
      <c r="E935" s="26" t="str">
        <f t="array" ref="E935">XLOOKUP($A935,LinkedIn_content_raw!$A$2:$A1000,LinkedIn_content_raw!$E$2:$E1000)</f>
        <v>#N/A</v>
      </c>
    </row>
    <row r="936">
      <c r="A936" s="26" t="str">
        <f>LinkedIn_content_raw!$A937</f>
        <v/>
      </c>
      <c r="B936" s="24" t="str">
        <f t="shared" si="1"/>
        <v/>
      </c>
      <c r="C936" s="26" t="str">
        <f t="array" ref="C936">XLOOKUP($A936,LinkedIn_follows_raw!$A$2:$A1000,LinkedIn_follows_raw!$E$2:$E1000)</f>
        <v>#N/A</v>
      </c>
      <c r="D936" s="26" t="str">
        <f t="array" ref="D936">sum(XLOOKUP($A936,LinkedIn_content_raw!$A$2:$A1000,LinkedIn_content_raw!$K$2:$K1000),XLOOKUP($A936,LinkedIn_content_raw!$A$2:$A1000,LinkedIn_content_raw!$N$2:$N1000),XLOOKUP($A936,LinkedIn_content_raw!$A$2:$A1000,LinkedIn_content_raw!$Q$2:$Q1000))</f>
        <v>#N/A</v>
      </c>
      <c r="E936" s="26" t="str">
        <f t="array" ref="E936">XLOOKUP($A936,LinkedIn_content_raw!$A$2:$A1000,LinkedIn_content_raw!$E$2:$E1000)</f>
        <v>#N/A</v>
      </c>
    </row>
    <row r="937">
      <c r="A937" s="26" t="str">
        <f>LinkedIn_content_raw!$A938</f>
        <v/>
      </c>
      <c r="B937" s="24" t="str">
        <f t="shared" si="1"/>
        <v/>
      </c>
      <c r="C937" s="26" t="str">
        <f t="array" ref="C937">XLOOKUP($A937,LinkedIn_follows_raw!$A$2:$A1000,LinkedIn_follows_raw!$E$2:$E1000)</f>
        <v>#N/A</v>
      </c>
      <c r="D937" s="26" t="str">
        <f t="array" ref="D937">sum(XLOOKUP($A937,LinkedIn_content_raw!$A$2:$A1000,LinkedIn_content_raw!$K$2:$K1000),XLOOKUP($A937,LinkedIn_content_raw!$A$2:$A1000,LinkedIn_content_raw!$N$2:$N1000),XLOOKUP($A937,LinkedIn_content_raw!$A$2:$A1000,LinkedIn_content_raw!$Q$2:$Q1000))</f>
        <v>#N/A</v>
      </c>
      <c r="E937" s="26" t="str">
        <f t="array" ref="E937">XLOOKUP($A937,LinkedIn_content_raw!$A$2:$A1000,LinkedIn_content_raw!$E$2:$E1000)</f>
        <v>#N/A</v>
      </c>
    </row>
    <row r="938">
      <c r="A938" s="26" t="str">
        <f>LinkedIn_content_raw!$A939</f>
        <v/>
      </c>
      <c r="B938" s="24" t="str">
        <f t="shared" si="1"/>
        <v/>
      </c>
      <c r="C938" s="26" t="str">
        <f t="array" ref="C938">XLOOKUP($A938,LinkedIn_follows_raw!$A$2:$A1000,LinkedIn_follows_raw!$E$2:$E1000)</f>
        <v>#N/A</v>
      </c>
      <c r="D938" s="26" t="str">
        <f t="array" ref="D938">sum(XLOOKUP($A938,LinkedIn_content_raw!$A$2:$A1000,LinkedIn_content_raw!$K$2:$K1000),XLOOKUP($A938,LinkedIn_content_raw!$A$2:$A1000,LinkedIn_content_raw!$N$2:$N1000),XLOOKUP($A938,LinkedIn_content_raw!$A$2:$A1000,LinkedIn_content_raw!$Q$2:$Q1000))</f>
        <v>#N/A</v>
      </c>
      <c r="E938" s="26" t="str">
        <f t="array" ref="E938">XLOOKUP($A938,LinkedIn_content_raw!$A$2:$A1000,LinkedIn_content_raw!$E$2:$E1000)</f>
        <v>#N/A</v>
      </c>
    </row>
    <row r="939">
      <c r="A939" s="26" t="str">
        <f>LinkedIn_content_raw!$A940</f>
        <v/>
      </c>
      <c r="B939" s="24" t="str">
        <f t="shared" si="1"/>
        <v/>
      </c>
      <c r="C939" s="26" t="str">
        <f t="array" ref="C939">XLOOKUP($A939,LinkedIn_follows_raw!$A$2:$A1000,LinkedIn_follows_raw!$E$2:$E1000)</f>
        <v>#N/A</v>
      </c>
      <c r="D939" s="26" t="str">
        <f t="array" ref="D939">sum(XLOOKUP($A939,LinkedIn_content_raw!$A$2:$A1000,LinkedIn_content_raw!$K$2:$K1000),XLOOKUP($A939,LinkedIn_content_raw!$A$2:$A1000,LinkedIn_content_raw!$N$2:$N1000),XLOOKUP($A939,LinkedIn_content_raw!$A$2:$A1000,LinkedIn_content_raw!$Q$2:$Q1000))</f>
        <v>#N/A</v>
      </c>
      <c r="E939" s="26" t="str">
        <f t="array" ref="E939">XLOOKUP($A939,LinkedIn_content_raw!$A$2:$A1000,LinkedIn_content_raw!$E$2:$E1000)</f>
        <v>#N/A</v>
      </c>
    </row>
    <row r="940">
      <c r="A940" s="26" t="str">
        <f>LinkedIn_content_raw!$A941</f>
        <v/>
      </c>
      <c r="B940" s="24" t="str">
        <f t="shared" si="1"/>
        <v/>
      </c>
      <c r="C940" s="26" t="str">
        <f t="array" ref="C940">XLOOKUP($A940,LinkedIn_follows_raw!$A$2:$A1000,LinkedIn_follows_raw!$E$2:$E1000)</f>
        <v>#N/A</v>
      </c>
      <c r="D940" s="26" t="str">
        <f t="array" ref="D940">sum(XLOOKUP($A940,LinkedIn_content_raw!$A$2:$A1000,LinkedIn_content_raw!$K$2:$K1000),XLOOKUP($A940,LinkedIn_content_raw!$A$2:$A1000,LinkedIn_content_raw!$N$2:$N1000),XLOOKUP($A940,LinkedIn_content_raw!$A$2:$A1000,LinkedIn_content_raw!$Q$2:$Q1000))</f>
        <v>#N/A</v>
      </c>
      <c r="E940" s="26" t="str">
        <f t="array" ref="E940">XLOOKUP($A940,LinkedIn_content_raw!$A$2:$A1000,LinkedIn_content_raw!$E$2:$E1000)</f>
        <v>#N/A</v>
      </c>
    </row>
    <row r="941">
      <c r="A941" s="26" t="str">
        <f>LinkedIn_content_raw!$A942</f>
        <v/>
      </c>
      <c r="B941" s="24" t="str">
        <f t="shared" si="1"/>
        <v/>
      </c>
      <c r="C941" s="26" t="str">
        <f t="array" ref="C941">XLOOKUP($A941,LinkedIn_follows_raw!$A$2:$A1000,LinkedIn_follows_raw!$E$2:$E1000)</f>
        <v>#N/A</v>
      </c>
      <c r="D941" s="26" t="str">
        <f t="array" ref="D941">sum(XLOOKUP($A941,LinkedIn_content_raw!$A$2:$A1000,LinkedIn_content_raw!$K$2:$K1000),XLOOKUP($A941,LinkedIn_content_raw!$A$2:$A1000,LinkedIn_content_raw!$N$2:$N1000),XLOOKUP($A941,LinkedIn_content_raw!$A$2:$A1000,LinkedIn_content_raw!$Q$2:$Q1000))</f>
        <v>#N/A</v>
      </c>
      <c r="E941" s="26" t="str">
        <f t="array" ref="E941">XLOOKUP($A941,LinkedIn_content_raw!$A$2:$A1000,LinkedIn_content_raw!$E$2:$E1000)</f>
        <v>#N/A</v>
      </c>
    </row>
    <row r="942">
      <c r="A942" s="26" t="str">
        <f>LinkedIn_content_raw!$A943</f>
        <v/>
      </c>
      <c r="B942" s="24" t="str">
        <f t="shared" si="1"/>
        <v/>
      </c>
      <c r="C942" s="26" t="str">
        <f t="array" ref="C942">XLOOKUP($A942,LinkedIn_follows_raw!$A$2:$A1000,LinkedIn_follows_raw!$E$2:$E1000)</f>
        <v>#N/A</v>
      </c>
      <c r="D942" s="26" t="str">
        <f t="array" ref="D942">sum(XLOOKUP($A942,LinkedIn_content_raw!$A$2:$A1000,LinkedIn_content_raw!$K$2:$K1000),XLOOKUP($A942,LinkedIn_content_raw!$A$2:$A1000,LinkedIn_content_raw!$N$2:$N1000),XLOOKUP($A942,LinkedIn_content_raw!$A$2:$A1000,LinkedIn_content_raw!$Q$2:$Q1000))</f>
        <v>#N/A</v>
      </c>
      <c r="E942" s="26" t="str">
        <f t="array" ref="E942">XLOOKUP($A942,LinkedIn_content_raw!$A$2:$A1000,LinkedIn_content_raw!$E$2:$E1000)</f>
        <v>#N/A</v>
      </c>
    </row>
    <row r="943">
      <c r="A943" s="26" t="str">
        <f>LinkedIn_content_raw!$A944</f>
        <v/>
      </c>
      <c r="B943" s="24" t="str">
        <f t="shared" si="1"/>
        <v/>
      </c>
      <c r="C943" s="26" t="str">
        <f t="array" ref="C943">XLOOKUP($A943,LinkedIn_follows_raw!$A$2:$A1000,LinkedIn_follows_raw!$E$2:$E1000)</f>
        <v>#N/A</v>
      </c>
      <c r="D943" s="26" t="str">
        <f t="array" ref="D943">sum(XLOOKUP($A943,LinkedIn_content_raw!$A$2:$A1000,LinkedIn_content_raw!$K$2:$K1000),XLOOKUP($A943,LinkedIn_content_raw!$A$2:$A1000,LinkedIn_content_raw!$N$2:$N1000),XLOOKUP($A943,LinkedIn_content_raw!$A$2:$A1000,LinkedIn_content_raw!$Q$2:$Q1000))</f>
        <v>#N/A</v>
      </c>
      <c r="E943" s="26" t="str">
        <f t="array" ref="E943">XLOOKUP($A943,LinkedIn_content_raw!$A$2:$A1000,LinkedIn_content_raw!$E$2:$E1000)</f>
        <v>#N/A</v>
      </c>
    </row>
    <row r="944">
      <c r="A944" s="26" t="str">
        <f>LinkedIn_content_raw!$A945</f>
        <v/>
      </c>
      <c r="B944" s="24" t="str">
        <f t="shared" si="1"/>
        <v/>
      </c>
      <c r="C944" s="26" t="str">
        <f t="array" ref="C944">XLOOKUP($A944,LinkedIn_follows_raw!$A$2:$A1000,LinkedIn_follows_raw!$E$2:$E1000)</f>
        <v>#N/A</v>
      </c>
      <c r="D944" s="26" t="str">
        <f t="array" ref="D944">sum(XLOOKUP($A944,LinkedIn_content_raw!$A$2:$A1000,LinkedIn_content_raw!$K$2:$K1000),XLOOKUP($A944,LinkedIn_content_raw!$A$2:$A1000,LinkedIn_content_raw!$N$2:$N1000),XLOOKUP($A944,LinkedIn_content_raw!$A$2:$A1000,LinkedIn_content_raw!$Q$2:$Q1000))</f>
        <v>#N/A</v>
      </c>
      <c r="E944" s="26" t="str">
        <f t="array" ref="E944">XLOOKUP($A944,LinkedIn_content_raw!$A$2:$A1000,LinkedIn_content_raw!$E$2:$E1000)</f>
        <v>#N/A</v>
      </c>
    </row>
    <row r="945">
      <c r="A945" s="26" t="str">
        <f>LinkedIn_content_raw!$A946</f>
        <v/>
      </c>
      <c r="B945" s="24" t="str">
        <f t="shared" si="1"/>
        <v/>
      </c>
      <c r="C945" s="26" t="str">
        <f t="array" ref="C945">XLOOKUP($A945,LinkedIn_follows_raw!$A$2:$A1000,LinkedIn_follows_raw!$E$2:$E1000)</f>
        <v>#N/A</v>
      </c>
      <c r="D945" s="26" t="str">
        <f t="array" ref="D945">sum(XLOOKUP($A945,LinkedIn_content_raw!$A$2:$A1000,LinkedIn_content_raw!$K$2:$K1000),XLOOKUP($A945,LinkedIn_content_raw!$A$2:$A1000,LinkedIn_content_raw!$N$2:$N1000),XLOOKUP($A945,LinkedIn_content_raw!$A$2:$A1000,LinkedIn_content_raw!$Q$2:$Q1000))</f>
        <v>#N/A</v>
      </c>
      <c r="E945" s="26" t="str">
        <f t="array" ref="E945">XLOOKUP($A945,LinkedIn_content_raw!$A$2:$A1000,LinkedIn_content_raw!$E$2:$E1000)</f>
        <v>#N/A</v>
      </c>
    </row>
    <row r="946">
      <c r="A946" s="26" t="str">
        <f>LinkedIn_content_raw!$A947</f>
        <v/>
      </c>
      <c r="B946" s="24" t="str">
        <f t="shared" si="1"/>
        <v/>
      </c>
      <c r="C946" s="26" t="str">
        <f t="array" ref="C946">XLOOKUP($A946,LinkedIn_follows_raw!$A$2:$A1000,LinkedIn_follows_raw!$E$2:$E1000)</f>
        <v>#N/A</v>
      </c>
      <c r="D946" s="26" t="str">
        <f t="array" ref="D946">sum(XLOOKUP($A946,LinkedIn_content_raw!$A$2:$A1000,LinkedIn_content_raw!$K$2:$K1000),XLOOKUP($A946,LinkedIn_content_raw!$A$2:$A1000,LinkedIn_content_raw!$N$2:$N1000),XLOOKUP($A946,LinkedIn_content_raw!$A$2:$A1000,LinkedIn_content_raw!$Q$2:$Q1000))</f>
        <v>#N/A</v>
      </c>
      <c r="E946" s="26" t="str">
        <f t="array" ref="E946">XLOOKUP($A946,LinkedIn_content_raw!$A$2:$A1000,LinkedIn_content_raw!$E$2:$E1000)</f>
        <v>#N/A</v>
      </c>
    </row>
    <row r="947">
      <c r="A947" s="26" t="str">
        <f>LinkedIn_content_raw!$A948</f>
        <v/>
      </c>
      <c r="B947" s="24" t="str">
        <f t="shared" si="1"/>
        <v/>
      </c>
      <c r="C947" s="26" t="str">
        <f t="array" ref="C947">XLOOKUP($A947,LinkedIn_follows_raw!$A$2:$A1000,LinkedIn_follows_raw!$E$2:$E1000)</f>
        <v>#N/A</v>
      </c>
      <c r="D947" s="26" t="str">
        <f t="array" ref="D947">sum(XLOOKUP($A947,LinkedIn_content_raw!$A$2:$A1000,LinkedIn_content_raw!$K$2:$K1000),XLOOKUP($A947,LinkedIn_content_raw!$A$2:$A1000,LinkedIn_content_raw!$N$2:$N1000),XLOOKUP($A947,LinkedIn_content_raw!$A$2:$A1000,LinkedIn_content_raw!$Q$2:$Q1000))</f>
        <v>#N/A</v>
      </c>
      <c r="E947" s="26" t="str">
        <f t="array" ref="E947">XLOOKUP($A947,LinkedIn_content_raw!$A$2:$A1000,LinkedIn_content_raw!$E$2:$E1000)</f>
        <v>#N/A</v>
      </c>
    </row>
    <row r="948">
      <c r="A948" s="26" t="str">
        <f>LinkedIn_content_raw!$A949</f>
        <v/>
      </c>
      <c r="B948" s="24" t="str">
        <f t="shared" si="1"/>
        <v/>
      </c>
      <c r="C948" s="26" t="str">
        <f t="array" ref="C948">XLOOKUP($A948,LinkedIn_follows_raw!$A$2:$A1000,LinkedIn_follows_raw!$E$2:$E1000)</f>
        <v>#N/A</v>
      </c>
      <c r="D948" s="26" t="str">
        <f t="array" ref="D948">sum(XLOOKUP($A948,LinkedIn_content_raw!$A$2:$A1000,LinkedIn_content_raw!$K$2:$K1000),XLOOKUP($A948,LinkedIn_content_raw!$A$2:$A1000,LinkedIn_content_raw!$N$2:$N1000),XLOOKUP($A948,LinkedIn_content_raw!$A$2:$A1000,LinkedIn_content_raw!$Q$2:$Q1000))</f>
        <v>#N/A</v>
      </c>
      <c r="E948" s="26" t="str">
        <f t="array" ref="E948">XLOOKUP($A948,LinkedIn_content_raw!$A$2:$A1000,LinkedIn_content_raw!$E$2:$E1000)</f>
        <v>#N/A</v>
      </c>
    </row>
    <row r="949">
      <c r="A949" s="26" t="str">
        <f>LinkedIn_content_raw!$A950</f>
        <v/>
      </c>
      <c r="B949" s="24" t="str">
        <f t="shared" si="1"/>
        <v/>
      </c>
      <c r="C949" s="26" t="str">
        <f t="array" ref="C949">XLOOKUP($A949,LinkedIn_follows_raw!$A$2:$A1000,LinkedIn_follows_raw!$E$2:$E1000)</f>
        <v>#N/A</v>
      </c>
      <c r="D949" s="26" t="str">
        <f t="array" ref="D949">sum(XLOOKUP($A949,LinkedIn_content_raw!$A$2:$A1000,LinkedIn_content_raw!$K$2:$K1000),XLOOKUP($A949,LinkedIn_content_raw!$A$2:$A1000,LinkedIn_content_raw!$N$2:$N1000),XLOOKUP($A949,LinkedIn_content_raw!$A$2:$A1000,LinkedIn_content_raw!$Q$2:$Q1000))</f>
        <v>#N/A</v>
      </c>
      <c r="E949" s="26" t="str">
        <f t="array" ref="E949">XLOOKUP($A949,LinkedIn_content_raw!$A$2:$A1000,LinkedIn_content_raw!$E$2:$E1000)</f>
        <v>#N/A</v>
      </c>
    </row>
    <row r="950">
      <c r="A950" s="26" t="str">
        <f>LinkedIn_content_raw!$A951</f>
        <v/>
      </c>
      <c r="B950" s="24" t="str">
        <f t="shared" si="1"/>
        <v/>
      </c>
      <c r="C950" s="26" t="str">
        <f t="array" ref="C950">XLOOKUP($A950,LinkedIn_follows_raw!$A$2:$A1000,LinkedIn_follows_raw!$E$2:$E1000)</f>
        <v>#N/A</v>
      </c>
      <c r="D950" s="26" t="str">
        <f t="array" ref="D950">sum(XLOOKUP($A950,LinkedIn_content_raw!$A$2:$A1000,LinkedIn_content_raw!$K$2:$K1000),XLOOKUP($A950,LinkedIn_content_raw!$A$2:$A1000,LinkedIn_content_raw!$N$2:$N1000),XLOOKUP($A950,LinkedIn_content_raw!$A$2:$A1000,LinkedIn_content_raw!$Q$2:$Q1000))</f>
        <v>#N/A</v>
      </c>
      <c r="E950" s="26" t="str">
        <f t="array" ref="E950">XLOOKUP($A950,LinkedIn_content_raw!$A$2:$A1000,LinkedIn_content_raw!$E$2:$E1000)</f>
        <v>#N/A</v>
      </c>
    </row>
    <row r="951">
      <c r="A951" s="26" t="str">
        <f>LinkedIn_content_raw!$A952</f>
        <v/>
      </c>
      <c r="B951" s="24" t="str">
        <f t="shared" si="1"/>
        <v/>
      </c>
      <c r="C951" s="26" t="str">
        <f t="array" ref="C951">XLOOKUP($A951,LinkedIn_follows_raw!$A$2:$A1000,LinkedIn_follows_raw!$E$2:$E1000)</f>
        <v>#N/A</v>
      </c>
      <c r="D951" s="26" t="str">
        <f t="array" ref="D951">sum(XLOOKUP($A951,LinkedIn_content_raw!$A$2:$A1000,LinkedIn_content_raw!$K$2:$K1000),XLOOKUP($A951,LinkedIn_content_raw!$A$2:$A1000,LinkedIn_content_raw!$N$2:$N1000),XLOOKUP($A951,LinkedIn_content_raw!$A$2:$A1000,LinkedIn_content_raw!$Q$2:$Q1000))</f>
        <v>#N/A</v>
      </c>
      <c r="E951" s="26" t="str">
        <f t="array" ref="E951">XLOOKUP($A951,LinkedIn_content_raw!$A$2:$A1000,LinkedIn_content_raw!$E$2:$E1000)</f>
        <v>#N/A</v>
      </c>
    </row>
    <row r="952">
      <c r="A952" s="26" t="str">
        <f>LinkedIn_content_raw!$A953</f>
        <v/>
      </c>
      <c r="B952" s="24" t="str">
        <f t="shared" si="1"/>
        <v/>
      </c>
      <c r="C952" s="26" t="str">
        <f t="array" ref="C952">XLOOKUP($A952,LinkedIn_follows_raw!$A$2:$A1000,LinkedIn_follows_raw!$E$2:$E1000)</f>
        <v>#N/A</v>
      </c>
      <c r="D952" s="26" t="str">
        <f t="array" ref="D952">sum(XLOOKUP($A952,LinkedIn_content_raw!$A$2:$A1000,LinkedIn_content_raw!$K$2:$K1000),XLOOKUP($A952,LinkedIn_content_raw!$A$2:$A1000,LinkedIn_content_raw!$N$2:$N1000),XLOOKUP($A952,LinkedIn_content_raw!$A$2:$A1000,LinkedIn_content_raw!$Q$2:$Q1000))</f>
        <v>#N/A</v>
      </c>
      <c r="E952" s="26" t="str">
        <f t="array" ref="E952">XLOOKUP($A952,LinkedIn_content_raw!$A$2:$A1000,LinkedIn_content_raw!$E$2:$E1000)</f>
        <v>#N/A</v>
      </c>
    </row>
    <row r="953">
      <c r="A953" s="26" t="str">
        <f>LinkedIn_content_raw!$A954</f>
        <v/>
      </c>
      <c r="B953" s="24" t="str">
        <f t="shared" si="1"/>
        <v/>
      </c>
      <c r="C953" s="26" t="str">
        <f t="array" ref="C953">XLOOKUP($A953,LinkedIn_follows_raw!$A$2:$A1000,LinkedIn_follows_raw!$E$2:$E1000)</f>
        <v>#N/A</v>
      </c>
      <c r="D953" s="26" t="str">
        <f t="array" ref="D953">sum(XLOOKUP($A953,LinkedIn_content_raw!$A$2:$A1000,LinkedIn_content_raw!$K$2:$K1000),XLOOKUP($A953,LinkedIn_content_raw!$A$2:$A1000,LinkedIn_content_raw!$N$2:$N1000),XLOOKUP($A953,LinkedIn_content_raw!$A$2:$A1000,LinkedIn_content_raw!$Q$2:$Q1000))</f>
        <v>#N/A</v>
      </c>
      <c r="E953" s="26" t="str">
        <f t="array" ref="E953">XLOOKUP($A953,LinkedIn_content_raw!$A$2:$A1000,LinkedIn_content_raw!$E$2:$E1000)</f>
        <v>#N/A</v>
      </c>
    </row>
    <row r="954">
      <c r="A954" s="26" t="str">
        <f>LinkedIn_content_raw!$A955</f>
        <v/>
      </c>
      <c r="B954" s="24" t="str">
        <f t="shared" si="1"/>
        <v/>
      </c>
      <c r="C954" s="26" t="str">
        <f t="array" ref="C954">XLOOKUP($A954,LinkedIn_follows_raw!$A$2:$A1000,LinkedIn_follows_raw!$E$2:$E1000)</f>
        <v>#N/A</v>
      </c>
      <c r="D954" s="26" t="str">
        <f t="array" ref="D954">sum(XLOOKUP($A954,LinkedIn_content_raw!$A$2:$A1000,LinkedIn_content_raw!$K$2:$K1000),XLOOKUP($A954,LinkedIn_content_raw!$A$2:$A1000,LinkedIn_content_raw!$N$2:$N1000),XLOOKUP($A954,LinkedIn_content_raw!$A$2:$A1000,LinkedIn_content_raw!$Q$2:$Q1000))</f>
        <v>#N/A</v>
      </c>
      <c r="E954" s="26" t="str">
        <f t="array" ref="E954">XLOOKUP($A954,LinkedIn_content_raw!$A$2:$A1000,LinkedIn_content_raw!$E$2:$E1000)</f>
        <v>#N/A</v>
      </c>
    </row>
    <row r="955">
      <c r="A955" s="26" t="str">
        <f>LinkedIn_content_raw!$A956</f>
        <v/>
      </c>
      <c r="B955" s="24" t="str">
        <f t="shared" si="1"/>
        <v/>
      </c>
      <c r="C955" s="26" t="str">
        <f t="array" ref="C955">XLOOKUP($A955,LinkedIn_follows_raw!$A$2:$A1000,LinkedIn_follows_raw!$E$2:$E1000)</f>
        <v>#N/A</v>
      </c>
      <c r="D955" s="26" t="str">
        <f t="array" ref="D955">sum(XLOOKUP($A955,LinkedIn_content_raw!$A$2:$A1000,LinkedIn_content_raw!$K$2:$K1000),XLOOKUP($A955,LinkedIn_content_raw!$A$2:$A1000,LinkedIn_content_raw!$N$2:$N1000),XLOOKUP($A955,LinkedIn_content_raw!$A$2:$A1000,LinkedIn_content_raw!$Q$2:$Q1000))</f>
        <v>#N/A</v>
      </c>
      <c r="E955" s="26" t="str">
        <f t="array" ref="E955">XLOOKUP($A955,LinkedIn_content_raw!$A$2:$A1000,LinkedIn_content_raw!$E$2:$E1000)</f>
        <v>#N/A</v>
      </c>
    </row>
    <row r="956">
      <c r="A956" s="26" t="str">
        <f>LinkedIn_content_raw!$A957</f>
        <v/>
      </c>
      <c r="B956" s="24" t="str">
        <f t="shared" si="1"/>
        <v/>
      </c>
      <c r="C956" s="26" t="str">
        <f t="array" ref="C956">XLOOKUP($A956,LinkedIn_follows_raw!$A$2:$A1000,LinkedIn_follows_raw!$E$2:$E1000)</f>
        <v>#N/A</v>
      </c>
      <c r="D956" s="26" t="str">
        <f t="array" ref="D956">sum(XLOOKUP($A956,LinkedIn_content_raw!$A$2:$A1000,LinkedIn_content_raw!$K$2:$K1000),XLOOKUP($A956,LinkedIn_content_raw!$A$2:$A1000,LinkedIn_content_raw!$N$2:$N1000),XLOOKUP($A956,LinkedIn_content_raw!$A$2:$A1000,LinkedIn_content_raw!$Q$2:$Q1000))</f>
        <v>#N/A</v>
      </c>
      <c r="E956" s="26" t="str">
        <f t="array" ref="E956">XLOOKUP($A956,LinkedIn_content_raw!$A$2:$A1000,LinkedIn_content_raw!$E$2:$E1000)</f>
        <v>#N/A</v>
      </c>
    </row>
    <row r="957">
      <c r="A957" s="26" t="str">
        <f>LinkedIn_content_raw!$A958</f>
        <v/>
      </c>
      <c r="B957" s="24" t="str">
        <f t="shared" si="1"/>
        <v/>
      </c>
      <c r="C957" s="26" t="str">
        <f t="array" ref="C957">XLOOKUP($A957,LinkedIn_follows_raw!$A$2:$A1000,LinkedIn_follows_raw!$E$2:$E1000)</f>
        <v>#N/A</v>
      </c>
      <c r="D957" s="26" t="str">
        <f t="array" ref="D957">sum(XLOOKUP($A957,LinkedIn_content_raw!$A$2:$A1000,LinkedIn_content_raw!$K$2:$K1000),XLOOKUP($A957,LinkedIn_content_raw!$A$2:$A1000,LinkedIn_content_raw!$N$2:$N1000),XLOOKUP($A957,LinkedIn_content_raw!$A$2:$A1000,LinkedIn_content_raw!$Q$2:$Q1000))</f>
        <v>#N/A</v>
      </c>
      <c r="E957" s="26" t="str">
        <f t="array" ref="E957">XLOOKUP($A957,LinkedIn_content_raw!$A$2:$A1000,LinkedIn_content_raw!$E$2:$E1000)</f>
        <v>#N/A</v>
      </c>
    </row>
    <row r="958">
      <c r="A958" s="26" t="str">
        <f>LinkedIn_content_raw!$A959</f>
        <v/>
      </c>
      <c r="B958" s="24" t="str">
        <f t="shared" si="1"/>
        <v/>
      </c>
      <c r="C958" s="26" t="str">
        <f t="array" ref="C958">XLOOKUP($A958,LinkedIn_follows_raw!$A$2:$A1000,LinkedIn_follows_raw!$E$2:$E1000)</f>
        <v>#N/A</v>
      </c>
      <c r="D958" s="26" t="str">
        <f t="array" ref="D958">sum(XLOOKUP($A958,LinkedIn_content_raw!$A$2:$A1000,LinkedIn_content_raw!$K$2:$K1000),XLOOKUP($A958,LinkedIn_content_raw!$A$2:$A1000,LinkedIn_content_raw!$N$2:$N1000),XLOOKUP($A958,LinkedIn_content_raw!$A$2:$A1000,LinkedIn_content_raw!$Q$2:$Q1000))</f>
        <v>#N/A</v>
      </c>
      <c r="E958" s="26" t="str">
        <f t="array" ref="E958">XLOOKUP($A958,LinkedIn_content_raw!$A$2:$A1000,LinkedIn_content_raw!$E$2:$E1000)</f>
        <v>#N/A</v>
      </c>
    </row>
    <row r="959">
      <c r="A959" s="26" t="str">
        <f>LinkedIn_content_raw!$A960</f>
        <v/>
      </c>
      <c r="B959" s="24" t="str">
        <f t="shared" si="1"/>
        <v/>
      </c>
      <c r="C959" s="26" t="str">
        <f t="array" ref="C959">XLOOKUP($A959,LinkedIn_follows_raw!$A$2:$A1000,LinkedIn_follows_raw!$E$2:$E1000)</f>
        <v>#N/A</v>
      </c>
      <c r="D959" s="26" t="str">
        <f t="array" ref="D959">sum(XLOOKUP($A959,LinkedIn_content_raw!$A$2:$A1000,LinkedIn_content_raw!$K$2:$K1000),XLOOKUP($A959,LinkedIn_content_raw!$A$2:$A1000,LinkedIn_content_raw!$N$2:$N1000),XLOOKUP($A959,LinkedIn_content_raw!$A$2:$A1000,LinkedIn_content_raw!$Q$2:$Q1000))</f>
        <v>#N/A</v>
      </c>
      <c r="E959" s="26" t="str">
        <f t="array" ref="E959">XLOOKUP($A959,LinkedIn_content_raw!$A$2:$A1000,LinkedIn_content_raw!$E$2:$E1000)</f>
        <v>#N/A</v>
      </c>
    </row>
    <row r="960">
      <c r="A960" s="26" t="str">
        <f>LinkedIn_content_raw!$A961</f>
        <v/>
      </c>
      <c r="B960" s="24" t="str">
        <f t="shared" si="1"/>
        <v/>
      </c>
      <c r="C960" s="26" t="str">
        <f t="array" ref="C960">XLOOKUP($A960,LinkedIn_follows_raw!$A$2:$A1000,LinkedIn_follows_raw!$E$2:$E1000)</f>
        <v>#N/A</v>
      </c>
      <c r="D960" s="26" t="str">
        <f t="array" ref="D960">sum(XLOOKUP($A960,LinkedIn_content_raw!$A$2:$A1000,LinkedIn_content_raw!$K$2:$K1000),XLOOKUP($A960,LinkedIn_content_raw!$A$2:$A1000,LinkedIn_content_raw!$N$2:$N1000),XLOOKUP($A960,LinkedIn_content_raw!$A$2:$A1000,LinkedIn_content_raw!$Q$2:$Q1000))</f>
        <v>#N/A</v>
      </c>
      <c r="E960" s="26" t="str">
        <f t="array" ref="E960">XLOOKUP($A960,LinkedIn_content_raw!$A$2:$A1000,LinkedIn_content_raw!$E$2:$E1000)</f>
        <v>#N/A</v>
      </c>
    </row>
    <row r="961">
      <c r="A961" s="26" t="str">
        <f>LinkedIn_content_raw!$A962</f>
        <v/>
      </c>
      <c r="B961" s="24" t="str">
        <f t="shared" si="1"/>
        <v/>
      </c>
      <c r="C961" s="26" t="str">
        <f t="array" ref="C961">XLOOKUP($A961,LinkedIn_follows_raw!$A$2:$A1000,LinkedIn_follows_raw!$E$2:$E1000)</f>
        <v>#N/A</v>
      </c>
      <c r="D961" s="26" t="str">
        <f t="array" ref="D961">sum(XLOOKUP($A961,LinkedIn_content_raw!$A$2:$A1000,LinkedIn_content_raw!$K$2:$K1000),XLOOKUP($A961,LinkedIn_content_raw!$A$2:$A1000,LinkedIn_content_raw!$N$2:$N1000),XLOOKUP($A961,LinkedIn_content_raw!$A$2:$A1000,LinkedIn_content_raw!$Q$2:$Q1000))</f>
        <v>#N/A</v>
      </c>
      <c r="E961" s="26" t="str">
        <f t="array" ref="E961">XLOOKUP($A961,LinkedIn_content_raw!$A$2:$A1000,LinkedIn_content_raw!$E$2:$E1000)</f>
        <v>#N/A</v>
      </c>
    </row>
    <row r="962">
      <c r="A962" s="26" t="str">
        <f>LinkedIn_content_raw!$A963</f>
        <v/>
      </c>
      <c r="B962" s="24" t="str">
        <f t="shared" si="1"/>
        <v/>
      </c>
      <c r="C962" s="26" t="str">
        <f t="array" ref="C962">XLOOKUP($A962,LinkedIn_follows_raw!$A$2:$A1000,LinkedIn_follows_raw!$E$2:$E1000)</f>
        <v>#N/A</v>
      </c>
      <c r="D962" s="26" t="str">
        <f t="array" ref="D962">sum(XLOOKUP($A962,LinkedIn_content_raw!$A$2:$A1000,LinkedIn_content_raw!$K$2:$K1000),XLOOKUP($A962,LinkedIn_content_raw!$A$2:$A1000,LinkedIn_content_raw!$N$2:$N1000),XLOOKUP($A962,LinkedIn_content_raw!$A$2:$A1000,LinkedIn_content_raw!$Q$2:$Q1000))</f>
        <v>#N/A</v>
      </c>
      <c r="E962" s="26" t="str">
        <f t="array" ref="E962">XLOOKUP($A962,LinkedIn_content_raw!$A$2:$A1000,LinkedIn_content_raw!$E$2:$E1000)</f>
        <v>#N/A</v>
      </c>
    </row>
    <row r="963">
      <c r="A963" s="26" t="str">
        <f>LinkedIn_content_raw!$A964</f>
        <v/>
      </c>
      <c r="B963" s="24" t="str">
        <f t="shared" si="1"/>
        <v/>
      </c>
      <c r="C963" s="26" t="str">
        <f t="array" ref="C963">XLOOKUP($A963,LinkedIn_follows_raw!$A$2:$A1000,LinkedIn_follows_raw!$E$2:$E1000)</f>
        <v>#N/A</v>
      </c>
      <c r="D963" s="26" t="str">
        <f t="array" ref="D963">sum(XLOOKUP($A963,LinkedIn_content_raw!$A$2:$A1000,LinkedIn_content_raw!$K$2:$K1000),XLOOKUP($A963,LinkedIn_content_raw!$A$2:$A1000,LinkedIn_content_raw!$N$2:$N1000),XLOOKUP($A963,LinkedIn_content_raw!$A$2:$A1000,LinkedIn_content_raw!$Q$2:$Q1000))</f>
        <v>#N/A</v>
      </c>
      <c r="E963" s="26" t="str">
        <f t="array" ref="E963">XLOOKUP($A963,LinkedIn_content_raw!$A$2:$A1000,LinkedIn_content_raw!$E$2:$E1000)</f>
        <v>#N/A</v>
      </c>
    </row>
    <row r="964">
      <c r="A964" s="26" t="str">
        <f>LinkedIn_content_raw!$A965</f>
        <v/>
      </c>
      <c r="B964" s="24" t="str">
        <f t="shared" si="1"/>
        <v/>
      </c>
      <c r="C964" s="26" t="str">
        <f t="array" ref="C964">XLOOKUP($A964,LinkedIn_follows_raw!$A$2:$A1000,LinkedIn_follows_raw!$E$2:$E1000)</f>
        <v>#N/A</v>
      </c>
      <c r="D964" s="26" t="str">
        <f t="array" ref="D964">sum(XLOOKUP($A964,LinkedIn_content_raw!$A$2:$A1000,LinkedIn_content_raw!$K$2:$K1000),XLOOKUP($A964,LinkedIn_content_raw!$A$2:$A1000,LinkedIn_content_raw!$N$2:$N1000),XLOOKUP($A964,LinkedIn_content_raw!$A$2:$A1000,LinkedIn_content_raw!$Q$2:$Q1000))</f>
        <v>#N/A</v>
      </c>
      <c r="E964" s="26" t="str">
        <f t="array" ref="E964">XLOOKUP($A964,LinkedIn_content_raw!$A$2:$A1000,LinkedIn_content_raw!$E$2:$E1000)</f>
        <v>#N/A</v>
      </c>
    </row>
    <row r="965">
      <c r="A965" s="26" t="str">
        <f>LinkedIn_content_raw!$A966</f>
        <v/>
      </c>
      <c r="B965" s="24" t="str">
        <f t="shared" si="1"/>
        <v/>
      </c>
      <c r="C965" s="26" t="str">
        <f t="array" ref="C965">XLOOKUP($A965,LinkedIn_follows_raw!$A$2:$A1000,LinkedIn_follows_raw!$E$2:$E1000)</f>
        <v>#N/A</v>
      </c>
      <c r="D965" s="26" t="str">
        <f t="array" ref="D965">sum(XLOOKUP($A965,LinkedIn_content_raw!$A$2:$A1000,LinkedIn_content_raw!$K$2:$K1000),XLOOKUP($A965,LinkedIn_content_raw!$A$2:$A1000,LinkedIn_content_raw!$N$2:$N1000),XLOOKUP($A965,LinkedIn_content_raw!$A$2:$A1000,LinkedIn_content_raw!$Q$2:$Q1000))</f>
        <v>#N/A</v>
      </c>
      <c r="E965" s="26" t="str">
        <f t="array" ref="E965">XLOOKUP($A965,LinkedIn_content_raw!$A$2:$A1000,LinkedIn_content_raw!$E$2:$E1000)</f>
        <v>#N/A</v>
      </c>
    </row>
    <row r="966">
      <c r="A966" s="26" t="str">
        <f>LinkedIn_content_raw!$A967</f>
        <v/>
      </c>
      <c r="B966" s="24" t="str">
        <f t="shared" si="1"/>
        <v/>
      </c>
      <c r="C966" s="26" t="str">
        <f t="array" ref="C966">XLOOKUP($A966,LinkedIn_follows_raw!$A$2:$A1000,LinkedIn_follows_raw!$E$2:$E1000)</f>
        <v>#N/A</v>
      </c>
      <c r="D966" s="26" t="str">
        <f t="array" ref="D966">sum(XLOOKUP($A966,LinkedIn_content_raw!$A$2:$A1000,LinkedIn_content_raw!$K$2:$K1000),XLOOKUP($A966,LinkedIn_content_raw!$A$2:$A1000,LinkedIn_content_raw!$N$2:$N1000),XLOOKUP($A966,LinkedIn_content_raw!$A$2:$A1000,LinkedIn_content_raw!$Q$2:$Q1000))</f>
        <v>#N/A</v>
      </c>
      <c r="E966" s="26" t="str">
        <f t="array" ref="E966">XLOOKUP($A966,LinkedIn_content_raw!$A$2:$A1000,LinkedIn_content_raw!$E$2:$E1000)</f>
        <v>#N/A</v>
      </c>
    </row>
    <row r="967">
      <c r="A967" s="26" t="str">
        <f>LinkedIn_content_raw!$A968</f>
        <v/>
      </c>
      <c r="B967" s="24" t="str">
        <f t="shared" si="1"/>
        <v/>
      </c>
      <c r="C967" s="26" t="str">
        <f t="array" ref="C967">XLOOKUP($A967,LinkedIn_follows_raw!$A$2:$A1000,LinkedIn_follows_raw!$E$2:$E1000)</f>
        <v>#N/A</v>
      </c>
      <c r="D967" s="26" t="str">
        <f t="array" ref="D967">sum(XLOOKUP($A967,LinkedIn_content_raw!$A$2:$A1000,LinkedIn_content_raw!$K$2:$K1000),XLOOKUP($A967,LinkedIn_content_raw!$A$2:$A1000,LinkedIn_content_raw!$N$2:$N1000),XLOOKUP($A967,LinkedIn_content_raw!$A$2:$A1000,LinkedIn_content_raw!$Q$2:$Q1000))</f>
        <v>#N/A</v>
      </c>
      <c r="E967" s="26" t="str">
        <f t="array" ref="E967">XLOOKUP($A967,LinkedIn_content_raw!$A$2:$A1000,LinkedIn_content_raw!$E$2:$E1000)</f>
        <v>#N/A</v>
      </c>
    </row>
    <row r="968">
      <c r="A968" s="26" t="str">
        <f>LinkedIn_content_raw!$A969</f>
        <v/>
      </c>
      <c r="B968" s="24" t="str">
        <f t="shared" si="1"/>
        <v/>
      </c>
      <c r="C968" s="26" t="str">
        <f t="array" ref="C968">XLOOKUP($A968,LinkedIn_follows_raw!$A$2:$A1000,LinkedIn_follows_raw!$E$2:$E1000)</f>
        <v>#N/A</v>
      </c>
      <c r="D968" s="26" t="str">
        <f t="array" ref="D968">sum(XLOOKUP($A968,LinkedIn_content_raw!$A$2:$A1000,LinkedIn_content_raw!$K$2:$K1000),XLOOKUP($A968,LinkedIn_content_raw!$A$2:$A1000,LinkedIn_content_raw!$N$2:$N1000),XLOOKUP($A968,LinkedIn_content_raw!$A$2:$A1000,LinkedIn_content_raw!$Q$2:$Q1000))</f>
        <v>#N/A</v>
      </c>
      <c r="E968" s="26" t="str">
        <f t="array" ref="E968">XLOOKUP($A968,LinkedIn_content_raw!$A$2:$A1000,LinkedIn_content_raw!$E$2:$E1000)</f>
        <v>#N/A</v>
      </c>
    </row>
    <row r="969">
      <c r="A969" s="26" t="str">
        <f>LinkedIn_content_raw!$A970</f>
        <v/>
      </c>
      <c r="B969" s="24" t="str">
        <f t="shared" si="1"/>
        <v/>
      </c>
      <c r="C969" s="26" t="str">
        <f t="array" ref="C969">XLOOKUP($A969,LinkedIn_follows_raw!$A$2:$A1000,LinkedIn_follows_raw!$E$2:$E1000)</f>
        <v>#N/A</v>
      </c>
      <c r="D969" s="26" t="str">
        <f t="array" ref="D969">sum(XLOOKUP($A969,LinkedIn_content_raw!$A$2:$A1000,LinkedIn_content_raw!$K$2:$K1000),XLOOKUP($A969,LinkedIn_content_raw!$A$2:$A1000,LinkedIn_content_raw!$N$2:$N1000),XLOOKUP($A969,LinkedIn_content_raw!$A$2:$A1000,LinkedIn_content_raw!$Q$2:$Q1000))</f>
        <v>#N/A</v>
      </c>
      <c r="E969" s="26" t="str">
        <f t="array" ref="E969">XLOOKUP($A969,LinkedIn_content_raw!$A$2:$A1000,LinkedIn_content_raw!$E$2:$E1000)</f>
        <v>#N/A</v>
      </c>
    </row>
    <row r="970">
      <c r="A970" s="26" t="str">
        <f>LinkedIn_content_raw!$A971</f>
        <v/>
      </c>
      <c r="B970" s="24" t="str">
        <f t="shared" si="1"/>
        <v/>
      </c>
      <c r="C970" s="26" t="str">
        <f t="array" ref="C970">XLOOKUP($A970,LinkedIn_follows_raw!$A$2:$A1000,LinkedIn_follows_raw!$E$2:$E1000)</f>
        <v>#N/A</v>
      </c>
      <c r="D970" s="26" t="str">
        <f t="array" ref="D970">sum(XLOOKUP($A970,LinkedIn_content_raw!$A$2:$A1000,LinkedIn_content_raw!$K$2:$K1000),XLOOKUP($A970,LinkedIn_content_raw!$A$2:$A1000,LinkedIn_content_raw!$N$2:$N1000),XLOOKUP($A970,LinkedIn_content_raw!$A$2:$A1000,LinkedIn_content_raw!$Q$2:$Q1000))</f>
        <v>#N/A</v>
      </c>
      <c r="E970" s="26" t="str">
        <f t="array" ref="E970">XLOOKUP($A970,LinkedIn_content_raw!$A$2:$A1000,LinkedIn_content_raw!$E$2:$E1000)</f>
        <v>#N/A</v>
      </c>
    </row>
    <row r="971">
      <c r="A971" s="26" t="str">
        <f>LinkedIn_content_raw!$A972</f>
        <v/>
      </c>
      <c r="B971" s="24" t="str">
        <f t="shared" si="1"/>
        <v/>
      </c>
      <c r="C971" s="26" t="str">
        <f t="array" ref="C971">XLOOKUP($A971,LinkedIn_follows_raw!$A$2:$A1000,LinkedIn_follows_raw!$E$2:$E1000)</f>
        <v>#N/A</v>
      </c>
      <c r="D971" s="26" t="str">
        <f t="array" ref="D971">sum(XLOOKUP($A971,LinkedIn_content_raw!$A$2:$A1000,LinkedIn_content_raw!$K$2:$K1000),XLOOKUP($A971,LinkedIn_content_raw!$A$2:$A1000,LinkedIn_content_raw!$N$2:$N1000),XLOOKUP($A971,LinkedIn_content_raw!$A$2:$A1000,LinkedIn_content_raw!$Q$2:$Q1000))</f>
        <v>#N/A</v>
      </c>
      <c r="E971" s="26" t="str">
        <f t="array" ref="E971">XLOOKUP($A971,LinkedIn_content_raw!$A$2:$A1000,LinkedIn_content_raw!$E$2:$E1000)</f>
        <v>#N/A</v>
      </c>
    </row>
    <row r="972">
      <c r="A972" s="26" t="str">
        <f>LinkedIn_content_raw!$A973</f>
        <v/>
      </c>
      <c r="B972" s="24" t="str">
        <f t="shared" si="1"/>
        <v/>
      </c>
      <c r="C972" s="26" t="str">
        <f t="array" ref="C972">XLOOKUP($A972,LinkedIn_follows_raw!$A$2:$A1000,LinkedIn_follows_raw!$E$2:$E1000)</f>
        <v>#N/A</v>
      </c>
      <c r="D972" s="26" t="str">
        <f t="array" ref="D972">sum(XLOOKUP($A972,LinkedIn_content_raw!$A$2:$A1000,LinkedIn_content_raw!$K$2:$K1000),XLOOKUP($A972,LinkedIn_content_raw!$A$2:$A1000,LinkedIn_content_raw!$N$2:$N1000),XLOOKUP($A972,LinkedIn_content_raw!$A$2:$A1000,LinkedIn_content_raw!$Q$2:$Q1000))</f>
        <v>#N/A</v>
      </c>
      <c r="E972" s="26" t="str">
        <f t="array" ref="E972">XLOOKUP($A972,LinkedIn_content_raw!$A$2:$A1000,LinkedIn_content_raw!$E$2:$E1000)</f>
        <v>#N/A</v>
      </c>
    </row>
    <row r="973">
      <c r="A973" s="26" t="str">
        <f>LinkedIn_content_raw!$A974</f>
        <v/>
      </c>
      <c r="B973" s="24" t="str">
        <f t="shared" si="1"/>
        <v/>
      </c>
      <c r="C973" s="26" t="str">
        <f t="array" ref="C973">XLOOKUP($A973,LinkedIn_follows_raw!$A$2:$A1000,LinkedIn_follows_raw!$E$2:$E1000)</f>
        <v>#N/A</v>
      </c>
      <c r="D973" s="26" t="str">
        <f t="array" ref="D973">sum(XLOOKUP($A973,LinkedIn_content_raw!$A$2:$A1000,LinkedIn_content_raw!$K$2:$K1000),XLOOKUP($A973,LinkedIn_content_raw!$A$2:$A1000,LinkedIn_content_raw!$N$2:$N1000),XLOOKUP($A973,LinkedIn_content_raw!$A$2:$A1000,LinkedIn_content_raw!$Q$2:$Q1000))</f>
        <v>#N/A</v>
      </c>
      <c r="E973" s="26" t="str">
        <f t="array" ref="E973">XLOOKUP($A973,LinkedIn_content_raw!$A$2:$A1000,LinkedIn_content_raw!$E$2:$E1000)</f>
        <v>#N/A</v>
      </c>
    </row>
    <row r="974">
      <c r="A974" s="26" t="str">
        <f>LinkedIn_content_raw!$A975</f>
        <v/>
      </c>
      <c r="B974" s="24" t="str">
        <f t="shared" si="1"/>
        <v/>
      </c>
      <c r="C974" s="26" t="str">
        <f t="array" ref="C974">XLOOKUP($A974,LinkedIn_follows_raw!$A$2:$A1000,LinkedIn_follows_raw!$E$2:$E1000)</f>
        <v>#N/A</v>
      </c>
      <c r="D974" s="26" t="str">
        <f t="array" ref="D974">sum(XLOOKUP($A974,LinkedIn_content_raw!$A$2:$A1000,LinkedIn_content_raw!$K$2:$K1000),XLOOKUP($A974,LinkedIn_content_raw!$A$2:$A1000,LinkedIn_content_raw!$N$2:$N1000),XLOOKUP($A974,LinkedIn_content_raw!$A$2:$A1000,LinkedIn_content_raw!$Q$2:$Q1000))</f>
        <v>#N/A</v>
      </c>
      <c r="E974" s="26" t="str">
        <f t="array" ref="E974">XLOOKUP($A974,LinkedIn_content_raw!$A$2:$A1000,LinkedIn_content_raw!$E$2:$E1000)</f>
        <v>#N/A</v>
      </c>
    </row>
    <row r="975">
      <c r="A975" s="26" t="str">
        <f>LinkedIn_content_raw!$A976</f>
        <v/>
      </c>
      <c r="B975" s="24" t="str">
        <f t="shared" si="1"/>
        <v/>
      </c>
      <c r="C975" s="26" t="str">
        <f t="array" ref="C975">XLOOKUP($A975,LinkedIn_follows_raw!$A$2:$A1000,LinkedIn_follows_raw!$E$2:$E1000)</f>
        <v>#N/A</v>
      </c>
      <c r="D975" s="26" t="str">
        <f t="array" ref="D975">sum(XLOOKUP($A975,LinkedIn_content_raw!$A$2:$A1000,LinkedIn_content_raw!$K$2:$K1000),XLOOKUP($A975,LinkedIn_content_raw!$A$2:$A1000,LinkedIn_content_raw!$N$2:$N1000),XLOOKUP($A975,LinkedIn_content_raw!$A$2:$A1000,LinkedIn_content_raw!$Q$2:$Q1000))</f>
        <v>#N/A</v>
      </c>
      <c r="E975" s="26" t="str">
        <f t="array" ref="E975">XLOOKUP($A975,LinkedIn_content_raw!$A$2:$A1000,LinkedIn_content_raw!$E$2:$E1000)</f>
        <v>#N/A</v>
      </c>
    </row>
    <row r="976">
      <c r="A976" s="26" t="str">
        <f>LinkedIn_content_raw!$A977</f>
        <v/>
      </c>
      <c r="B976" s="24" t="str">
        <f t="shared" si="1"/>
        <v/>
      </c>
      <c r="C976" s="26" t="str">
        <f t="array" ref="C976">XLOOKUP($A976,LinkedIn_follows_raw!$A$2:$A1000,LinkedIn_follows_raw!$E$2:$E1000)</f>
        <v>#N/A</v>
      </c>
      <c r="D976" s="26" t="str">
        <f t="array" ref="D976">sum(XLOOKUP($A976,LinkedIn_content_raw!$A$2:$A1000,LinkedIn_content_raw!$K$2:$K1000),XLOOKUP($A976,LinkedIn_content_raw!$A$2:$A1000,LinkedIn_content_raw!$N$2:$N1000),XLOOKUP($A976,LinkedIn_content_raw!$A$2:$A1000,LinkedIn_content_raw!$Q$2:$Q1000))</f>
        <v>#N/A</v>
      </c>
      <c r="E976" s="26" t="str">
        <f t="array" ref="E976">XLOOKUP($A976,LinkedIn_content_raw!$A$2:$A1000,LinkedIn_content_raw!$E$2:$E1000)</f>
        <v>#N/A</v>
      </c>
    </row>
    <row r="977">
      <c r="A977" s="26" t="str">
        <f>LinkedIn_content_raw!$A978</f>
        <v/>
      </c>
      <c r="B977" s="24" t="str">
        <f t="shared" si="1"/>
        <v/>
      </c>
      <c r="C977" s="26" t="str">
        <f t="array" ref="C977">XLOOKUP($A977,LinkedIn_follows_raw!$A$2:$A1000,LinkedIn_follows_raw!$E$2:$E1000)</f>
        <v>#N/A</v>
      </c>
      <c r="D977" s="26" t="str">
        <f t="array" ref="D977">sum(XLOOKUP($A977,LinkedIn_content_raw!$A$2:$A1000,LinkedIn_content_raw!$K$2:$K1000),XLOOKUP($A977,LinkedIn_content_raw!$A$2:$A1000,LinkedIn_content_raw!$N$2:$N1000),XLOOKUP($A977,LinkedIn_content_raw!$A$2:$A1000,LinkedIn_content_raw!$Q$2:$Q1000))</f>
        <v>#N/A</v>
      </c>
      <c r="E977" s="26" t="str">
        <f t="array" ref="E977">XLOOKUP($A977,LinkedIn_content_raw!$A$2:$A1000,LinkedIn_content_raw!$E$2:$E1000)</f>
        <v>#N/A</v>
      </c>
    </row>
    <row r="978">
      <c r="A978" s="26" t="str">
        <f>LinkedIn_content_raw!$A979</f>
        <v/>
      </c>
      <c r="B978" s="24" t="str">
        <f t="shared" si="1"/>
        <v/>
      </c>
      <c r="C978" s="26" t="str">
        <f t="array" ref="C978">XLOOKUP($A978,LinkedIn_follows_raw!$A$2:$A1000,LinkedIn_follows_raw!$E$2:$E1000)</f>
        <v>#N/A</v>
      </c>
      <c r="D978" s="26" t="str">
        <f t="array" ref="D978">sum(XLOOKUP($A978,LinkedIn_content_raw!$A$2:$A1000,LinkedIn_content_raw!$K$2:$K1000),XLOOKUP($A978,LinkedIn_content_raw!$A$2:$A1000,LinkedIn_content_raw!$N$2:$N1000),XLOOKUP($A978,LinkedIn_content_raw!$A$2:$A1000,LinkedIn_content_raw!$Q$2:$Q1000))</f>
        <v>#N/A</v>
      </c>
      <c r="E978" s="26" t="str">
        <f t="array" ref="E978">XLOOKUP($A978,LinkedIn_content_raw!$A$2:$A1000,LinkedIn_content_raw!$E$2:$E1000)</f>
        <v>#N/A</v>
      </c>
    </row>
    <row r="979">
      <c r="A979" s="26" t="str">
        <f>LinkedIn_content_raw!$A980</f>
        <v/>
      </c>
      <c r="B979" s="24" t="str">
        <f t="shared" si="1"/>
        <v/>
      </c>
      <c r="C979" s="26" t="str">
        <f t="array" ref="C979">XLOOKUP($A979,LinkedIn_follows_raw!$A$2:$A1000,LinkedIn_follows_raw!$E$2:$E1000)</f>
        <v>#N/A</v>
      </c>
      <c r="D979" s="26" t="str">
        <f t="array" ref="D979">sum(XLOOKUP($A979,LinkedIn_content_raw!$A$2:$A1000,LinkedIn_content_raw!$K$2:$K1000),XLOOKUP($A979,LinkedIn_content_raw!$A$2:$A1000,LinkedIn_content_raw!$N$2:$N1000),XLOOKUP($A979,LinkedIn_content_raw!$A$2:$A1000,LinkedIn_content_raw!$Q$2:$Q1000))</f>
        <v>#N/A</v>
      </c>
      <c r="E979" s="26" t="str">
        <f t="array" ref="E979">XLOOKUP($A979,LinkedIn_content_raw!$A$2:$A1000,LinkedIn_content_raw!$E$2:$E1000)</f>
        <v>#N/A</v>
      </c>
    </row>
    <row r="980">
      <c r="A980" s="26" t="str">
        <f>LinkedIn_content_raw!$A981</f>
        <v/>
      </c>
      <c r="B980" s="24" t="str">
        <f t="shared" si="1"/>
        <v/>
      </c>
      <c r="C980" s="26" t="str">
        <f t="array" ref="C980">XLOOKUP($A980,LinkedIn_follows_raw!$A$2:$A1000,LinkedIn_follows_raw!$E$2:$E1000)</f>
        <v>#N/A</v>
      </c>
      <c r="D980" s="26" t="str">
        <f t="array" ref="D980">sum(XLOOKUP($A980,LinkedIn_content_raw!$A$2:$A1000,LinkedIn_content_raw!$K$2:$K1000),XLOOKUP($A980,LinkedIn_content_raw!$A$2:$A1000,LinkedIn_content_raw!$N$2:$N1000),XLOOKUP($A980,LinkedIn_content_raw!$A$2:$A1000,LinkedIn_content_raw!$Q$2:$Q1000))</f>
        <v>#N/A</v>
      </c>
      <c r="E980" s="26" t="str">
        <f t="array" ref="E980">XLOOKUP($A980,LinkedIn_content_raw!$A$2:$A1000,LinkedIn_content_raw!$E$2:$E1000)</f>
        <v>#N/A</v>
      </c>
    </row>
    <row r="981">
      <c r="A981" s="26" t="str">
        <f>LinkedIn_content_raw!$A982</f>
        <v/>
      </c>
      <c r="B981" s="24" t="str">
        <f t="shared" si="1"/>
        <v/>
      </c>
      <c r="C981" s="26" t="str">
        <f t="array" ref="C981">XLOOKUP($A981,LinkedIn_follows_raw!$A$2:$A1000,LinkedIn_follows_raw!$E$2:$E1000)</f>
        <v>#N/A</v>
      </c>
      <c r="D981" s="26" t="str">
        <f t="array" ref="D981">sum(XLOOKUP($A981,LinkedIn_content_raw!$A$2:$A1000,LinkedIn_content_raw!$K$2:$K1000),XLOOKUP($A981,LinkedIn_content_raw!$A$2:$A1000,LinkedIn_content_raw!$N$2:$N1000),XLOOKUP($A981,LinkedIn_content_raw!$A$2:$A1000,LinkedIn_content_raw!$Q$2:$Q1000))</f>
        <v>#N/A</v>
      </c>
      <c r="E981" s="26" t="str">
        <f t="array" ref="E981">XLOOKUP($A981,LinkedIn_content_raw!$A$2:$A1000,LinkedIn_content_raw!$E$2:$E1000)</f>
        <v>#N/A</v>
      </c>
    </row>
    <row r="982">
      <c r="A982" s="26" t="str">
        <f>LinkedIn_content_raw!$A983</f>
        <v/>
      </c>
      <c r="B982" s="24" t="str">
        <f t="shared" si="1"/>
        <v/>
      </c>
      <c r="C982" s="26" t="str">
        <f t="array" ref="C982">XLOOKUP($A982,LinkedIn_follows_raw!$A$2:$A1000,LinkedIn_follows_raw!$E$2:$E1000)</f>
        <v>#N/A</v>
      </c>
      <c r="D982" s="26" t="str">
        <f t="array" ref="D982">sum(XLOOKUP($A982,LinkedIn_content_raw!$A$2:$A1000,LinkedIn_content_raw!$K$2:$K1000),XLOOKUP($A982,LinkedIn_content_raw!$A$2:$A1000,LinkedIn_content_raw!$N$2:$N1000),XLOOKUP($A982,LinkedIn_content_raw!$A$2:$A1000,LinkedIn_content_raw!$Q$2:$Q1000))</f>
        <v>#N/A</v>
      </c>
      <c r="E982" s="26" t="str">
        <f t="array" ref="E982">XLOOKUP($A982,LinkedIn_content_raw!$A$2:$A1000,LinkedIn_content_raw!$E$2:$E1000)</f>
        <v>#N/A</v>
      </c>
    </row>
    <row r="983">
      <c r="A983" s="26" t="str">
        <f>LinkedIn_content_raw!$A984</f>
        <v/>
      </c>
      <c r="B983" s="24" t="str">
        <f t="shared" si="1"/>
        <v/>
      </c>
      <c r="C983" s="26" t="str">
        <f t="array" ref="C983">XLOOKUP($A983,LinkedIn_follows_raw!$A$2:$A1000,LinkedIn_follows_raw!$E$2:$E1000)</f>
        <v>#N/A</v>
      </c>
      <c r="D983" s="26" t="str">
        <f t="array" ref="D983">sum(XLOOKUP($A983,LinkedIn_content_raw!$A$2:$A1000,LinkedIn_content_raw!$K$2:$K1000),XLOOKUP($A983,LinkedIn_content_raw!$A$2:$A1000,LinkedIn_content_raw!$N$2:$N1000),XLOOKUP($A983,LinkedIn_content_raw!$A$2:$A1000,LinkedIn_content_raw!$Q$2:$Q1000))</f>
        <v>#N/A</v>
      </c>
      <c r="E983" s="26" t="str">
        <f t="array" ref="E983">XLOOKUP($A983,LinkedIn_content_raw!$A$2:$A1000,LinkedIn_content_raw!$E$2:$E1000)</f>
        <v>#N/A</v>
      </c>
    </row>
    <row r="984">
      <c r="A984" s="26" t="str">
        <f>LinkedIn_content_raw!$A985</f>
        <v/>
      </c>
      <c r="B984" s="24" t="str">
        <f t="shared" si="1"/>
        <v/>
      </c>
      <c r="C984" s="26" t="str">
        <f t="array" ref="C984">XLOOKUP($A984,LinkedIn_follows_raw!$A$2:$A1000,LinkedIn_follows_raw!$E$2:$E1000)</f>
        <v>#N/A</v>
      </c>
      <c r="D984" s="26" t="str">
        <f t="array" ref="D984">sum(XLOOKUP($A984,LinkedIn_content_raw!$A$2:$A1000,LinkedIn_content_raw!$K$2:$K1000),XLOOKUP($A984,LinkedIn_content_raw!$A$2:$A1000,LinkedIn_content_raw!$N$2:$N1000),XLOOKUP($A984,LinkedIn_content_raw!$A$2:$A1000,LinkedIn_content_raw!$Q$2:$Q1000))</f>
        <v>#N/A</v>
      </c>
      <c r="E984" s="26" t="str">
        <f t="array" ref="E984">XLOOKUP($A984,LinkedIn_content_raw!$A$2:$A1000,LinkedIn_content_raw!$E$2:$E1000)</f>
        <v>#N/A</v>
      </c>
    </row>
    <row r="985">
      <c r="A985" s="26" t="str">
        <f>LinkedIn_content_raw!$A986</f>
        <v/>
      </c>
      <c r="B985" s="24" t="str">
        <f t="shared" si="1"/>
        <v/>
      </c>
      <c r="C985" s="26" t="str">
        <f t="array" ref="C985">XLOOKUP($A985,LinkedIn_follows_raw!$A$2:$A1000,LinkedIn_follows_raw!$E$2:$E1000)</f>
        <v>#N/A</v>
      </c>
      <c r="D985" s="26" t="str">
        <f t="array" ref="D985">sum(XLOOKUP($A985,LinkedIn_content_raw!$A$2:$A1000,LinkedIn_content_raw!$K$2:$K1000),XLOOKUP($A985,LinkedIn_content_raw!$A$2:$A1000,LinkedIn_content_raw!$N$2:$N1000),XLOOKUP($A985,LinkedIn_content_raw!$A$2:$A1000,LinkedIn_content_raw!$Q$2:$Q1000))</f>
        <v>#N/A</v>
      </c>
      <c r="E985" s="26" t="str">
        <f t="array" ref="E985">XLOOKUP($A985,LinkedIn_content_raw!$A$2:$A1000,LinkedIn_content_raw!$E$2:$E1000)</f>
        <v>#N/A</v>
      </c>
    </row>
    <row r="986">
      <c r="A986" s="26" t="str">
        <f>LinkedIn_content_raw!$A987</f>
        <v/>
      </c>
      <c r="B986" s="24" t="str">
        <f t="shared" si="1"/>
        <v/>
      </c>
      <c r="C986" s="26" t="str">
        <f t="array" ref="C986">XLOOKUP($A986,LinkedIn_follows_raw!$A$2:$A1000,LinkedIn_follows_raw!$E$2:$E1000)</f>
        <v>#N/A</v>
      </c>
      <c r="D986" s="26" t="str">
        <f t="array" ref="D986">sum(XLOOKUP($A986,LinkedIn_content_raw!$A$2:$A1000,LinkedIn_content_raw!$K$2:$K1000),XLOOKUP($A986,LinkedIn_content_raw!$A$2:$A1000,LinkedIn_content_raw!$N$2:$N1000),XLOOKUP($A986,LinkedIn_content_raw!$A$2:$A1000,LinkedIn_content_raw!$Q$2:$Q1000))</f>
        <v>#N/A</v>
      </c>
      <c r="E986" s="26" t="str">
        <f t="array" ref="E986">XLOOKUP($A986,LinkedIn_content_raw!$A$2:$A1000,LinkedIn_content_raw!$E$2:$E1000)</f>
        <v>#N/A</v>
      </c>
    </row>
    <row r="987">
      <c r="A987" s="26" t="str">
        <f>LinkedIn_content_raw!$A988</f>
        <v/>
      </c>
      <c r="B987" s="24" t="str">
        <f t="shared" si="1"/>
        <v/>
      </c>
      <c r="C987" s="26" t="str">
        <f t="array" ref="C987">XLOOKUP($A987,LinkedIn_follows_raw!$A$2:$A1000,LinkedIn_follows_raw!$E$2:$E1000)</f>
        <v>#N/A</v>
      </c>
      <c r="D987" s="26" t="str">
        <f t="array" ref="D987">sum(XLOOKUP($A987,LinkedIn_content_raw!$A$2:$A1000,LinkedIn_content_raw!$K$2:$K1000),XLOOKUP($A987,LinkedIn_content_raw!$A$2:$A1000,LinkedIn_content_raw!$N$2:$N1000),XLOOKUP($A987,LinkedIn_content_raw!$A$2:$A1000,LinkedIn_content_raw!$Q$2:$Q1000))</f>
        <v>#N/A</v>
      </c>
      <c r="E987" s="26" t="str">
        <f t="array" ref="E987">XLOOKUP($A987,LinkedIn_content_raw!$A$2:$A1000,LinkedIn_content_raw!$E$2:$E1000)</f>
        <v>#N/A</v>
      </c>
    </row>
    <row r="988">
      <c r="A988" s="26" t="str">
        <f>LinkedIn_content_raw!$A989</f>
        <v/>
      </c>
      <c r="B988" s="24" t="str">
        <f t="shared" si="1"/>
        <v/>
      </c>
      <c r="C988" s="26" t="str">
        <f t="array" ref="C988">XLOOKUP($A988,LinkedIn_follows_raw!$A$2:$A1000,LinkedIn_follows_raw!$E$2:$E1000)</f>
        <v>#N/A</v>
      </c>
      <c r="D988" s="26" t="str">
        <f t="array" ref="D988">sum(XLOOKUP($A988,LinkedIn_content_raw!$A$2:$A1000,LinkedIn_content_raw!$K$2:$K1000),XLOOKUP($A988,LinkedIn_content_raw!$A$2:$A1000,LinkedIn_content_raw!$N$2:$N1000),XLOOKUP($A988,LinkedIn_content_raw!$A$2:$A1000,LinkedIn_content_raw!$Q$2:$Q1000))</f>
        <v>#N/A</v>
      </c>
      <c r="E988" s="26" t="str">
        <f t="array" ref="E988">XLOOKUP($A988,LinkedIn_content_raw!$A$2:$A1000,LinkedIn_content_raw!$E$2:$E1000)</f>
        <v>#N/A</v>
      </c>
    </row>
    <row r="989">
      <c r="A989" s="26" t="str">
        <f>LinkedIn_content_raw!$A990</f>
        <v/>
      </c>
      <c r="B989" s="24" t="str">
        <f t="shared" si="1"/>
        <v/>
      </c>
      <c r="C989" s="26" t="str">
        <f t="array" ref="C989">XLOOKUP($A989,LinkedIn_follows_raw!$A$2:$A1000,LinkedIn_follows_raw!$E$2:$E1000)</f>
        <v>#N/A</v>
      </c>
      <c r="D989" s="26" t="str">
        <f t="array" ref="D989">sum(XLOOKUP($A989,LinkedIn_content_raw!$A$2:$A1000,LinkedIn_content_raw!$K$2:$K1000),XLOOKUP($A989,LinkedIn_content_raw!$A$2:$A1000,LinkedIn_content_raw!$N$2:$N1000),XLOOKUP($A989,LinkedIn_content_raw!$A$2:$A1000,LinkedIn_content_raw!$Q$2:$Q1000))</f>
        <v>#N/A</v>
      </c>
      <c r="E989" s="26" t="str">
        <f t="array" ref="E989">XLOOKUP($A989,LinkedIn_content_raw!$A$2:$A1000,LinkedIn_content_raw!$E$2:$E1000)</f>
        <v>#N/A</v>
      </c>
    </row>
    <row r="990">
      <c r="A990" s="26" t="str">
        <f>LinkedIn_content_raw!$A991</f>
        <v/>
      </c>
      <c r="B990" s="24" t="str">
        <f t="shared" si="1"/>
        <v/>
      </c>
      <c r="C990" s="26" t="str">
        <f t="array" ref="C990">XLOOKUP($A990,LinkedIn_follows_raw!$A$2:$A1000,LinkedIn_follows_raw!$E$2:$E1000)</f>
        <v>#N/A</v>
      </c>
      <c r="D990" s="26" t="str">
        <f t="array" ref="D990">sum(XLOOKUP($A990,LinkedIn_content_raw!$A$2:$A1000,LinkedIn_content_raw!$K$2:$K1000),XLOOKUP($A990,LinkedIn_content_raw!$A$2:$A1000,LinkedIn_content_raw!$N$2:$N1000),XLOOKUP($A990,LinkedIn_content_raw!$A$2:$A1000,LinkedIn_content_raw!$Q$2:$Q1000))</f>
        <v>#N/A</v>
      </c>
      <c r="E990" s="26" t="str">
        <f t="array" ref="E990">XLOOKUP($A990,LinkedIn_content_raw!$A$2:$A1000,LinkedIn_content_raw!$E$2:$E1000)</f>
        <v>#N/A</v>
      </c>
    </row>
    <row r="991">
      <c r="A991" s="26" t="str">
        <f>LinkedIn_content_raw!$A992</f>
        <v/>
      </c>
      <c r="B991" s="24" t="str">
        <f t="shared" si="1"/>
        <v/>
      </c>
      <c r="C991" s="26" t="str">
        <f t="array" ref="C991">XLOOKUP($A991,LinkedIn_follows_raw!$A$2:$A1000,LinkedIn_follows_raw!$E$2:$E1000)</f>
        <v>#N/A</v>
      </c>
      <c r="D991" s="26" t="str">
        <f t="array" ref="D991">sum(XLOOKUP($A991,LinkedIn_content_raw!$A$2:$A1000,LinkedIn_content_raw!$K$2:$K1000),XLOOKUP($A991,LinkedIn_content_raw!$A$2:$A1000,LinkedIn_content_raw!$N$2:$N1000),XLOOKUP($A991,LinkedIn_content_raw!$A$2:$A1000,LinkedIn_content_raw!$Q$2:$Q1000))</f>
        <v>#N/A</v>
      </c>
      <c r="E991" s="26" t="str">
        <f t="array" ref="E991">XLOOKUP($A991,LinkedIn_content_raw!$A$2:$A1000,LinkedIn_content_raw!$E$2:$E1000)</f>
        <v>#N/A</v>
      </c>
    </row>
    <row r="992">
      <c r="A992" s="26" t="str">
        <f>LinkedIn_content_raw!$A993</f>
        <v/>
      </c>
      <c r="B992" s="24" t="str">
        <f t="shared" si="1"/>
        <v/>
      </c>
      <c r="C992" s="26" t="str">
        <f t="array" ref="C992">XLOOKUP($A992,LinkedIn_follows_raw!$A$2:$A1000,LinkedIn_follows_raw!$E$2:$E1000)</f>
        <v>#N/A</v>
      </c>
      <c r="D992" s="26" t="str">
        <f t="array" ref="D992">sum(XLOOKUP($A992,LinkedIn_content_raw!$A$2:$A1000,LinkedIn_content_raw!$K$2:$K1000),XLOOKUP($A992,LinkedIn_content_raw!$A$2:$A1000,LinkedIn_content_raw!$N$2:$N1000),XLOOKUP($A992,LinkedIn_content_raw!$A$2:$A1000,LinkedIn_content_raw!$Q$2:$Q1000))</f>
        <v>#N/A</v>
      </c>
      <c r="E992" s="26" t="str">
        <f t="array" ref="E992">XLOOKUP($A992,LinkedIn_content_raw!$A$2:$A1000,LinkedIn_content_raw!$E$2:$E1000)</f>
        <v>#N/A</v>
      </c>
    </row>
    <row r="993">
      <c r="A993" s="26" t="str">
        <f>LinkedIn_content_raw!$A994</f>
        <v/>
      </c>
      <c r="B993" s="24" t="str">
        <f t="shared" si="1"/>
        <v/>
      </c>
      <c r="C993" s="26" t="str">
        <f t="array" ref="C993">XLOOKUP($A993,LinkedIn_follows_raw!$A$2:$A1000,LinkedIn_follows_raw!$E$2:$E1000)</f>
        <v>#N/A</v>
      </c>
      <c r="D993" s="26" t="str">
        <f t="array" ref="D993">sum(XLOOKUP($A993,LinkedIn_content_raw!$A$2:$A1000,LinkedIn_content_raw!$K$2:$K1000),XLOOKUP($A993,LinkedIn_content_raw!$A$2:$A1000,LinkedIn_content_raw!$N$2:$N1000),XLOOKUP($A993,LinkedIn_content_raw!$A$2:$A1000,LinkedIn_content_raw!$Q$2:$Q1000))</f>
        <v>#N/A</v>
      </c>
      <c r="E993" s="26" t="str">
        <f t="array" ref="E993">XLOOKUP($A993,LinkedIn_content_raw!$A$2:$A1000,LinkedIn_content_raw!$E$2:$E1000)</f>
        <v>#N/A</v>
      </c>
    </row>
    <row r="994">
      <c r="A994" s="26" t="str">
        <f>LinkedIn_content_raw!$A995</f>
        <v/>
      </c>
      <c r="B994" s="24" t="str">
        <f t="shared" si="1"/>
        <v/>
      </c>
      <c r="C994" s="26" t="str">
        <f t="array" ref="C994">XLOOKUP($A994,LinkedIn_follows_raw!$A$2:$A1000,LinkedIn_follows_raw!$E$2:$E1000)</f>
        <v>#N/A</v>
      </c>
      <c r="D994" s="26" t="str">
        <f t="array" ref="D994">sum(XLOOKUP($A994,LinkedIn_content_raw!$A$2:$A1000,LinkedIn_content_raw!$K$2:$K1000),XLOOKUP($A994,LinkedIn_content_raw!$A$2:$A1000,LinkedIn_content_raw!$N$2:$N1000),XLOOKUP($A994,LinkedIn_content_raw!$A$2:$A1000,LinkedIn_content_raw!$Q$2:$Q1000))</f>
        <v>#N/A</v>
      </c>
      <c r="E994" s="26" t="str">
        <f t="array" ref="E994">XLOOKUP($A994,LinkedIn_content_raw!$A$2:$A1000,LinkedIn_content_raw!$E$2:$E1000)</f>
        <v>#N/A</v>
      </c>
    </row>
    <row r="995">
      <c r="A995" s="26" t="str">
        <f>LinkedIn_content_raw!$A996</f>
        <v/>
      </c>
      <c r="B995" s="24" t="str">
        <f t="shared" si="1"/>
        <v/>
      </c>
      <c r="C995" s="26" t="str">
        <f t="array" ref="C995">XLOOKUP($A995,LinkedIn_follows_raw!$A$2:$A1000,LinkedIn_follows_raw!$E$2:$E1000)</f>
        <v>#N/A</v>
      </c>
      <c r="D995" s="26" t="str">
        <f t="array" ref="D995">sum(XLOOKUP($A995,LinkedIn_content_raw!$A$2:$A1000,LinkedIn_content_raw!$K$2:$K1000),XLOOKUP($A995,LinkedIn_content_raw!$A$2:$A1000,LinkedIn_content_raw!$N$2:$N1000),XLOOKUP($A995,LinkedIn_content_raw!$A$2:$A1000,LinkedIn_content_raw!$Q$2:$Q1000))</f>
        <v>#N/A</v>
      </c>
      <c r="E995" s="26" t="str">
        <f t="array" ref="E995">XLOOKUP($A995,LinkedIn_content_raw!$A$2:$A1000,LinkedIn_content_raw!$E$2:$E1000)</f>
        <v>#N/A</v>
      </c>
    </row>
    <row r="996">
      <c r="A996" s="26" t="str">
        <f>LinkedIn_content_raw!$A997</f>
        <v/>
      </c>
      <c r="B996" s="24" t="str">
        <f t="shared" si="1"/>
        <v/>
      </c>
      <c r="C996" s="26" t="str">
        <f t="array" ref="C996">XLOOKUP($A996,LinkedIn_follows_raw!$A$2:$A1000,LinkedIn_follows_raw!$E$2:$E1000)</f>
        <v>#N/A</v>
      </c>
      <c r="D996" s="26" t="str">
        <f t="array" ref="D996">sum(XLOOKUP($A996,LinkedIn_content_raw!$A$2:$A1000,LinkedIn_content_raw!$K$2:$K1000),XLOOKUP($A996,LinkedIn_content_raw!$A$2:$A1000,LinkedIn_content_raw!$N$2:$N1000),XLOOKUP($A996,LinkedIn_content_raw!$A$2:$A1000,LinkedIn_content_raw!$Q$2:$Q1000))</f>
        <v>#N/A</v>
      </c>
      <c r="E996" s="26" t="str">
        <f t="array" ref="E996">XLOOKUP($A996,LinkedIn_content_raw!$A$2:$A1000,LinkedIn_content_raw!$E$2:$E1000)</f>
        <v>#N/A</v>
      </c>
    </row>
    <row r="997">
      <c r="A997" s="26" t="str">
        <f>LinkedIn_content_raw!$A998</f>
        <v/>
      </c>
      <c r="B997" s="24" t="str">
        <f t="shared" si="1"/>
        <v/>
      </c>
      <c r="C997" s="26" t="str">
        <f t="array" ref="C997">XLOOKUP($A997,LinkedIn_follows_raw!$A$2:$A1000,LinkedIn_follows_raw!$E$2:$E1000)</f>
        <v>#N/A</v>
      </c>
      <c r="D997" s="26" t="str">
        <f t="array" ref="D997">sum(XLOOKUP($A997,LinkedIn_content_raw!$A$2:$A1000,LinkedIn_content_raw!$K$2:$K1000),XLOOKUP($A997,LinkedIn_content_raw!$A$2:$A1000,LinkedIn_content_raw!$N$2:$N1000),XLOOKUP($A997,LinkedIn_content_raw!$A$2:$A1000,LinkedIn_content_raw!$Q$2:$Q1000))</f>
        <v>#N/A</v>
      </c>
      <c r="E997" s="26" t="str">
        <f t="array" ref="E997">XLOOKUP($A997,LinkedIn_content_raw!$A$2:$A1000,LinkedIn_content_raw!$E$2:$E1000)</f>
        <v>#N/A</v>
      </c>
    </row>
    <row r="998">
      <c r="A998" s="26" t="str">
        <f>LinkedIn_content_raw!$A999</f>
        <v/>
      </c>
      <c r="B998" s="24" t="str">
        <f t="shared" si="1"/>
        <v/>
      </c>
      <c r="C998" s="26" t="str">
        <f t="array" ref="C998">XLOOKUP($A998,LinkedIn_follows_raw!$A$2:$A1000,LinkedIn_follows_raw!$E$2:$E1000)</f>
        <v>#N/A</v>
      </c>
      <c r="D998" s="26" t="str">
        <f t="array" ref="D998">sum(XLOOKUP($A998,LinkedIn_content_raw!$A$2:$A1000,LinkedIn_content_raw!$K$2:$K1000),XLOOKUP($A998,LinkedIn_content_raw!$A$2:$A1000,LinkedIn_content_raw!$N$2:$N1000),XLOOKUP($A998,LinkedIn_content_raw!$A$2:$A1000,LinkedIn_content_raw!$Q$2:$Q1000))</f>
        <v>#N/A</v>
      </c>
      <c r="E998" s="26" t="str">
        <f t="array" ref="E998">XLOOKUP($A998,LinkedIn_content_raw!$A$2:$A1000,LinkedIn_content_raw!$E$2:$E1000)</f>
        <v>#N/A</v>
      </c>
    </row>
    <row r="999">
      <c r="A999" s="26" t="str">
        <f>LinkedIn_content_raw!$A1000</f>
        <v/>
      </c>
      <c r="B999" s="24" t="str">
        <f t="shared" si="1"/>
        <v/>
      </c>
      <c r="C999" s="26" t="str">
        <f t="array" ref="C999">XLOOKUP($A999,LinkedIn_follows_raw!$A$2:$A1000,LinkedIn_follows_raw!$E$2:$E1000)</f>
        <v>#N/A</v>
      </c>
      <c r="D999" s="26" t="str">
        <f t="array" ref="D999">sum(XLOOKUP($A999,LinkedIn_content_raw!$A$2:$A1000,LinkedIn_content_raw!$K$2:$K1000),XLOOKUP($A999,LinkedIn_content_raw!$A$2:$A1000,LinkedIn_content_raw!$N$2:$N1000),XLOOKUP($A999,LinkedIn_content_raw!$A$2:$A1000,LinkedIn_content_raw!$Q$2:$Q1000))</f>
        <v>#N/A</v>
      </c>
      <c r="E999" s="26" t="str">
        <f t="array" ref="E999">XLOOKUP($A999,LinkedIn_content_raw!$A$2:$A1000,LinkedIn_content_raw!$E$2:$E1000)</f>
        <v>#N/A</v>
      </c>
    </row>
    <row r="1000">
      <c r="A1000" s="26" t="str">
        <f>LinkedIn_content_raw!$A1001</f>
        <v/>
      </c>
      <c r="B1000" s="24" t="str">
        <f t="shared" si="1"/>
        <v/>
      </c>
      <c r="C1000" s="26" t="str">
        <f t="array" ref="C1000">XLOOKUP($A1000,LinkedIn_follows_raw!$A$2:$A1000,LinkedIn_follows_raw!$E$2:$E1000)</f>
        <v>#N/A</v>
      </c>
      <c r="D1000" s="26" t="str">
        <f t="array" ref="D1000">sum(XLOOKUP($A1000,LinkedIn_content_raw!$A$2:$A1000,LinkedIn_content_raw!$K$2:$K1000),XLOOKUP($A1000,LinkedIn_content_raw!$A$2:$A1000,LinkedIn_content_raw!$N$2:$N1000),XLOOKUP($A1000,LinkedIn_content_raw!$A$2:$A1000,LinkedIn_content_raw!$Q$2:$Q1000))</f>
        <v>#N/A</v>
      </c>
      <c r="E1000" s="26" t="str">
        <f t="array" ref="E1000">XLOOKUP($A1000,LinkedIn_content_raw!$A$2:$A1000,LinkedIn_content_raw!$E$2:$E1000)</f>
        <v>#N/A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</v>
      </c>
      <c r="B1" s="24" t="s">
        <v>35</v>
      </c>
      <c r="C1" s="24" t="s">
        <v>32</v>
      </c>
      <c r="D1" s="24" t="s">
        <v>6</v>
      </c>
      <c r="E1" s="24" t="s">
        <v>33</v>
      </c>
      <c r="F1" s="24" t="s">
        <v>34</v>
      </c>
    </row>
    <row r="2">
      <c r="A2" s="28">
        <f>Instagram_reach_raw!$A4</f>
        <v>45474</v>
      </c>
      <c r="B2" s="29">
        <f>Instagram_interactions_raw!$A4</f>
        <v>45474</v>
      </c>
      <c r="C2" s="26" t="str">
        <f t="shared" ref="C2:C1000" si="1">IF(A2,"Instagram","")</f>
        <v>Instagram</v>
      </c>
      <c r="D2" s="26" t="str">
        <f t="array" ref="D2">XLOOKUP($A2,Instagram_follows_raw!$A$4:$A1000,Instagram_follows_raw!$B$4:$B1000)</f>
        <v>#N/A</v>
      </c>
      <c r="E2" s="26">
        <f t="array" ref="E2">XLOOKUP($A2,Instagram_interactions_raw!$A$4:$A1000,Instagram_interactions_raw!$B$4:$B1000)</f>
        <v>0</v>
      </c>
      <c r="F2" s="26">
        <f t="array" ref="F2">XLOOKUP($A2,Instagram_reach_raw!$A$4:$A1000,Instagram_reach_raw!$B$4:$B1000)</f>
        <v>1258</v>
      </c>
    </row>
    <row r="3">
      <c r="A3" s="28">
        <f>Instagram_reach_raw!$A5</f>
        <v>45475</v>
      </c>
      <c r="B3" s="29">
        <f>Instagram_interactions_raw!$A5</f>
        <v>45475</v>
      </c>
      <c r="C3" s="26" t="str">
        <f t="shared" si="1"/>
        <v>Instagram</v>
      </c>
      <c r="D3" s="26" t="str">
        <f t="array" ref="D3">XLOOKUP($A3,Instagram_follows_raw!$A$4:$A1000,Instagram_follows_raw!$B$4:$B1000)</f>
        <v>#N/A</v>
      </c>
      <c r="E3" s="26">
        <f t="array" ref="E3">XLOOKUP($A3,Instagram_interactions_raw!$A$4:$A1000,Instagram_interactions_raw!$B$4:$B1000)</f>
        <v>0</v>
      </c>
      <c r="F3" s="26">
        <f t="array" ref="F3">XLOOKUP($A3,Instagram_reach_raw!$A$4:$A1000,Instagram_reach_raw!$B$4:$B1000)</f>
        <v>1180</v>
      </c>
    </row>
    <row r="4">
      <c r="A4" s="28">
        <f>Instagram_reach_raw!$A6</f>
        <v>45476</v>
      </c>
      <c r="B4" s="29">
        <f>Instagram_interactions_raw!$A6</f>
        <v>45476</v>
      </c>
      <c r="C4" s="26" t="str">
        <f t="shared" si="1"/>
        <v>Instagram</v>
      </c>
      <c r="D4" s="26" t="str">
        <f t="array" ref="D4">XLOOKUP($A4,Instagram_follows_raw!$A$4:$A1000,Instagram_follows_raw!$B$4:$B1000)</f>
        <v>#N/A</v>
      </c>
      <c r="E4" s="26">
        <f t="array" ref="E4">XLOOKUP($A4,Instagram_interactions_raw!$A$4:$A1000,Instagram_interactions_raw!$B$4:$B1000)</f>
        <v>0</v>
      </c>
      <c r="F4" s="26">
        <f t="array" ref="F4">XLOOKUP($A4,Instagram_reach_raw!$A$4:$A1000,Instagram_reach_raw!$B$4:$B1000)</f>
        <v>1049</v>
      </c>
    </row>
    <row r="5">
      <c r="A5" s="28">
        <f>Instagram_reach_raw!$A7</f>
        <v>45477</v>
      </c>
      <c r="B5" s="29">
        <f>Instagram_interactions_raw!$A7</f>
        <v>45477</v>
      </c>
      <c r="C5" s="26" t="str">
        <f t="shared" si="1"/>
        <v>Instagram</v>
      </c>
      <c r="D5" s="26" t="str">
        <f t="array" ref="D5">XLOOKUP($A5,Instagram_follows_raw!$A$4:$A1000,Instagram_follows_raw!$B$4:$B1000)</f>
        <v>#N/A</v>
      </c>
      <c r="E5" s="26">
        <f t="array" ref="E5">XLOOKUP($A5,Instagram_interactions_raw!$A$4:$A1000,Instagram_interactions_raw!$B$4:$B1000)</f>
        <v>0</v>
      </c>
      <c r="F5" s="26">
        <f t="array" ref="F5">XLOOKUP($A5,Instagram_reach_raw!$A$4:$A1000,Instagram_reach_raw!$B$4:$B1000)</f>
        <v>1216</v>
      </c>
    </row>
    <row r="6">
      <c r="A6" s="28">
        <f>Instagram_reach_raw!$A8</f>
        <v>45478</v>
      </c>
      <c r="B6" s="29">
        <f>Instagram_interactions_raw!$A8</f>
        <v>45478</v>
      </c>
      <c r="C6" s="26" t="str">
        <f t="shared" si="1"/>
        <v>Instagram</v>
      </c>
      <c r="D6" s="26" t="str">
        <f t="array" ref="D6">XLOOKUP($A6,Instagram_follows_raw!$A$4:$A1000,Instagram_follows_raw!$B$4:$B1000)</f>
        <v>#N/A</v>
      </c>
      <c r="E6" s="26">
        <f t="array" ref="E6">XLOOKUP($A6,Instagram_interactions_raw!$A$4:$A1000,Instagram_interactions_raw!$B$4:$B1000)</f>
        <v>0</v>
      </c>
      <c r="F6" s="26">
        <f t="array" ref="F6">XLOOKUP($A6,Instagram_reach_raw!$A$4:$A1000,Instagram_reach_raw!$B$4:$B1000)</f>
        <v>1324</v>
      </c>
    </row>
    <row r="7">
      <c r="A7" s="28">
        <f>Instagram_reach_raw!$A9</f>
        <v>45479</v>
      </c>
      <c r="B7" s="29">
        <f>Instagram_interactions_raw!$A9</f>
        <v>45479</v>
      </c>
      <c r="C7" s="26" t="str">
        <f t="shared" si="1"/>
        <v>Instagram</v>
      </c>
      <c r="D7" s="26" t="str">
        <f t="array" ref="D7">XLOOKUP($A7,Instagram_follows_raw!$A$4:$A1000,Instagram_follows_raw!$B$4:$B1000)</f>
        <v>#N/A</v>
      </c>
      <c r="E7" s="26">
        <f t="array" ref="E7">XLOOKUP($A7,Instagram_interactions_raw!$A$4:$A1000,Instagram_interactions_raw!$B$4:$B1000)</f>
        <v>0</v>
      </c>
      <c r="F7" s="26">
        <f t="array" ref="F7">XLOOKUP($A7,Instagram_reach_raw!$A$4:$A1000,Instagram_reach_raw!$B$4:$B1000)</f>
        <v>423</v>
      </c>
    </row>
    <row r="8">
      <c r="A8" s="28">
        <f>Instagram_reach_raw!$A10</f>
        <v>45480</v>
      </c>
      <c r="B8" s="29">
        <f>Instagram_interactions_raw!$A10</f>
        <v>45480</v>
      </c>
      <c r="C8" s="26" t="str">
        <f t="shared" si="1"/>
        <v>Instagram</v>
      </c>
      <c r="D8" s="26" t="str">
        <f t="array" ref="D8">XLOOKUP($A8,Instagram_follows_raw!$A$4:$A1000,Instagram_follows_raw!$B$4:$B1000)</f>
        <v>#N/A</v>
      </c>
      <c r="E8" s="26">
        <f t="array" ref="E8">XLOOKUP($A8,Instagram_interactions_raw!$A$4:$A1000,Instagram_interactions_raw!$B$4:$B1000)</f>
        <v>0</v>
      </c>
      <c r="F8" s="26">
        <f t="array" ref="F8">XLOOKUP($A8,Instagram_reach_raw!$A$4:$A1000,Instagram_reach_raw!$B$4:$B1000)</f>
        <v>591</v>
      </c>
    </row>
    <row r="9">
      <c r="A9" s="28">
        <f>Instagram_reach_raw!$A11</f>
        <v>45481</v>
      </c>
      <c r="B9" s="29">
        <f>Instagram_interactions_raw!$A11</f>
        <v>45481</v>
      </c>
      <c r="C9" s="26" t="str">
        <f t="shared" si="1"/>
        <v>Instagram</v>
      </c>
      <c r="D9" s="26" t="str">
        <f t="array" ref="D9">XLOOKUP($A9,Instagram_follows_raw!$A$4:$A1000,Instagram_follows_raw!$B$4:$B1000)</f>
        <v>#N/A</v>
      </c>
      <c r="E9" s="26">
        <f t="array" ref="E9">XLOOKUP($A9,Instagram_interactions_raw!$A$4:$A1000,Instagram_interactions_raw!$B$4:$B1000)</f>
        <v>0</v>
      </c>
      <c r="F9" s="26">
        <f t="array" ref="F9">XLOOKUP($A9,Instagram_reach_raw!$A$4:$A1000,Instagram_reach_raw!$B$4:$B1000)</f>
        <v>398</v>
      </c>
    </row>
    <row r="10">
      <c r="A10" s="28">
        <f>Instagram_reach_raw!$A12</f>
        <v>45482</v>
      </c>
      <c r="B10" s="29">
        <f>Instagram_interactions_raw!$A12</f>
        <v>45482</v>
      </c>
      <c r="C10" s="26" t="str">
        <f t="shared" si="1"/>
        <v>Instagram</v>
      </c>
      <c r="D10" s="26" t="str">
        <f t="array" ref="D10">XLOOKUP($A10,Instagram_follows_raw!$A$4:$A1000,Instagram_follows_raw!$B$4:$B1000)</f>
        <v>#N/A</v>
      </c>
      <c r="E10" s="26">
        <f t="array" ref="E10">XLOOKUP($A10,Instagram_interactions_raw!$A$4:$A1000,Instagram_interactions_raw!$B$4:$B1000)</f>
        <v>0</v>
      </c>
      <c r="F10" s="26">
        <f t="array" ref="F10">XLOOKUP($A10,Instagram_reach_raw!$A$4:$A1000,Instagram_reach_raw!$B$4:$B1000)</f>
        <v>116</v>
      </c>
    </row>
    <row r="11">
      <c r="A11" s="28">
        <f>Instagram_reach_raw!$A13</f>
        <v>45483</v>
      </c>
      <c r="B11" s="29">
        <f>Instagram_interactions_raw!$A13</f>
        <v>45483</v>
      </c>
      <c r="C11" s="26" t="str">
        <f t="shared" si="1"/>
        <v>Instagram</v>
      </c>
      <c r="D11" s="26" t="str">
        <f t="array" ref="D11">XLOOKUP($A11,Instagram_follows_raw!$A$4:$A1000,Instagram_follows_raw!$B$4:$B1000)</f>
        <v>#N/A</v>
      </c>
      <c r="E11" s="26">
        <f t="array" ref="E11">XLOOKUP($A11,Instagram_interactions_raw!$A$4:$A1000,Instagram_interactions_raw!$B$4:$B1000)</f>
        <v>0</v>
      </c>
      <c r="F11" s="26">
        <f t="array" ref="F11">XLOOKUP($A11,Instagram_reach_raw!$A$4:$A1000,Instagram_reach_raw!$B$4:$B1000)</f>
        <v>70</v>
      </c>
    </row>
    <row r="12">
      <c r="A12" s="28">
        <f>Instagram_reach_raw!$A14</f>
        <v>45484</v>
      </c>
      <c r="B12" s="29">
        <f>Instagram_interactions_raw!$A14</f>
        <v>45484</v>
      </c>
      <c r="C12" s="26" t="str">
        <f t="shared" si="1"/>
        <v>Instagram</v>
      </c>
      <c r="D12" s="26" t="str">
        <f t="array" ref="D12">XLOOKUP($A12,Instagram_follows_raw!$A$4:$A1000,Instagram_follows_raw!$B$4:$B1000)</f>
        <v>#N/A</v>
      </c>
      <c r="E12" s="26">
        <f t="array" ref="E12">XLOOKUP($A12,Instagram_interactions_raw!$A$4:$A1000,Instagram_interactions_raw!$B$4:$B1000)</f>
        <v>0</v>
      </c>
      <c r="F12" s="26">
        <f t="array" ref="F12">XLOOKUP($A12,Instagram_reach_raw!$A$4:$A1000,Instagram_reach_raw!$B$4:$B1000)</f>
        <v>1890</v>
      </c>
    </row>
    <row r="13">
      <c r="A13" s="28">
        <f>Instagram_reach_raw!$A15</f>
        <v>45485</v>
      </c>
      <c r="B13" s="29">
        <f>Instagram_interactions_raw!$A15</f>
        <v>45485</v>
      </c>
      <c r="C13" s="26" t="str">
        <f t="shared" si="1"/>
        <v>Instagram</v>
      </c>
      <c r="D13" s="26" t="str">
        <f t="array" ref="D13">XLOOKUP($A13,Instagram_follows_raw!$A$4:$A1000,Instagram_follows_raw!$B$4:$B1000)</f>
        <v>#N/A</v>
      </c>
      <c r="E13" s="26">
        <f t="array" ref="E13">XLOOKUP($A13,Instagram_interactions_raw!$A$4:$A1000,Instagram_interactions_raw!$B$4:$B1000)</f>
        <v>0</v>
      </c>
      <c r="F13" s="26">
        <f t="array" ref="F13">XLOOKUP($A13,Instagram_reach_raw!$A$4:$A1000,Instagram_reach_raw!$B$4:$B1000)</f>
        <v>3072</v>
      </c>
    </row>
    <row r="14">
      <c r="A14" s="28">
        <f>Instagram_reach_raw!$A16</f>
        <v>45486</v>
      </c>
      <c r="B14" s="29">
        <f>Instagram_interactions_raw!$A16</f>
        <v>45486</v>
      </c>
      <c r="C14" s="26" t="str">
        <f t="shared" si="1"/>
        <v>Instagram</v>
      </c>
      <c r="D14" s="26" t="str">
        <f t="array" ref="D14">XLOOKUP($A14,Instagram_follows_raw!$A$4:$A1000,Instagram_follows_raw!$B$4:$B1000)</f>
        <v>#N/A</v>
      </c>
      <c r="E14" s="26">
        <f t="array" ref="E14">XLOOKUP($A14,Instagram_interactions_raw!$A$4:$A1000,Instagram_interactions_raw!$B$4:$B1000)</f>
        <v>0</v>
      </c>
      <c r="F14" s="26">
        <f t="array" ref="F14">XLOOKUP($A14,Instagram_reach_raw!$A$4:$A1000,Instagram_reach_raw!$B$4:$B1000)</f>
        <v>2484</v>
      </c>
    </row>
    <row r="15">
      <c r="A15" s="28">
        <f>Instagram_reach_raw!$A17</f>
        <v>45487</v>
      </c>
      <c r="B15" s="29">
        <f>Instagram_interactions_raw!$A17</f>
        <v>45487</v>
      </c>
      <c r="C15" s="26" t="str">
        <f t="shared" si="1"/>
        <v>Instagram</v>
      </c>
      <c r="D15" s="26" t="str">
        <f t="array" ref="D15">XLOOKUP($A15,Instagram_follows_raw!$A$4:$A1000,Instagram_follows_raw!$B$4:$B1000)</f>
        <v>#N/A</v>
      </c>
      <c r="E15" s="26">
        <f t="array" ref="E15">XLOOKUP($A15,Instagram_interactions_raw!$A$4:$A1000,Instagram_interactions_raw!$B$4:$B1000)</f>
        <v>0</v>
      </c>
      <c r="F15" s="26">
        <f t="array" ref="F15">XLOOKUP($A15,Instagram_reach_raw!$A$4:$A1000,Instagram_reach_raw!$B$4:$B1000)</f>
        <v>3696</v>
      </c>
    </row>
    <row r="16">
      <c r="A16" s="28">
        <f>Instagram_reach_raw!$A18</f>
        <v>45488</v>
      </c>
      <c r="B16" s="29">
        <f>Instagram_interactions_raw!$A18</f>
        <v>45488</v>
      </c>
      <c r="C16" s="26" t="str">
        <f t="shared" si="1"/>
        <v>Instagram</v>
      </c>
      <c r="D16" s="26" t="str">
        <f t="array" ref="D16">XLOOKUP($A16,Instagram_follows_raw!$A$4:$A1000,Instagram_follows_raw!$B$4:$B1000)</f>
        <v>#N/A</v>
      </c>
      <c r="E16" s="26">
        <f t="array" ref="E16">XLOOKUP($A16,Instagram_interactions_raw!$A$4:$A1000,Instagram_interactions_raw!$B$4:$B1000)</f>
        <v>0</v>
      </c>
      <c r="F16" s="26">
        <f t="array" ref="F16">XLOOKUP($A16,Instagram_reach_raw!$A$4:$A1000,Instagram_reach_raw!$B$4:$B1000)</f>
        <v>3873</v>
      </c>
    </row>
    <row r="17">
      <c r="A17" s="28">
        <f>Instagram_reach_raw!$A19</f>
        <v>45489</v>
      </c>
      <c r="B17" s="29">
        <f>Instagram_interactions_raw!$A19</f>
        <v>45489</v>
      </c>
      <c r="C17" s="26" t="str">
        <f t="shared" si="1"/>
        <v>Instagram</v>
      </c>
      <c r="D17" s="26" t="str">
        <f t="array" ref="D17">XLOOKUP($A17,Instagram_follows_raw!$A$4:$A1000,Instagram_follows_raw!$B$4:$B1000)</f>
        <v>#N/A</v>
      </c>
      <c r="E17" s="26">
        <f t="array" ref="E17">XLOOKUP($A17,Instagram_interactions_raw!$A$4:$A1000,Instagram_interactions_raw!$B$4:$B1000)</f>
        <v>0</v>
      </c>
      <c r="F17" s="26">
        <f t="array" ref="F17">XLOOKUP($A17,Instagram_reach_raw!$A$4:$A1000,Instagram_reach_raw!$B$4:$B1000)</f>
        <v>3720</v>
      </c>
    </row>
    <row r="18">
      <c r="A18" s="28">
        <f>Instagram_reach_raw!$A20</f>
        <v>45490</v>
      </c>
      <c r="B18" s="29">
        <f>Instagram_interactions_raw!$A20</f>
        <v>45490</v>
      </c>
      <c r="C18" s="26" t="str">
        <f t="shared" si="1"/>
        <v>Instagram</v>
      </c>
      <c r="D18" s="26" t="str">
        <f t="array" ref="D18">XLOOKUP($A18,Instagram_follows_raw!$A$4:$A1000,Instagram_follows_raw!$B$4:$B1000)</f>
        <v>#N/A</v>
      </c>
      <c r="E18" s="26">
        <f t="array" ref="E18">XLOOKUP($A18,Instagram_interactions_raw!$A$4:$A1000,Instagram_interactions_raw!$B$4:$B1000)</f>
        <v>0</v>
      </c>
      <c r="F18" s="26">
        <f t="array" ref="F18">XLOOKUP($A18,Instagram_reach_raw!$A$4:$A1000,Instagram_reach_raw!$B$4:$B1000)</f>
        <v>2741</v>
      </c>
    </row>
    <row r="19">
      <c r="A19" s="28">
        <f>Instagram_reach_raw!$A21</f>
        <v>45491</v>
      </c>
      <c r="B19" s="29">
        <f>Instagram_interactions_raw!$A21</f>
        <v>45491</v>
      </c>
      <c r="C19" s="26" t="str">
        <f t="shared" si="1"/>
        <v>Instagram</v>
      </c>
      <c r="D19" s="26" t="str">
        <f t="array" ref="D19">XLOOKUP($A19,Instagram_follows_raw!$A$4:$A1000,Instagram_follows_raw!$B$4:$B1000)</f>
        <v>#N/A</v>
      </c>
      <c r="E19" s="26">
        <f t="array" ref="E19">XLOOKUP($A19,Instagram_interactions_raw!$A$4:$A1000,Instagram_interactions_raw!$B$4:$B1000)</f>
        <v>0</v>
      </c>
      <c r="F19" s="26">
        <f t="array" ref="F19">XLOOKUP($A19,Instagram_reach_raw!$A$4:$A1000,Instagram_reach_raw!$B$4:$B1000)</f>
        <v>2823</v>
      </c>
    </row>
    <row r="20">
      <c r="A20" s="28">
        <f>Instagram_reach_raw!$A22</f>
        <v>45492</v>
      </c>
      <c r="B20" s="29">
        <f>Instagram_interactions_raw!$A22</f>
        <v>45492</v>
      </c>
      <c r="C20" s="26" t="str">
        <f t="shared" si="1"/>
        <v>Instagram</v>
      </c>
      <c r="D20" s="26" t="str">
        <f t="array" ref="D20">XLOOKUP($A20,Instagram_follows_raw!$A$4:$A1000,Instagram_follows_raw!$B$4:$B1000)</f>
        <v>#N/A</v>
      </c>
      <c r="E20" s="26">
        <f t="array" ref="E20">XLOOKUP($A20,Instagram_interactions_raw!$A$4:$A1000,Instagram_interactions_raw!$B$4:$B1000)</f>
        <v>0</v>
      </c>
      <c r="F20" s="26">
        <f t="array" ref="F20">XLOOKUP($A20,Instagram_reach_raw!$A$4:$A1000,Instagram_reach_raw!$B$4:$B1000)</f>
        <v>1737</v>
      </c>
    </row>
    <row r="21">
      <c r="A21" s="28">
        <f>Instagram_reach_raw!$A23</f>
        <v>45493</v>
      </c>
      <c r="B21" s="29">
        <f>Instagram_interactions_raw!$A23</f>
        <v>45493</v>
      </c>
      <c r="C21" s="26" t="str">
        <f t="shared" si="1"/>
        <v>Instagram</v>
      </c>
      <c r="D21" s="26" t="str">
        <f t="array" ref="D21">XLOOKUP($A21,Instagram_follows_raw!$A$4:$A1000,Instagram_follows_raw!$B$4:$B1000)</f>
        <v>#N/A</v>
      </c>
      <c r="E21" s="26">
        <f t="array" ref="E21">XLOOKUP($A21,Instagram_interactions_raw!$A$4:$A1000,Instagram_interactions_raw!$B$4:$B1000)</f>
        <v>0</v>
      </c>
      <c r="F21" s="26">
        <f t="array" ref="F21">XLOOKUP($A21,Instagram_reach_raw!$A$4:$A1000,Instagram_reach_raw!$B$4:$B1000)</f>
        <v>1353</v>
      </c>
    </row>
    <row r="22">
      <c r="A22" s="28">
        <f>Instagram_reach_raw!$A24</f>
        <v>45494</v>
      </c>
      <c r="B22" s="29">
        <f>Instagram_interactions_raw!$A24</f>
        <v>45494</v>
      </c>
      <c r="C22" s="26" t="str">
        <f t="shared" si="1"/>
        <v>Instagram</v>
      </c>
      <c r="D22" s="26" t="str">
        <f t="array" ref="D22">XLOOKUP($A22,Instagram_follows_raw!$A$4:$A1000,Instagram_follows_raw!$B$4:$B1000)</f>
        <v>#N/A</v>
      </c>
      <c r="E22" s="26">
        <f t="array" ref="E22">XLOOKUP($A22,Instagram_interactions_raw!$A$4:$A1000,Instagram_interactions_raw!$B$4:$B1000)</f>
        <v>0</v>
      </c>
      <c r="F22" s="26">
        <f t="array" ref="F22">XLOOKUP($A22,Instagram_reach_raw!$A$4:$A1000,Instagram_reach_raw!$B$4:$B1000)</f>
        <v>1380</v>
      </c>
    </row>
    <row r="23">
      <c r="A23" s="28">
        <f>Instagram_reach_raw!$A25</f>
        <v>45495</v>
      </c>
      <c r="B23" s="29">
        <f>Instagram_interactions_raw!$A25</f>
        <v>45495</v>
      </c>
      <c r="C23" s="26" t="str">
        <f t="shared" si="1"/>
        <v>Instagram</v>
      </c>
      <c r="D23" s="26" t="str">
        <f t="array" ref="D23">XLOOKUP($A23,Instagram_follows_raw!$A$4:$A1000,Instagram_follows_raw!$B$4:$B1000)</f>
        <v>#N/A</v>
      </c>
      <c r="E23" s="26">
        <f t="array" ref="E23">XLOOKUP($A23,Instagram_interactions_raw!$A$4:$A1000,Instagram_interactions_raw!$B$4:$B1000)</f>
        <v>0</v>
      </c>
      <c r="F23" s="26">
        <f t="array" ref="F23">XLOOKUP($A23,Instagram_reach_raw!$A$4:$A1000,Instagram_reach_raw!$B$4:$B1000)</f>
        <v>2577</v>
      </c>
    </row>
    <row r="24">
      <c r="A24" s="28">
        <f>Instagram_reach_raw!$A26</f>
        <v>45496</v>
      </c>
      <c r="B24" s="29">
        <f>Instagram_interactions_raw!$A26</f>
        <v>45496</v>
      </c>
      <c r="C24" s="26" t="str">
        <f t="shared" si="1"/>
        <v>Instagram</v>
      </c>
      <c r="D24" s="26" t="str">
        <f t="array" ref="D24">XLOOKUP($A24,Instagram_follows_raw!$A$4:$A1000,Instagram_follows_raw!$B$4:$B1000)</f>
        <v>#N/A</v>
      </c>
      <c r="E24" s="26">
        <f t="array" ref="E24">XLOOKUP($A24,Instagram_interactions_raw!$A$4:$A1000,Instagram_interactions_raw!$B$4:$B1000)</f>
        <v>0</v>
      </c>
      <c r="F24" s="26">
        <f t="array" ref="F24">XLOOKUP($A24,Instagram_reach_raw!$A$4:$A1000,Instagram_reach_raw!$B$4:$B1000)</f>
        <v>1850</v>
      </c>
    </row>
    <row r="25">
      <c r="A25" s="28">
        <f>Instagram_reach_raw!$A27</f>
        <v>45497</v>
      </c>
      <c r="B25" s="29">
        <f>Instagram_interactions_raw!$A27</f>
        <v>45497</v>
      </c>
      <c r="C25" s="26" t="str">
        <f t="shared" si="1"/>
        <v>Instagram</v>
      </c>
      <c r="D25" s="26" t="str">
        <f t="array" ref="D25">XLOOKUP($A25,Instagram_follows_raw!$A$4:$A1000,Instagram_follows_raw!$B$4:$B1000)</f>
        <v>#N/A</v>
      </c>
      <c r="E25" s="26">
        <f t="array" ref="E25">XLOOKUP($A25,Instagram_interactions_raw!$A$4:$A1000,Instagram_interactions_raw!$B$4:$B1000)</f>
        <v>0</v>
      </c>
      <c r="F25" s="26">
        <f t="array" ref="F25">XLOOKUP($A25,Instagram_reach_raw!$A$4:$A1000,Instagram_reach_raw!$B$4:$B1000)</f>
        <v>3989</v>
      </c>
    </row>
    <row r="26">
      <c r="A26" s="28">
        <f>Instagram_reach_raw!$A28</f>
        <v>45498</v>
      </c>
      <c r="B26" s="29">
        <f>Instagram_interactions_raw!$A28</f>
        <v>45498</v>
      </c>
      <c r="C26" s="26" t="str">
        <f t="shared" si="1"/>
        <v>Instagram</v>
      </c>
      <c r="D26" s="26" t="str">
        <f t="array" ref="D26">XLOOKUP($A26,Instagram_follows_raw!$A$4:$A1000,Instagram_follows_raw!$B$4:$B1000)</f>
        <v>#N/A</v>
      </c>
      <c r="E26" s="26">
        <f t="array" ref="E26">XLOOKUP($A26,Instagram_interactions_raw!$A$4:$A1000,Instagram_interactions_raw!$B$4:$B1000)</f>
        <v>0</v>
      </c>
      <c r="F26" s="26">
        <f t="array" ref="F26">XLOOKUP($A26,Instagram_reach_raw!$A$4:$A1000,Instagram_reach_raw!$B$4:$B1000)</f>
        <v>2896</v>
      </c>
    </row>
    <row r="27">
      <c r="A27" s="28">
        <f>Instagram_reach_raw!$A29</f>
        <v>45499</v>
      </c>
      <c r="B27" s="29">
        <f>Instagram_interactions_raw!$A29</f>
        <v>45499</v>
      </c>
      <c r="C27" s="26" t="str">
        <f t="shared" si="1"/>
        <v>Instagram</v>
      </c>
      <c r="D27" s="26" t="str">
        <f t="array" ref="D27">XLOOKUP($A27,Instagram_follows_raw!$A$4:$A1000,Instagram_follows_raw!$B$4:$B1000)</f>
        <v>#N/A</v>
      </c>
      <c r="E27" s="26">
        <f t="array" ref="E27">XLOOKUP($A27,Instagram_interactions_raw!$A$4:$A1000,Instagram_interactions_raw!$B$4:$B1000)</f>
        <v>0</v>
      </c>
      <c r="F27" s="26">
        <f t="array" ref="F27">XLOOKUP($A27,Instagram_reach_raw!$A$4:$A1000,Instagram_reach_raw!$B$4:$B1000)</f>
        <v>2715</v>
      </c>
    </row>
    <row r="28">
      <c r="A28" s="28">
        <f>Instagram_reach_raw!$A30</f>
        <v>45500</v>
      </c>
      <c r="B28" s="29">
        <f>Instagram_interactions_raw!$A30</f>
        <v>45500</v>
      </c>
      <c r="C28" s="26" t="str">
        <f t="shared" si="1"/>
        <v>Instagram</v>
      </c>
      <c r="D28" s="26" t="str">
        <f t="array" ref="D28">XLOOKUP($A28,Instagram_follows_raw!$A$4:$A1000,Instagram_follows_raw!$B$4:$B1000)</f>
        <v>#N/A</v>
      </c>
      <c r="E28" s="26">
        <f t="array" ref="E28">XLOOKUP($A28,Instagram_interactions_raw!$A$4:$A1000,Instagram_interactions_raw!$B$4:$B1000)</f>
        <v>0</v>
      </c>
      <c r="F28" s="26">
        <f t="array" ref="F28">XLOOKUP($A28,Instagram_reach_raw!$A$4:$A1000,Instagram_reach_raw!$B$4:$B1000)</f>
        <v>2057</v>
      </c>
    </row>
    <row r="29">
      <c r="A29" s="28">
        <f>Instagram_reach_raw!$A31</f>
        <v>45501</v>
      </c>
      <c r="B29" s="29">
        <f>Instagram_interactions_raw!$A31</f>
        <v>45501</v>
      </c>
      <c r="C29" s="26" t="str">
        <f t="shared" si="1"/>
        <v>Instagram</v>
      </c>
      <c r="D29" s="26" t="str">
        <f t="array" ref="D29">XLOOKUP($A29,Instagram_follows_raw!$A$4:$A1000,Instagram_follows_raw!$B$4:$B1000)</f>
        <v>#N/A</v>
      </c>
      <c r="E29" s="26">
        <f t="array" ref="E29">XLOOKUP($A29,Instagram_interactions_raw!$A$4:$A1000,Instagram_interactions_raw!$B$4:$B1000)</f>
        <v>0</v>
      </c>
      <c r="F29" s="26">
        <f t="array" ref="F29">XLOOKUP($A29,Instagram_reach_raw!$A$4:$A1000,Instagram_reach_raw!$B$4:$B1000)</f>
        <v>3225</v>
      </c>
    </row>
    <row r="30">
      <c r="A30" s="28">
        <f>Instagram_reach_raw!$A32</f>
        <v>45502</v>
      </c>
      <c r="B30" s="29">
        <f>Instagram_interactions_raw!$A32</f>
        <v>45502</v>
      </c>
      <c r="C30" s="26" t="str">
        <f t="shared" si="1"/>
        <v>Instagram</v>
      </c>
      <c r="D30" s="26" t="str">
        <f t="array" ref="D30">XLOOKUP($A30,Instagram_follows_raw!$A$4:$A1000,Instagram_follows_raw!$B$4:$B1000)</f>
        <v>#N/A</v>
      </c>
      <c r="E30" s="26">
        <f t="array" ref="E30">XLOOKUP($A30,Instagram_interactions_raw!$A$4:$A1000,Instagram_interactions_raw!$B$4:$B1000)</f>
        <v>0</v>
      </c>
      <c r="F30" s="26">
        <f t="array" ref="F30">XLOOKUP($A30,Instagram_reach_raw!$A$4:$A1000,Instagram_reach_raw!$B$4:$B1000)</f>
        <v>4165</v>
      </c>
    </row>
    <row r="31">
      <c r="A31" s="28">
        <f>Instagram_reach_raw!$A33</f>
        <v>45503</v>
      </c>
      <c r="B31" s="29">
        <f>Instagram_interactions_raw!$A33</f>
        <v>45503</v>
      </c>
      <c r="C31" s="26" t="str">
        <f t="shared" si="1"/>
        <v>Instagram</v>
      </c>
      <c r="D31" s="26" t="str">
        <f t="array" ref="D31">XLOOKUP($A31,Instagram_follows_raw!$A$4:$A1000,Instagram_follows_raw!$B$4:$B1000)</f>
        <v>#N/A</v>
      </c>
      <c r="E31" s="26">
        <f t="array" ref="E31">XLOOKUP($A31,Instagram_interactions_raw!$A$4:$A1000,Instagram_interactions_raw!$B$4:$B1000)</f>
        <v>0</v>
      </c>
      <c r="F31" s="26">
        <f t="array" ref="F31">XLOOKUP($A31,Instagram_reach_raw!$A$4:$A1000,Instagram_reach_raw!$B$4:$B1000)</f>
        <v>3764</v>
      </c>
    </row>
    <row r="32">
      <c r="A32" s="28">
        <f>Instagram_reach_raw!$A34</f>
        <v>45504</v>
      </c>
      <c r="B32" s="29">
        <f>Instagram_interactions_raw!$A34</f>
        <v>45504</v>
      </c>
      <c r="C32" s="26" t="str">
        <f t="shared" si="1"/>
        <v>Instagram</v>
      </c>
      <c r="D32" s="26" t="str">
        <f t="array" ref="D32">XLOOKUP($A32,Instagram_follows_raw!$A$4:$A1000,Instagram_follows_raw!$B$4:$B1000)</f>
        <v>#N/A</v>
      </c>
      <c r="E32" s="26">
        <f t="array" ref="E32">XLOOKUP($A32,Instagram_interactions_raw!$A$4:$A1000,Instagram_interactions_raw!$B$4:$B1000)</f>
        <v>0</v>
      </c>
      <c r="F32" s="26">
        <f t="array" ref="F32">XLOOKUP($A32,Instagram_reach_raw!$A$4:$A1000,Instagram_reach_raw!$B$4:$B1000)</f>
        <v>3001</v>
      </c>
    </row>
    <row r="33">
      <c r="A33" s="28">
        <f>Instagram_reach_raw!$A35</f>
        <v>45505</v>
      </c>
      <c r="B33" s="29">
        <f>Instagram_interactions_raw!$A35</f>
        <v>45505</v>
      </c>
      <c r="C33" s="26" t="str">
        <f t="shared" si="1"/>
        <v>Instagram</v>
      </c>
      <c r="D33" s="26" t="str">
        <f t="array" ref="D33">XLOOKUP($A33,Instagram_follows_raw!$A$4:$A1000,Instagram_follows_raw!$B$4:$B1000)</f>
        <v>#N/A</v>
      </c>
      <c r="E33" s="26">
        <f t="array" ref="E33">XLOOKUP($A33,Instagram_interactions_raw!$A$4:$A1000,Instagram_interactions_raw!$B$4:$B1000)</f>
        <v>0</v>
      </c>
      <c r="F33" s="26">
        <f t="array" ref="F33">XLOOKUP($A33,Instagram_reach_raw!$A$4:$A1000,Instagram_reach_raw!$B$4:$B1000)</f>
        <v>953</v>
      </c>
    </row>
    <row r="34">
      <c r="A34" s="28">
        <f>Instagram_reach_raw!$A36</f>
        <v>45506</v>
      </c>
      <c r="B34" s="29">
        <f>Instagram_interactions_raw!$A36</f>
        <v>45506</v>
      </c>
      <c r="C34" s="26" t="str">
        <f t="shared" si="1"/>
        <v>Instagram</v>
      </c>
      <c r="D34" s="26" t="str">
        <f t="array" ref="D34">XLOOKUP($A34,Instagram_follows_raw!$A$4:$A1000,Instagram_follows_raw!$B$4:$B1000)</f>
        <v>#N/A</v>
      </c>
      <c r="E34" s="26">
        <f t="array" ref="E34">XLOOKUP($A34,Instagram_interactions_raw!$A$4:$A1000,Instagram_interactions_raw!$B$4:$B1000)</f>
        <v>0</v>
      </c>
      <c r="F34" s="26">
        <f t="array" ref="F34">XLOOKUP($A34,Instagram_reach_raw!$A$4:$A1000,Instagram_reach_raw!$B$4:$B1000)</f>
        <v>538</v>
      </c>
    </row>
    <row r="35">
      <c r="A35" s="28">
        <f>Instagram_reach_raw!$A37</f>
        <v>45507</v>
      </c>
      <c r="B35" s="29">
        <f>Instagram_interactions_raw!$A37</f>
        <v>45507</v>
      </c>
      <c r="C35" s="26" t="str">
        <f t="shared" si="1"/>
        <v>Instagram</v>
      </c>
      <c r="D35" s="26" t="str">
        <f t="array" ref="D35">XLOOKUP($A35,Instagram_follows_raw!$A$4:$A1000,Instagram_follows_raw!$B$4:$B1000)</f>
        <v>#N/A</v>
      </c>
      <c r="E35" s="26">
        <f t="array" ref="E35">XLOOKUP($A35,Instagram_interactions_raw!$A$4:$A1000,Instagram_interactions_raw!$B$4:$B1000)</f>
        <v>0</v>
      </c>
      <c r="F35" s="26">
        <f t="array" ref="F35">XLOOKUP($A35,Instagram_reach_raw!$A$4:$A1000,Instagram_reach_raw!$B$4:$B1000)</f>
        <v>436</v>
      </c>
    </row>
    <row r="36">
      <c r="A36" s="28">
        <f>Instagram_reach_raw!$A38</f>
        <v>45508</v>
      </c>
      <c r="B36" s="29">
        <f>Instagram_interactions_raw!$A38</f>
        <v>45508</v>
      </c>
      <c r="C36" s="26" t="str">
        <f t="shared" si="1"/>
        <v>Instagram</v>
      </c>
      <c r="D36" s="26" t="str">
        <f t="array" ref="D36">XLOOKUP($A36,Instagram_follows_raw!$A$4:$A1000,Instagram_follows_raw!$B$4:$B1000)</f>
        <v>#N/A</v>
      </c>
      <c r="E36" s="26">
        <f t="array" ref="E36">XLOOKUP($A36,Instagram_interactions_raw!$A$4:$A1000,Instagram_interactions_raw!$B$4:$B1000)</f>
        <v>0</v>
      </c>
      <c r="F36" s="26">
        <f t="array" ref="F36">XLOOKUP($A36,Instagram_reach_raw!$A$4:$A1000,Instagram_reach_raw!$B$4:$B1000)</f>
        <v>190</v>
      </c>
    </row>
    <row r="37">
      <c r="A37" s="28">
        <f>Instagram_reach_raw!$A39</f>
        <v>45509</v>
      </c>
      <c r="B37" s="29">
        <f>Instagram_interactions_raw!$A39</f>
        <v>45509</v>
      </c>
      <c r="C37" s="26" t="str">
        <f t="shared" si="1"/>
        <v>Instagram</v>
      </c>
      <c r="D37" s="26" t="str">
        <f t="array" ref="D37">XLOOKUP($A37,Instagram_follows_raw!$A$4:$A1000,Instagram_follows_raw!$B$4:$B1000)</f>
        <v>#N/A</v>
      </c>
      <c r="E37" s="26">
        <f t="array" ref="E37">XLOOKUP($A37,Instagram_interactions_raw!$A$4:$A1000,Instagram_interactions_raw!$B$4:$B1000)</f>
        <v>0</v>
      </c>
      <c r="F37" s="26">
        <f t="array" ref="F37">XLOOKUP($A37,Instagram_reach_raw!$A$4:$A1000,Instagram_reach_raw!$B$4:$B1000)</f>
        <v>82</v>
      </c>
    </row>
    <row r="38">
      <c r="A38" s="28">
        <f>Instagram_reach_raw!$A40</f>
        <v>45510</v>
      </c>
      <c r="B38" s="29">
        <f>Instagram_interactions_raw!$A40</f>
        <v>45510</v>
      </c>
      <c r="C38" s="26" t="str">
        <f t="shared" si="1"/>
        <v>Instagram</v>
      </c>
      <c r="D38" s="26" t="str">
        <f t="array" ref="D38">XLOOKUP($A38,Instagram_follows_raw!$A$4:$A1000,Instagram_follows_raw!$B$4:$B1000)</f>
        <v>#N/A</v>
      </c>
      <c r="E38" s="26">
        <f t="array" ref="E38">XLOOKUP($A38,Instagram_interactions_raw!$A$4:$A1000,Instagram_interactions_raw!$B$4:$B1000)</f>
        <v>0</v>
      </c>
      <c r="F38" s="26">
        <f t="array" ref="F38">XLOOKUP($A38,Instagram_reach_raw!$A$4:$A1000,Instagram_reach_raw!$B$4:$B1000)</f>
        <v>389</v>
      </c>
    </row>
    <row r="39">
      <c r="A39" s="28">
        <f>Instagram_reach_raw!$A41</f>
        <v>45511</v>
      </c>
      <c r="B39" s="29">
        <f>Instagram_interactions_raw!$A41</f>
        <v>45511</v>
      </c>
      <c r="C39" s="26" t="str">
        <f t="shared" si="1"/>
        <v>Instagram</v>
      </c>
      <c r="D39" s="26" t="str">
        <f t="array" ref="D39">XLOOKUP($A39,Instagram_follows_raw!$A$4:$A1000,Instagram_follows_raw!$B$4:$B1000)</f>
        <v>#N/A</v>
      </c>
      <c r="E39" s="26">
        <f t="array" ref="E39">XLOOKUP($A39,Instagram_interactions_raw!$A$4:$A1000,Instagram_interactions_raw!$B$4:$B1000)</f>
        <v>0</v>
      </c>
      <c r="F39" s="26">
        <f t="array" ref="F39">XLOOKUP($A39,Instagram_reach_raw!$A$4:$A1000,Instagram_reach_raw!$B$4:$B1000)</f>
        <v>287</v>
      </c>
    </row>
    <row r="40">
      <c r="A40" s="28">
        <f>Instagram_reach_raw!$A42</f>
        <v>45512</v>
      </c>
      <c r="B40" s="29">
        <f>Instagram_interactions_raw!$A42</f>
        <v>45512</v>
      </c>
      <c r="C40" s="26" t="str">
        <f t="shared" si="1"/>
        <v>Instagram</v>
      </c>
      <c r="D40" s="26" t="str">
        <f t="array" ref="D40">XLOOKUP($A40,Instagram_follows_raw!$A$4:$A1000,Instagram_follows_raw!$B$4:$B1000)</f>
        <v>#N/A</v>
      </c>
      <c r="E40" s="26">
        <f t="array" ref="E40">XLOOKUP($A40,Instagram_interactions_raw!$A$4:$A1000,Instagram_interactions_raw!$B$4:$B1000)</f>
        <v>0</v>
      </c>
      <c r="F40" s="26">
        <f t="array" ref="F40">XLOOKUP($A40,Instagram_reach_raw!$A$4:$A1000,Instagram_reach_raw!$B$4:$B1000)</f>
        <v>328</v>
      </c>
    </row>
    <row r="41">
      <c r="A41" s="28">
        <f>Instagram_reach_raw!$A43</f>
        <v>45513</v>
      </c>
      <c r="B41" s="29">
        <f>Instagram_interactions_raw!$A43</f>
        <v>45513</v>
      </c>
      <c r="C41" s="26" t="str">
        <f t="shared" si="1"/>
        <v>Instagram</v>
      </c>
      <c r="D41" s="26" t="str">
        <f t="array" ref="D41">XLOOKUP($A41,Instagram_follows_raw!$A$4:$A1000,Instagram_follows_raw!$B$4:$B1000)</f>
        <v>#N/A</v>
      </c>
      <c r="E41" s="26">
        <f t="array" ref="E41">XLOOKUP($A41,Instagram_interactions_raw!$A$4:$A1000,Instagram_interactions_raw!$B$4:$B1000)</f>
        <v>0</v>
      </c>
      <c r="F41" s="26">
        <f t="array" ref="F41">XLOOKUP($A41,Instagram_reach_raw!$A$4:$A1000,Instagram_reach_raw!$B$4:$B1000)</f>
        <v>7258</v>
      </c>
    </row>
    <row r="42">
      <c r="A42" s="28">
        <f>Instagram_reach_raw!$A44</f>
        <v>45514</v>
      </c>
      <c r="B42" s="29">
        <f>Instagram_interactions_raw!$A44</f>
        <v>45514</v>
      </c>
      <c r="C42" s="26" t="str">
        <f t="shared" si="1"/>
        <v>Instagram</v>
      </c>
      <c r="D42" s="26" t="str">
        <f t="array" ref="D42">XLOOKUP($A42,Instagram_follows_raw!$A$4:$A1000,Instagram_follows_raw!$B$4:$B1000)</f>
        <v>#N/A</v>
      </c>
      <c r="E42" s="26">
        <f t="array" ref="E42">XLOOKUP($A42,Instagram_interactions_raw!$A$4:$A1000,Instagram_interactions_raw!$B$4:$B1000)</f>
        <v>0</v>
      </c>
      <c r="F42" s="26">
        <f t="array" ref="F42">XLOOKUP($A42,Instagram_reach_raw!$A$4:$A1000,Instagram_reach_raw!$B$4:$B1000)</f>
        <v>7242</v>
      </c>
    </row>
    <row r="43">
      <c r="A43" s="28">
        <f>Instagram_reach_raw!$A45</f>
        <v>45515</v>
      </c>
      <c r="B43" s="29">
        <f>Instagram_interactions_raw!$A45</f>
        <v>45515</v>
      </c>
      <c r="C43" s="26" t="str">
        <f t="shared" si="1"/>
        <v>Instagram</v>
      </c>
      <c r="D43" s="26">
        <f t="array" ref="D43">XLOOKUP($A43,Instagram_follows_raw!$A$4:$A1000,Instagram_follows_raw!$B$4:$B1000)</f>
        <v>4</v>
      </c>
      <c r="E43" s="26">
        <f t="array" ref="E43">XLOOKUP($A43,Instagram_interactions_raw!$A$4:$A1000,Instagram_interactions_raw!$B$4:$B1000)</f>
        <v>0</v>
      </c>
      <c r="F43" s="26">
        <f t="array" ref="F43">XLOOKUP($A43,Instagram_reach_raw!$A$4:$A1000,Instagram_reach_raw!$B$4:$B1000)</f>
        <v>3019</v>
      </c>
    </row>
    <row r="44">
      <c r="A44" s="28">
        <f>Instagram_reach_raw!$A46</f>
        <v>45516</v>
      </c>
      <c r="B44" s="29">
        <f>Instagram_interactions_raw!$A46</f>
        <v>45516</v>
      </c>
      <c r="C44" s="26" t="str">
        <f t="shared" si="1"/>
        <v>Instagram</v>
      </c>
      <c r="D44" s="26">
        <f t="array" ref="D44">XLOOKUP($A44,Instagram_follows_raw!$A$4:$A1000,Instagram_follows_raw!$B$4:$B1000)</f>
        <v>8</v>
      </c>
      <c r="E44" s="26">
        <f t="array" ref="E44">XLOOKUP($A44,Instagram_interactions_raw!$A$4:$A1000,Instagram_interactions_raw!$B$4:$B1000)</f>
        <v>0</v>
      </c>
      <c r="F44" s="26">
        <f t="array" ref="F44">XLOOKUP($A44,Instagram_reach_raw!$A$4:$A1000,Instagram_reach_raw!$B$4:$B1000)</f>
        <v>1454</v>
      </c>
    </row>
    <row r="45">
      <c r="A45" s="28">
        <f>Instagram_reach_raw!$A47</f>
        <v>45517</v>
      </c>
      <c r="B45" s="29">
        <f>Instagram_interactions_raw!$A47</f>
        <v>45517</v>
      </c>
      <c r="C45" s="26" t="str">
        <f t="shared" si="1"/>
        <v>Instagram</v>
      </c>
      <c r="D45" s="26">
        <f t="array" ref="D45">XLOOKUP($A45,Instagram_follows_raw!$A$4:$A1000,Instagram_follows_raw!$B$4:$B1000)</f>
        <v>2</v>
      </c>
      <c r="E45" s="26">
        <f t="array" ref="E45">XLOOKUP($A45,Instagram_interactions_raw!$A$4:$A1000,Instagram_interactions_raw!$B$4:$B1000)</f>
        <v>0</v>
      </c>
      <c r="F45" s="26">
        <f t="array" ref="F45">XLOOKUP($A45,Instagram_reach_raw!$A$4:$A1000,Instagram_reach_raw!$B$4:$B1000)</f>
        <v>635</v>
      </c>
    </row>
    <row r="46">
      <c r="A46" s="28">
        <f>Instagram_reach_raw!$A48</f>
        <v>45518</v>
      </c>
      <c r="B46" s="29">
        <f>Instagram_interactions_raw!$A48</f>
        <v>45518</v>
      </c>
      <c r="C46" s="26" t="str">
        <f t="shared" si="1"/>
        <v>Instagram</v>
      </c>
      <c r="D46" s="26">
        <f t="array" ref="D46">XLOOKUP($A46,Instagram_follows_raw!$A$4:$A1000,Instagram_follows_raw!$B$4:$B1000)</f>
        <v>1</v>
      </c>
      <c r="E46" s="26">
        <f t="array" ref="E46">XLOOKUP($A46,Instagram_interactions_raw!$A$4:$A1000,Instagram_interactions_raw!$B$4:$B1000)</f>
        <v>0</v>
      </c>
      <c r="F46" s="26">
        <f t="array" ref="F46">XLOOKUP($A46,Instagram_reach_raw!$A$4:$A1000,Instagram_reach_raw!$B$4:$B1000)</f>
        <v>1723</v>
      </c>
    </row>
    <row r="47">
      <c r="A47" s="28">
        <f>Instagram_reach_raw!$A49</f>
        <v>45519</v>
      </c>
      <c r="B47" s="29">
        <f>Instagram_interactions_raw!$A49</f>
        <v>45519</v>
      </c>
      <c r="C47" s="26" t="str">
        <f t="shared" si="1"/>
        <v>Instagram</v>
      </c>
      <c r="D47" s="26">
        <f t="array" ref="D47">XLOOKUP($A47,Instagram_follows_raw!$A$4:$A1000,Instagram_follows_raw!$B$4:$B1000)</f>
        <v>2</v>
      </c>
      <c r="E47" s="26">
        <f t="array" ref="E47">XLOOKUP($A47,Instagram_interactions_raw!$A$4:$A1000,Instagram_interactions_raw!$B$4:$B1000)</f>
        <v>0</v>
      </c>
      <c r="F47" s="26">
        <f t="array" ref="F47">XLOOKUP($A47,Instagram_reach_raw!$A$4:$A1000,Instagram_reach_raw!$B$4:$B1000)</f>
        <v>1550</v>
      </c>
    </row>
    <row r="48">
      <c r="A48" s="28">
        <f>Instagram_reach_raw!$A50</f>
        <v>45520</v>
      </c>
      <c r="B48" s="29">
        <f>Instagram_interactions_raw!$A50</f>
        <v>45520</v>
      </c>
      <c r="C48" s="26" t="str">
        <f t="shared" si="1"/>
        <v>Instagram</v>
      </c>
      <c r="D48" s="26">
        <f t="array" ref="D48">XLOOKUP($A48,Instagram_follows_raw!$A$4:$A1000,Instagram_follows_raw!$B$4:$B1000)</f>
        <v>1</v>
      </c>
      <c r="E48" s="26">
        <f t="array" ref="E48">XLOOKUP($A48,Instagram_interactions_raw!$A$4:$A1000,Instagram_interactions_raw!$B$4:$B1000)</f>
        <v>0</v>
      </c>
      <c r="F48" s="26">
        <f t="array" ref="F48">XLOOKUP($A48,Instagram_reach_raw!$A$4:$A1000,Instagram_reach_raw!$B$4:$B1000)</f>
        <v>1098</v>
      </c>
    </row>
    <row r="49">
      <c r="A49" s="28">
        <f>Instagram_reach_raw!$A51</f>
        <v>45521</v>
      </c>
      <c r="B49" s="29">
        <f>Instagram_interactions_raw!$A51</f>
        <v>45521</v>
      </c>
      <c r="C49" s="26" t="str">
        <f t="shared" si="1"/>
        <v>Instagram</v>
      </c>
      <c r="D49" s="26">
        <f t="array" ref="D49">XLOOKUP($A49,Instagram_follows_raw!$A$4:$A1000,Instagram_follows_raw!$B$4:$B1000)</f>
        <v>2</v>
      </c>
      <c r="E49" s="26">
        <f t="array" ref="E49">XLOOKUP($A49,Instagram_interactions_raw!$A$4:$A1000,Instagram_interactions_raw!$B$4:$B1000)</f>
        <v>0</v>
      </c>
      <c r="F49" s="26">
        <f t="array" ref="F49">XLOOKUP($A49,Instagram_reach_raw!$A$4:$A1000,Instagram_reach_raw!$B$4:$B1000)</f>
        <v>841</v>
      </c>
    </row>
    <row r="50">
      <c r="A50" s="28">
        <f>Instagram_reach_raw!$A52</f>
        <v>45522</v>
      </c>
      <c r="B50" s="29">
        <f>Instagram_interactions_raw!$A52</f>
        <v>45522</v>
      </c>
      <c r="C50" s="26" t="str">
        <f t="shared" si="1"/>
        <v>Instagram</v>
      </c>
      <c r="D50" s="26">
        <f t="array" ref="D50">XLOOKUP($A50,Instagram_follows_raw!$A$4:$A1000,Instagram_follows_raw!$B$4:$B1000)</f>
        <v>4</v>
      </c>
      <c r="E50" s="26">
        <f t="array" ref="E50">XLOOKUP($A50,Instagram_interactions_raw!$A$4:$A1000,Instagram_interactions_raw!$B$4:$B1000)</f>
        <v>0</v>
      </c>
      <c r="F50" s="26">
        <f t="array" ref="F50">XLOOKUP($A50,Instagram_reach_raw!$A$4:$A1000,Instagram_reach_raw!$B$4:$B1000)</f>
        <v>2033</v>
      </c>
    </row>
    <row r="51">
      <c r="A51" s="28">
        <f>Instagram_reach_raw!$A53</f>
        <v>45523</v>
      </c>
      <c r="B51" s="29">
        <f>Instagram_interactions_raw!$A53</f>
        <v>45523</v>
      </c>
      <c r="C51" s="26" t="str">
        <f t="shared" si="1"/>
        <v>Instagram</v>
      </c>
      <c r="D51" s="26">
        <f t="array" ref="D51">XLOOKUP($A51,Instagram_follows_raw!$A$4:$A1000,Instagram_follows_raw!$B$4:$B1000)</f>
        <v>3</v>
      </c>
      <c r="E51" s="26">
        <f t="array" ref="E51">XLOOKUP($A51,Instagram_interactions_raw!$A$4:$A1000,Instagram_interactions_raw!$B$4:$B1000)</f>
        <v>0</v>
      </c>
      <c r="F51" s="26">
        <f t="array" ref="F51">XLOOKUP($A51,Instagram_reach_raw!$A$4:$A1000,Instagram_reach_raw!$B$4:$B1000)</f>
        <v>2219</v>
      </c>
    </row>
    <row r="52">
      <c r="A52" s="28">
        <f>Instagram_reach_raw!$A54</f>
        <v>45524</v>
      </c>
      <c r="B52" s="29">
        <f>Instagram_interactions_raw!$A54</f>
        <v>45524</v>
      </c>
      <c r="C52" s="26" t="str">
        <f t="shared" si="1"/>
        <v>Instagram</v>
      </c>
      <c r="D52" s="26">
        <f t="array" ref="D52">XLOOKUP($A52,Instagram_follows_raw!$A$4:$A1000,Instagram_follows_raw!$B$4:$B1000)</f>
        <v>3</v>
      </c>
      <c r="E52" s="26">
        <f t="array" ref="E52">XLOOKUP($A52,Instagram_interactions_raw!$A$4:$A1000,Instagram_interactions_raw!$B$4:$B1000)</f>
        <v>0</v>
      </c>
      <c r="F52" s="26">
        <f t="array" ref="F52">XLOOKUP($A52,Instagram_reach_raw!$A$4:$A1000,Instagram_reach_raw!$B$4:$B1000)</f>
        <v>2480</v>
      </c>
    </row>
    <row r="53">
      <c r="A53" s="28">
        <f>Instagram_reach_raw!$A55</f>
        <v>45525</v>
      </c>
      <c r="B53" s="29">
        <f>Instagram_interactions_raw!$A55</f>
        <v>45525</v>
      </c>
      <c r="C53" s="26" t="str">
        <f t="shared" si="1"/>
        <v>Instagram</v>
      </c>
      <c r="D53" s="26">
        <f t="array" ref="D53">XLOOKUP($A53,Instagram_follows_raw!$A$4:$A1000,Instagram_follows_raw!$B$4:$B1000)</f>
        <v>3</v>
      </c>
      <c r="E53" s="26">
        <f t="array" ref="E53">XLOOKUP($A53,Instagram_interactions_raw!$A$4:$A1000,Instagram_interactions_raw!$B$4:$B1000)</f>
        <v>0</v>
      </c>
      <c r="F53" s="26">
        <f t="array" ref="F53">XLOOKUP($A53,Instagram_reach_raw!$A$4:$A1000,Instagram_reach_raw!$B$4:$B1000)</f>
        <v>1619</v>
      </c>
    </row>
    <row r="54">
      <c r="A54" s="28">
        <f>Instagram_reach_raw!$A56</f>
        <v>45526</v>
      </c>
      <c r="B54" s="29">
        <f>Instagram_interactions_raw!$A56</f>
        <v>45526</v>
      </c>
      <c r="C54" s="26" t="str">
        <f t="shared" si="1"/>
        <v>Instagram</v>
      </c>
      <c r="D54" s="26">
        <f t="array" ref="D54">XLOOKUP($A54,Instagram_follows_raw!$A$4:$A1000,Instagram_follows_raw!$B$4:$B1000)</f>
        <v>4</v>
      </c>
      <c r="E54" s="26">
        <f t="array" ref="E54">XLOOKUP($A54,Instagram_interactions_raw!$A$4:$A1000,Instagram_interactions_raw!$B$4:$B1000)</f>
        <v>0</v>
      </c>
      <c r="F54" s="26">
        <f t="array" ref="F54">XLOOKUP($A54,Instagram_reach_raw!$A$4:$A1000,Instagram_reach_raw!$B$4:$B1000)</f>
        <v>3058</v>
      </c>
    </row>
    <row r="55">
      <c r="A55" s="28">
        <f>Instagram_reach_raw!$A57</f>
        <v>45527</v>
      </c>
      <c r="B55" s="29">
        <f>Instagram_interactions_raw!$A57</f>
        <v>45527</v>
      </c>
      <c r="C55" s="26" t="str">
        <f t="shared" si="1"/>
        <v>Instagram</v>
      </c>
      <c r="D55" s="26" t="str">
        <f t="array" ref="D55">XLOOKUP($A55,Instagram_follows_raw!$A$4:$A1000,Instagram_follows_raw!$B$4:$B1000)</f>
        <v>#N/A</v>
      </c>
      <c r="E55" s="26">
        <f t="array" ref="E55">XLOOKUP($A55,Instagram_interactions_raw!$A$4:$A1000,Instagram_interactions_raw!$B$4:$B1000)</f>
        <v>0</v>
      </c>
      <c r="F55" s="26">
        <f t="array" ref="F55">XLOOKUP($A55,Instagram_reach_raw!$A$4:$A1000,Instagram_reach_raw!$B$4:$B1000)</f>
        <v>2184</v>
      </c>
    </row>
    <row r="56">
      <c r="A56" s="28">
        <f>Instagram_reach_raw!$A58</f>
        <v>45528</v>
      </c>
      <c r="B56" s="29">
        <f>Instagram_interactions_raw!$A58</f>
        <v>45528</v>
      </c>
      <c r="C56" s="26" t="str">
        <f t="shared" si="1"/>
        <v>Instagram</v>
      </c>
      <c r="D56" s="26">
        <f t="array" ref="D56">XLOOKUP($A56,Instagram_follows_raw!$A$4:$A1000,Instagram_follows_raw!$B$4:$B1000)</f>
        <v>2</v>
      </c>
      <c r="E56" s="26">
        <f t="array" ref="E56">XLOOKUP($A56,Instagram_interactions_raw!$A$4:$A1000,Instagram_interactions_raw!$B$4:$B1000)</f>
        <v>0</v>
      </c>
      <c r="F56" s="26">
        <f t="array" ref="F56">XLOOKUP($A56,Instagram_reach_raw!$A$4:$A1000,Instagram_reach_raw!$B$4:$B1000)</f>
        <v>1688</v>
      </c>
    </row>
    <row r="57">
      <c r="A57" s="28">
        <f>Instagram_reach_raw!$A59</f>
        <v>45529</v>
      </c>
      <c r="B57" s="29">
        <f>Instagram_interactions_raw!$A59</f>
        <v>45529</v>
      </c>
      <c r="C57" s="26" t="str">
        <f t="shared" si="1"/>
        <v>Instagram</v>
      </c>
      <c r="D57" s="26">
        <f t="array" ref="D57">XLOOKUP($A57,Instagram_follows_raw!$A$4:$A1000,Instagram_follows_raw!$B$4:$B1000)</f>
        <v>3</v>
      </c>
      <c r="E57" s="26">
        <f t="array" ref="E57">XLOOKUP($A57,Instagram_interactions_raw!$A$4:$A1000,Instagram_interactions_raw!$B$4:$B1000)</f>
        <v>0</v>
      </c>
      <c r="F57" s="26">
        <f t="array" ref="F57">XLOOKUP($A57,Instagram_reach_raw!$A$4:$A1000,Instagram_reach_raw!$B$4:$B1000)</f>
        <v>1655</v>
      </c>
    </row>
    <row r="58">
      <c r="A58" s="28">
        <f>Instagram_reach_raw!$A60</f>
        <v>45530</v>
      </c>
      <c r="B58" s="29">
        <f>Instagram_interactions_raw!$A60</f>
        <v>45530</v>
      </c>
      <c r="C58" s="26" t="str">
        <f t="shared" si="1"/>
        <v>Instagram</v>
      </c>
      <c r="D58" s="26">
        <f t="array" ref="D58">XLOOKUP($A58,Instagram_follows_raw!$A$4:$A1000,Instagram_follows_raw!$B$4:$B1000)</f>
        <v>4</v>
      </c>
      <c r="E58" s="26">
        <f t="array" ref="E58">XLOOKUP($A58,Instagram_interactions_raw!$A$4:$A1000,Instagram_interactions_raw!$B$4:$B1000)</f>
        <v>0</v>
      </c>
      <c r="F58" s="26">
        <f t="array" ref="F58">XLOOKUP($A58,Instagram_reach_raw!$A$4:$A1000,Instagram_reach_raw!$B$4:$B1000)</f>
        <v>1735</v>
      </c>
    </row>
    <row r="59">
      <c r="A59" s="28">
        <f>Instagram_reach_raw!$A61</f>
        <v>45531</v>
      </c>
      <c r="B59" s="29">
        <f>Instagram_interactions_raw!$A61</f>
        <v>45531</v>
      </c>
      <c r="C59" s="26" t="str">
        <f t="shared" si="1"/>
        <v>Instagram</v>
      </c>
      <c r="D59" s="26">
        <f t="array" ref="D59">XLOOKUP($A59,Instagram_follows_raw!$A$4:$A1000,Instagram_follows_raw!$B$4:$B1000)</f>
        <v>1</v>
      </c>
      <c r="E59" s="26">
        <f t="array" ref="E59">XLOOKUP($A59,Instagram_interactions_raw!$A$4:$A1000,Instagram_interactions_raw!$B$4:$B1000)</f>
        <v>0</v>
      </c>
      <c r="F59" s="26">
        <f t="array" ref="F59">XLOOKUP($A59,Instagram_reach_raw!$A$4:$A1000,Instagram_reach_raw!$B$4:$B1000)</f>
        <v>1071</v>
      </c>
    </row>
    <row r="60">
      <c r="A60" s="28">
        <f>Instagram_reach_raw!$A62</f>
        <v>45532</v>
      </c>
      <c r="B60" s="29">
        <f>Instagram_interactions_raw!$A62</f>
        <v>45532</v>
      </c>
      <c r="C60" s="26" t="str">
        <f t="shared" si="1"/>
        <v>Instagram</v>
      </c>
      <c r="D60" s="26">
        <f t="array" ref="D60">XLOOKUP($A60,Instagram_follows_raw!$A$4:$A1000,Instagram_follows_raw!$B$4:$B1000)</f>
        <v>3</v>
      </c>
      <c r="E60" s="26">
        <f t="array" ref="E60">XLOOKUP($A60,Instagram_interactions_raw!$A$4:$A1000,Instagram_interactions_raw!$B$4:$B1000)</f>
        <v>0</v>
      </c>
      <c r="F60" s="26">
        <f t="array" ref="F60">XLOOKUP($A60,Instagram_reach_raw!$A$4:$A1000,Instagram_reach_raw!$B$4:$B1000)</f>
        <v>2093</v>
      </c>
    </row>
    <row r="61">
      <c r="A61" s="28">
        <f>Instagram_reach_raw!$A63</f>
        <v>45533</v>
      </c>
      <c r="B61" s="29">
        <f>Instagram_interactions_raw!$A63</f>
        <v>45533</v>
      </c>
      <c r="C61" s="26" t="str">
        <f t="shared" si="1"/>
        <v>Instagram</v>
      </c>
      <c r="D61" s="26">
        <f t="array" ref="D61">XLOOKUP($A61,Instagram_follows_raw!$A$4:$A1000,Instagram_follows_raw!$B$4:$B1000)</f>
        <v>2</v>
      </c>
      <c r="E61" s="26">
        <f t="array" ref="E61">XLOOKUP($A61,Instagram_interactions_raw!$A$4:$A1000,Instagram_interactions_raw!$B$4:$B1000)</f>
        <v>0</v>
      </c>
      <c r="F61" s="26">
        <f t="array" ref="F61">XLOOKUP($A61,Instagram_reach_raw!$A$4:$A1000,Instagram_reach_raw!$B$4:$B1000)</f>
        <v>8922</v>
      </c>
    </row>
    <row r="62">
      <c r="A62" s="28">
        <f>Instagram_reach_raw!$A64</f>
        <v>45534</v>
      </c>
      <c r="B62" s="29">
        <f>Instagram_interactions_raw!$A64</f>
        <v>45534</v>
      </c>
      <c r="C62" s="26" t="str">
        <f t="shared" si="1"/>
        <v>Instagram</v>
      </c>
      <c r="D62" s="26">
        <f t="array" ref="D62">XLOOKUP($A62,Instagram_follows_raw!$A$4:$A1000,Instagram_follows_raw!$B$4:$B1000)</f>
        <v>2</v>
      </c>
      <c r="E62" s="26">
        <f t="array" ref="E62">XLOOKUP($A62,Instagram_interactions_raw!$A$4:$A1000,Instagram_interactions_raw!$B$4:$B1000)</f>
        <v>0</v>
      </c>
      <c r="F62" s="26">
        <f t="array" ref="F62">XLOOKUP($A62,Instagram_reach_raw!$A$4:$A1000,Instagram_reach_raw!$B$4:$B1000)</f>
        <v>2715</v>
      </c>
    </row>
    <row r="63">
      <c r="A63" s="28">
        <f>Instagram_reach_raw!$A65</f>
        <v>45535</v>
      </c>
      <c r="B63" s="29">
        <f>Instagram_interactions_raw!$A65</f>
        <v>45535</v>
      </c>
      <c r="C63" s="26" t="str">
        <f t="shared" si="1"/>
        <v>Instagram</v>
      </c>
      <c r="D63" s="26">
        <f t="array" ref="D63">XLOOKUP($A63,Instagram_follows_raw!$A$4:$A1000,Instagram_follows_raw!$B$4:$B1000)</f>
        <v>2</v>
      </c>
      <c r="E63" s="26">
        <f t="array" ref="E63">XLOOKUP($A63,Instagram_interactions_raw!$A$4:$A1000,Instagram_interactions_raw!$B$4:$B1000)</f>
        <v>0</v>
      </c>
      <c r="F63" s="26">
        <f t="array" ref="F63">XLOOKUP($A63,Instagram_reach_raw!$A$4:$A1000,Instagram_reach_raw!$B$4:$B1000)</f>
        <v>390</v>
      </c>
    </row>
    <row r="64">
      <c r="A64" s="28">
        <f>Instagram_reach_raw!$A66</f>
        <v>45536</v>
      </c>
      <c r="B64" s="29">
        <f>Instagram_interactions_raw!$A66</f>
        <v>45536</v>
      </c>
      <c r="C64" s="26" t="str">
        <f t="shared" si="1"/>
        <v>Instagram</v>
      </c>
      <c r="D64" s="26">
        <f t="array" ref="D64">XLOOKUP($A64,Instagram_follows_raw!$A$4:$A1000,Instagram_follows_raw!$B$4:$B1000)</f>
        <v>2</v>
      </c>
      <c r="E64" s="26">
        <f t="array" ref="E64">XLOOKUP($A64,Instagram_interactions_raw!$A$4:$A1000,Instagram_interactions_raw!$B$4:$B1000)</f>
        <v>0</v>
      </c>
      <c r="F64" s="26">
        <f t="array" ref="F64">XLOOKUP($A64,Instagram_reach_raw!$A$4:$A1000,Instagram_reach_raw!$B$4:$B1000)</f>
        <v>108</v>
      </c>
    </row>
    <row r="65">
      <c r="A65" s="28">
        <f>Instagram_reach_raw!$A67</f>
        <v>45537</v>
      </c>
      <c r="B65" s="29">
        <f>Instagram_interactions_raw!$A67</f>
        <v>45537</v>
      </c>
      <c r="C65" s="26" t="str">
        <f t="shared" si="1"/>
        <v>Instagram</v>
      </c>
      <c r="D65" s="26">
        <f t="array" ref="D65">XLOOKUP($A65,Instagram_follows_raw!$A$4:$A1000,Instagram_follows_raw!$B$4:$B1000)</f>
        <v>1</v>
      </c>
      <c r="E65" s="26">
        <f t="array" ref="E65">XLOOKUP($A65,Instagram_interactions_raw!$A$4:$A1000,Instagram_interactions_raw!$B$4:$B1000)</f>
        <v>0</v>
      </c>
      <c r="F65" s="26">
        <f t="array" ref="F65">XLOOKUP($A65,Instagram_reach_raw!$A$4:$A1000,Instagram_reach_raw!$B$4:$B1000)</f>
        <v>323</v>
      </c>
    </row>
    <row r="66">
      <c r="A66" s="28">
        <f>Instagram_reach_raw!$A68</f>
        <v>45538</v>
      </c>
      <c r="B66" s="29">
        <f>Instagram_interactions_raw!$A68</f>
        <v>45538</v>
      </c>
      <c r="C66" s="26" t="str">
        <f t="shared" si="1"/>
        <v>Instagram</v>
      </c>
      <c r="D66" s="26">
        <f t="array" ref="D66">XLOOKUP($A66,Instagram_follows_raw!$A$4:$A1000,Instagram_follows_raw!$B$4:$B1000)</f>
        <v>2</v>
      </c>
      <c r="E66" s="26">
        <f t="array" ref="E66">XLOOKUP($A66,Instagram_interactions_raw!$A$4:$A1000,Instagram_interactions_raw!$B$4:$B1000)</f>
        <v>0</v>
      </c>
      <c r="F66" s="26">
        <f t="array" ref="F66">XLOOKUP($A66,Instagram_reach_raw!$A$4:$A1000,Instagram_reach_raw!$B$4:$B1000)</f>
        <v>214</v>
      </c>
    </row>
    <row r="67">
      <c r="A67" s="28">
        <f>Instagram_reach_raw!$A69</f>
        <v>45539</v>
      </c>
      <c r="B67" s="29">
        <f>Instagram_interactions_raw!$A69</f>
        <v>45539</v>
      </c>
      <c r="C67" s="26" t="str">
        <f t="shared" si="1"/>
        <v>Instagram</v>
      </c>
      <c r="D67" s="26">
        <f t="array" ref="D67">XLOOKUP($A67,Instagram_follows_raw!$A$4:$A1000,Instagram_follows_raw!$B$4:$B1000)</f>
        <v>1</v>
      </c>
      <c r="E67" s="26">
        <f t="array" ref="E67">XLOOKUP($A67,Instagram_interactions_raw!$A$4:$A1000,Instagram_interactions_raw!$B$4:$B1000)</f>
        <v>0</v>
      </c>
      <c r="F67" s="26">
        <f t="array" ref="F67">XLOOKUP($A67,Instagram_reach_raw!$A$4:$A1000,Instagram_reach_raw!$B$4:$B1000)</f>
        <v>96</v>
      </c>
    </row>
    <row r="68">
      <c r="A68" s="28">
        <f>Instagram_reach_raw!$A70</f>
        <v>45540</v>
      </c>
      <c r="B68" s="29">
        <f>Instagram_interactions_raw!$A70</f>
        <v>45540</v>
      </c>
      <c r="C68" s="26" t="str">
        <f t="shared" si="1"/>
        <v>Instagram</v>
      </c>
      <c r="D68" s="26">
        <f t="array" ref="D68">XLOOKUP($A68,Instagram_follows_raw!$A$4:$A1000,Instagram_follows_raw!$B$4:$B1000)</f>
        <v>6</v>
      </c>
      <c r="E68" s="26">
        <f t="array" ref="E68">XLOOKUP($A68,Instagram_interactions_raw!$A$4:$A1000,Instagram_interactions_raw!$B$4:$B1000)</f>
        <v>0</v>
      </c>
      <c r="F68" s="26">
        <f t="array" ref="F68">XLOOKUP($A68,Instagram_reach_raw!$A$4:$A1000,Instagram_reach_raw!$B$4:$B1000)</f>
        <v>77</v>
      </c>
    </row>
    <row r="69">
      <c r="A69" s="28">
        <f>Instagram_reach_raw!$A71</f>
        <v>45541</v>
      </c>
      <c r="B69" s="29">
        <f>Instagram_interactions_raw!$A71</f>
        <v>45541</v>
      </c>
      <c r="C69" s="26" t="str">
        <f t="shared" si="1"/>
        <v>Instagram</v>
      </c>
      <c r="D69" s="26">
        <f t="array" ref="D69">XLOOKUP($A69,Instagram_follows_raw!$A$4:$A1000,Instagram_follows_raw!$B$4:$B1000)</f>
        <v>4</v>
      </c>
      <c r="E69" s="26">
        <f t="array" ref="E69">XLOOKUP($A69,Instagram_interactions_raw!$A$4:$A1000,Instagram_interactions_raw!$B$4:$B1000)</f>
        <v>0</v>
      </c>
      <c r="F69" s="26">
        <f t="array" ref="F69">XLOOKUP($A69,Instagram_reach_raw!$A$4:$A1000,Instagram_reach_raw!$B$4:$B1000)</f>
        <v>1714</v>
      </c>
    </row>
    <row r="70">
      <c r="A70" s="28">
        <f>Instagram_reach_raw!$A72</f>
        <v>45542</v>
      </c>
      <c r="B70" s="29">
        <f>Instagram_interactions_raw!$A72</f>
        <v>45542</v>
      </c>
      <c r="C70" s="26" t="str">
        <f t="shared" si="1"/>
        <v>Instagram</v>
      </c>
      <c r="D70" s="26">
        <f t="array" ref="D70">XLOOKUP($A70,Instagram_follows_raw!$A$4:$A1000,Instagram_follows_raw!$B$4:$B1000)</f>
        <v>8</v>
      </c>
      <c r="E70" s="26">
        <f t="array" ref="E70">XLOOKUP($A70,Instagram_interactions_raw!$A$4:$A1000,Instagram_interactions_raw!$B$4:$B1000)</f>
        <v>0</v>
      </c>
      <c r="F70" s="26">
        <f t="array" ref="F70">XLOOKUP($A70,Instagram_reach_raw!$A$4:$A1000,Instagram_reach_raw!$B$4:$B1000)</f>
        <v>2847</v>
      </c>
    </row>
    <row r="71">
      <c r="A71" s="28">
        <f>Instagram_reach_raw!$A73</f>
        <v>45543</v>
      </c>
      <c r="B71" s="29">
        <f>Instagram_interactions_raw!$A73</f>
        <v>45543</v>
      </c>
      <c r="C71" s="26" t="str">
        <f t="shared" si="1"/>
        <v>Instagram</v>
      </c>
      <c r="D71" s="26">
        <f t="array" ref="D71">XLOOKUP($A71,Instagram_follows_raw!$A$4:$A1000,Instagram_follows_raw!$B$4:$B1000)</f>
        <v>3</v>
      </c>
      <c r="E71" s="26">
        <f t="array" ref="E71">XLOOKUP($A71,Instagram_interactions_raw!$A$4:$A1000,Instagram_interactions_raw!$B$4:$B1000)</f>
        <v>0</v>
      </c>
      <c r="F71" s="26">
        <f t="array" ref="F71">XLOOKUP($A71,Instagram_reach_raw!$A$4:$A1000,Instagram_reach_raw!$B$4:$B1000)</f>
        <v>1925</v>
      </c>
    </row>
    <row r="72">
      <c r="A72" s="28">
        <f>Instagram_reach_raw!$A74</f>
        <v>45544</v>
      </c>
      <c r="B72" s="29">
        <f>Instagram_interactions_raw!$A74</f>
        <v>45544</v>
      </c>
      <c r="C72" s="26" t="str">
        <f t="shared" si="1"/>
        <v>Instagram</v>
      </c>
      <c r="D72" s="26">
        <f t="array" ref="D72">XLOOKUP($A72,Instagram_follows_raw!$A$4:$A1000,Instagram_follows_raw!$B$4:$B1000)</f>
        <v>7</v>
      </c>
      <c r="E72" s="26">
        <f t="array" ref="E72">XLOOKUP($A72,Instagram_interactions_raw!$A$4:$A1000,Instagram_interactions_raw!$B$4:$B1000)</f>
        <v>0</v>
      </c>
      <c r="F72" s="26">
        <f t="array" ref="F72">XLOOKUP($A72,Instagram_reach_raw!$A$4:$A1000,Instagram_reach_raw!$B$4:$B1000)</f>
        <v>1520</v>
      </c>
    </row>
    <row r="73">
      <c r="A73" s="28">
        <f>Instagram_reach_raw!$A75</f>
        <v>45545</v>
      </c>
      <c r="B73" s="29">
        <f>Instagram_interactions_raw!$A75</f>
        <v>45545</v>
      </c>
      <c r="C73" s="26" t="str">
        <f t="shared" si="1"/>
        <v>Instagram</v>
      </c>
      <c r="D73" s="26">
        <f t="array" ref="D73">XLOOKUP($A73,Instagram_follows_raw!$A$4:$A1000,Instagram_follows_raw!$B$4:$B1000)</f>
        <v>2</v>
      </c>
      <c r="E73" s="26">
        <f t="array" ref="E73">XLOOKUP($A73,Instagram_interactions_raw!$A$4:$A1000,Instagram_interactions_raw!$B$4:$B1000)</f>
        <v>0</v>
      </c>
      <c r="F73" s="26">
        <f t="array" ref="F73">XLOOKUP($A73,Instagram_reach_raw!$A$4:$A1000,Instagram_reach_raw!$B$4:$B1000)</f>
        <v>1448</v>
      </c>
    </row>
    <row r="74">
      <c r="A74" s="28">
        <f>Instagram_reach_raw!$A76</f>
        <v>45546</v>
      </c>
      <c r="B74" s="29">
        <f>Instagram_interactions_raw!$A76</f>
        <v>45546</v>
      </c>
      <c r="C74" s="26" t="str">
        <f t="shared" si="1"/>
        <v>Instagram</v>
      </c>
      <c r="D74" s="26">
        <f t="array" ref="D74">XLOOKUP($A74,Instagram_follows_raw!$A$4:$A1000,Instagram_follows_raw!$B$4:$B1000)</f>
        <v>6</v>
      </c>
      <c r="E74" s="26">
        <f t="array" ref="E74">XLOOKUP($A74,Instagram_interactions_raw!$A$4:$A1000,Instagram_interactions_raw!$B$4:$B1000)</f>
        <v>0</v>
      </c>
      <c r="F74" s="26">
        <f t="array" ref="F74">XLOOKUP($A74,Instagram_reach_raw!$A$4:$A1000,Instagram_reach_raw!$B$4:$B1000)</f>
        <v>1044</v>
      </c>
    </row>
    <row r="75">
      <c r="A75" s="28">
        <f>Instagram_reach_raw!$A77</f>
        <v>45547</v>
      </c>
      <c r="B75" s="29">
        <f>Instagram_interactions_raw!$A77</f>
        <v>45547</v>
      </c>
      <c r="C75" s="26" t="str">
        <f t="shared" si="1"/>
        <v>Instagram</v>
      </c>
      <c r="D75" s="26">
        <f t="array" ref="D75">XLOOKUP($A75,Instagram_follows_raw!$A$4:$A1000,Instagram_follows_raw!$B$4:$B1000)</f>
        <v>3</v>
      </c>
      <c r="E75" s="26">
        <f t="array" ref="E75">XLOOKUP($A75,Instagram_interactions_raw!$A$4:$A1000,Instagram_interactions_raw!$B$4:$B1000)</f>
        <v>0</v>
      </c>
      <c r="F75" s="26">
        <f t="array" ref="F75">XLOOKUP($A75,Instagram_reach_raw!$A$4:$A1000,Instagram_reach_raw!$B$4:$B1000)</f>
        <v>759</v>
      </c>
    </row>
    <row r="76">
      <c r="A76" s="28">
        <f>Instagram_reach_raw!$A78</f>
        <v>45548</v>
      </c>
      <c r="B76" s="29">
        <f>Instagram_interactions_raw!$A78</f>
        <v>45548</v>
      </c>
      <c r="C76" s="26" t="str">
        <f t="shared" si="1"/>
        <v>Instagram</v>
      </c>
      <c r="D76" s="26">
        <f t="array" ref="D76">XLOOKUP($A76,Instagram_follows_raw!$A$4:$A1000,Instagram_follows_raw!$B$4:$B1000)</f>
        <v>1</v>
      </c>
      <c r="E76" s="26">
        <f t="array" ref="E76">XLOOKUP($A76,Instagram_interactions_raw!$A$4:$A1000,Instagram_interactions_raw!$B$4:$B1000)</f>
        <v>0</v>
      </c>
      <c r="F76" s="26">
        <f t="array" ref="F76">XLOOKUP($A76,Instagram_reach_raw!$A$4:$A1000,Instagram_reach_raw!$B$4:$B1000)</f>
        <v>931</v>
      </c>
    </row>
    <row r="77">
      <c r="A77" s="28">
        <f>Instagram_reach_raw!$A79</f>
        <v>45549</v>
      </c>
      <c r="B77" s="29">
        <f>Instagram_interactions_raw!$A79</f>
        <v>45549</v>
      </c>
      <c r="C77" s="26" t="str">
        <f t="shared" si="1"/>
        <v>Instagram</v>
      </c>
      <c r="D77" s="26">
        <f t="array" ref="D77">XLOOKUP($A77,Instagram_follows_raw!$A$4:$A1000,Instagram_follows_raw!$B$4:$B1000)</f>
        <v>2</v>
      </c>
      <c r="E77" s="26">
        <f t="array" ref="E77">XLOOKUP($A77,Instagram_interactions_raw!$A$4:$A1000,Instagram_interactions_raw!$B$4:$B1000)</f>
        <v>0</v>
      </c>
      <c r="F77" s="26">
        <f t="array" ref="F77">XLOOKUP($A77,Instagram_reach_raw!$A$4:$A1000,Instagram_reach_raw!$B$4:$B1000)</f>
        <v>794</v>
      </c>
    </row>
    <row r="78">
      <c r="A78" s="28">
        <f>Instagram_reach_raw!$A80</f>
        <v>45550</v>
      </c>
      <c r="B78" s="29">
        <f>Instagram_interactions_raw!$A80</f>
        <v>45550</v>
      </c>
      <c r="C78" s="26" t="str">
        <f t="shared" si="1"/>
        <v>Instagram</v>
      </c>
      <c r="D78" s="26">
        <f t="array" ref="D78">XLOOKUP($A78,Instagram_follows_raw!$A$4:$A1000,Instagram_follows_raw!$B$4:$B1000)</f>
        <v>2</v>
      </c>
      <c r="E78" s="26">
        <f t="array" ref="E78">XLOOKUP($A78,Instagram_interactions_raw!$A$4:$A1000,Instagram_interactions_raw!$B$4:$B1000)</f>
        <v>0</v>
      </c>
      <c r="F78" s="26">
        <f t="array" ref="F78">XLOOKUP($A78,Instagram_reach_raw!$A$4:$A1000,Instagram_reach_raw!$B$4:$B1000)</f>
        <v>703</v>
      </c>
    </row>
    <row r="79">
      <c r="A79" s="28">
        <f>Instagram_reach_raw!$A81</f>
        <v>45551</v>
      </c>
      <c r="B79" s="29">
        <f>Instagram_interactions_raw!$A81</f>
        <v>45551</v>
      </c>
      <c r="C79" s="26" t="str">
        <f t="shared" si="1"/>
        <v>Instagram</v>
      </c>
      <c r="D79" s="26">
        <f t="array" ref="D79">XLOOKUP($A79,Instagram_follows_raw!$A$4:$A1000,Instagram_follows_raw!$B$4:$B1000)</f>
        <v>7</v>
      </c>
      <c r="E79" s="26">
        <f t="array" ref="E79">XLOOKUP($A79,Instagram_interactions_raw!$A$4:$A1000,Instagram_interactions_raw!$B$4:$B1000)</f>
        <v>0</v>
      </c>
      <c r="F79" s="26">
        <f t="array" ref="F79">XLOOKUP($A79,Instagram_reach_raw!$A$4:$A1000,Instagram_reach_raw!$B$4:$B1000)</f>
        <v>1021</v>
      </c>
    </row>
    <row r="80">
      <c r="A80" s="28">
        <f>Instagram_reach_raw!$A82</f>
        <v>45552</v>
      </c>
      <c r="B80" s="29">
        <f>Instagram_interactions_raw!$A82</f>
        <v>45552</v>
      </c>
      <c r="C80" s="26" t="str">
        <f t="shared" si="1"/>
        <v>Instagram</v>
      </c>
      <c r="D80" s="26">
        <f t="array" ref="D80">XLOOKUP($A80,Instagram_follows_raw!$A$4:$A1000,Instagram_follows_raw!$B$4:$B1000)</f>
        <v>3</v>
      </c>
      <c r="E80" s="26">
        <f t="array" ref="E80">XLOOKUP($A80,Instagram_interactions_raw!$A$4:$A1000,Instagram_interactions_raw!$B$4:$B1000)</f>
        <v>0</v>
      </c>
      <c r="F80" s="26">
        <f t="array" ref="F80">XLOOKUP($A80,Instagram_reach_raw!$A$4:$A1000,Instagram_reach_raw!$B$4:$B1000)</f>
        <v>1867</v>
      </c>
    </row>
    <row r="81">
      <c r="A81" s="28">
        <f>Instagram_reach_raw!$A83</f>
        <v>45553</v>
      </c>
      <c r="B81" s="29">
        <f>Instagram_interactions_raw!$A83</f>
        <v>45553</v>
      </c>
      <c r="C81" s="26" t="str">
        <f t="shared" si="1"/>
        <v>Instagram</v>
      </c>
      <c r="D81" s="26">
        <f t="array" ref="D81">XLOOKUP($A81,Instagram_follows_raw!$A$4:$A1000,Instagram_follows_raw!$B$4:$B1000)</f>
        <v>2</v>
      </c>
      <c r="E81" s="26">
        <f t="array" ref="E81">XLOOKUP($A81,Instagram_interactions_raw!$A$4:$A1000,Instagram_interactions_raw!$B$4:$B1000)</f>
        <v>0</v>
      </c>
      <c r="F81" s="26">
        <f t="array" ref="F81">XLOOKUP($A81,Instagram_reach_raw!$A$4:$A1000,Instagram_reach_raw!$B$4:$B1000)</f>
        <v>2264</v>
      </c>
    </row>
    <row r="82">
      <c r="A82" s="28">
        <f>Instagram_reach_raw!$A84</f>
        <v>45554</v>
      </c>
      <c r="B82" s="29">
        <f>Instagram_interactions_raw!$A84</f>
        <v>45554</v>
      </c>
      <c r="C82" s="26" t="str">
        <f t="shared" si="1"/>
        <v>Instagram</v>
      </c>
      <c r="D82" s="26">
        <f t="array" ref="D82">XLOOKUP($A82,Instagram_follows_raw!$A$4:$A1000,Instagram_follows_raw!$B$4:$B1000)</f>
        <v>3</v>
      </c>
      <c r="E82" s="26">
        <f t="array" ref="E82">XLOOKUP($A82,Instagram_interactions_raw!$A$4:$A1000,Instagram_interactions_raw!$B$4:$B1000)</f>
        <v>0</v>
      </c>
      <c r="F82" s="26">
        <f t="array" ref="F82">XLOOKUP($A82,Instagram_reach_raw!$A$4:$A1000,Instagram_reach_raw!$B$4:$B1000)</f>
        <v>4569</v>
      </c>
    </row>
    <row r="83">
      <c r="A83" s="28">
        <f>Instagram_reach_raw!$A85</f>
        <v>45555</v>
      </c>
      <c r="B83" s="29">
        <f>Instagram_interactions_raw!$A85</f>
        <v>45555</v>
      </c>
      <c r="C83" s="26" t="str">
        <f t="shared" si="1"/>
        <v>Instagram</v>
      </c>
      <c r="D83" s="26">
        <f t="array" ref="D83">XLOOKUP($A83,Instagram_follows_raw!$A$4:$A1000,Instagram_follows_raw!$B$4:$B1000)</f>
        <v>3</v>
      </c>
      <c r="E83" s="26">
        <f t="array" ref="E83">XLOOKUP($A83,Instagram_interactions_raw!$A$4:$A1000,Instagram_interactions_raw!$B$4:$B1000)</f>
        <v>0</v>
      </c>
      <c r="F83" s="26">
        <f t="array" ref="F83">XLOOKUP($A83,Instagram_reach_raw!$A$4:$A1000,Instagram_reach_raw!$B$4:$B1000)</f>
        <v>7893</v>
      </c>
    </row>
    <row r="84">
      <c r="A84" s="28">
        <f>Instagram_reach_raw!$A86</f>
        <v>45556</v>
      </c>
      <c r="B84" s="29">
        <f>Instagram_interactions_raw!$A86</f>
        <v>45556</v>
      </c>
      <c r="C84" s="26" t="str">
        <f t="shared" si="1"/>
        <v>Instagram</v>
      </c>
      <c r="D84" s="26">
        <f t="array" ref="D84">XLOOKUP($A84,Instagram_follows_raw!$A$4:$A1000,Instagram_follows_raw!$B$4:$B1000)</f>
        <v>3</v>
      </c>
      <c r="E84" s="26">
        <f t="array" ref="E84">XLOOKUP($A84,Instagram_interactions_raw!$A$4:$A1000,Instagram_interactions_raw!$B$4:$B1000)</f>
        <v>0</v>
      </c>
      <c r="F84" s="26">
        <f t="array" ref="F84">XLOOKUP($A84,Instagram_reach_raw!$A$4:$A1000,Instagram_reach_raw!$B$4:$B1000)</f>
        <v>8049</v>
      </c>
    </row>
    <row r="85">
      <c r="A85" s="28">
        <f>Instagram_reach_raw!$A87</f>
        <v>45557</v>
      </c>
      <c r="B85" s="29">
        <f>Instagram_interactions_raw!$A87</f>
        <v>45557</v>
      </c>
      <c r="C85" s="26" t="str">
        <f t="shared" si="1"/>
        <v>Instagram</v>
      </c>
      <c r="D85" s="26">
        <f t="array" ref="D85">XLOOKUP($A85,Instagram_follows_raw!$A$4:$A1000,Instagram_follows_raw!$B$4:$B1000)</f>
        <v>8</v>
      </c>
      <c r="E85" s="26">
        <f t="array" ref="E85">XLOOKUP($A85,Instagram_interactions_raw!$A$4:$A1000,Instagram_interactions_raw!$B$4:$B1000)</f>
        <v>0</v>
      </c>
      <c r="F85" s="26">
        <f t="array" ref="F85">XLOOKUP($A85,Instagram_reach_raw!$A$4:$A1000,Instagram_reach_raw!$B$4:$B1000)</f>
        <v>8146</v>
      </c>
    </row>
    <row r="86">
      <c r="A86" s="28">
        <f>Instagram_reach_raw!$A88</f>
        <v>45558</v>
      </c>
      <c r="B86" s="29">
        <f>Instagram_interactions_raw!$A88</f>
        <v>45558</v>
      </c>
      <c r="C86" s="26" t="str">
        <f t="shared" si="1"/>
        <v>Instagram</v>
      </c>
      <c r="D86" s="26">
        <f t="array" ref="D86">XLOOKUP($A86,Instagram_follows_raw!$A$4:$A1000,Instagram_follows_raw!$B$4:$B1000)</f>
        <v>2</v>
      </c>
      <c r="E86" s="26">
        <f t="array" ref="E86">XLOOKUP($A86,Instagram_interactions_raw!$A$4:$A1000,Instagram_interactions_raw!$B$4:$B1000)</f>
        <v>0</v>
      </c>
      <c r="F86" s="26">
        <f t="array" ref="F86">XLOOKUP($A86,Instagram_reach_raw!$A$4:$A1000,Instagram_reach_raw!$B$4:$B1000)</f>
        <v>5438</v>
      </c>
    </row>
    <row r="87">
      <c r="A87" s="28">
        <f>Instagram_reach_raw!$A89</f>
        <v>45559</v>
      </c>
      <c r="B87" s="29">
        <f>Instagram_interactions_raw!$A89</f>
        <v>45559</v>
      </c>
      <c r="C87" s="26" t="str">
        <f t="shared" si="1"/>
        <v>Instagram</v>
      </c>
      <c r="D87" s="26">
        <f t="array" ref="D87">XLOOKUP($A87,Instagram_follows_raw!$A$4:$A1000,Instagram_follows_raw!$B$4:$B1000)</f>
        <v>3</v>
      </c>
      <c r="E87" s="26">
        <f t="array" ref="E87">XLOOKUP($A87,Instagram_interactions_raw!$A$4:$A1000,Instagram_interactions_raw!$B$4:$B1000)</f>
        <v>0</v>
      </c>
      <c r="F87" s="26">
        <f t="array" ref="F87">XLOOKUP($A87,Instagram_reach_raw!$A$4:$A1000,Instagram_reach_raw!$B$4:$B1000)</f>
        <v>3732</v>
      </c>
    </row>
    <row r="88">
      <c r="A88" s="28">
        <f>Instagram_reach_raw!$A90</f>
        <v>45560</v>
      </c>
      <c r="B88" s="29">
        <f>Instagram_interactions_raw!$A90</f>
        <v>45560</v>
      </c>
      <c r="C88" s="26" t="str">
        <f t="shared" si="1"/>
        <v>Instagram</v>
      </c>
      <c r="D88" s="26">
        <f t="array" ref="D88">XLOOKUP($A88,Instagram_follows_raw!$A$4:$A1000,Instagram_follows_raw!$B$4:$B1000)</f>
        <v>5</v>
      </c>
      <c r="E88" s="26">
        <f t="array" ref="E88">XLOOKUP($A88,Instagram_interactions_raw!$A$4:$A1000,Instagram_interactions_raw!$B$4:$B1000)</f>
        <v>0</v>
      </c>
      <c r="F88" s="26">
        <f t="array" ref="F88">XLOOKUP($A88,Instagram_reach_raw!$A$4:$A1000,Instagram_reach_raw!$B$4:$B1000)</f>
        <v>3873</v>
      </c>
    </row>
    <row r="89">
      <c r="A89" s="28">
        <f>Instagram_reach_raw!$A91</f>
        <v>45561</v>
      </c>
      <c r="B89" s="29">
        <f>Instagram_interactions_raw!$A91</f>
        <v>45561</v>
      </c>
      <c r="C89" s="26" t="str">
        <f t="shared" si="1"/>
        <v>Instagram</v>
      </c>
      <c r="D89" s="26">
        <f t="array" ref="D89">XLOOKUP($A89,Instagram_follows_raw!$A$4:$A1000,Instagram_follows_raw!$B$4:$B1000)</f>
        <v>5</v>
      </c>
      <c r="E89" s="26">
        <f t="array" ref="E89">XLOOKUP($A89,Instagram_interactions_raw!$A$4:$A1000,Instagram_interactions_raw!$B$4:$B1000)</f>
        <v>0</v>
      </c>
      <c r="F89" s="26">
        <f t="array" ref="F89">XLOOKUP($A89,Instagram_reach_raw!$A$4:$A1000,Instagram_reach_raw!$B$4:$B1000)</f>
        <v>3601</v>
      </c>
    </row>
    <row r="90">
      <c r="A90" s="28">
        <f>Instagram_reach_raw!$A92</f>
        <v>45562</v>
      </c>
      <c r="B90" s="29">
        <f>Instagram_interactions_raw!$A92</f>
        <v>45562</v>
      </c>
      <c r="C90" s="26" t="str">
        <f t="shared" si="1"/>
        <v>Instagram</v>
      </c>
      <c r="D90" s="26">
        <f t="array" ref="D90">XLOOKUP($A90,Instagram_follows_raw!$A$4:$A1000,Instagram_follows_raw!$B$4:$B1000)</f>
        <v>1</v>
      </c>
      <c r="E90" s="26">
        <f t="array" ref="E90">XLOOKUP($A90,Instagram_interactions_raw!$A$4:$A1000,Instagram_interactions_raw!$B$4:$B1000)</f>
        <v>0</v>
      </c>
      <c r="F90" s="26">
        <f t="array" ref="F90">XLOOKUP($A90,Instagram_reach_raw!$A$4:$A1000,Instagram_reach_raw!$B$4:$B1000)</f>
        <v>4283</v>
      </c>
    </row>
    <row r="91">
      <c r="A91" s="28">
        <f>Instagram_reach_raw!$A93</f>
        <v>45563</v>
      </c>
      <c r="B91" s="29">
        <f>Instagram_interactions_raw!$A93</f>
        <v>45563</v>
      </c>
      <c r="C91" s="26" t="str">
        <f t="shared" si="1"/>
        <v>Instagram</v>
      </c>
      <c r="D91" s="26">
        <f t="array" ref="D91">XLOOKUP($A91,Instagram_follows_raw!$A$4:$A1000,Instagram_follows_raw!$B$4:$B1000)</f>
        <v>1</v>
      </c>
      <c r="E91" s="26">
        <f t="array" ref="E91">XLOOKUP($A91,Instagram_interactions_raw!$A$4:$A1000,Instagram_interactions_raw!$B$4:$B1000)</f>
        <v>0</v>
      </c>
      <c r="F91" s="26">
        <f t="array" ref="F91">XLOOKUP($A91,Instagram_reach_raw!$A$4:$A1000,Instagram_reach_raw!$B$4:$B1000)</f>
        <v>4243</v>
      </c>
    </row>
    <row r="92">
      <c r="A92" s="28">
        <f>Instagram_reach_raw!$A94</f>
        <v>45564</v>
      </c>
      <c r="B92" s="29">
        <f>Instagram_interactions_raw!$A94</f>
        <v>45564</v>
      </c>
      <c r="C92" s="26" t="str">
        <f t="shared" si="1"/>
        <v>Instagram</v>
      </c>
      <c r="D92" s="26">
        <f t="array" ref="D92">XLOOKUP($A92,Instagram_follows_raw!$A$4:$A1000,Instagram_follows_raw!$B$4:$B1000)</f>
        <v>3</v>
      </c>
      <c r="E92" s="26">
        <f t="array" ref="E92">XLOOKUP($A92,Instagram_interactions_raw!$A$4:$A1000,Instagram_interactions_raw!$B$4:$B1000)</f>
        <v>0</v>
      </c>
      <c r="F92" s="26">
        <f t="array" ref="F92">XLOOKUP($A92,Instagram_reach_raw!$A$4:$A1000,Instagram_reach_raw!$B$4:$B1000)</f>
        <v>4142</v>
      </c>
    </row>
    <row r="93">
      <c r="A93" s="28">
        <f>Instagram_reach_raw!$A95</f>
        <v>45565</v>
      </c>
      <c r="B93" s="29">
        <f>Instagram_interactions_raw!$A95</f>
        <v>45565</v>
      </c>
      <c r="C93" s="26" t="str">
        <f t="shared" si="1"/>
        <v>Instagram</v>
      </c>
      <c r="D93" s="26">
        <f t="array" ref="D93">XLOOKUP($A93,Instagram_follows_raw!$A$4:$A1000,Instagram_follows_raw!$B$4:$B1000)</f>
        <v>1</v>
      </c>
      <c r="E93" s="26">
        <f t="array" ref="E93">XLOOKUP($A93,Instagram_interactions_raw!$A$4:$A1000,Instagram_interactions_raw!$B$4:$B1000)</f>
        <v>0</v>
      </c>
      <c r="F93" s="26">
        <f t="array" ref="F93">XLOOKUP($A93,Instagram_reach_raw!$A$4:$A1000,Instagram_reach_raw!$B$4:$B1000)</f>
        <v>4827</v>
      </c>
    </row>
    <row r="94">
      <c r="A94" s="28">
        <f>Instagram_reach_raw!$A96</f>
        <v>45566</v>
      </c>
      <c r="B94" s="29">
        <f>Instagram_interactions_raw!$A96</f>
        <v>45566</v>
      </c>
      <c r="C94" s="26" t="str">
        <f t="shared" si="1"/>
        <v>Instagram</v>
      </c>
      <c r="D94" s="26">
        <f t="array" ref="D94">XLOOKUP($A94,Instagram_follows_raw!$A$4:$A1000,Instagram_follows_raw!$B$4:$B1000)</f>
        <v>4</v>
      </c>
      <c r="E94" s="26">
        <f t="array" ref="E94">XLOOKUP($A94,Instagram_interactions_raw!$A$4:$A1000,Instagram_interactions_raw!$B$4:$B1000)</f>
        <v>0</v>
      </c>
      <c r="F94" s="26">
        <f t="array" ref="F94">XLOOKUP($A94,Instagram_reach_raw!$A$4:$A1000,Instagram_reach_raw!$B$4:$B1000)</f>
        <v>4469</v>
      </c>
    </row>
    <row r="95">
      <c r="A95" s="28">
        <f>Instagram_reach_raw!$A97</f>
        <v>45567</v>
      </c>
      <c r="B95" s="29">
        <f>Instagram_interactions_raw!$A97</f>
        <v>45567</v>
      </c>
      <c r="C95" s="26" t="str">
        <f t="shared" si="1"/>
        <v>Instagram</v>
      </c>
      <c r="D95" s="26">
        <f t="array" ref="D95">XLOOKUP($A95,Instagram_follows_raw!$A$4:$A1000,Instagram_follows_raw!$B$4:$B1000)</f>
        <v>3</v>
      </c>
      <c r="E95" s="26">
        <f t="array" ref="E95">XLOOKUP($A95,Instagram_interactions_raw!$A$4:$A1000,Instagram_interactions_raw!$B$4:$B1000)</f>
        <v>0</v>
      </c>
      <c r="F95" s="26">
        <f t="array" ref="F95">XLOOKUP($A95,Instagram_reach_raw!$A$4:$A1000,Instagram_reach_raw!$B$4:$B1000)</f>
        <v>5673</v>
      </c>
    </row>
    <row r="96">
      <c r="A96" s="28">
        <f>Instagram_reach_raw!$A98</f>
        <v>45568</v>
      </c>
      <c r="B96" s="29">
        <f>Instagram_interactions_raw!$A98</f>
        <v>45568</v>
      </c>
      <c r="C96" s="26" t="str">
        <f t="shared" si="1"/>
        <v>Instagram</v>
      </c>
      <c r="D96" s="26">
        <f t="array" ref="D96">XLOOKUP($A96,Instagram_follows_raw!$A$4:$A1000,Instagram_follows_raw!$B$4:$B1000)</f>
        <v>4</v>
      </c>
      <c r="E96" s="26">
        <f t="array" ref="E96">XLOOKUP($A96,Instagram_interactions_raw!$A$4:$A1000,Instagram_interactions_raw!$B$4:$B1000)</f>
        <v>0</v>
      </c>
      <c r="F96" s="26">
        <f t="array" ref="F96">XLOOKUP($A96,Instagram_reach_raw!$A$4:$A1000,Instagram_reach_raw!$B$4:$B1000)</f>
        <v>21015</v>
      </c>
    </row>
    <row r="97">
      <c r="A97" s="28">
        <f>Instagram_reach_raw!$A99</f>
        <v>45569</v>
      </c>
      <c r="B97" s="29">
        <f>Instagram_interactions_raw!$A99</f>
        <v>45569</v>
      </c>
      <c r="C97" s="26" t="str">
        <f t="shared" si="1"/>
        <v>Instagram</v>
      </c>
      <c r="D97" s="26">
        <f t="array" ref="D97">XLOOKUP($A97,Instagram_follows_raw!$A$4:$A1000,Instagram_follows_raw!$B$4:$B1000)</f>
        <v>4</v>
      </c>
      <c r="E97" s="26">
        <f t="array" ref="E97">XLOOKUP($A97,Instagram_interactions_raw!$A$4:$A1000,Instagram_interactions_raw!$B$4:$B1000)</f>
        <v>0</v>
      </c>
      <c r="F97" s="26">
        <f t="array" ref="F97">XLOOKUP($A97,Instagram_reach_raw!$A$4:$A1000,Instagram_reach_raw!$B$4:$B1000)</f>
        <v>55005</v>
      </c>
    </row>
    <row r="98">
      <c r="A98" s="28">
        <f>Instagram_reach_raw!$A100</f>
        <v>45570</v>
      </c>
      <c r="B98" s="29">
        <f>Instagram_interactions_raw!$A100</f>
        <v>45570</v>
      </c>
      <c r="C98" s="26" t="str">
        <f t="shared" si="1"/>
        <v>Instagram</v>
      </c>
      <c r="D98" s="26">
        <f t="array" ref="D98">XLOOKUP($A98,Instagram_follows_raw!$A$4:$A1000,Instagram_follows_raw!$B$4:$B1000)</f>
        <v>4</v>
      </c>
      <c r="E98" s="26">
        <f t="array" ref="E98">XLOOKUP($A98,Instagram_interactions_raw!$A$4:$A1000,Instagram_interactions_raw!$B$4:$B1000)</f>
        <v>0</v>
      </c>
      <c r="F98" s="26">
        <f t="array" ref="F98">XLOOKUP($A98,Instagram_reach_raw!$A$4:$A1000,Instagram_reach_raw!$B$4:$B1000)</f>
        <v>1518</v>
      </c>
    </row>
    <row r="99">
      <c r="A99" s="28">
        <f>Instagram_reach_raw!$A101</f>
        <v>45571</v>
      </c>
      <c r="B99" s="29">
        <f>Instagram_interactions_raw!$A101</f>
        <v>45571</v>
      </c>
      <c r="C99" s="26" t="str">
        <f t="shared" si="1"/>
        <v>Instagram</v>
      </c>
      <c r="D99" s="26">
        <f t="array" ref="D99">XLOOKUP($A99,Instagram_follows_raw!$A$4:$A1000,Instagram_follows_raw!$B$4:$B1000)</f>
        <v>7</v>
      </c>
      <c r="E99" s="26">
        <f t="array" ref="E99">XLOOKUP($A99,Instagram_interactions_raw!$A$4:$A1000,Instagram_interactions_raw!$B$4:$B1000)</f>
        <v>0</v>
      </c>
      <c r="F99" s="26">
        <f t="array" ref="F99">XLOOKUP($A99,Instagram_reach_raw!$A$4:$A1000,Instagram_reach_raw!$B$4:$B1000)</f>
        <v>355</v>
      </c>
    </row>
    <row r="100">
      <c r="A100" s="28">
        <f>Instagram_reach_raw!$A102</f>
        <v>45572</v>
      </c>
      <c r="B100" s="29">
        <f>Instagram_interactions_raw!$A102</f>
        <v>45572</v>
      </c>
      <c r="C100" s="26" t="str">
        <f t="shared" si="1"/>
        <v>Instagram</v>
      </c>
      <c r="D100" s="26">
        <f t="array" ref="D100">XLOOKUP($A100,Instagram_follows_raw!$A$4:$A1000,Instagram_follows_raw!$B$4:$B1000)</f>
        <v>2</v>
      </c>
      <c r="E100" s="26">
        <f t="array" ref="E100">XLOOKUP($A100,Instagram_interactions_raw!$A$4:$A1000,Instagram_interactions_raw!$B$4:$B1000)</f>
        <v>0</v>
      </c>
      <c r="F100" s="26">
        <f t="array" ref="F100">XLOOKUP($A100,Instagram_reach_raw!$A$4:$A1000,Instagram_reach_raw!$B$4:$B1000)</f>
        <v>275</v>
      </c>
    </row>
    <row r="101">
      <c r="A101" s="28">
        <f>Instagram_reach_raw!$A103</f>
        <v>45573</v>
      </c>
      <c r="B101" s="29">
        <f>Instagram_interactions_raw!$A103</f>
        <v>45573</v>
      </c>
      <c r="C101" s="26" t="str">
        <f t="shared" si="1"/>
        <v>Instagram</v>
      </c>
      <c r="D101" s="26">
        <f t="array" ref="D101">XLOOKUP($A101,Instagram_follows_raw!$A$4:$A1000,Instagram_follows_raw!$B$4:$B1000)</f>
        <v>2</v>
      </c>
      <c r="E101" s="26">
        <f t="array" ref="E101">XLOOKUP($A101,Instagram_interactions_raw!$A$4:$A1000,Instagram_interactions_raw!$B$4:$B1000)</f>
        <v>0</v>
      </c>
      <c r="F101" s="26">
        <f t="array" ref="F101">XLOOKUP($A101,Instagram_reach_raw!$A$4:$A1000,Instagram_reach_raw!$B$4:$B1000)</f>
        <v>391</v>
      </c>
    </row>
    <row r="102">
      <c r="A102" s="28">
        <f>Instagram_reach_raw!$A104</f>
        <v>45574</v>
      </c>
      <c r="B102" s="29">
        <f>Instagram_interactions_raw!$A104</f>
        <v>45574</v>
      </c>
      <c r="C102" s="26" t="str">
        <f t="shared" si="1"/>
        <v>Instagram</v>
      </c>
      <c r="D102" s="26">
        <f t="array" ref="D102">XLOOKUP($A102,Instagram_follows_raw!$A$4:$A1000,Instagram_follows_raw!$B$4:$B1000)</f>
        <v>2</v>
      </c>
      <c r="E102" s="26">
        <f t="array" ref="E102">XLOOKUP($A102,Instagram_interactions_raw!$A$4:$A1000,Instagram_interactions_raw!$B$4:$B1000)</f>
        <v>0</v>
      </c>
      <c r="F102" s="26">
        <f t="array" ref="F102">XLOOKUP($A102,Instagram_reach_raw!$A$4:$A1000,Instagram_reach_raw!$B$4:$B1000)</f>
        <v>654</v>
      </c>
    </row>
    <row r="103">
      <c r="A103" s="28">
        <f>Instagram_reach_raw!$A105</f>
        <v>45575</v>
      </c>
      <c r="B103" s="29">
        <f>Instagram_interactions_raw!$A105</f>
        <v>45575</v>
      </c>
      <c r="C103" s="26" t="str">
        <f t="shared" si="1"/>
        <v>Instagram</v>
      </c>
      <c r="D103" s="26">
        <f t="array" ref="D103">XLOOKUP($A103,Instagram_follows_raw!$A$4:$A1000,Instagram_follows_raw!$B$4:$B1000)</f>
        <v>2</v>
      </c>
      <c r="E103" s="26">
        <f t="array" ref="E103">XLOOKUP($A103,Instagram_interactions_raw!$A$4:$A1000,Instagram_interactions_raw!$B$4:$B1000)</f>
        <v>0</v>
      </c>
      <c r="F103" s="26">
        <f t="array" ref="F103">XLOOKUP($A103,Instagram_reach_raw!$A$4:$A1000,Instagram_reach_raw!$B$4:$B1000)</f>
        <v>507</v>
      </c>
    </row>
    <row r="104">
      <c r="A104" s="28">
        <f>Instagram_reach_raw!$A106</f>
        <v>45576</v>
      </c>
      <c r="B104" s="29">
        <f>Instagram_interactions_raw!$A106</f>
        <v>45576</v>
      </c>
      <c r="C104" s="26" t="str">
        <f t="shared" si="1"/>
        <v>Instagram</v>
      </c>
      <c r="D104" s="26">
        <f t="array" ref="D104">XLOOKUP($A104,Instagram_follows_raw!$A$4:$A1000,Instagram_follows_raw!$B$4:$B1000)</f>
        <v>2</v>
      </c>
      <c r="E104" s="26">
        <f t="array" ref="E104">XLOOKUP($A104,Instagram_interactions_raw!$A$4:$A1000,Instagram_interactions_raw!$B$4:$B1000)</f>
        <v>0</v>
      </c>
      <c r="F104" s="26">
        <f t="array" ref="F104">XLOOKUP($A104,Instagram_reach_raw!$A$4:$A1000,Instagram_reach_raw!$B$4:$B1000)</f>
        <v>456</v>
      </c>
    </row>
    <row r="105">
      <c r="A105" s="28">
        <f>Instagram_reach_raw!$A107</f>
        <v>45577</v>
      </c>
      <c r="B105" s="29">
        <f>Instagram_interactions_raw!$A107</f>
        <v>45577</v>
      </c>
      <c r="C105" s="26" t="str">
        <f t="shared" si="1"/>
        <v>Instagram</v>
      </c>
      <c r="D105" s="26">
        <f t="array" ref="D105">XLOOKUP($A105,Instagram_follows_raw!$A$4:$A1000,Instagram_follows_raw!$B$4:$B1000)</f>
        <v>1</v>
      </c>
      <c r="E105" s="26">
        <f t="array" ref="E105">XLOOKUP($A105,Instagram_interactions_raw!$A$4:$A1000,Instagram_interactions_raw!$B$4:$B1000)</f>
        <v>0</v>
      </c>
      <c r="F105" s="26">
        <f t="array" ref="F105">XLOOKUP($A105,Instagram_reach_raw!$A$4:$A1000,Instagram_reach_raw!$B$4:$B1000)</f>
        <v>326</v>
      </c>
    </row>
    <row r="106">
      <c r="A106" s="28">
        <f>Instagram_reach_raw!$A108</f>
        <v>45578</v>
      </c>
      <c r="B106" s="29">
        <f>Instagram_interactions_raw!$A108</f>
        <v>45578</v>
      </c>
      <c r="C106" s="26" t="str">
        <f t="shared" si="1"/>
        <v>Instagram</v>
      </c>
      <c r="D106" s="26">
        <f t="array" ref="D106">XLOOKUP($A106,Instagram_follows_raw!$A$4:$A1000,Instagram_follows_raw!$B$4:$B1000)</f>
        <v>5</v>
      </c>
      <c r="E106" s="26">
        <f t="array" ref="E106">XLOOKUP($A106,Instagram_interactions_raw!$A$4:$A1000,Instagram_interactions_raw!$B$4:$B1000)</f>
        <v>0</v>
      </c>
      <c r="F106" s="26">
        <f t="array" ref="F106">XLOOKUP($A106,Instagram_reach_raw!$A$4:$A1000,Instagram_reach_raw!$B$4:$B1000)</f>
        <v>140</v>
      </c>
    </row>
    <row r="107">
      <c r="A107" s="28">
        <f>Instagram_reach_raw!$A109</f>
        <v>45579</v>
      </c>
      <c r="B107" s="29">
        <f>Instagram_interactions_raw!$A109</f>
        <v>45579</v>
      </c>
      <c r="C107" s="26" t="str">
        <f t="shared" si="1"/>
        <v>Instagram</v>
      </c>
      <c r="D107" s="26">
        <f t="array" ref="D107">XLOOKUP($A107,Instagram_follows_raw!$A$4:$A1000,Instagram_follows_raw!$B$4:$B1000)</f>
        <v>2</v>
      </c>
      <c r="E107" s="26">
        <f t="array" ref="E107">XLOOKUP($A107,Instagram_interactions_raw!$A$4:$A1000,Instagram_interactions_raw!$B$4:$B1000)</f>
        <v>0</v>
      </c>
      <c r="F107" s="26">
        <f t="array" ref="F107">XLOOKUP($A107,Instagram_reach_raw!$A$4:$A1000,Instagram_reach_raw!$B$4:$B1000)</f>
        <v>117</v>
      </c>
    </row>
    <row r="108">
      <c r="A108" s="28">
        <f>Instagram_reach_raw!$A110</f>
        <v>45580</v>
      </c>
      <c r="B108" s="29">
        <f>Instagram_interactions_raw!$A110</f>
        <v>45580</v>
      </c>
      <c r="C108" s="26" t="str">
        <f t="shared" si="1"/>
        <v>Instagram</v>
      </c>
      <c r="D108" s="26">
        <f t="array" ref="D108">XLOOKUP($A108,Instagram_follows_raw!$A$4:$A1000,Instagram_follows_raw!$B$4:$B1000)</f>
        <v>2</v>
      </c>
      <c r="E108" s="26">
        <f t="array" ref="E108">XLOOKUP($A108,Instagram_interactions_raw!$A$4:$A1000,Instagram_interactions_raw!$B$4:$B1000)</f>
        <v>0</v>
      </c>
      <c r="F108" s="26">
        <f t="array" ref="F108">XLOOKUP($A108,Instagram_reach_raw!$A$4:$A1000,Instagram_reach_raw!$B$4:$B1000)</f>
        <v>474</v>
      </c>
    </row>
    <row r="109">
      <c r="A109" s="28">
        <f>Instagram_reach_raw!$A111</f>
        <v>45581</v>
      </c>
      <c r="B109" s="29">
        <f>Instagram_interactions_raw!$A111</f>
        <v>45581</v>
      </c>
      <c r="C109" s="26" t="str">
        <f t="shared" si="1"/>
        <v>Instagram</v>
      </c>
      <c r="D109" s="26">
        <f t="array" ref="D109">XLOOKUP($A109,Instagram_follows_raw!$A$4:$A1000,Instagram_follows_raw!$B$4:$B1000)</f>
        <v>3</v>
      </c>
      <c r="E109" s="26">
        <f t="array" ref="E109">XLOOKUP($A109,Instagram_interactions_raw!$A$4:$A1000,Instagram_interactions_raw!$B$4:$B1000)</f>
        <v>0</v>
      </c>
      <c r="F109" s="26">
        <f t="array" ref="F109">XLOOKUP($A109,Instagram_reach_raw!$A$4:$A1000,Instagram_reach_raw!$B$4:$B1000)</f>
        <v>436</v>
      </c>
    </row>
    <row r="110">
      <c r="A110" s="28">
        <f>Instagram_reach_raw!$A112</f>
        <v>45582</v>
      </c>
      <c r="B110" s="29">
        <f>Instagram_interactions_raw!$A112</f>
        <v>45582</v>
      </c>
      <c r="C110" s="26" t="str">
        <f t="shared" si="1"/>
        <v>Instagram</v>
      </c>
      <c r="D110" s="26">
        <f t="array" ref="D110">XLOOKUP($A110,Instagram_follows_raw!$A$4:$A1000,Instagram_follows_raw!$B$4:$B1000)</f>
        <v>2</v>
      </c>
      <c r="E110" s="26">
        <f t="array" ref="E110">XLOOKUP($A110,Instagram_interactions_raw!$A$4:$A1000,Instagram_interactions_raw!$B$4:$B1000)</f>
        <v>0</v>
      </c>
      <c r="F110" s="26">
        <f t="array" ref="F110">XLOOKUP($A110,Instagram_reach_raw!$A$4:$A1000,Instagram_reach_raw!$B$4:$B1000)</f>
        <v>426</v>
      </c>
    </row>
    <row r="111">
      <c r="A111" s="28">
        <f>Instagram_reach_raw!$A113</f>
        <v>45583</v>
      </c>
      <c r="B111" s="29">
        <f>Instagram_interactions_raw!$A113</f>
        <v>45583</v>
      </c>
      <c r="C111" s="26" t="str">
        <f t="shared" si="1"/>
        <v>Instagram</v>
      </c>
      <c r="D111" s="26">
        <f t="array" ref="D111">XLOOKUP($A111,Instagram_follows_raw!$A$4:$A1000,Instagram_follows_raw!$B$4:$B1000)</f>
        <v>10</v>
      </c>
      <c r="E111" s="26">
        <f t="array" ref="E111">XLOOKUP($A111,Instagram_interactions_raw!$A$4:$A1000,Instagram_interactions_raw!$B$4:$B1000)</f>
        <v>0</v>
      </c>
      <c r="F111" s="26">
        <f t="array" ref="F111">XLOOKUP($A111,Instagram_reach_raw!$A$4:$A1000,Instagram_reach_raw!$B$4:$B1000)</f>
        <v>726</v>
      </c>
    </row>
    <row r="112">
      <c r="A112" s="28">
        <f>Instagram_reach_raw!$A114</f>
        <v>45584</v>
      </c>
      <c r="B112" s="29">
        <f>Instagram_interactions_raw!$A114</f>
        <v>45584</v>
      </c>
      <c r="C112" s="26" t="str">
        <f t="shared" si="1"/>
        <v>Instagram</v>
      </c>
      <c r="D112" s="26">
        <f t="array" ref="D112">XLOOKUP($A112,Instagram_follows_raw!$A$4:$A1000,Instagram_follows_raw!$B$4:$B1000)</f>
        <v>1</v>
      </c>
      <c r="E112" s="26">
        <f t="array" ref="E112">XLOOKUP($A112,Instagram_interactions_raw!$A$4:$A1000,Instagram_interactions_raw!$B$4:$B1000)</f>
        <v>0</v>
      </c>
      <c r="F112" s="26">
        <f t="array" ref="F112">XLOOKUP($A112,Instagram_reach_raw!$A$4:$A1000,Instagram_reach_raw!$B$4:$B1000)</f>
        <v>730</v>
      </c>
    </row>
    <row r="113">
      <c r="A113" s="28">
        <f>Instagram_reach_raw!$A115</f>
        <v>45585</v>
      </c>
      <c r="B113" s="29">
        <f>Instagram_interactions_raw!$A115</f>
        <v>45585</v>
      </c>
      <c r="C113" s="26" t="str">
        <f t="shared" si="1"/>
        <v>Instagram</v>
      </c>
      <c r="D113" s="26">
        <f t="array" ref="D113">XLOOKUP($A113,Instagram_follows_raw!$A$4:$A1000,Instagram_follows_raw!$B$4:$B1000)</f>
        <v>1</v>
      </c>
      <c r="E113" s="26">
        <f t="array" ref="E113">XLOOKUP($A113,Instagram_interactions_raw!$A$4:$A1000,Instagram_interactions_raw!$B$4:$B1000)</f>
        <v>0</v>
      </c>
      <c r="F113" s="26">
        <f t="array" ref="F113">XLOOKUP($A113,Instagram_reach_raw!$A$4:$A1000,Instagram_reach_raw!$B$4:$B1000)</f>
        <v>131</v>
      </c>
    </row>
    <row r="114">
      <c r="A114" s="28">
        <f>Instagram_reach_raw!$A116</f>
        <v>45586</v>
      </c>
      <c r="B114" s="29">
        <f>Instagram_interactions_raw!$A116</f>
        <v>45586</v>
      </c>
      <c r="C114" s="26" t="str">
        <f t="shared" si="1"/>
        <v>Instagram</v>
      </c>
      <c r="D114" s="26">
        <f t="array" ref="D114">XLOOKUP($A114,Instagram_follows_raw!$A$4:$A1000,Instagram_follows_raw!$B$4:$B1000)</f>
        <v>1</v>
      </c>
      <c r="E114" s="26">
        <f t="array" ref="E114">XLOOKUP($A114,Instagram_interactions_raw!$A$4:$A1000,Instagram_interactions_raw!$B$4:$B1000)</f>
        <v>0</v>
      </c>
      <c r="F114" s="26">
        <f t="array" ref="F114">XLOOKUP($A114,Instagram_reach_raw!$A$4:$A1000,Instagram_reach_raw!$B$4:$B1000)</f>
        <v>72</v>
      </c>
    </row>
    <row r="115">
      <c r="A115" s="28">
        <f>Instagram_reach_raw!$A117</f>
        <v>45587</v>
      </c>
      <c r="B115" s="29">
        <f>Instagram_interactions_raw!$A117</f>
        <v>45587</v>
      </c>
      <c r="C115" s="26" t="str">
        <f t="shared" si="1"/>
        <v>Instagram</v>
      </c>
      <c r="D115" s="26">
        <f t="array" ref="D115">XLOOKUP($A115,Instagram_follows_raw!$A$4:$A1000,Instagram_follows_raw!$B$4:$B1000)</f>
        <v>4</v>
      </c>
      <c r="E115" s="26">
        <f t="array" ref="E115">XLOOKUP($A115,Instagram_interactions_raw!$A$4:$A1000,Instagram_interactions_raw!$B$4:$B1000)</f>
        <v>0</v>
      </c>
      <c r="F115" s="26">
        <f t="array" ref="F115">XLOOKUP($A115,Instagram_reach_raw!$A$4:$A1000,Instagram_reach_raw!$B$4:$B1000)</f>
        <v>66</v>
      </c>
    </row>
    <row r="116">
      <c r="A116" s="28">
        <f>Instagram_reach_raw!$A118</f>
        <v>45588</v>
      </c>
      <c r="B116" s="29">
        <f>Instagram_interactions_raw!$A118</f>
        <v>45588</v>
      </c>
      <c r="C116" s="26" t="str">
        <f t="shared" si="1"/>
        <v>Instagram</v>
      </c>
      <c r="D116" s="26">
        <f t="array" ref="D116">XLOOKUP($A116,Instagram_follows_raw!$A$4:$A1000,Instagram_follows_raw!$B$4:$B1000)</f>
        <v>2</v>
      </c>
      <c r="E116" s="26">
        <f t="array" ref="E116">XLOOKUP($A116,Instagram_interactions_raw!$A$4:$A1000,Instagram_interactions_raw!$B$4:$B1000)</f>
        <v>0</v>
      </c>
      <c r="F116" s="26">
        <f t="array" ref="F116">XLOOKUP($A116,Instagram_reach_raw!$A$4:$A1000,Instagram_reach_raw!$B$4:$B1000)</f>
        <v>51</v>
      </c>
    </row>
    <row r="117">
      <c r="A117" s="28">
        <f>Instagram_reach_raw!$A119</f>
        <v>45589</v>
      </c>
      <c r="B117" s="29">
        <f>Instagram_interactions_raw!$A119</f>
        <v>45589</v>
      </c>
      <c r="C117" s="26" t="str">
        <f t="shared" si="1"/>
        <v>Instagram</v>
      </c>
      <c r="D117" s="26">
        <f t="array" ref="D117">XLOOKUP($A117,Instagram_follows_raw!$A$4:$A1000,Instagram_follows_raw!$B$4:$B1000)</f>
        <v>3</v>
      </c>
      <c r="E117" s="26">
        <f t="array" ref="E117">XLOOKUP($A117,Instagram_interactions_raw!$A$4:$A1000,Instagram_interactions_raw!$B$4:$B1000)</f>
        <v>0</v>
      </c>
      <c r="F117" s="26">
        <f t="array" ref="F117">XLOOKUP($A117,Instagram_reach_raw!$A$4:$A1000,Instagram_reach_raw!$B$4:$B1000)</f>
        <v>1659</v>
      </c>
    </row>
    <row r="118">
      <c r="A118" s="28">
        <f>Instagram_reach_raw!$A120</f>
        <v>45590</v>
      </c>
      <c r="B118" s="29">
        <f>Instagram_interactions_raw!$A120</f>
        <v>45590</v>
      </c>
      <c r="C118" s="26" t="str">
        <f t="shared" si="1"/>
        <v>Instagram</v>
      </c>
      <c r="D118" s="26">
        <f t="array" ref="D118">XLOOKUP($A118,Instagram_follows_raw!$A$4:$A1000,Instagram_follows_raw!$B$4:$B1000)</f>
        <v>2</v>
      </c>
      <c r="E118" s="26">
        <f t="array" ref="E118">XLOOKUP($A118,Instagram_interactions_raw!$A$4:$A1000,Instagram_interactions_raw!$B$4:$B1000)</f>
        <v>52</v>
      </c>
      <c r="F118" s="26">
        <f t="array" ref="F118">XLOOKUP($A118,Instagram_reach_raw!$A$4:$A1000,Instagram_reach_raw!$B$4:$B1000)</f>
        <v>576</v>
      </c>
    </row>
    <row r="119">
      <c r="A119" s="28">
        <f>Instagram_reach_raw!$A121</f>
        <v>45591</v>
      </c>
      <c r="B119" s="29">
        <f>Instagram_interactions_raw!$A121</f>
        <v>45591</v>
      </c>
      <c r="C119" s="26" t="str">
        <f t="shared" si="1"/>
        <v>Instagram</v>
      </c>
      <c r="D119" s="26">
        <f t="array" ref="D119">XLOOKUP($A119,Instagram_follows_raw!$A$4:$A1000,Instagram_follows_raw!$B$4:$B1000)</f>
        <v>2</v>
      </c>
      <c r="E119" s="26">
        <f t="array" ref="E119">XLOOKUP($A119,Instagram_interactions_raw!$A$4:$A1000,Instagram_interactions_raw!$B$4:$B1000)</f>
        <v>20</v>
      </c>
      <c r="F119" s="26">
        <f t="array" ref="F119">XLOOKUP($A119,Instagram_reach_raw!$A$4:$A1000,Instagram_reach_raw!$B$4:$B1000)</f>
        <v>131</v>
      </c>
    </row>
    <row r="120">
      <c r="A120" s="28">
        <f>Instagram_reach_raw!$A122</f>
        <v>45592</v>
      </c>
      <c r="B120" s="29">
        <f>Instagram_interactions_raw!$A122</f>
        <v>45592</v>
      </c>
      <c r="C120" s="26" t="str">
        <f t="shared" si="1"/>
        <v>Instagram</v>
      </c>
      <c r="D120" s="26">
        <f t="array" ref="D120">XLOOKUP($A120,Instagram_follows_raw!$A$4:$A1000,Instagram_follows_raw!$B$4:$B1000)</f>
        <v>1</v>
      </c>
      <c r="E120" s="26">
        <f t="array" ref="E120">XLOOKUP($A120,Instagram_interactions_raw!$A$4:$A1000,Instagram_interactions_raw!$B$4:$B1000)</f>
        <v>3</v>
      </c>
      <c r="F120" s="26">
        <f t="array" ref="F120">XLOOKUP($A120,Instagram_reach_raw!$A$4:$A1000,Instagram_reach_raw!$B$4:$B1000)</f>
        <v>97</v>
      </c>
    </row>
    <row r="121">
      <c r="A121" s="28">
        <f>Instagram_reach_raw!$A123</f>
        <v>45593</v>
      </c>
      <c r="B121" s="29">
        <f>Instagram_interactions_raw!$A123</f>
        <v>45593</v>
      </c>
      <c r="C121" s="26" t="str">
        <f t="shared" si="1"/>
        <v>Instagram</v>
      </c>
      <c r="D121" s="26">
        <f t="array" ref="D121">XLOOKUP($A121,Instagram_follows_raw!$A$4:$A1000,Instagram_follows_raw!$B$4:$B1000)</f>
        <v>1</v>
      </c>
      <c r="E121" s="26">
        <f t="array" ref="E121">XLOOKUP($A121,Instagram_interactions_raw!$A$4:$A1000,Instagram_interactions_raw!$B$4:$B1000)</f>
        <v>4</v>
      </c>
      <c r="F121" s="26">
        <f t="array" ref="F121">XLOOKUP($A121,Instagram_reach_raw!$A$4:$A1000,Instagram_reach_raw!$B$4:$B1000)</f>
        <v>56</v>
      </c>
    </row>
    <row r="122">
      <c r="A122" s="28">
        <f>Instagram_reach_raw!$A124</f>
        <v>45594</v>
      </c>
      <c r="B122" s="29">
        <f>Instagram_interactions_raw!$A124</f>
        <v>45594</v>
      </c>
      <c r="C122" s="26" t="str">
        <f t="shared" si="1"/>
        <v>Instagram</v>
      </c>
      <c r="D122" s="26">
        <f t="array" ref="D122">XLOOKUP($A122,Instagram_follows_raw!$A$4:$A1000,Instagram_follows_raw!$B$4:$B1000)</f>
        <v>9</v>
      </c>
      <c r="E122" s="26">
        <f t="array" ref="E122">XLOOKUP($A122,Instagram_interactions_raw!$A$4:$A1000,Instagram_interactions_raw!$B$4:$B1000)</f>
        <v>4</v>
      </c>
      <c r="F122" s="26">
        <f t="array" ref="F122">XLOOKUP($A122,Instagram_reach_raw!$A$4:$A1000,Instagram_reach_raw!$B$4:$B1000)</f>
        <v>58</v>
      </c>
    </row>
    <row r="123">
      <c r="A123" s="28">
        <f>Instagram_reach_raw!$A125</f>
        <v>45595</v>
      </c>
      <c r="B123" s="29">
        <f>Instagram_interactions_raw!$A125</f>
        <v>45595</v>
      </c>
      <c r="C123" s="26" t="str">
        <f t="shared" si="1"/>
        <v>Instagram</v>
      </c>
      <c r="D123" s="26">
        <f t="array" ref="D123">XLOOKUP($A123,Instagram_follows_raw!$A$4:$A1000,Instagram_follows_raw!$B$4:$B1000)</f>
        <v>4</v>
      </c>
      <c r="E123" s="26">
        <f t="array" ref="E123">XLOOKUP($A123,Instagram_interactions_raw!$A$4:$A1000,Instagram_interactions_raw!$B$4:$B1000)</f>
        <v>75</v>
      </c>
      <c r="F123" s="26">
        <f t="array" ref="F123">XLOOKUP($A123,Instagram_reach_raw!$A$4:$A1000,Instagram_reach_raw!$B$4:$B1000)</f>
        <v>546</v>
      </c>
    </row>
    <row r="124">
      <c r="A124" s="28">
        <f>Instagram_reach_raw!$A126</f>
        <v>45596</v>
      </c>
      <c r="B124" s="29">
        <f>Instagram_interactions_raw!$A126</f>
        <v>45596</v>
      </c>
      <c r="C124" s="26" t="str">
        <f t="shared" si="1"/>
        <v>Instagram</v>
      </c>
      <c r="D124" s="26">
        <f t="array" ref="D124">XLOOKUP($A124,Instagram_follows_raw!$A$4:$A1000,Instagram_follows_raw!$B$4:$B1000)</f>
        <v>3</v>
      </c>
      <c r="E124" s="26">
        <f t="array" ref="E124">XLOOKUP($A124,Instagram_interactions_raw!$A$4:$A1000,Instagram_interactions_raw!$B$4:$B1000)</f>
        <v>23</v>
      </c>
      <c r="F124" s="26">
        <f t="array" ref="F124">XLOOKUP($A124,Instagram_reach_raw!$A$4:$A1000,Instagram_reach_raw!$B$4:$B1000)</f>
        <v>251</v>
      </c>
    </row>
    <row r="125">
      <c r="A125" s="28">
        <f>Instagram_reach_raw!$A127</f>
        <v>45597</v>
      </c>
      <c r="B125" s="29">
        <f>Instagram_interactions_raw!$A127</f>
        <v>45597</v>
      </c>
      <c r="C125" s="26" t="str">
        <f t="shared" si="1"/>
        <v>Instagram</v>
      </c>
      <c r="D125" s="26">
        <f t="array" ref="D125">XLOOKUP($A125,Instagram_follows_raw!$A$4:$A1000,Instagram_follows_raw!$B$4:$B1000)</f>
        <v>2</v>
      </c>
      <c r="E125" s="26">
        <f t="array" ref="E125">XLOOKUP($A125,Instagram_interactions_raw!$A$4:$A1000,Instagram_interactions_raw!$B$4:$B1000)</f>
        <v>84</v>
      </c>
      <c r="F125" s="26">
        <f t="array" ref="F125">XLOOKUP($A125,Instagram_reach_raw!$A$4:$A1000,Instagram_reach_raw!$B$4:$B1000)</f>
        <v>1159</v>
      </c>
    </row>
    <row r="126">
      <c r="A126" s="28">
        <f>Instagram_reach_raw!$A128</f>
        <v>45598</v>
      </c>
      <c r="B126" s="29">
        <f>Instagram_interactions_raw!$A128</f>
        <v>45598</v>
      </c>
      <c r="C126" s="26" t="str">
        <f t="shared" si="1"/>
        <v>Instagram</v>
      </c>
      <c r="D126" s="26">
        <f t="array" ref="D126">XLOOKUP($A126,Instagram_follows_raw!$A$4:$A1000,Instagram_follows_raw!$B$4:$B1000)</f>
        <v>1</v>
      </c>
      <c r="E126" s="26">
        <f t="array" ref="E126">XLOOKUP($A126,Instagram_interactions_raw!$A$4:$A1000,Instagram_interactions_raw!$B$4:$B1000)</f>
        <v>43</v>
      </c>
      <c r="F126" s="26">
        <f t="array" ref="F126">XLOOKUP($A126,Instagram_reach_raw!$A$4:$A1000,Instagram_reach_raw!$B$4:$B1000)</f>
        <v>1330</v>
      </c>
    </row>
    <row r="127">
      <c r="A127" s="28">
        <f>Instagram_reach_raw!$A129</f>
        <v>45599</v>
      </c>
      <c r="B127" s="29">
        <f>Instagram_interactions_raw!$A129</f>
        <v>45599</v>
      </c>
      <c r="C127" s="26" t="str">
        <f t="shared" si="1"/>
        <v>Instagram</v>
      </c>
      <c r="D127" s="26">
        <f t="array" ref="D127">XLOOKUP($A127,Instagram_follows_raw!$A$4:$A1000,Instagram_follows_raw!$B$4:$B1000)</f>
        <v>2</v>
      </c>
      <c r="E127" s="26">
        <f t="array" ref="E127">XLOOKUP($A127,Instagram_interactions_raw!$A$4:$A1000,Instagram_interactions_raw!$B$4:$B1000)</f>
        <v>21</v>
      </c>
      <c r="F127" s="26">
        <f t="array" ref="F127">XLOOKUP($A127,Instagram_reach_raw!$A$4:$A1000,Instagram_reach_raw!$B$4:$B1000)</f>
        <v>303</v>
      </c>
    </row>
    <row r="128">
      <c r="A128" s="28">
        <f>Instagram_reach_raw!$A130</f>
        <v>45600</v>
      </c>
      <c r="B128" s="29">
        <f>Instagram_interactions_raw!$A130</f>
        <v>45600</v>
      </c>
      <c r="C128" s="26" t="str">
        <f t="shared" si="1"/>
        <v>Instagram</v>
      </c>
      <c r="D128" s="26">
        <f t="array" ref="D128">XLOOKUP($A128,Instagram_follows_raw!$A$4:$A1000,Instagram_follows_raw!$B$4:$B1000)</f>
        <v>1</v>
      </c>
      <c r="E128" s="26">
        <f t="array" ref="E128">XLOOKUP($A128,Instagram_interactions_raw!$A$4:$A1000,Instagram_interactions_raw!$B$4:$B1000)</f>
        <v>10</v>
      </c>
      <c r="F128" s="26">
        <f t="array" ref="F128">XLOOKUP($A128,Instagram_reach_raw!$A$4:$A1000,Instagram_reach_raw!$B$4:$B1000)</f>
        <v>155</v>
      </c>
    </row>
    <row r="129">
      <c r="A129" s="28">
        <f>Instagram_reach_raw!$A131</f>
        <v>45601</v>
      </c>
      <c r="B129" s="29">
        <f>Instagram_interactions_raw!$A131</f>
        <v>45601</v>
      </c>
      <c r="C129" s="26" t="str">
        <f t="shared" si="1"/>
        <v>Instagram</v>
      </c>
      <c r="D129" s="26">
        <f t="array" ref="D129">XLOOKUP($A129,Instagram_follows_raw!$A$4:$A1000,Instagram_follows_raw!$B$4:$B1000)</f>
        <v>3</v>
      </c>
      <c r="E129" s="26">
        <f t="array" ref="E129">XLOOKUP($A129,Instagram_interactions_raw!$A$4:$A1000,Instagram_interactions_raw!$B$4:$B1000)</f>
        <v>3</v>
      </c>
      <c r="F129" s="26">
        <f t="array" ref="F129">XLOOKUP($A129,Instagram_reach_raw!$A$4:$A1000,Instagram_reach_raw!$B$4:$B1000)</f>
        <v>105</v>
      </c>
    </row>
    <row r="130">
      <c r="A130" s="28">
        <f>Instagram_reach_raw!$A132</f>
        <v>45602</v>
      </c>
      <c r="B130" s="29">
        <f>Instagram_interactions_raw!$A132</f>
        <v>45602</v>
      </c>
      <c r="C130" s="26" t="str">
        <f t="shared" si="1"/>
        <v>Instagram</v>
      </c>
      <c r="D130" s="26">
        <f t="array" ref="D130">XLOOKUP($A130,Instagram_follows_raw!$A$4:$A1000,Instagram_follows_raw!$B$4:$B1000)</f>
        <v>4</v>
      </c>
      <c r="E130" s="26">
        <f t="array" ref="E130">XLOOKUP($A130,Instagram_interactions_raw!$A$4:$A1000,Instagram_interactions_raw!$B$4:$B1000)</f>
        <v>41</v>
      </c>
      <c r="F130" s="26">
        <f t="array" ref="F130">XLOOKUP($A130,Instagram_reach_raw!$A$4:$A1000,Instagram_reach_raw!$B$4:$B1000)</f>
        <v>490</v>
      </c>
    </row>
    <row r="131">
      <c r="A131" s="28">
        <f>Instagram_reach_raw!$A133</f>
        <v>45603</v>
      </c>
      <c r="B131" s="29">
        <f>Instagram_interactions_raw!$A133</f>
        <v>45603</v>
      </c>
      <c r="C131" s="26" t="str">
        <f t="shared" si="1"/>
        <v>Instagram</v>
      </c>
      <c r="D131" s="26">
        <f t="array" ref="D131">XLOOKUP($A131,Instagram_follows_raw!$A$4:$A1000,Instagram_follows_raw!$B$4:$B1000)</f>
        <v>4</v>
      </c>
      <c r="E131" s="26">
        <f t="array" ref="E131">XLOOKUP($A131,Instagram_interactions_raw!$A$4:$A1000,Instagram_interactions_raw!$B$4:$B1000)</f>
        <v>12</v>
      </c>
      <c r="F131" s="26">
        <f t="array" ref="F131">XLOOKUP($A131,Instagram_reach_raw!$A$4:$A1000,Instagram_reach_raw!$B$4:$B1000)</f>
        <v>520</v>
      </c>
    </row>
    <row r="132">
      <c r="A132" s="28">
        <f>Instagram_reach_raw!$A134</f>
        <v>45604</v>
      </c>
      <c r="B132" s="29">
        <f>Instagram_interactions_raw!$A134</f>
        <v>45604</v>
      </c>
      <c r="C132" s="26" t="str">
        <f t="shared" si="1"/>
        <v>Instagram</v>
      </c>
      <c r="D132" s="26">
        <f t="array" ref="D132">XLOOKUP($A132,Instagram_follows_raw!$A$4:$A1000,Instagram_follows_raw!$B$4:$B1000)</f>
        <v>1</v>
      </c>
      <c r="E132" s="26">
        <f t="array" ref="E132">XLOOKUP($A132,Instagram_interactions_raw!$A$4:$A1000,Instagram_interactions_raw!$B$4:$B1000)</f>
        <v>3</v>
      </c>
      <c r="F132" s="26">
        <f t="array" ref="F132">XLOOKUP($A132,Instagram_reach_raw!$A$4:$A1000,Instagram_reach_raw!$B$4:$B1000)</f>
        <v>86</v>
      </c>
    </row>
    <row r="133">
      <c r="A133" s="28">
        <f>Instagram_reach_raw!$A135</f>
        <v>45605</v>
      </c>
      <c r="B133" s="29">
        <f>Instagram_interactions_raw!$A135</f>
        <v>45605</v>
      </c>
      <c r="C133" s="26" t="str">
        <f t="shared" si="1"/>
        <v>Instagram</v>
      </c>
      <c r="D133" s="26">
        <f t="array" ref="D133">XLOOKUP($A133,Instagram_follows_raw!$A$4:$A1000,Instagram_follows_raw!$B$4:$B1000)</f>
        <v>8</v>
      </c>
      <c r="E133" s="26">
        <f t="array" ref="E133">XLOOKUP($A133,Instagram_interactions_raw!$A$4:$A1000,Instagram_interactions_raw!$B$4:$B1000)</f>
        <v>27</v>
      </c>
      <c r="F133" s="26">
        <f t="array" ref="F133">XLOOKUP($A133,Instagram_reach_raw!$A$4:$A1000,Instagram_reach_raw!$B$4:$B1000)</f>
        <v>369</v>
      </c>
    </row>
    <row r="134">
      <c r="A134" s="28">
        <f>Instagram_reach_raw!$A136</f>
        <v>45606</v>
      </c>
      <c r="B134" s="29">
        <f>Instagram_interactions_raw!$A136</f>
        <v>45606</v>
      </c>
      <c r="C134" s="26" t="str">
        <f t="shared" si="1"/>
        <v>Instagram</v>
      </c>
      <c r="D134" s="26" t="str">
        <f t="array" ref="D134">XLOOKUP($A134,Instagram_follows_raw!$A$4:$A1000,Instagram_follows_raw!$B$4:$B1000)</f>
        <v>#N/A</v>
      </c>
      <c r="E134" s="26">
        <f t="array" ref="E134">XLOOKUP($A134,Instagram_interactions_raw!$A$4:$A1000,Instagram_interactions_raw!$B$4:$B1000)</f>
        <v>11</v>
      </c>
      <c r="F134" s="26">
        <f t="array" ref="F134">XLOOKUP($A134,Instagram_reach_raw!$A$4:$A1000,Instagram_reach_raw!$B$4:$B1000)</f>
        <v>121</v>
      </c>
    </row>
    <row r="135">
      <c r="A135" s="28">
        <f>Instagram_reach_raw!$A137</f>
        <v>45607</v>
      </c>
      <c r="B135" s="29">
        <f>Instagram_interactions_raw!$A137</f>
        <v>45607</v>
      </c>
      <c r="C135" s="26" t="str">
        <f t="shared" si="1"/>
        <v>Instagram</v>
      </c>
      <c r="D135" s="26">
        <f t="array" ref="D135">XLOOKUP($A135,Instagram_follows_raw!$A$4:$A1000,Instagram_follows_raw!$B$4:$B1000)</f>
        <v>1</v>
      </c>
      <c r="E135" s="26">
        <f t="array" ref="E135">XLOOKUP($A135,Instagram_interactions_raw!$A$4:$A1000,Instagram_interactions_raw!$B$4:$B1000)</f>
        <v>3</v>
      </c>
      <c r="F135" s="26">
        <f t="array" ref="F135">XLOOKUP($A135,Instagram_reach_raw!$A$4:$A1000,Instagram_reach_raw!$B$4:$B1000)</f>
        <v>319</v>
      </c>
    </row>
    <row r="136">
      <c r="A136" s="28">
        <f>Instagram_reach_raw!$A138</f>
        <v>45608</v>
      </c>
      <c r="B136" s="29">
        <f>Instagram_interactions_raw!$A138</f>
        <v>45608</v>
      </c>
      <c r="C136" s="26" t="str">
        <f t="shared" si="1"/>
        <v>Instagram</v>
      </c>
      <c r="D136" s="26">
        <f t="array" ref="D136">XLOOKUP($A136,Instagram_follows_raw!$A$4:$A1000,Instagram_follows_raw!$B$4:$B1000)</f>
        <v>1</v>
      </c>
      <c r="E136" s="26">
        <f t="array" ref="E136">XLOOKUP($A136,Instagram_interactions_raw!$A$4:$A1000,Instagram_interactions_raw!$B$4:$B1000)</f>
        <v>12</v>
      </c>
      <c r="F136" s="26">
        <f t="array" ref="F136">XLOOKUP($A136,Instagram_reach_raw!$A$4:$A1000,Instagram_reach_raw!$B$4:$B1000)</f>
        <v>278</v>
      </c>
    </row>
    <row r="137">
      <c r="A137" s="28">
        <f>Instagram_reach_raw!$A139</f>
        <v>45609</v>
      </c>
      <c r="B137" s="29">
        <f>Instagram_interactions_raw!$A139</f>
        <v>45609</v>
      </c>
      <c r="C137" s="26" t="str">
        <f t="shared" si="1"/>
        <v>Instagram</v>
      </c>
      <c r="D137" s="26">
        <f t="array" ref="D137">XLOOKUP($A137,Instagram_follows_raw!$A$4:$A1000,Instagram_follows_raw!$B$4:$B1000)</f>
        <v>4</v>
      </c>
      <c r="E137" s="26">
        <f t="array" ref="E137">XLOOKUP($A137,Instagram_interactions_raw!$A$4:$A1000,Instagram_interactions_raw!$B$4:$B1000)</f>
        <v>56</v>
      </c>
      <c r="F137" s="26">
        <f t="array" ref="F137">XLOOKUP($A137,Instagram_reach_raw!$A$4:$A1000,Instagram_reach_raw!$B$4:$B1000)</f>
        <v>988</v>
      </c>
    </row>
    <row r="138">
      <c r="A138" s="28">
        <f>Instagram_reach_raw!$A140</f>
        <v>45610</v>
      </c>
      <c r="B138" s="29">
        <f>Instagram_interactions_raw!$A140</f>
        <v>45610</v>
      </c>
      <c r="C138" s="26" t="str">
        <f t="shared" si="1"/>
        <v>Instagram</v>
      </c>
      <c r="D138" s="26">
        <f t="array" ref="D138">XLOOKUP($A138,Instagram_follows_raw!$A$4:$A1000,Instagram_follows_raw!$B$4:$B1000)</f>
        <v>5</v>
      </c>
      <c r="E138" s="26">
        <f t="array" ref="E138">XLOOKUP($A138,Instagram_interactions_raw!$A$4:$A1000,Instagram_interactions_raw!$B$4:$B1000)</f>
        <v>79</v>
      </c>
      <c r="F138" s="26">
        <f t="array" ref="F138">XLOOKUP($A138,Instagram_reach_raw!$A$4:$A1000,Instagram_reach_raw!$B$4:$B1000)</f>
        <v>936</v>
      </c>
    </row>
    <row r="139">
      <c r="A139" s="28">
        <f>Instagram_reach_raw!$A141</f>
        <v>45611</v>
      </c>
      <c r="B139" s="29">
        <f>Instagram_interactions_raw!$A141</f>
        <v>45611</v>
      </c>
      <c r="C139" s="26" t="str">
        <f t="shared" si="1"/>
        <v>Instagram</v>
      </c>
      <c r="D139" s="26">
        <f t="array" ref="D139">XLOOKUP($A139,Instagram_follows_raw!$A$4:$A1000,Instagram_follows_raw!$B$4:$B1000)</f>
        <v>2</v>
      </c>
      <c r="E139" s="26">
        <f t="array" ref="E139">XLOOKUP($A139,Instagram_interactions_raw!$A$4:$A1000,Instagram_interactions_raw!$B$4:$B1000)</f>
        <v>74</v>
      </c>
      <c r="F139" s="26">
        <f t="array" ref="F139">XLOOKUP($A139,Instagram_reach_raw!$A$4:$A1000,Instagram_reach_raw!$B$4:$B1000)</f>
        <v>929</v>
      </c>
    </row>
    <row r="140">
      <c r="A140" s="28">
        <f>Instagram_reach_raw!$A142</f>
        <v>45612</v>
      </c>
      <c r="B140" s="29">
        <f>Instagram_interactions_raw!$A142</f>
        <v>45612</v>
      </c>
      <c r="C140" s="26" t="str">
        <f t="shared" si="1"/>
        <v>Instagram</v>
      </c>
      <c r="D140" s="26" t="str">
        <f t="array" ref="D140">XLOOKUP($A140,Instagram_follows_raw!$A$4:$A1000,Instagram_follows_raw!$B$4:$B1000)</f>
        <v>#N/A</v>
      </c>
      <c r="E140" s="26">
        <f t="array" ref="E140">XLOOKUP($A140,Instagram_interactions_raw!$A$4:$A1000,Instagram_interactions_raw!$B$4:$B1000)</f>
        <v>20</v>
      </c>
      <c r="F140" s="26">
        <f t="array" ref="F140">XLOOKUP($A140,Instagram_reach_raw!$A$4:$A1000,Instagram_reach_raw!$B$4:$B1000)</f>
        <v>639</v>
      </c>
    </row>
    <row r="141">
      <c r="A141" s="28">
        <f>Instagram_reach_raw!$A143</f>
        <v>45613</v>
      </c>
      <c r="B141" s="29">
        <f>Instagram_interactions_raw!$A143</f>
        <v>45613</v>
      </c>
      <c r="C141" s="26" t="str">
        <f t="shared" si="1"/>
        <v>Instagram</v>
      </c>
      <c r="D141" s="26">
        <f t="array" ref="D141">XLOOKUP($A141,Instagram_follows_raw!$A$4:$A1000,Instagram_follows_raw!$B$4:$B1000)</f>
        <v>4</v>
      </c>
      <c r="E141" s="26">
        <f t="array" ref="E141">XLOOKUP($A141,Instagram_interactions_raw!$A$4:$A1000,Instagram_interactions_raw!$B$4:$B1000)</f>
        <v>12</v>
      </c>
      <c r="F141" s="26">
        <f t="array" ref="F141">XLOOKUP($A141,Instagram_reach_raw!$A$4:$A1000,Instagram_reach_raw!$B$4:$B1000)</f>
        <v>263</v>
      </c>
    </row>
    <row r="142">
      <c r="A142" s="28">
        <f>Instagram_reach_raw!$A144</f>
        <v>45614</v>
      </c>
      <c r="B142" s="29">
        <f>Instagram_interactions_raw!$A144</f>
        <v>45614</v>
      </c>
      <c r="C142" s="26" t="str">
        <f t="shared" si="1"/>
        <v>Instagram</v>
      </c>
      <c r="D142" s="26">
        <f t="array" ref="D142">XLOOKUP($A142,Instagram_follows_raw!$A$4:$A1000,Instagram_follows_raw!$B$4:$B1000)</f>
        <v>4</v>
      </c>
      <c r="E142" s="26">
        <f t="array" ref="E142">XLOOKUP($A142,Instagram_interactions_raw!$A$4:$A1000,Instagram_interactions_raw!$B$4:$B1000)</f>
        <v>6</v>
      </c>
      <c r="F142" s="26">
        <f t="array" ref="F142">XLOOKUP($A142,Instagram_reach_raw!$A$4:$A1000,Instagram_reach_raw!$B$4:$B1000)</f>
        <v>182</v>
      </c>
    </row>
    <row r="143">
      <c r="A143" s="28">
        <f>Instagram_reach_raw!$A145</f>
        <v>45615</v>
      </c>
      <c r="B143" s="29">
        <f>Instagram_interactions_raw!$A145</f>
        <v>45615</v>
      </c>
      <c r="C143" s="26" t="str">
        <f t="shared" si="1"/>
        <v>Instagram</v>
      </c>
      <c r="D143" s="26" t="str">
        <f t="array" ref="D143">XLOOKUP($A143,Instagram_follows_raw!$A$4:$A1000,Instagram_follows_raw!$B$4:$B1000)</f>
        <v>#N/A</v>
      </c>
      <c r="E143" s="26">
        <f t="array" ref="E143">XLOOKUP($A143,Instagram_interactions_raw!$A$4:$A1000,Instagram_interactions_raw!$B$4:$B1000)</f>
        <v>4</v>
      </c>
      <c r="F143" s="26">
        <f t="array" ref="F143">XLOOKUP($A143,Instagram_reach_raw!$A$4:$A1000,Instagram_reach_raw!$B$4:$B1000)</f>
        <v>106</v>
      </c>
    </row>
    <row r="144">
      <c r="A144" s="28">
        <f>Instagram_reach_raw!$A146</f>
        <v>45616</v>
      </c>
      <c r="B144" s="29">
        <f>Instagram_interactions_raw!$A146</f>
        <v>45616</v>
      </c>
      <c r="C144" s="26" t="str">
        <f t="shared" si="1"/>
        <v>Instagram</v>
      </c>
      <c r="D144" s="26">
        <f t="array" ref="D144">XLOOKUP($A144,Instagram_follows_raw!$A$4:$A1000,Instagram_follows_raw!$B$4:$B1000)</f>
        <v>6</v>
      </c>
      <c r="E144" s="26">
        <f t="array" ref="E144">XLOOKUP($A144,Instagram_interactions_raw!$A$4:$A1000,Instagram_interactions_raw!$B$4:$B1000)</f>
        <v>31</v>
      </c>
      <c r="F144" s="26">
        <f t="array" ref="F144">XLOOKUP($A144,Instagram_reach_raw!$A$4:$A1000,Instagram_reach_raw!$B$4:$B1000)</f>
        <v>307</v>
      </c>
    </row>
    <row r="145">
      <c r="A145" s="28">
        <f>Instagram_reach_raw!$A147</f>
        <v>45617</v>
      </c>
      <c r="B145" s="29">
        <f>Instagram_interactions_raw!$A147</f>
        <v>45617</v>
      </c>
      <c r="C145" s="26" t="str">
        <f t="shared" si="1"/>
        <v>Instagram</v>
      </c>
      <c r="D145" s="26">
        <f t="array" ref="D145">XLOOKUP($A145,Instagram_follows_raw!$A$4:$A1000,Instagram_follows_raw!$B$4:$B1000)</f>
        <v>3</v>
      </c>
      <c r="E145" s="26">
        <f t="array" ref="E145">XLOOKUP($A145,Instagram_interactions_raw!$A$4:$A1000,Instagram_interactions_raw!$B$4:$B1000)</f>
        <v>7</v>
      </c>
      <c r="F145" s="26">
        <f t="array" ref="F145">XLOOKUP($A145,Instagram_reach_raw!$A$4:$A1000,Instagram_reach_raw!$B$4:$B1000)</f>
        <v>138</v>
      </c>
    </row>
    <row r="146">
      <c r="A146" s="28">
        <f>Instagram_reach_raw!$A148</f>
        <v>45618</v>
      </c>
      <c r="B146" s="29">
        <f>Instagram_interactions_raw!$A148</f>
        <v>45618</v>
      </c>
      <c r="C146" s="26" t="str">
        <f t="shared" si="1"/>
        <v>Instagram</v>
      </c>
      <c r="D146" s="26">
        <f t="array" ref="D146">XLOOKUP($A146,Instagram_follows_raw!$A$4:$A1000,Instagram_follows_raw!$B$4:$B1000)</f>
        <v>1</v>
      </c>
      <c r="E146" s="26">
        <f t="array" ref="E146">XLOOKUP($A146,Instagram_interactions_raw!$A$4:$A1000,Instagram_interactions_raw!$B$4:$B1000)</f>
        <v>11</v>
      </c>
      <c r="F146" s="26">
        <f t="array" ref="F146">XLOOKUP($A146,Instagram_reach_raw!$A$4:$A1000,Instagram_reach_raw!$B$4:$B1000)</f>
        <v>131</v>
      </c>
    </row>
    <row r="147">
      <c r="A147" s="28">
        <f>Instagram_reach_raw!$A149</f>
        <v>45619</v>
      </c>
      <c r="B147" s="29">
        <f>Instagram_interactions_raw!$A149</f>
        <v>45619</v>
      </c>
      <c r="C147" s="26" t="str">
        <f t="shared" si="1"/>
        <v>Instagram</v>
      </c>
      <c r="D147" s="26">
        <f t="array" ref="D147">XLOOKUP($A147,Instagram_follows_raw!$A$4:$A1000,Instagram_follows_raw!$B$4:$B1000)</f>
        <v>1</v>
      </c>
      <c r="E147" s="26">
        <f t="array" ref="E147">XLOOKUP($A147,Instagram_interactions_raw!$A$4:$A1000,Instagram_interactions_raw!$B$4:$B1000)</f>
        <v>12</v>
      </c>
      <c r="F147" s="26">
        <f t="array" ref="F147">XLOOKUP($A147,Instagram_reach_raw!$A$4:$A1000,Instagram_reach_raw!$B$4:$B1000)</f>
        <v>118</v>
      </c>
    </row>
    <row r="148">
      <c r="A148" s="28">
        <f>Instagram_reach_raw!$A150</f>
        <v>45620</v>
      </c>
      <c r="B148" s="29">
        <f>Instagram_interactions_raw!$A150</f>
        <v>45620</v>
      </c>
      <c r="C148" s="26" t="str">
        <f t="shared" si="1"/>
        <v>Instagram</v>
      </c>
      <c r="D148" s="26">
        <f t="array" ref="D148">XLOOKUP($A148,Instagram_follows_raw!$A$4:$A1000,Instagram_follows_raw!$B$4:$B1000)</f>
        <v>2</v>
      </c>
      <c r="E148" s="26">
        <f t="array" ref="E148">XLOOKUP($A148,Instagram_interactions_raw!$A$4:$A1000,Instagram_interactions_raw!$B$4:$B1000)</f>
        <v>7</v>
      </c>
      <c r="F148" s="26">
        <f t="array" ref="F148">XLOOKUP($A148,Instagram_reach_raw!$A$4:$A1000,Instagram_reach_raw!$B$4:$B1000)</f>
        <v>121</v>
      </c>
    </row>
    <row r="149">
      <c r="A149" s="28">
        <f>Instagram_reach_raw!$A151</f>
        <v>45621</v>
      </c>
      <c r="B149" s="29">
        <f>Instagram_interactions_raw!$A151</f>
        <v>45621</v>
      </c>
      <c r="C149" s="26" t="str">
        <f t="shared" si="1"/>
        <v>Instagram</v>
      </c>
      <c r="D149" s="26">
        <f t="array" ref="D149">XLOOKUP($A149,Instagram_follows_raw!$A$4:$A1000,Instagram_follows_raw!$B$4:$B1000)</f>
        <v>1</v>
      </c>
      <c r="E149" s="26">
        <f t="array" ref="E149">XLOOKUP($A149,Instagram_interactions_raw!$A$4:$A1000,Instagram_interactions_raw!$B$4:$B1000)</f>
        <v>3</v>
      </c>
      <c r="F149" s="26">
        <f t="array" ref="F149">XLOOKUP($A149,Instagram_reach_raw!$A$4:$A1000,Instagram_reach_raw!$B$4:$B1000)</f>
        <v>77</v>
      </c>
    </row>
    <row r="150">
      <c r="A150" s="28">
        <f>Instagram_reach_raw!$A152</f>
        <v>45622</v>
      </c>
      <c r="B150" s="29">
        <f>Instagram_interactions_raw!$A152</f>
        <v>45622</v>
      </c>
      <c r="C150" s="26" t="str">
        <f t="shared" si="1"/>
        <v>Instagram</v>
      </c>
      <c r="D150" s="26" t="str">
        <f t="array" ref="D150">XLOOKUP($A150,Instagram_follows_raw!$A$4:$A1000,Instagram_follows_raw!$B$4:$B1000)</f>
        <v>#N/A</v>
      </c>
      <c r="E150" s="26">
        <f t="array" ref="E150">XLOOKUP($A150,Instagram_interactions_raw!$A$4:$A1000,Instagram_interactions_raw!$B$4:$B1000)</f>
        <v>2</v>
      </c>
      <c r="F150" s="26">
        <f t="array" ref="F150">XLOOKUP($A150,Instagram_reach_raw!$A$4:$A1000,Instagram_reach_raw!$B$4:$B1000)</f>
        <v>349</v>
      </c>
    </row>
    <row r="151">
      <c r="A151" s="28">
        <f>Instagram_reach_raw!$A153</f>
        <v>45623</v>
      </c>
      <c r="B151" s="29">
        <f>Instagram_interactions_raw!$A153</f>
        <v>45623</v>
      </c>
      <c r="C151" s="26" t="str">
        <f t="shared" si="1"/>
        <v>Instagram</v>
      </c>
      <c r="D151" s="26">
        <f t="array" ref="D151">XLOOKUP($A151,Instagram_follows_raw!$A$4:$A1000,Instagram_follows_raw!$B$4:$B1000)</f>
        <v>2</v>
      </c>
      <c r="E151" s="26">
        <f t="array" ref="E151">XLOOKUP($A151,Instagram_interactions_raw!$A$4:$A1000,Instagram_interactions_raw!$B$4:$B1000)</f>
        <v>2</v>
      </c>
      <c r="F151" s="26">
        <f t="array" ref="F151">XLOOKUP($A151,Instagram_reach_raw!$A$4:$A1000,Instagram_reach_raw!$B$4:$B1000)</f>
        <v>95</v>
      </c>
    </row>
    <row r="152">
      <c r="A152" s="28">
        <f>Instagram_reach_raw!$A154</f>
        <v>45624</v>
      </c>
      <c r="B152" s="29">
        <f>Instagram_interactions_raw!$A154</f>
        <v>45624</v>
      </c>
      <c r="C152" s="26" t="str">
        <f t="shared" si="1"/>
        <v>Instagram</v>
      </c>
      <c r="D152" s="26">
        <f t="array" ref="D152">XLOOKUP($A152,Instagram_follows_raw!$A$4:$A1000,Instagram_follows_raw!$B$4:$B1000)</f>
        <v>2</v>
      </c>
      <c r="E152" s="26">
        <f t="array" ref="E152">XLOOKUP($A152,Instagram_interactions_raw!$A$4:$A1000,Instagram_interactions_raw!$B$4:$B1000)</f>
        <v>80</v>
      </c>
      <c r="F152" s="26">
        <f t="array" ref="F152">XLOOKUP($A152,Instagram_reach_raw!$A$4:$A1000,Instagram_reach_raw!$B$4:$B1000)</f>
        <v>890</v>
      </c>
    </row>
    <row r="153">
      <c r="A153" s="28">
        <f>Instagram_reach_raw!$A155</f>
        <v>45625</v>
      </c>
      <c r="B153" s="29">
        <f>Instagram_interactions_raw!$A155</f>
        <v>45625</v>
      </c>
      <c r="C153" s="26" t="str">
        <f t="shared" si="1"/>
        <v>Instagram</v>
      </c>
      <c r="D153" s="26">
        <f t="array" ref="D153">XLOOKUP($A153,Instagram_follows_raw!$A$4:$A1000,Instagram_follows_raw!$B$4:$B1000)</f>
        <v>1</v>
      </c>
      <c r="E153" s="26">
        <f t="array" ref="E153">XLOOKUP($A153,Instagram_interactions_raw!$A$4:$A1000,Instagram_interactions_raw!$B$4:$B1000)</f>
        <v>45</v>
      </c>
      <c r="F153" s="26">
        <f t="array" ref="F153">XLOOKUP($A153,Instagram_reach_raw!$A$4:$A1000,Instagram_reach_raw!$B$4:$B1000)</f>
        <v>1830</v>
      </c>
    </row>
    <row r="154">
      <c r="A154" s="28">
        <f>Instagram_reach_raw!$A156</f>
        <v>45626</v>
      </c>
      <c r="B154" s="29">
        <f>Instagram_interactions_raw!$A156</f>
        <v>45626</v>
      </c>
      <c r="C154" s="26" t="str">
        <f t="shared" si="1"/>
        <v>Instagram</v>
      </c>
      <c r="D154" s="26">
        <f t="array" ref="D154">XLOOKUP($A154,Instagram_follows_raw!$A$4:$A1000,Instagram_follows_raw!$B$4:$B1000)</f>
        <v>2</v>
      </c>
      <c r="E154" s="26">
        <f t="array" ref="E154">XLOOKUP($A154,Instagram_interactions_raw!$A$4:$A1000,Instagram_interactions_raw!$B$4:$B1000)</f>
        <v>8</v>
      </c>
      <c r="F154" s="26">
        <f t="array" ref="F154">XLOOKUP($A154,Instagram_reach_raw!$A$4:$A1000,Instagram_reach_raw!$B$4:$B1000)</f>
        <v>320</v>
      </c>
    </row>
    <row r="155">
      <c r="A155" s="28">
        <f>Instagram_reach_raw!$A157</f>
        <v>45627</v>
      </c>
      <c r="B155" s="29">
        <f>Instagram_interactions_raw!$A157</f>
        <v>45627</v>
      </c>
      <c r="C155" s="26" t="str">
        <f t="shared" si="1"/>
        <v>Instagram</v>
      </c>
      <c r="D155" s="26">
        <f t="array" ref="D155">XLOOKUP($A155,Instagram_follows_raw!$A$4:$A1000,Instagram_follows_raw!$B$4:$B1000)</f>
        <v>1</v>
      </c>
      <c r="E155" s="26">
        <f t="array" ref="E155">XLOOKUP($A155,Instagram_interactions_raw!$A$4:$A1000,Instagram_interactions_raw!$B$4:$B1000)</f>
        <v>10</v>
      </c>
      <c r="F155" s="26">
        <f t="array" ref="F155">XLOOKUP($A155,Instagram_reach_raw!$A$4:$A1000,Instagram_reach_raw!$B$4:$B1000)</f>
        <v>85</v>
      </c>
    </row>
    <row r="156">
      <c r="A156" s="28">
        <f>Instagram_reach_raw!$A158</f>
        <v>45628</v>
      </c>
      <c r="B156" s="29">
        <f>Instagram_interactions_raw!$A158</f>
        <v>45628</v>
      </c>
      <c r="C156" s="26" t="str">
        <f t="shared" si="1"/>
        <v>Instagram</v>
      </c>
      <c r="D156" s="26">
        <f t="array" ref="D156">XLOOKUP($A156,Instagram_follows_raw!$A$4:$A1000,Instagram_follows_raw!$B$4:$B1000)</f>
        <v>2</v>
      </c>
      <c r="E156" s="26">
        <f t="array" ref="E156">XLOOKUP($A156,Instagram_interactions_raw!$A$4:$A1000,Instagram_interactions_raw!$B$4:$B1000)</f>
        <v>50</v>
      </c>
      <c r="F156" s="26">
        <f t="array" ref="F156">XLOOKUP($A156,Instagram_reach_raw!$A$4:$A1000,Instagram_reach_raw!$B$4:$B1000)</f>
        <v>974</v>
      </c>
    </row>
    <row r="157">
      <c r="A157" s="28">
        <f>Instagram_reach_raw!$A159</f>
        <v>45629</v>
      </c>
      <c r="B157" s="29">
        <f>Instagram_interactions_raw!$A159</f>
        <v>45629</v>
      </c>
      <c r="C157" s="26" t="str">
        <f t="shared" si="1"/>
        <v>Instagram</v>
      </c>
      <c r="D157" s="26">
        <f t="array" ref="D157">XLOOKUP($A157,Instagram_follows_raw!$A$4:$A1000,Instagram_follows_raw!$B$4:$B1000)</f>
        <v>45</v>
      </c>
      <c r="E157" s="26">
        <f t="array" ref="E157">XLOOKUP($A157,Instagram_interactions_raw!$A$4:$A1000,Instagram_interactions_raw!$B$4:$B1000)</f>
        <v>83</v>
      </c>
      <c r="F157" s="26">
        <f t="array" ref="F157">XLOOKUP($A157,Instagram_reach_raw!$A$4:$A1000,Instagram_reach_raw!$B$4:$B1000)</f>
        <v>1487</v>
      </c>
    </row>
    <row r="158">
      <c r="A158" s="28">
        <f>Instagram_reach_raw!$A160</f>
        <v>45630</v>
      </c>
      <c r="B158" s="29">
        <f>Instagram_interactions_raw!$A160</f>
        <v>45630</v>
      </c>
      <c r="C158" s="26" t="str">
        <f t="shared" si="1"/>
        <v>Instagram</v>
      </c>
      <c r="D158" s="26">
        <f t="array" ref="D158">XLOOKUP($A158,Instagram_follows_raw!$A$4:$A1000,Instagram_follows_raw!$B$4:$B1000)</f>
        <v>24</v>
      </c>
      <c r="E158" s="26">
        <f t="array" ref="E158">XLOOKUP($A158,Instagram_interactions_raw!$A$4:$A1000,Instagram_interactions_raw!$B$4:$B1000)</f>
        <v>48</v>
      </c>
      <c r="F158" s="26">
        <f t="array" ref="F158">XLOOKUP($A158,Instagram_reach_raw!$A$4:$A1000,Instagram_reach_raw!$B$4:$B1000)</f>
        <v>1412</v>
      </c>
    </row>
    <row r="159">
      <c r="A159" s="28">
        <f>Instagram_reach_raw!$A161</f>
        <v>45631</v>
      </c>
      <c r="B159" s="29">
        <f>Instagram_interactions_raw!$A161</f>
        <v>45631</v>
      </c>
      <c r="C159" s="26" t="str">
        <f t="shared" si="1"/>
        <v>Instagram</v>
      </c>
      <c r="D159" s="26">
        <f t="array" ref="D159">XLOOKUP($A159,Instagram_follows_raw!$A$4:$A1000,Instagram_follows_raw!$B$4:$B1000)</f>
        <v>4</v>
      </c>
      <c r="E159" s="26">
        <f t="array" ref="E159">XLOOKUP($A159,Instagram_interactions_raw!$A$4:$A1000,Instagram_interactions_raw!$B$4:$B1000)</f>
        <v>24</v>
      </c>
      <c r="F159" s="26">
        <f t="array" ref="F159">XLOOKUP($A159,Instagram_reach_raw!$A$4:$A1000,Instagram_reach_raw!$B$4:$B1000)</f>
        <v>564</v>
      </c>
    </row>
    <row r="160">
      <c r="A160" s="28">
        <f>Instagram_reach_raw!$A162</f>
        <v>45632</v>
      </c>
      <c r="B160" s="29">
        <f>Instagram_interactions_raw!$A162</f>
        <v>45632</v>
      </c>
      <c r="C160" s="26" t="str">
        <f t="shared" si="1"/>
        <v>Instagram</v>
      </c>
      <c r="D160" s="26">
        <f t="array" ref="D160">XLOOKUP($A160,Instagram_follows_raw!$A$4:$A1000,Instagram_follows_raw!$B$4:$B1000)</f>
        <v>2</v>
      </c>
      <c r="E160" s="26">
        <f t="array" ref="E160">XLOOKUP($A160,Instagram_interactions_raw!$A$4:$A1000,Instagram_interactions_raw!$B$4:$B1000)</f>
        <v>2</v>
      </c>
      <c r="F160" s="26">
        <f t="array" ref="F160">XLOOKUP($A160,Instagram_reach_raw!$A$4:$A1000,Instagram_reach_raw!$B$4:$B1000)</f>
        <v>1347</v>
      </c>
    </row>
    <row r="161">
      <c r="A161" s="28">
        <f>Instagram_reach_raw!$A163</f>
        <v>45633</v>
      </c>
      <c r="B161" s="29">
        <f>Instagram_interactions_raw!$A163</f>
        <v>45633</v>
      </c>
      <c r="C161" s="26" t="str">
        <f t="shared" si="1"/>
        <v>Instagram</v>
      </c>
      <c r="D161" s="26">
        <f t="array" ref="D161">XLOOKUP($A161,Instagram_follows_raw!$A$4:$A1000,Instagram_follows_raw!$B$4:$B1000)</f>
        <v>5</v>
      </c>
      <c r="E161" s="26">
        <f t="array" ref="E161">XLOOKUP($A161,Instagram_interactions_raw!$A$4:$A1000,Instagram_interactions_raw!$B$4:$B1000)</f>
        <v>4</v>
      </c>
      <c r="F161" s="26">
        <f t="array" ref="F161">XLOOKUP($A161,Instagram_reach_raw!$A$4:$A1000,Instagram_reach_raw!$B$4:$B1000)</f>
        <v>588</v>
      </c>
    </row>
    <row r="162">
      <c r="A162" s="28">
        <f>Instagram_reach_raw!$A164</f>
        <v>45634</v>
      </c>
      <c r="B162" s="29">
        <f>Instagram_interactions_raw!$A164</f>
        <v>45634</v>
      </c>
      <c r="C162" s="26" t="str">
        <f t="shared" si="1"/>
        <v>Instagram</v>
      </c>
      <c r="D162" s="26">
        <f t="array" ref="D162">XLOOKUP($A162,Instagram_follows_raw!$A$4:$A1000,Instagram_follows_raw!$B$4:$B1000)</f>
        <v>1</v>
      </c>
      <c r="E162" s="26">
        <f t="array" ref="E162">XLOOKUP($A162,Instagram_interactions_raw!$A$4:$A1000,Instagram_interactions_raw!$B$4:$B1000)</f>
        <v>7</v>
      </c>
      <c r="F162" s="26">
        <f t="array" ref="F162">XLOOKUP($A162,Instagram_reach_raw!$A$4:$A1000,Instagram_reach_raw!$B$4:$B1000)</f>
        <v>277</v>
      </c>
    </row>
    <row r="163">
      <c r="A163" s="28">
        <f>Instagram_reach_raw!$A165</f>
        <v>45635</v>
      </c>
      <c r="B163" s="29">
        <f>Instagram_interactions_raw!$A165</f>
        <v>45635</v>
      </c>
      <c r="C163" s="26" t="str">
        <f t="shared" si="1"/>
        <v>Instagram</v>
      </c>
      <c r="D163" s="26">
        <f t="array" ref="D163">XLOOKUP($A163,Instagram_follows_raw!$A$4:$A1000,Instagram_follows_raw!$B$4:$B1000)</f>
        <v>1</v>
      </c>
      <c r="E163" s="26">
        <f t="array" ref="E163">XLOOKUP($A163,Instagram_interactions_raw!$A$4:$A1000,Instagram_interactions_raw!$B$4:$B1000)</f>
        <v>4</v>
      </c>
      <c r="F163" s="26">
        <f t="array" ref="F163">XLOOKUP($A163,Instagram_reach_raw!$A$4:$A1000,Instagram_reach_raw!$B$4:$B1000)</f>
        <v>261</v>
      </c>
    </row>
    <row r="164">
      <c r="A164" s="28">
        <f>Instagram_reach_raw!$A166</f>
        <v>45636</v>
      </c>
      <c r="B164" s="29">
        <f>Instagram_interactions_raw!$A166</f>
        <v>45636</v>
      </c>
      <c r="C164" s="26" t="str">
        <f t="shared" si="1"/>
        <v>Instagram</v>
      </c>
      <c r="D164" s="26">
        <f t="array" ref="D164">XLOOKUP($A164,Instagram_follows_raw!$A$4:$A1000,Instagram_follows_raw!$B$4:$B1000)</f>
        <v>3</v>
      </c>
      <c r="E164" s="26">
        <f t="array" ref="E164">XLOOKUP($A164,Instagram_interactions_raw!$A$4:$A1000,Instagram_interactions_raw!$B$4:$B1000)</f>
        <v>0</v>
      </c>
      <c r="F164" s="26">
        <f t="array" ref="F164">XLOOKUP($A164,Instagram_reach_raw!$A$4:$A1000,Instagram_reach_raw!$B$4:$B1000)</f>
        <v>214</v>
      </c>
    </row>
    <row r="165">
      <c r="A165" s="28">
        <f>Instagram_reach_raw!$A167</f>
        <v>45637</v>
      </c>
      <c r="B165" s="29">
        <f>Instagram_interactions_raw!$A167</f>
        <v>45637</v>
      </c>
      <c r="C165" s="26" t="str">
        <f t="shared" si="1"/>
        <v>Instagram</v>
      </c>
      <c r="D165" s="26">
        <f t="array" ref="D165">XLOOKUP($A165,Instagram_follows_raw!$A$4:$A1000,Instagram_follows_raw!$B$4:$B1000)</f>
        <v>2</v>
      </c>
      <c r="E165" s="26">
        <f t="array" ref="E165">XLOOKUP($A165,Instagram_interactions_raw!$A$4:$A1000,Instagram_interactions_raw!$B$4:$B1000)</f>
        <v>3</v>
      </c>
      <c r="F165" s="26">
        <f t="array" ref="F165">XLOOKUP($A165,Instagram_reach_raw!$A$4:$A1000,Instagram_reach_raw!$B$4:$B1000)</f>
        <v>468</v>
      </c>
    </row>
    <row r="166">
      <c r="A166" s="28">
        <f>Instagram_reach_raw!$A168</f>
        <v>45638</v>
      </c>
      <c r="B166" s="29">
        <f>Instagram_interactions_raw!$A168</f>
        <v>45638</v>
      </c>
      <c r="C166" s="26" t="str">
        <f t="shared" si="1"/>
        <v>Instagram</v>
      </c>
      <c r="D166" s="26">
        <f t="array" ref="D166">XLOOKUP($A166,Instagram_follows_raw!$A$4:$A1000,Instagram_follows_raw!$B$4:$B1000)</f>
        <v>1</v>
      </c>
      <c r="E166" s="26">
        <f t="array" ref="E166">XLOOKUP($A166,Instagram_interactions_raw!$A$4:$A1000,Instagram_interactions_raw!$B$4:$B1000)</f>
        <v>35</v>
      </c>
      <c r="F166" s="26">
        <f t="array" ref="F166">XLOOKUP($A166,Instagram_reach_raw!$A$4:$A1000,Instagram_reach_raw!$B$4:$B1000)</f>
        <v>1604</v>
      </c>
    </row>
    <row r="167">
      <c r="A167" s="28">
        <f>Instagram_reach_raw!$A169</f>
        <v>45639</v>
      </c>
      <c r="B167" s="29">
        <f>Instagram_interactions_raw!$A169</f>
        <v>45639</v>
      </c>
      <c r="C167" s="26" t="str">
        <f t="shared" si="1"/>
        <v>Instagram</v>
      </c>
      <c r="D167" s="26">
        <f t="array" ref="D167">XLOOKUP($A167,Instagram_follows_raw!$A$4:$A1000,Instagram_follows_raw!$B$4:$B1000)</f>
        <v>1</v>
      </c>
      <c r="E167" s="26">
        <f t="array" ref="E167">XLOOKUP($A167,Instagram_interactions_raw!$A$4:$A1000,Instagram_interactions_raw!$B$4:$B1000)</f>
        <v>15</v>
      </c>
      <c r="F167" s="26">
        <f t="array" ref="F167">XLOOKUP($A167,Instagram_reach_raw!$A$4:$A1000,Instagram_reach_raw!$B$4:$B1000)</f>
        <v>800</v>
      </c>
    </row>
    <row r="168">
      <c r="A168" s="28">
        <f>Instagram_reach_raw!$A170</f>
        <v>45640</v>
      </c>
      <c r="B168" s="29">
        <f>Instagram_interactions_raw!$A170</f>
        <v>45640</v>
      </c>
      <c r="C168" s="26" t="str">
        <f t="shared" si="1"/>
        <v>Instagram</v>
      </c>
      <c r="D168" s="26">
        <f t="array" ref="D168">XLOOKUP($A168,Instagram_follows_raw!$A$4:$A1000,Instagram_follows_raw!$B$4:$B1000)</f>
        <v>3</v>
      </c>
      <c r="E168" s="26">
        <f t="array" ref="E168">XLOOKUP($A168,Instagram_interactions_raw!$A$4:$A1000,Instagram_interactions_raw!$B$4:$B1000)</f>
        <v>6</v>
      </c>
      <c r="F168" s="26">
        <f t="array" ref="F168">XLOOKUP($A168,Instagram_reach_raw!$A$4:$A1000,Instagram_reach_raw!$B$4:$B1000)</f>
        <v>448</v>
      </c>
    </row>
    <row r="169">
      <c r="A169" s="28">
        <f>Instagram_reach_raw!$A171</f>
        <v>45641</v>
      </c>
      <c r="B169" s="29">
        <f>Instagram_interactions_raw!$A171</f>
        <v>45641</v>
      </c>
      <c r="C169" s="26" t="str">
        <f t="shared" si="1"/>
        <v>Instagram</v>
      </c>
      <c r="D169" s="26">
        <f t="array" ref="D169">XLOOKUP($A169,Instagram_follows_raw!$A$4:$A1000,Instagram_follows_raw!$B$4:$B1000)</f>
        <v>2</v>
      </c>
      <c r="E169" s="26">
        <f t="array" ref="E169">XLOOKUP($A169,Instagram_interactions_raw!$A$4:$A1000,Instagram_interactions_raw!$B$4:$B1000)</f>
        <v>5</v>
      </c>
      <c r="F169" s="26">
        <f t="array" ref="F169">XLOOKUP($A169,Instagram_reach_raw!$A$4:$A1000,Instagram_reach_raw!$B$4:$B1000)</f>
        <v>580</v>
      </c>
    </row>
    <row r="170">
      <c r="A170" s="28">
        <f>Instagram_reach_raw!$A172</f>
        <v>45642</v>
      </c>
      <c r="B170" s="29">
        <f>Instagram_interactions_raw!$A172</f>
        <v>45642</v>
      </c>
      <c r="C170" s="26" t="str">
        <f t="shared" si="1"/>
        <v>Instagram</v>
      </c>
      <c r="D170" s="26" t="str">
        <f t="array" ref="D170">XLOOKUP($A170,Instagram_follows_raw!$A$4:$A1000,Instagram_follows_raw!$B$4:$B1000)</f>
        <v>#N/A</v>
      </c>
      <c r="E170" s="26">
        <f t="array" ref="E170">XLOOKUP($A170,Instagram_interactions_raw!$A$4:$A1000,Instagram_interactions_raw!$B$4:$B1000)</f>
        <v>4</v>
      </c>
      <c r="F170" s="26">
        <f t="array" ref="F170">XLOOKUP($A170,Instagram_reach_raw!$A$4:$A1000,Instagram_reach_raw!$B$4:$B1000)</f>
        <v>277</v>
      </c>
    </row>
    <row r="171">
      <c r="A171" s="28">
        <f>Instagram_reach_raw!$A173</f>
        <v>45643</v>
      </c>
      <c r="B171" s="29">
        <f>Instagram_interactions_raw!$A173</f>
        <v>45643</v>
      </c>
      <c r="C171" s="26" t="str">
        <f t="shared" si="1"/>
        <v>Instagram</v>
      </c>
      <c r="D171" s="26" t="str">
        <f t="array" ref="D171">XLOOKUP($A171,Instagram_follows_raw!$A$4:$A1000,Instagram_follows_raw!$B$4:$B1000)</f>
        <v>#N/A</v>
      </c>
      <c r="E171" s="26">
        <f t="array" ref="E171">XLOOKUP($A171,Instagram_interactions_raw!$A$4:$A1000,Instagram_interactions_raw!$B$4:$B1000)</f>
        <v>4</v>
      </c>
      <c r="F171" s="26">
        <f t="array" ref="F171">XLOOKUP($A171,Instagram_reach_raw!$A$4:$A1000,Instagram_reach_raw!$B$4:$B1000)</f>
        <v>1018</v>
      </c>
    </row>
    <row r="172">
      <c r="A172" s="28">
        <f>Instagram_reach_raw!$A174</f>
        <v>45644</v>
      </c>
      <c r="B172" s="29">
        <f>Instagram_interactions_raw!$A174</f>
        <v>45644</v>
      </c>
      <c r="C172" s="26" t="str">
        <f t="shared" si="1"/>
        <v>Instagram</v>
      </c>
      <c r="D172" s="26" t="str">
        <f t="array" ref="D172">XLOOKUP($A172,Instagram_follows_raw!$A$4:$A1000,Instagram_follows_raw!$B$4:$B1000)</f>
        <v>#N/A</v>
      </c>
      <c r="E172" s="26">
        <f t="array" ref="E172">XLOOKUP($A172,Instagram_interactions_raw!$A$4:$A1000,Instagram_interactions_raw!$B$4:$B1000)</f>
        <v>79</v>
      </c>
      <c r="F172" s="26">
        <f t="array" ref="F172">XLOOKUP($A172,Instagram_reach_raw!$A$4:$A1000,Instagram_reach_raw!$B$4:$B1000)</f>
        <v>1212</v>
      </c>
    </row>
    <row r="173">
      <c r="A173" s="28">
        <f>Instagram_reach_raw!$A175</f>
        <v>45645</v>
      </c>
      <c r="B173" s="29">
        <f>Instagram_interactions_raw!$A175</f>
        <v>45645</v>
      </c>
      <c r="C173" s="26" t="str">
        <f t="shared" si="1"/>
        <v>Instagram</v>
      </c>
      <c r="D173" s="26">
        <f t="array" ref="D173">XLOOKUP($A173,Instagram_follows_raw!$A$4:$A1000,Instagram_follows_raw!$B$4:$B1000)</f>
        <v>1</v>
      </c>
      <c r="E173" s="26">
        <f t="array" ref="E173">XLOOKUP($A173,Instagram_interactions_raw!$A$4:$A1000,Instagram_interactions_raw!$B$4:$B1000)</f>
        <v>19</v>
      </c>
      <c r="F173" s="26">
        <f t="array" ref="F173">XLOOKUP($A173,Instagram_reach_raw!$A$4:$A1000,Instagram_reach_raw!$B$4:$B1000)</f>
        <v>668</v>
      </c>
    </row>
    <row r="174">
      <c r="A174" s="28">
        <f>Instagram_reach_raw!$A176</f>
        <v>45646</v>
      </c>
      <c r="B174" s="29">
        <f>Instagram_interactions_raw!$A176</f>
        <v>45646</v>
      </c>
      <c r="C174" s="26" t="str">
        <f t="shared" si="1"/>
        <v>Instagram</v>
      </c>
      <c r="D174" s="26">
        <f t="array" ref="D174">XLOOKUP($A174,Instagram_follows_raw!$A$4:$A1000,Instagram_follows_raw!$B$4:$B1000)</f>
        <v>1</v>
      </c>
      <c r="E174" s="26">
        <f t="array" ref="E174">XLOOKUP($A174,Instagram_interactions_raw!$A$4:$A1000,Instagram_interactions_raw!$B$4:$B1000)</f>
        <v>56</v>
      </c>
      <c r="F174" s="26">
        <f t="array" ref="F174">XLOOKUP($A174,Instagram_reach_raw!$A$4:$A1000,Instagram_reach_raw!$B$4:$B1000)</f>
        <v>716</v>
      </c>
    </row>
    <row r="175">
      <c r="A175" s="28">
        <f>Instagram_reach_raw!$A177</f>
        <v>45647</v>
      </c>
      <c r="B175" s="29">
        <f>Instagram_interactions_raw!$A177</f>
        <v>45647</v>
      </c>
      <c r="C175" s="26" t="str">
        <f t="shared" si="1"/>
        <v>Instagram</v>
      </c>
      <c r="D175" s="26">
        <f t="array" ref="D175">XLOOKUP($A175,Instagram_follows_raw!$A$4:$A1000,Instagram_follows_raw!$B$4:$B1000)</f>
        <v>2</v>
      </c>
      <c r="E175" s="26">
        <f t="array" ref="E175">XLOOKUP($A175,Instagram_interactions_raw!$A$4:$A1000,Instagram_interactions_raw!$B$4:$B1000)</f>
        <v>18</v>
      </c>
      <c r="F175" s="26">
        <f t="array" ref="F175">XLOOKUP($A175,Instagram_reach_raw!$A$4:$A1000,Instagram_reach_raw!$B$4:$B1000)</f>
        <v>650</v>
      </c>
    </row>
    <row r="176">
      <c r="A176" s="28">
        <f>Instagram_reach_raw!$A178</f>
        <v>45648</v>
      </c>
      <c r="B176" s="29">
        <f>Instagram_interactions_raw!$A178</f>
        <v>45648</v>
      </c>
      <c r="C176" s="26" t="str">
        <f t="shared" si="1"/>
        <v>Instagram</v>
      </c>
      <c r="D176" s="26">
        <f t="array" ref="D176">XLOOKUP($A176,Instagram_follows_raw!$A$4:$A1000,Instagram_follows_raw!$B$4:$B1000)</f>
        <v>1</v>
      </c>
      <c r="E176" s="26">
        <f t="array" ref="E176">XLOOKUP($A176,Instagram_interactions_raw!$A$4:$A1000,Instagram_interactions_raw!$B$4:$B1000)</f>
        <v>97</v>
      </c>
      <c r="F176" s="26">
        <f t="array" ref="F176">XLOOKUP($A176,Instagram_reach_raw!$A$4:$A1000,Instagram_reach_raw!$B$4:$B1000)</f>
        <v>1303</v>
      </c>
    </row>
    <row r="177">
      <c r="A177" s="28">
        <f>Instagram_reach_raw!$A179</f>
        <v>45649</v>
      </c>
      <c r="B177" s="29">
        <f>Instagram_interactions_raw!$A179</f>
        <v>45649</v>
      </c>
      <c r="C177" s="26" t="str">
        <f t="shared" si="1"/>
        <v>Instagram</v>
      </c>
      <c r="D177" s="26">
        <f t="array" ref="D177">XLOOKUP($A177,Instagram_follows_raw!$A$4:$A1000,Instagram_follows_raw!$B$4:$B1000)</f>
        <v>2</v>
      </c>
      <c r="E177" s="26">
        <f t="array" ref="E177">XLOOKUP($A177,Instagram_interactions_raw!$A$4:$A1000,Instagram_interactions_raw!$B$4:$B1000)</f>
        <v>27</v>
      </c>
      <c r="F177" s="26">
        <f t="array" ref="F177">XLOOKUP($A177,Instagram_reach_raw!$A$4:$A1000,Instagram_reach_raw!$B$4:$B1000)</f>
        <v>682</v>
      </c>
    </row>
    <row r="178">
      <c r="A178" s="28">
        <f>Instagram_reach_raw!$A180</f>
        <v>45650</v>
      </c>
      <c r="B178" s="29">
        <f>Instagram_interactions_raw!$A180</f>
        <v>45650</v>
      </c>
      <c r="C178" s="26" t="str">
        <f t="shared" si="1"/>
        <v>Instagram</v>
      </c>
      <c r="D178" s="26">
        <f t="array" ref="D178">XLOOKUP($A178,Instagram_follows_raw!$A$4:$A1000,Instagram_follows_raw!$B$4:$B1000)</f>
        <v>1</v>
      </c>
      <c r="E178" s="26">
        <f t="array" ref="E178">XLOOKUP($A178,Instagram_interactions_raw!$A$4:$A1000,Instagram_interactions_raw!$B$4:$B1000)</f>
        <v>10</v>
      </c>
      <c r="F178" s="26">
        <f t="array" ref="F178">XLOOKUP($A178,Instagram_reach_raw!$A$4:$A1000,Instagram_reach_raw!$B$4:$B1000)</f>
        <v>276</v>
      </c>
    </row>
    <row r="179">
      <c r="A179" s="28">
        <f>Instagram_reach_raw!$A181</f>
        <v>45651</v>
      </c>
      <c r="B179" s="29">
        <f>Instagram_interactions_raw!$A181</f>
        <v>45651</v>
      </c>
      <c r="C179" s="26" t="str">
        <f t="shared" si="1"/>
        <v>Instagram</v>
      </c>
      <c r="D179" s="26" t="str">
        <f t="array" ref="D179">XLOOKUP($A179,Instagram_follows_raw!$A$4:$A1000,Instagram_follows_raw!$B$4:$B1000)</f>
        <v>#N/A</v>
      </c>
      <c r="E179" s="26">
        <f t="array" ref="E179">XLOOKUP($A179,Instagram_interactions_raw!$A$4:$A1000,Instagram_interactions_raw!$B$4:$B1000)</f>
        <v>7</v>
      </c>
      <c r="F179" s="26">
        <f t="array" ref="F179">XLOOKUP($A179,Instagram_reach_raw!$A$4:$A1000,Instagram_reach_raw!$B$4:$B1000)</f>
        <v>409</v>
      </c>
    </row>
    <row r="180">
      <c r="A180" s="28">
        <f>Instagram_reach_raw!$A182</f>
        <v>45652</v>
      </c>
      <c r="B180" s="29">
        <f>Instagram_interactions_raw!$A182</f>
        <v>45652</v>
      </c>
      <c r="C180" s="26" t="str">
        <f t="shared" si="1"/>
        <v>Instagram</v>
      </c>
      <c r="D180" s="26">
        <f t="array" ref="D180">XLOOKUP($A180,Instagram_follows_raw!$A$4:$A1000,Instagram_follows_raw!$B$4:$B1000)</f>
        <v>1</v>
      </c>
      <c r="E180" s="26">
        <f t="array" ref="E180">XLOOKUP($A180,Instagram_interactions_raw!$A$4:$A1000,Instagram_interactions_raw!$B$4:$B1000)</f>
        <v>2</v>
      </c>
      <c r="F180" s="26">
        <f t="array" ref="F180">XLOOKUP($A180,Instagram_reach_raw!$A$4:$A1000,Instagram_reach_raw!$B$4:$B1000)</f>
        <v>348</v>
      </c>
    </row>
    <row r="181">
      <c r="A181" s="28">
        <f>Instagram_reach_raw!$A183</f>
        <v>45653</v>
      </c>
      <c r="B181" s="29">
        <f>Instagram_interactions_raw!$A183</f>
        <v>45653</v>
      </c>
      <c r="C181" s="26" t="str">
        <f t="shared" si="1"/>
        <v>Instagram</v>
      </c>
      <c r="D181" s="26">
        <f t="array" ref="D181">XLOOKUP($A181,Instagram_follows_raw!$A$4:$A1000,Instagram_follows_raw!$B$4:$B1000)</f>
        <v>3</v>
      </c>
      <c r="E181" s="26">
        <f t="array" ref="E181">XLOOKUP($A181,Instagram_interactions_raw!$A$4:$A1000,Instagram_interactions_raw!$B$4:$B1000)</f>
        <v>1</v>
      </c>
      <c r="F181" s="26">
        <f t="array" ref="F181">XLOOKUP($A181,Instagram_reach_raw!$A$4:$A1000,Instagram_reach_raw!$B$4:$B1000)</f>
        <v>284</v>
      </c>
    </row>
    <row r="182">
      <c r="A182" s="28">
        <f>Instagram_reach_raw!$A184</f>
        <v>45654</v>
      </c>
      <c r="B182" s="29">
        <f>Instagram_interactions_raw!$A184</f>
        <v>45654</v>
      </c>
      <c r="C182" s="26" t="str">
        <f t="shared" si="1"/>
        <v>Instagram</v>
      </c>
      <c r="D182" s="26">
        <f t="array" ref="D182">XLOOKUP($A182,Instagram_follows_raw!$A$4:$A1000,Instagram_follows_raw!$B$4:$B1000)</f>
        <v>2</v>
      </c>
      <c r="E182" s="26">
        <f t="array" ref="E182">XLOOKUP($A182,Instagram_interactions_raw!$A$4:$A1000,Instagram_interactions_raw!$B$4:$B1000)</f>
        <v>4</v>
      </c>
      <c r="F182" s="26">
        <f t="array" ref="F182">XLOOKUP($A182,Instagram_reach_raw!$A$4:$A1000,Instagram_reach_raw!$B$4:$B1000)</f>
        <v>727</v>
      </c>
    </row>
    <row r="183">
      <c r="A183" s="28">
        <f>Instagram_reach_raw!$A185</f>
        <v>45655</v>
      </c>
      <c r="B183" s="29">
        <f>Instagram_interactions_raw!$A185</f>
        <v>45655</v>
      </c>
      <c r="C183" s="26" t="str">
        <f t="shared" si="1"/>
        <v>Instagram</v>
      </c>
      <c r="D183" s="26">
        <f t="array" ref="D183">XLOOKUP($A183,Instagram_follows_raw!$A$4:$A1000,Instagram_follows_raw!$B$4:$B1000)</f>
        <v>1</v>
      </c>
      <c r="E183" s="26">
        <f t="array" ref="E183">XLOOKUP($A183,Instagram_interactions_raw!$A$4:$A1000,Instagram_interactions_raw!$B$4:$B1000)</f>
        <v>3</v>
      </c>
      <c r="F183" s="26">
        <f t="array" ref="F183">XLOOKUP($A183,Instagram_reach_raw!$A$4:$A1000,Instagram_reach_raw!$B$4:$B1000)</f>
        <v>672</v>
      </c>
    </row>
    <row r="184">
      <c r="A184" s="28">
        <f>Instagram_reach_raw!$A186</f>
        <v>45656</v>
      </c>
      <c r="B184" s="29">
        <f>Instagram_interactions_raw!$A186</f>
        <v>45656</v>
      </c>
      <c r="C184" s="26" t="str">
        <f t="shared" si="1"/>
        <v>Instagram</v>
      </c>
      <c r="D184" s="26">
        <f t="array" ref="D184">XLOOKUP($A184,Instagram_follows_raw!$A$4:$A1000,Instagram_follows_raw!$B$4:$B1000)</f>
        <v>1</v>
      </c>
      <c r="E184" s="26">
        <f t="array" ref="E184">XLOOKUP($A184,Instagram_interactions_raw!$A$4:$A1000,Instagram_interactions_raw!$B$4:$B1000)</f>
        <v>4</v>
      </c>
      <c r="F184" s="26">
        <f t="array" ref="F184">XLOOKUP($A184,Instagram_reach_raw!$A$4:$A1000,Instagram_reach_raw!$B$4:$B1000)</f>
        <v>569</v>
      </c>
    </row>
    <row r="185">
      <c r="A185" s="28">
        <f>Instagram_reach_raw!$A187</f>
        <v>45657</v>
      </c>
      <c r="B185" s="29">
        <f>Instagram_interactions_raw!$A187</f>
        <v>45657</v>
      </c>
      <c r="C185" s="26" t="str">
        <f t="shared" si="1"/>
        <v>Instagram</v>
      </c>
      <c r="D185" s="26">
        <f t="array" ref="D185">XLOOKUP($A185,Instagram_follows_raw!$A$4:$A1000,Instagram_follows_raw!$B$4:$B1000)</f>
        <v>2</v>
      </c>
      <c r="E185" s="26">
        <f t="array" ref="E185">XLOOKUP($A185,Instagram_interactions_raw!$A$4:$A1000,Instagram_interactions_raw!$B$4:$B1000)</f>
        <v>3</v>
      </c>
      <c r="F185" s="26">
        <f t="array" ref="F185">XLOOKUP($A185,Instagram_reach_raw!$A$4:$A1000,Instagram_reach_raw!$B$4:$B1000)</f>
        <v>470</v>
      </c>
    </row>
    <row r="186">
      <c r="A186" s="28">
        <f>Instagram_reach_raw!$A188</f>
        <v>45658</v>
      </c>
      <c r="B186" s="29">
        <f>Instagram_interactions_raw!$A188</f>
        <v>45658</v>
      </c>
      <c r="C186" s="26" t="str">
        <f t="shared" si="1"/>
        <v>Instagram</v>
      </c>
      <c r="D186" s="26">
        <f t="array" ref="D186">XLOOKUP($A186,Instagram_follows_raw!$A$4:$A1000,Instagram_follows_raw!$B$4:$B1000)</f>
        <v>4</v>
      </c>
      <c r="E186" s="26">
        <f t="array" ref="E186">XLOOKUP($A186,Instagram_interactions_raw!$A$4:$A1000,Instagram_interactions_raw!$B$4:$B1000)</f>
        <v>1</v>
      </c>
      <c r="F186" s="26">
        <f t="array" ref="F186">XLOOKUP($A186,Instagram_reach_raw!$A$4:$A1000,Instagram_reach_raw!$B$4:$B1000)</f>
        <v>207</v>
      </c>
    </row>
    <row r="187">
      <c r="A187" s="28">
        <f>Instagram_reach_raw!$A189</f>
        <v>45659</v>
      </c>
      <c r="B187" s="29">
        <f>Instagram_interactions_raw!$A189</f>
        <v>45659</v>
      </c>
      <c r="C187" s="26" t="str">
        <f t="shared" si="1"/>
        <v>Instagram</v>
      </c>
      <c r="D187" s="26">
        <f t="array" ref="D187">XLOOKUP($A187,Instagram_follows_raw!$A$4:$A1000,Instagram_follows_raw!$B$4:$B1000)</f>
        <v>1</v>
      </c>
      <c r="E187" s="26">
        <f t="array" ref="E187">XLOOKUP($A187,Instagram_interactions_raw!$A$4:$A1000,Instagram_interactions_raw!$B$4:$B1000)</f>
        <v>48</v>
      </c>
      <c r="F187" s="26">
        <f t="array" ref="F187">XLOOKUP($A187,Instagram_reach_raw!$A$4:$A1000,Instagram_reach_raw!$B$4:$B1000)</f>
        <v>849</v>
      </c>
    </row>
    <row r="188">
      <c r="A188" s="28">
        <f>Instagram_reach_raw!$A190</f>
        <v>45660</v>
      </c>
      <c r="B188" s="29">
        <f>Instagram_interactions_raw!$A190</f>
        <v>45660</v>
      </c>
      <c r="C188" s="26" t="str">
        <f t="shared" si="1"/>
        <v>Instagram</v>
      </c>
      <c r="D188" s="26" t="str">
        <f t="array" ref="D188">XLOOKUP($A188,Instagram_follows_raw!$A$4:$A1000,Instagram_follows_raw!$B$4:$B1000)</f>
        <v>#N/A</v>
      </c>
      <c r="E188" s="26">
        <f t="array" ref="E188">XLOOKUP($A188,Instagram_interactions_raw!$A$4:$A1000,Instagram_interactions_raw!$B$4:$B1000)</f>
        <v>19</v>
      </c>
      <c r="F188" s="26">
        <f t="array" ref="F188">XLOOKUP($A188,Instagram_reach_raw!$A$4:$A1000,Instagram_reach_raw!$B$4:$B1000)</f>
        <v>535</v>
      </c>
    </row>
    <row r="189">
      <c r="A189" s="28">
        <f>Instagram_reach_raw!$A191</f>
        <v>45661</v>
      </c>
      <c r="B189" s="29">
        <f>Instagram_interactions_raw!$A191</f>
        <v>45661</v>
      </c>
      <c r="C189" s="26" t="str">
        <f t="shared" si="1"/>
        <v>Instagram</v>
      </c>
      <c r="D189" s="26">
        <f t="array" ref="D189">XLOOKUP($A189,Instagram_follows_raw!$A$4:$A1000,Instagram_follows_raw!$B$4:$B1000)</f>
        <v>3</v>
      </c>
      <c r="E189" s="26">
        <f t="array" ref="E189">XLOOKUP($A189,Instagram_interactions_raw!$A$4:$A1000,Instagram_interactions_raw!$B$4:$B1000)</f>
        <v>11</v>
      </c>
      <c r="F189" s="26">
        <f t="array" ref="F189">XLOOKUP($A189,Instagram_reach_raw!$A$4:$A1000,Instagram_reach_raw!$B$4:$B1000)</f>
        <v>191</v>
      </c>
    </row>
    <row r="190">
      <c r="A190" s="28">
        <f>Instagram_reach_raw!$A192</f>
        <v>45662</v>
      </c>
      <c r="B190" s="29">
        <f>Instagram_interactions_raw!$A192</f>
        <v>45662</v>
      </c>
      <c r="C190" s="26" t="str">
        <f t="shared" si="1"/>
        <v>Instagram</v>
      </c>
      <c r="D190" s="26" t="str">
        <f t="array" ref="D190">XLOOKUP($A190,Instagram_follows_raw!$A$4:$A1000,Instagram_follows_raw!$B$4:$B1000)</f>
        <v>#N/A</v>
      </c>
      <c r="E190" s="26">
        <f t="array" ref="E190">XLOOKUP($A190,Instagram_interactions_raw!$A$4:$A1000,Instagram_interactions_raw!$B$4:$B1000)</f>
        <v>3</v>
      </c>
      <c r="F190" s="26">
        <f t="array" ref="F190">XLOOKUP($A190,Instagram_reach_raw!$A$4:$A1000,Instagram_reach_raw!$B$4:$B1000)</f>
        <v>95</v>
      </c>
    </row>
    <row r="191">
      <c r="A191" s="28">
        <f>Instagram_reach_raw!$A193</f>
        <v>45663</v>
      </c>
      <c r="B191" s="29">
        <f>Instagram_interactions_raw!$A193</f>
        <v>45663</v>
      </c>
      <c r="C191" s="26" t="str">
        <f t="shared" si="1"/>
        <v>Instagram</v>
      </c>
      <c r="D191" s="26">
        <f t="array" ref="D191">XLOOKUP($A191,Instagram_follows_raw!$A$4:$A1000,Instagram_follows_raw!$B$4:$B1000)</f>
        <v>4</v>
      </c>
      <c r="E191" s="26">
        <f t="array" ref="E191">XLOOKUP($A191,Instagram_interactions_raw!$A$4:$A1000,Instagram_interactions_raw!$B$4:$B1000)</f>
        <v>3</v>
      </c>
      <c r="F191" s="26">
        <f t="array" ref="F191">XLOOKUP($A191,Instagram_reach_raw!$A$4:$A1000,Instagram_reach_raw!$B$4:$B1000)</f>
        <v>119</v>
      </c>
    </row>
    <row r="192">
      <c r="A192" s="28">
        <f>Instagram_reach_raw!$A194</f>
        <v>45664</v>
      </c>
      <c r="B192" s="29">
        <f>Instagram_interactions_raw!$A194</f>
        <v>45664</v>
      </c>
      <c r="C192" s="26" t="str">
        <f t="shared" si="1"/>
        <v>Instagram</v>
      </c>
      <c r="D192" s="26">
        <f t="array" ref="D192">XLOOKUP($A192,Instagram_follows_raw!$A$4:$A1000,Instagram_follows_raw!$B$4:$B1000)</f>
        <v>2</v>
      </c>
      <c r="E192" s="26">
        <f t="array" ref="E192">XLOOKUP($A192,Instagram_interactions_raw!$A$4:$A1000,Instagram_interactions_raw!$B$4:$B1000)</f>
        <v>16</v>
      </c>
      <c r="F192" s="26">
        <f t="array" ref="F192">XLOOKUP($A192,Instagram_reach_raw!$A$4:$A1000,Instagram_reach_raw!$B$4:$B1000)</f>
        <v>337</v>
      </c>
    </row>
    <row r="193">
      <c r="A193" s="28">
        <f>Instagram_reach_raw!$A195</f>
        <v>45665</v>
      </c>
      <c r="B193" s="29">
        <f>Instagram_interactions_raw!$A195</f>
        <v>45665</v>
      </c>
      <c r="C193" s="26" t="str">
        <f t="shared" si="1"/>
        <v>Instagram</v>
      </c>
      <c r="D193" s="26">
        <f t="array" ref="D193">XLOOKUP($A193,Instagram_follows_raw!$A$4:$A1000,Instagram_follows_raw!$B$4:$B1000)</f>
        <v>2</v>
      </c>
      <c r="E193" s="26">
        <f t="array" ref="E193">XLOOKUP($A193,Instagram_interactions_raw!$A$4:$A1000,Instagram_interactions_raw!$B$4:$B1000)</f>
        <v>7</v>
      </c>
      <c r="F193" s="26">
        <f t="array" ref="F193">XLOOKUP($A193,Instagram_reach_raw!$A$4:$A1000,Instagram_reach_raw!$B$4:$B1000)</f>
        <v>172</v>
      </c>
    </row>
    <row r="194">
      <c r="A194" s="28">
        <f>Instagram_reach_raw!$A196</f>
        <v>45666</v>
      </c>
      <c r="B194" s="29">
        <f>Instagram_interactions_raw!$A196</f>
        <v>45666</v>
      </c>
      <c r="C194" s="26" t="str">
        <f t="shared" si="1"/>
        <v>Instagram</v>
      </c>
      <c r="D194" s="26">
        <f t="array" ref="D194">XLOOKUP($A194,Instagram_follows_raw!$A$4:$A1000,Instagram_follows_raw!$B$4:$B1000)</f>
        <v>2</v>
      </c>
      <c r="E194" s="26">
        <f t="array" ref="E194">XLOOKUP($A194,Instagram_interactions_raw!$A$4:$A1000,Instagram_interactions_raw!$B$4:$B1000)</f>
        <v>56</v>
      </c>
      <c r="F194" s="26">
        <f t="array" ref="F194">XLOOKUP($A194,Instagram_reach_raw!$A$4:$A1000,Instagram_reach_raw!$B$4:$B1000)</f>
        <v>762</v>
      </c>
    </row>
    <row r="195">
      <c r="A195" s="28">
        <f>Instagram_reach_raw!$A197</f>
        <v>45667</v>
      </c>
      <c r="B195" s="29">
        <f>Instagram_interactions_raw!$A197</f>
        <v>45667</v>
      </c>
      <c r="C195" s="26" t="str">
        <f t="shared" si="1"/>
        <v>Instagram</v>
      </c>
      <c r="D195" s="26">
        <f t="array" ref="D195">XLOOKUP($A195,Instagram_follows_raw!$A$4:$A1000,Instagram_follows_raw!$B$4:$B1000)</f>
        <v>2</v>
      </c>
      <c r="E195" s="26">
        <f t="array" ref="E195">XLOOKUP($A195,Instagram_interactions_raw!$A$4:$A1000,Instagram_interactions_raw!$B$4:$B1000)</f>
        <v>20</v>
      </c>
      <c r="F195" s="26">
        <f t="array" ref="F195">XLOOKUP($A195,Instagram_reach_raw!$A$4:$A1000,Instagram_reach_raw!$B$4:$B1000)</f>
        <v>338</v>
      </c>
    </row>
    <row r="196">
      <c r="A196" s="28">
        <f>Instagram_reach_raw!$A198</f>
        <v>45668</v>
      </c>
      <c r="B196" s="29">
        <f>Instagram_interactions_raw!$A198</f>
        <v>45668</v>
      </c>
      <c r="C196" s="26" t="str">
        <f t="shared" si="1"/>
        <v>Instagram</v>
      </c>
      <c r="D196" s="26">
        <f t="array" ref="D196">XLOOKUP($A196,Instagram_follows_raw!$A$4:$A1000,Instagram_follows_raw!$B$4:$B1000)</f>
        <v>1</v>
      </c>
      <c r="E196" s="26">
        <f t="array" ref="E196">XLOOKUP($A196,Instagram_interactions_raw!$A$4:$A1000,Instagram_interactions_raw!$B$4:$B1000)</f>
        <v>4</v>
      </c>
      <c r="F196" s="26">
        <f t="array" ref="F196">XLOOKUP($A196,Instagram_reach_raw!$A$4:$A1000,Instagram_reach_raw!$B$4:$B1000)</f>
        <v>129</v>
      </c>
    </row>
    <row r="197">
      <c r="A197" s="28">
        <f>Instagram_reach_raw!$A199</f>
        <v>45669</v>
      </c>
      <c r="B197" s="29">
        <f>Instagram_interactions_raw!$A199</f>
        <v>45669</v>
      </c>
      <c r="C197" s="26" t="str">
        <f t="shared" si="1"/>
        <v>Instagram</v>
      </c>
      <c r="D197" s="26">
        <f t="array" ref="D197">XLOOKUP($A197,Instagram_follows_raw!$A$4:$A1000,Instagram_follows_raw!$B$4:$B1000)</f>
        <v>1</v>
      </c>
      <c r="E197" s="26">
        <f t="array" ref="E197">XLOOKUP($A197,Instagram_interactions_raw!$A$4:$A1000,Instagram_interactions_raw!$B$4:$B1000)</f>
        <v>4</v>
      </c>
      <c r="F197" s="26">
        <f t="array" ref="F197">XLOOKUP($A197,Instagram_reach_raw!$A$4:$A1000,Instagram_reach_raw!$B$4:$B1000)</f>
        <v>123</v>
      </c>
    </row>
    <row r="198">
      <c r="A198" s="28">
        <f>Instagram_reach_raw!$A200</f>
        <v>45670</v>
      </c>
      <c r="B198" s="29">
        <f>Instagram_interactions_raw!$A200</f>
        <v>45670</v>
      </c>
      <c r="C198" s="26" t="str">
        <f t="shared" si="1"/>
        <v>Instagram</v>
      </c>
      <c r="D198" s="26">
        <f t="array" ref="D198">XLOOKUP($A198,Instagram_follows_raw!$A$4:$A1000,Instagram_follows_raw!$B$4:$B1000)</f>
        <v>1</v>
      </c>
      <c r="E198" s="26">
        <f t="array" ref="E198">XLOOKUP($A198,Instagram_interactions_raw!$A$4:$A1000,Instagram_interactions_raw!$B$4:$B1000)</f>
        <v>2</v>
      </c>
      <c r="F198" s="26">
        <f t="array" ref="F198">XLOOKUP($A198,Instagram_reach_raw!$A$4:$A1000,Instagram_reach_raw!$B$4:$B1000)</f>
        <v>79</v>
      </c>
    </row>
    <row r="199">
      <c r="A199" s="28">
        <f>Instagram_reach_raw!$A201</f>
        <v>45671</v>
      </c>
      <c r="B199" s="29">
        <f>Instagram_interactions_raw!$A201</f>
        <v>45671</v>
      </c>
      <c r="C199" s="26" t="str">
        <f t="shared" si="1"/>
        <v>Instagram</v>
      </c>
      <c r="D199" s="26">
        <f t="array" ref="D199">XLOOKUP($A199,Instagram_follows_raw!$A$4:$A1000,Instagram_follows_raw!$B$4:$B1000)</f>
        <v>1</v>
      </c>
      <c r="E199" s="26">
        <f t="array" ref="E199">XLOOKUP($A199,Instagram_interactions_raw!$A$4:$A1000,Instagram_interactions_raw!$B$4:$B1000)</f>
        <v>10</v>
      </c>
      <c r="F199" s="26">
        <f t="array" ref="F199">XLOOKUP($A199,Instagram_reach_raw!$A$4:$A1000,Instagram_reach_raw!$B$4:$B1000)</f>
        <v>287</v>
      </c>
    </row>
    <row r="200">
      <c r="A200" s="28">
        <f>Instagram_reach_raw!$A202</f>
        <v>45672</v>
      </c>
      <c r="B200" s="29">
        <f>Instagram_interactions_raw!$A202</f>
        <v>45672</v>
      </c>
      <c r="C200" s="26" t="str">
        <f t="shared" si="1"/>
        <v>Instagram</v>
      </c>
      <c r="D200" s="26">
        <f t="array" ref="D200">XLOOKUP($A200,Instagram_follows_raw!$A$4:$A1000,Instagram_follows_raw!$B$4:$B1000)</f>
        <v>2</v>
      </c>
      <c r="E200" s="26">
        <f t="array" ref="E200">XLOOKUP($A200,Instagram_interactions_raw!$A$4:$A1000,Instagram_interactions_raw!$B$4:$B1000)</f>
        <v>10</v>
      </c>
      <c r="F200" s="26">
        <f t="array" ref="F200">XLOOKUP($A200,Instagram_reach_raw!$A$4:$A1000,Instagram_reach_raw!$B$4:$B1000)</f>
        <v>143</v>
      </c>
    </row>
    <row r="201">
      <c r="A201" s="28">
        <f>Instagram_reach_raw!$A203</f>
        <v>45673</v>
      </c>
      <c r="B201" s="29">
        <f>Instagram_interactions_raw!$A203</f>
        <v>45673</v>
      </c>
      <c r="C201" s="26" t="str">
        <f t="shared" si="1"/>
        <v>Instagram</v>
      </c>
      <c r="D201" s="26">
        <f t="array" ref="D201">XLOOKUP($A201,Instagram_follows_raw!$A$4:$A1000,Instagram_follows_raw!$B$4:$B1000)</f>
        <v>6</v>
      </c>
      <c r="E201" s="26">
        <f t="array" ref="E201">XLOOKUP($A201,Instagram_interactions_raw!$A$4:$A1000,Instagram_interactions_raw!$B$4:$B1000)</f>
        <v>101</v>
      </c>
      <c r="F201" s="26">
        <f t="array" ref="F201">XLOOKUP($A201,Instagram_reach_raw!$A$4:$A1000,Instagram_reach_raw!$B$4:$B1000)</f>
        <v>1485</v>
      </c>
    </row>
    <row r="202">
      <c r="A202" s="28">
        <f>Instagram_reach_raw!$A204</f>
        <v>45674</v>
      </c>
      <c r="B202" s="29">
        <f>Instagram_interactions_raw!$A204</f>
        <v>45674</v>
      </c>
      <c r="C202" s="26" t="str">
        <f t="shared" si="1"/>
        <v>Instagram</v>
      </c>
      <c r="D202" s="26">
        <f t="array" ref="D202">XLOOKUP($A202,Instagram_follows_raw!$A$4:$A1000,Instagram_follows_raw!$B$4:$B1000)</f>
        <v>5</v>
      </c>
      <c r="E202" s="26">
        <f t="array" ref="E202">XLOOKUP($A202,Instagram_interactions_raw!$A$4:$A1000,Instagram_interactions_raw!$B$4:$B1000)</f>
        <v>62</v>
      </c>
      <c r="F202" s="26">
        <f t="array" ref="F202">XLOOKUP($A202,Instagram_reach_raw!$A$4:$A1000,Instagram_reach_raw!$B$4:$B1000)</f>
        <v>1718</v>
      </c>
    </row>
    <row r="203">
      <c r="A203" s="28">
        <f>Instagram_reach_raw!$A205</f>
        <v>45675</v>
      </c>
      <c r="B203" s="29">
        <f>Instagram_interactions_raw!$A205</f>
        <v>45675</v>
      </c>
      <c r="C203" s="26" t="str">
        <f t="shared" si="1"/>
        <v>Instagram</v>
      </c>
      <c r="D203" s="26">
        <f t="array" ref="D203">XLOOKUP($A203,Instagram_follows_raw!$A$4:$A1000,Instagram_follows_raw!$B$4:$B1000)</f>
        <v>3</v>
      </c>
      <c r="E203" s="26">
        <f t="array" ref="E203">XLOOKUP($A203,Instagram_interactions_raw!$A$4:$A1000,Instagram_interactions_raw!$B$4:$B1000)</f>
        <v>46</v>
      </c>
      <c r="F203" s="26">
        <f t="array" ref="F203">XLOOKUP($A203,Instagram_reach_raw!$A$4:$A1000,Instagram_reach_raw!$B$4:$B1000)</f>
        <v>2009</v>
      </c>
    </row>
    <row r="204">
      <c r="A204" s="28">
        <f>Instagram_reach_raw!$A206</f>
        <v>45676</v>
      </c>
      <c r="B204" s="29">
        <f>Instagram_interactions_raw!$A206</f>
        <v>45676</v>
      </c>
      <c r="C204" s="26" t="str">
        <f t="shared" si="1"/>
        <v>Instagram</v>
      </c>
      <c r="D204" s="26">
        <f t="array" ref="D204">XLOOKUP($A204,Instagram_follows_raw!$A$4:$A1000,Instagram_follows_raw!$B$4:$B1000)</f>
        <v>4</v>
      </c>
      <c r="E204" s="26">
        <f t="array" ref="E204">XLOOKUP($A204,Instagram_interactions_raw!$A$4:$A1000,Instagram_interactions_raw!$B$4:$B1000)</f>
        <v>8</v>
      </c>
      <c r="F204" s="26">
        <f t="array" ref="F204">XLOOKUP($A204,Instagram_reach_raw!$A$4:$A1000,Instagram_reach_raw!$B$4:$B1000)</f>
        <v>923</v>
      </c>
    </row>
    <row r="205">
      <c r="A205" s="28">
        <f>Instagram_reach_raw!$A207</f>
        <v>45677</v>
      </c>
      <c r="B205" s="29">
        <f>Instagram_interactions_raw!$A207</f>
        <v>45677</v>
      </c>
      <c r="C205" s="26" t="str">
        <f t="shared" si="1"/>
        <v>Instagram</v>
      </c>
      <c r="D205" s="26">
        <f t="array" ref="D205">XLOOKUP($A205,Instagram_follows_raw!$A$4:$A1000,Instagram_follows_raw!$B$4:$B1000)</f>
        <v>3</v>
      </c>
      <c r="E205" s="26">
        <f t="array" ref="E205">XLOOKUP($A205,Instagram_interactions_raw!$A$4:$A1000,Instagram_interactions_raw!$B$4:$B1000)</f>
        <v>11</v>
      </c>
      <c r="F205" s="26">
        <f t="array" ref="F205">XLOOKUP($A205,Instagram_reach_raw!$A$4:$A1000,Instagram_reach_raw!$B$4:$B1000)</f>
        <v>589</v>
      </c>
    </row>
    <row r="206">
      <c r="A206" s="28">
        <f>Instagram_reach_raw!$A208</f>
        <v>45678</v>
      </c>
      <c r="B206" s="29">
        <f>Instagram_interactions_raw!$A208</f>
        <v>45678</v>
      </c>
      <c r="C206" s="26" t="str">
        <f t="shared" si="1"/>
        <v>Instagram</v>
      </c>
      <c r="D206" s="26">
        <f t="array" ref="D206">XLOOKUP($A206,Instagram_follows_raw!$A$4:$A1000,Instagram_follows_raw!$B$4:$B1000)</f>
        <v>2</v>
      </c>
      <c r="E206" s="26">
        <f t="array" ref="E206">XLOOKUP($A206,Instagram_interactions_raw!$A$4:$A1000,Instagram_interactions_raw!$B$4:$B1000)</f>
        <v>17</v>
      </c>
      <c r="F206" s="26">
        <f t="array" ref="F206">XLOOKUP($A206,Instagram_reach_raw!$A$4:$A1000,Instagram_reach_raw!$B$4:$B1000)</f>
        <v>638</v>
      </c>
    </row>
    <row r="207">
      <c r="A207" s="28">
        <f>Instagram_reach_raw!$A209</f>
        <v>45679</v>
      </c>
      <c r="B207" s="29">
        <f>Instagram_interactions_raw!$A209</f>
        <v>45679</v>
      </c>
      <c r="C207" s="26" t="str">
        <f t="shared" si="1"/>
        <v>Instagram</v>
      </c>
      <c r="D207" s="26">
        <f t="array" ref="D207">XLOOKUP($A207,Instagram_follows_raw!$A$4:$A1000,Instagram_follows_raw!$B$4:$B1000)</f>
        <v>2</v>
      </c>
      <c r="E207" s="26">
        <f t="array" ref="E207">XLOOKUP($A207,Instagram_interactions_raw!$A$4:$A1000,Instagram_interactions_raw!$B$4:$B1000)</f>
        <v>19</v>
      </c>
      <c r="F207" s="26">
        <f t="array" ref="F207">XLOOKUP($A207,Instagram_reach_raw!$A$4:$A1000,Instagram_reach_raw!$B$4:$B1000)</f>
        <v>555</v>
      </c>
    </row>
    <row r="208">
      <c r="A208" s="28">
        <f>Instagram_reach_raw!$A210</f>
        <v>45680</v>
      </c>
      <c r="B208" s="29">
        <f>Instagram_interactions_raw!$A210</f>
        <v>45680</v>
      </c>
      <c r="C208" s="26" t="str">
        <f t="shared" si="1"/>
        <v>Instagram</v>
      </c>
      <c r="D208" s="26">
        <f t="array" ref="D208">XLOOKUP($A208,Instagram_follows_raw!$A$4:$A1000,Instagram_follows_raw!$B$4:$B1000)</f>
        <v>3</v>
      </c>
      <c r="E208" s="26">
        <f t="array" ref="E208">XLOOKUP($A208,Instagram_interactions_raw!$A$4:$A1000,Instagram_interactions_raw!$B$4:$B1000)</f>
        <v>27</v>
      </c>
      <c r="F208" s="26">
        <f t="array" ref="F208">XLOOKUP($A208,Instagram_reach_raw!$A$4:$A1000,Instagram_reach_raw!$B$4:$B1000)</f>
        <v>627</v>
      </c>
    </row>
    <row r="209">
      <c r="A209" s="28">
        <f>Instagram_reach_raw!$A211</f>
        <v>45681</v>
      </c>
      <c r="B209" s="29">
        <f>Instagram_interactions_raw!$A211</f>
        <v>45681</v>
      </c>
      <c r="C209" s="26" t="str">
        <f t="shared" si="1"/>
        <v>Instagram</v>
      </c>
      <c r="D209" s="26">
        <f t="array" ref="D209">XLOOKUP($A209,Instagram_follows_raw!$A$4:$A1000,Instagram_follows_raw!$B$4:$B1000)</f>
        <v>1</v>
      </c>
      <c r="E209" s="26">
        <f t="array" ref="E209">XLOOKUP($A209,Instagram_interactions_raw!$A$4:$A1000,Instagram_interactions_raw!$B$4:$B1000)</f>
        <v>11</v>
      </c>
      <c r="F209" s="26">
        <f t="array" ref="F209">XLOOKUP($A209,Instagram_reach_raw!$A$4:$A1000,Instagram_reach_raw!$B$4:$B1000)</f>
        <v>379</v>
      </c>
    </row>
    <row r="210">
      <c r="A210" s="28">
        <f>Instagram_reach_raw!$A212</f>
        <v>45682</v>
      </c>
      <c r="B210" s="29">
        <f>Instagram_interactions_raw!$A212</f>
        <v>45682</v>
      </c>
      <c r="C210" s="26" t="str">
        <f t="shared" si="1"/>
        <v>Instagram</v>
      </c>
      <c r="D210" s="26" t="str">
        <f t="array" ref="D210">XLOOKUP($A210,Instagram_follows_raw!$A$4:$A1000,Instagram_follows_raw!$B$4:$B1000)</f>
        <v>#N/A</v>
      </c>
      <c r="E210" s="26">
        <f t="array" ref="E210">XLOOKUP($A210,Instagram_interactions_raw!$A$4:$A1000,Instagram_interactions_raw!$B$4:$B1000)</f>
        <v>1</v>
      </c>
      <c r="F210" s="26">
        <f t="array" ref="F210">XLOOKUP($A210,Instagram_reach_raw!$A$4:$A1000,Instagram_reach_raw!$B$4:$B1000)</f>
        <v>353</v>
      </c>
    </row>
    <row r="211">
      <c r="A211" s="28">
        <f>Instagram_reach_raw!$A213</f>
        <v>45683</v>
      </c>
      <c r="B211" s="29">
        <f>Instagram_interactions_raw!$A213</f>
        <v>45683</v>
      </c>
      <c r="C211" s="26" t="str">
        <f t="shared" si="1"/>
        <v>Instagram</v>
      </c>
      <c r="D211" s="26">
        <f t="array" ref="D211">XLOOKUP($A211,Instagram_follows_raw!$A$4:$A1000,Instagram_follows_raw!$B$4:$B1000)</f>
        <v>3</v>
      </c>
      <c r="E211" s="26">
        <f t="array" ref="E211">XLOOKUP($A211,Instagram_interactions_raw!$A$4:$A1000,Instagram_interactions_raw!$B$4:$B1000)</f>
        <v>11</v>
      </c>
      <c r="F211" s="26">
        <f t="array" ref="F211">XLOOKUP($A211,Instagram_reach_raw!$A$4:$A1000,Instagram_reach_raw!$B$4:$B1000)</f>
        <v>258</v>
      </c>
    </row>
    <row r="212">
      <c r="A212" s="28">
        <f>Instagram_reach_raw!$A214</f>
        <v>45684</v>
      </c>
      <c r="B212" s="29">
        <f>Instagram_interactions_raw!$A214</f>
        <v>45684</v>
      </c>
      <c r="C212" s="26" t="str">
        <f t="shared" si="1"/>
        <v>Instagram</v>
      </c>
      <c r="D212" s="26">
        <f t="array" ref="D212">XLOOKUP($A212,Instagram_follows_raw!$A$4:$A1000,Instagram_follows_raw!$B$4:$B1000)</f>
        <v>2</v>
      </c>
      <c r="E212" s="26">
        <f t="array" ref="E212">XLOOKUP($A212,Instagram_interactions_raw!$A$4:$A1000,Instagram_interactions_raw!$B$4:$B1000)</f>
        <v>44</v>
      </c>
      <c r="F212" s="26">
        <f t="array" ref="F212">XLOOKUP($A212,Instagram_reach_raw!$A$4:$A1000,Instagram_reach_raw!$B$4:$B1000)</f>
        <v>1053</v>
      </c>
    </row>
    <row r="213">
      <c r="A213" s="28">
        <f>Instagram_reach_raw!$A215</f>
        <v>45685</v>
      </c>
      <c r="B213" s="29">
        <f>Instagram_interactions_raw!$A215</f>
        <v>45685</v>
      </c>
      <c r="C213" s="26" t="str">
        <f t="shared" si="1"/>
        <v>Instagram</v>
      </c>
      <c r="D213" s="26">
        <f t="array" ref="D213">XLOOKUP($A213,Instagram_follows_raw!$A$4:$A1000,Instagram_follows_raw!$B$4:$B1000)</f>
        <v>2</v>
      </c>
      <c r="E213" s="26">
        <f t="array" ref="E213">XLOOKUP($A213,Instagram_interactions_raw!$A$4:$A1000,Instagram_interactions_raw!$B$4:$B1000)</f>
        <v>39</v>
      </c>
      <c r="F213" s="26">
        <f t="array" ref="F213">XLOOKUP($A213,Instagram_reach_raw!$A$4:$A1000,Instagram_reach_raw!$B$4:$B1000)</f>
        <v>807</v>
      </c>
    </row>
    <row r="214">
      <c r="A214" s="28">
        <f>Instagram_reach_raw!$A216</f>
        <v>45686</v>
      </c>
      <c r="B214" s="29">
        <f>Instagram_interactions_raw!$A216</f>
        <v>45686</v>
      </c>
      <c r="C214" s="26" t="str">
        <f t="shared" si="1"/>
        <v>Instagram</v>
      </c>
      <c r="D214" s="26">
        <f t="array" ref="D214">XLOOKUP($A214,Instagram_follows_raw!$A$4:$A1000,Instagram_follows_raw!$B$4:$B1000)</f>
        <v>5</v>
      </c>
      <c r="E214" s="26">
        <f t="array" ref="E214">XLOOKUP($A214,Instagram_interactions_raw!$A$4:$A1000,Instagram_interactions_raw!$B$4:$B1000)</f>
        <v>11</v>
      </c>
      <c r="F214" s="26">
        <f t="array" ref="F214">XLOOKUP($A214,Instagram_reach_raw!$A$4:$A1000,Instagram_reach_raw!$B$4:$B1000)</f>
        <v>717</v>
      </c>
    </row>
    <row r="215">
      <c r="A215" s="28">
        <f>Instagram_reach_raw!$A217</f>
        <v>45687</v>
      </c>
      <c r="B215" s="29">
        <f>Instagram_interactions_raw!$A217</f>
        <v>45687</v>
      </c>
      <c r="C215" s="26" t="str">
        <f t="shared" si="1"/>
        <v>Instagram</v>
      </c>
      <c r="D215" s="26">
        <f t="array" ref="D215">XLOOKUP($A215,Instagram_follows_raw!$A$4:$A1000,Instagram_follows_raw!$B$4:$B1000)</f>
        <v>1</v>
      </c>
      <c r="E215" s="26">
        <f t="array" ref="E215">XLOOKUP($A215,Instagram_interactions_raw!$A$4:$A1000,Instagram_interactions_raw!$B$4:$B1000)</f>
        <v>24</v>
      </c>
      <c r="F215" s="26">
        <f t="array" ref="F215">XLOOKUP($A215,Instagram_reach_raw!$A$4:$A1000,Instagram_reach_raw!$B$4:$B1000)</f>
        <v>1005</v>
      </c>
    </row>
    <row r="216">
      <c r="A216" s="28">
        <f>Instagram_reach_raw!$A218</f>
        <v>45688</v>
      </c>
      <c r="B216" s="29">
        <f>Instagram_interactions_raw!$A218</f>
        <v>45688</v>
      </c>
      <c r="C216" s="26" t="str">
        <f t="shared" si="1"/>
        <v>Instagram</v>
      </c>
      <c r="D216" s="26">
        <f t="array" ref="D216">XLOOKUP($A216,Instagram_follows_raw!$A$4:$A1000,Instagram_follows_raw!$B$4:$B1000)</f>
        <v>3</v>
      </c>
      <c r="E216" s="26">
        <f t="array" ref="E216">XLOOKUP($A216,Instagram_interactions_raw!$A$4:$A1000,Instagram_interactions_raw!$B$4:$B1000)</f>
        <v>34</v>
      </c>
      <c r="F216" s="26">
        <f t="array" ref="F216">XLOOKUP($A216,Instagram_reach_raw!$A$4:$A1000,Instagram_reach_raw!$B$4:$B1000)</f>
        <v>923</v>
      </c>
    </row>
    <row r="217">
      <c r="A217" s="28">
        <f>Instagram_reach_raw!$A219</f>
        <v>45689</v>
      </c>
      <c r="B217" s="29">
        <f>Instagram_interactions_raw!$A219</f>
        <v>45689</v>
      </c>
      <c r="C217" s="26" t="str">
        <f t="shared" si="1"/>
        <v>Instagram</v>
      </c>
      <c r="D217" s="26">
        <f t="array" ref="D217">XLOOKUP($A217,Instagram_follows_raw!$A$4:$A1000,Instagram_follows_raw!$B$4:$B1000)</f>
        <v>2</v>
      </c>
      <c r="E217" s="26">
        <f t="array" ref="E217">XLOOKUP($A217,Instagram_interactions_raw!$A$4:$A1000,Instagram_interactions_raw!$B$4:$B1000)</f>
        <v>17</v>
      </c>
      <c r="F217" s="26">
        <f t="array" ref="F217">XLOOKUP($A217,Instagram_reach_raw!$A$4:$A1000,Instagram_reach_raw!$B$4:$B1000)</f>
        <v>676</v>
      </c>
    </row>
    <row r="218">
      <c r="A218" s="28">
        <f>Instagram_reach_raw!$A220</f>
        <v>45690</v>
      </c>
      <c r="B218" s="29">
        <f>Instagram_interactions_raw!$A220</f>
        <v>45690</v>
      </c>
      <c r="C218" s="26" t="str">
        <f t="shared" si="1"/>
        <v>Instagram</v>
      </c>
      <c r="D218" s="26">
        <f t="array" ref="D218">XLOOKUP($A218,Instagram_follows_raw!$A$4:$A1000,Instagram_follows_raw!$B$4:$B1000)</f>
        <v>5</v>
      </c>
      <c r="E218" s="26">
        <f t="array" ref="E218">XLOOKUP($A218,Instagram_interactions_raw!$A$4:$A1000,Instagram_interactions_raw!$B$4:$B1000)</f>
        <v>12</v>
      </c>
      <c r="F218" s="26">
        <f t="array" ref="F218">XLOOKUP($A218,Instagram_reach_raw!$A$4:$A1000,Instagram_reach_raw!$B$4:$B1000)</f>
        <v>431</v>
      </c>
    </row>
    <row r="219">
      <c r="A219" s="28">
        <f>Instagram_reach_raw!$A221</f>
        <v>45691</v>
      </c>
      <c r="B219" s="29">
        <f>Instagram_interactions_raw!$A221</f>
        <v>45691</v>
      </c>
      <c r="C219" s="26" t="str">
        <f t="shared" si="1"/>
        <v>Instagram</v>
      </c>
      <c r="D219" s="26">
        <f t="array" ref="D219">XLOOKUP($A219,Instagram_follows_raw!$A$4:$A1000,Instagram_follows_raw!$B$4:$B1000)</f>
        <v>5</v>
      </c>
      <c r="E219" s="26">
        <f t="array" ref="E219">XLOOKUP($A219,Instagram_interactions_raw!$A$4:$A1000,Instagram_interactions_raw!$B$4:$B1000)</f>
        <v>51</v>
      </c>
      <c r="F219" s="26">
        <f t="array" ref="F219">XLOOKUP($A219,Instagram_reach_raw!$A$4:$A1000,Instagram_reach_raw!$B$4:$B1000)</f>
        <v>1108</v>
      </c>
    </row>
    <row r="220">
      <c r="A220" s="28">
        <f>Instagram_reach_raw!$A222</f>
        <v>45692</v>
      </c>
      <c r="B220" s="29">
        <f>Instagram_interactions_raw!$A222</f>
        <v>45692</v>
      </c>
      <c r="C220" s="26" t="str">
        <f t="shared" si="1"/>
        <v>Instagram</v>
      </c>
      <c r="D220" s="26">
        <f t="array" ref="D220">XLOOKUP($A220,Instagram_follows_raw!$A$4:$A1000,Instagram_follows_raw!$B$4:$B1000)</f>
        <v>4</v>
      </c>
      <c r="E220" s="26">
        <f t="array" ref="E220">XLOOKUP($A220,Instagram_interactions_raw!$A$4:$A1000,Instagram_interactions_raw!$B$4:$B1000)</f>
        <v>110</v>
      </c>
      <c r="F220" s="26">
        <f t="array" ref="F220">XLOOKUP($A220,Instagram_reach_raw!$A$4:$A1000,Instagram_reach_raw!$B$4:$B1000)</f>
        <v>964</v>
      </c>
    </row>
    <row r="221">
      <c r="A221" s="28">
        <f>Instagram_reach_raw!$A223</f>
        <v>45693</v>
      </c>
      <c r="B221" s="29">
        <f>Instagram_interactions_raw!$A223</f>
        <v>45693</v>
      </c>
      <c r="C221" s="26" t="str">
        <f t="shared" si="1"/>
        <v>Instagram</v>
      </c>
      <c r="D221" s="26">
        <f t="array" ref="D221">XLOOKUP($A221,Instagram_follows_raw!$A$4:$A1000,Instagram_follows_raw!$B$4:$B1000)</f>
        <v>5</v>
      </c>
      <c r="E221" s="26">
        <f t="array" ref="E221">XLOOKUP($A221,Instagram_interactions_raw!$A$4:$A1000,Instagram_interactions_raw!$B$4:$B1000)</f>
        <v>64</v>
      </c>
      <c r="F221" s="26">
        <f t="array" ref="F221">XLOOKUP($A221,Instagram_reach_raw!$A$4:$A1000,Instagram_reach_raw!$B$4:$B1000)</f>
        <v>1041</v>
      </c>
    </row>
    <row r="222">
      <c r="A222" s="28">
        <f>Instagram_reach_raw!$A224</f>
        <v>45694</v>
      </c>
      <c r="B222" s="29">
        <f>Instagram_interactions_raw!$A224</f>
        <v>45694</v>
      </c>
      <c r="C222" s="26" t="str">
        <f t="shared" si="1"/>
        <v>Instagram</v>
      </c>
      <c r="D222" s="26">
        <f t="array" ref="D222">XLOOKUP($A222,Instagram_follows_raw!$A$4:$A1000,Instagram_follows_raw!$B$4:$B1000)</f>
        <v>8</v>
      </c>
      <c r="E222" s="26">
        <f t="array" ref="E222">XLOOKUP($A222,Instagram_interactions_raw!$A$4:$A1000,Instagram_interactions_raw!$B$4:$B1000)</f>
        <v>73</v>
      </c>
      <c r="F222" s="26">
        <f t="array" ref="F222">XLOOKUP($A222,Instagram_reach_raw!$A$4:$A1000,Instagram_reach_raw!$B$4:$B1000)</f>
        <v>904</v>
      </c>
    </row>
    <row r="223">
      <c r="A223" s="28">
        <f>Instagram_reach_raw!$A225</f>
        <v>45695</v>
      </c>
      <c r="B223" s="29">
        <f>Instagram_interactions_raw!$A225</f>
        <v>45695</v>
      </c>
      <c r="C223" s="26" t="str">
        <f t="shared" si="1"/>
        <v>Instagram</v>
      </c>
      <c r="D223" s="26">
        <f t="array" ref="D223">XLOOKUP($A223,Instagram_follows_raw!$A$4:$A1000,Instagram_follows_raw!$B$4:$B1000)</f>
        <v>6</v>
      </c>
      <c r="E223" s="26">
        <f t="array" ref="E223">XLOOKUP($A223,Instagram_interactions_raw!$A$4:$A1000,Instagram_interactions_raw!$B$4:$B1000)</f>
        <v>69</v>
      </c>
      <c r="F223" s="26">
        <f t="array" ref="F223">XLOOKUP($A223,Instagram_reach_raw!$A$4:$A1000,Instagram_reach_raw!$B$4:$B1000)</f>
        <v>1480</v>
      </c>
    </row>
    <row r="224">
      <c r="A224" s="28">
        <f>Instagram_reach_raw!$A226</f>
        <v>45696</v>
      </c>
      <c r="B224" s="29">
        <f>Instagram_interactions_raw!$A226</f>
        <v>45696</v>
      </c>
      <c r="C224" s="26" t="str">
        <f t="shared" si="1"/>
        <v>Instagram</v>
      </c>
      <c r="D224" s="26">
        <f t="array" ref="D224">XLOOKUP($A224,Instagram_follows_raw!$A$4:$A1000,Instagram_follows_raw!$B$4:$B1000)</f>
        <v>4</v>
      </c>
      <c r="E224" s="26">
        <f t="array" ref="E224">XLOOKUP($A224,Instagram_interactions_raw!$A$4:$A1000,Instagram_interactions_raw!$B$4:$B1000)</f>
        <v>54</v>
      </c>
      <c r="F224" s="26">
        <f t="array" ref="F224">XLOOKUP($A224,Instagram_reach_raw!$A$4:$A1000,Instagram_reach_raw!$B$4:$B1000)</f>
        <v>1028</v>
      </c>
    </row>
    <row r="225">
      <c r="A225" s="28">
        <f>Instagram_reach_raw!$A227</f>
        <v>45697</v>
      </c>
      <c r="B225" s="29">
        <f>Instagram_interactions_raw!$A227</f>
        <v>45697</v>
      </c>
      <c r="C225" s="26" t="str">
        <f t="shared" si="1"/>
        <v>Instagram</v>
      </c>
      <c r="D225" s="26">
        <f t="array" ref="D225">XLOOKUP($A225,Instagram_follows_raw!$A$4:$A1000,Instagram_follows_raw!$B$4:$B1000)</f>
        <v>4</v>
      </c>
      <c r="E225" s="26">
        <f t="array" ref="E225">XLOOKUP($A225,Instagram_interactions_raw!$A$4:$A1000,Instagram_interactions_raw!$B$4:$B1000)</f>
        <v>9</v>
      </c>
      <c r="F225" s="26">
        <f t="array" ref="F225">XLOOKUP($A225,Instagram_reach_raw!$A$4:$A1000,Instagram_reach_raw!$B$4:$B1000)</f>
        <v>400</v>
      </c>
    </row>
    <row r="226">
      <c r="A226" s="28">
        <f>Instagram_reach_raw!$A228</f>
        <v>45698</v>
      </c>
      <c r="B226" s="29">
        <f>Instagram_interactions_raw!$A228</f>
        <v>45698</v>
      </c>
      <c r="C226" s="26" t="str">
        <f t="shared" si="1"/>
        <v>Instagram</v>
      </c>
      <c r="D226" s="26">
        <f t="array" ref="D226">XLOOKUP($A226,Instagram_follows_raw!$A$4:$A1000,Instagram_follows_raw!$B$4:$B1000)</f>
        <v>5</v>
      </c>
      <c r="E226" s="26">
        <f t="array" ref="E226">XLOOKUP($A226,Instagram_interactions_raw!$A$4:$A1000,Instagram_interactions_raw!$B$4:$B1000)</f>
        <v>12</v>
      </c>
      <c r="F226" s="26">
        <f t="array" ref="F226">XLOOKUP($A226,Instagram_reach_raw!$A$4:$A1000,Instagram_reach_raw!$B$4:$B1000)</f>
        <v>229</v>
      </c>
    </row>
    <row r="227">
      <c r="A227" s="28">
        <f>Instagram_reach_raw!$A229</f>
        <v>45699</v>
      </c>
      <c r="B227" s="29">
        <f>Instagram_interactions_raw!$A229</f>
        <v>45699</v>
      </c>
      <c r="C227" s="26" t="str">
        <f t="shared" si="1"/>
        <v>Instagram</v>
      </c>
      <c r="D227" s="26">
        <f t="array" ref="D227">XLOOKUP($A227,Instagram_follows_raw!$A$4:$A1000,Instagram_follows_raw!$B$4:$B1000)</f>
        <v>9</v>
      </c>
      <c r="E227" s="26">
        <f t="array" ref="E227">XLOOKUP($A227,Instagram_interactions_raw!$A$4:$A1000,Instagram_interactions_raw!$B$4:$B1000)</f>
        <v>7</v>
      </c>
      <c r="F227" s="26">
        <f t="array" ref="F227">XLOOKUP($A227,Instagram_reach_raw!$A$4:$A1000,Instagram_reach_raw!$B$4:$B1000)</f>
        <v>204</v>
      </c>
    </row>
    <row r="228">
      <c r="A228" s="28">
        <f>Instagram_reach_raw!$A230</f>
        <v>45700</v>
      </c>
      <c r="B228" s="29">
        <f>Instagram_interactions_raw!$A230</f>
        <v>45700</v>
      </c>
      <c r="C228" s="26" t="str">
        <f t="shared" si="1"/>
        <v>Instagram</v>
      </c>
      <c r="D228" s="26">
        <f t="array" ref="D228">XLOOKUP($A228,Instagram_follows_raw!$A$4:$A1000,Instagram_follows_raw!$B$4:$B1000)</f>
        <v>2</v>
      </c>
      <c r="E228" s="26">
        <f t="array" ref="E228">XLOOKUP($A228,Instagram_interactions_raw!$A$4:$A1000,Instagram_interactions_raw!$B$4:$B1000)</f>
        <v>19</v>
      </c>
      <c r="F228" s="26">
        <f t="array" ref="F228">XLOOKUP($A228,Instagram_reach_raw!$A$4:$A1000,Instagram_reach_raw!$B$4:$B1000)</f>
        <v>372</v>
      </c>
    </row>
    <row r="229">
      <c r="A229" s="28">
        <f>Instagram_reach_raw!$A231</f>
        <v>45701</v>
      </c>
      <c r="B229" s="29">
        <f>Instagram_interactions_raw!$A231</f>
        <v>45701</v>
      </c>
      <c r="C229" s="26" t="str">
        <f t="shared" si="1"/>
        <v>Instagram</v>
      </c>
      <c r="D229" s="26">
        <f t="array" ref="D229">XLOOKUP($A229,Instagram_follows_raw!$A$4:$A1000,Instagram_follows_raw!$B$4:$B1000)</f>
        <v>4</v>
      </c>
      <c r="E229" s="26">
        <f t="array" ref="E229">XLOOKUP($A229,Instagram_interactions_raw!$A$4:$A1000,Instagram_interactions_raw!$B$4:$B1000)</f>
        <v>70</v>
      </c>
      <c r="F229" s="26">
        <f t="array" ref="F229">XLOOKUP($A229,Instagram_reach_raw!$A$4:$A1000,Instagram_reach_raw!$B$4:$B1000)</f>
        <v>835</v>
      </c>
    </row>
    <row r="230">
      <c r="A230" s="28">
        <f>Instagram_reach_raw!$A232</f>
        <v>45702</v>
      </c>
      <c r="B230" s="29">
        <f>Instagram_interactions_raw!$A232</f>
        <v>45702</v>
      </c>
      <c r="C230" s="26" t="str">
        <f t="shared" si="1"/>
        <v>Instagram</v>
      </c>
      <c r="D230" s="26">
        <f t="array" ref="D230">XLOOKUP($A230,Instagram_follows_raw!$A$4:$A1000,Instagram_follows_raw!$B$4:$B1000)</f>
        <v>2</v>
      </c>
      <c r="E230" s="26">
        <f t="array" ref="E230">XLOOKUP($A230,Instagram_interactions_raw!$A$4:$A1000,Instagram_interactions_raw!$B$4:$B1000)</f>
        <v>37</v>
      </c>
      <c r="F230" s="26">
        <f t="array" ref="F230">XLOOKUP($A230,Instagram_reach_raw!$A$4:$A1000,Instagram_reach_raw!$B$4:$B1000)</f>
        <v>753</v>
      </c>
    </row>
    <row r="231">
      <c r="A231" s="28">
        <f>Instagram_reach_raw!$A233</f>
        <v>45703</v>
      </c>
      <c r="B231" s="29">
        <f>Instagram_interactions_raw!$A233</f>
        <v>45703</v>
      </c>
      <c r="C231" s="26" t="str">
        <f t="shared" si="1"/>
        <v>Instagram</v>
      </c>
      <c r="D231" s="26">
        <f t="array" ref="D231">XLOOKUP($A231,Instagram_follows_raw!$A$4:$A1000,Instagram_follows_raw!$B$4:$B1000)</f>
        <v>1</v>
      </c>
      <c r="E231" s="26">
        <f t="array" ref="E231">XLOOKUP($A231,Instagram_interactions_raw!$A$4:$A1000,Instagram_interactions_raw!$B$4:$B1000)</f>
        <v>19</v>
      </c>
      <c r="F231" s="26">
        <f t="array" ref="F231">XLOOKUP($A231,Instagram_reach_raw!$A$4:$A1000,Instagram_reach_raw!$B$4:$B1000)</f>
        <v>330</v>
      </c>
    </row>
    <row r="232">
      <c r="A232" s="28">
        <f>Instagram_reach_raw!$A234</f>
        <v>45704</v>
      </c>
      <c r="B232" s="29">
        <f>Instagram_interactions_raw!$A234</f>
        <v>45704</v>
      </c>
      <c r="C232" s="26" t="str">
        <f t="shared" si="1"/>
        <v>Instagram</v>
      </c>
      <c r="D232" s="26">
        <f t="array" ref="D232">XLOOKUP($A232,Instagram_follows_raw!$A$4:$A1000,Instagram_follows_raw!$B$4:$B1000)</f>
        <v>2</v>
      </c>
      <c r="E232" s="26">
        <f t="array" ref="E232">XLOOKUP($A232,Instagram_interactions_raw!$A$4:$A1000,Instagram_interactions_raw!$B$4:$B1000)</f>
        <v>198</v>
      </c>
      <c r="F232" s="26">
        <f t="array" ref="F232">XLOOKUP($A232,Instagram_reach_raw!$A$4:$A1000,Instagram_reach_raw!$B$4:$B1000)</f>
        <v>1446</v>
      </c>
    </row>
    <row r="233">
      <c r="A233" s="28">
        <f>Instagram_reach_raw!$A235</f>
        <v>45705</v>
      </c>
      <c r="B233" s="29">
        <f>Instagram_interactions_raw!$A235</f>
        <v>45705</v>
      </c>
      <c r="C233" s="26" t="str">
        <f t="shared" si="1"/>
        <v>Instagram</v>
      </c>
      <c r="D233" s="26">
        <f t="array" ref="D233">XLOOKUP($A233,Instagram_follows_raw!$A$4:$A1000,Instagram_follows_raw!$B$4:$B1000)</f>
        <v>3</v>
      </c>
      <c r="E233" s="26">
        <f t="array" ref="E233">XLOOKUP($A233,Instagram_interactions_raw!$A$4:$A1000,Instagram_interactions_raw!$B$4:$B1000)</f>
        <v>44</v>
      </c>
      <c r="F233" s="26">
        <f t="array" ref="F233">XLOOKUP($A233,Instagram_reach_raw!$A$4:$A1000,Instagram_reach_raw!$B$4:$B1000)</f>
        <v>623</v>
      </c>
    </row>
    <row r="234">
      <c r="A234" s="28">
        <f>Instagram_reach_raw!$A236</f>
        <v>45706</v>
      </c>
      <c r="B234" s="29">
        <f>Instagram_interactions_raw!$A236</f>
        <v>45706</v>
      </c>
      <c r="C234" s="26" t="str">
        <f t="shared" si="1"/>
        <v>Instagram</v>
      </c>
      <c r="D234" s="26">
        <f t="array" ref="D234">XLOOKUP($A234,Instagram_follows_raw!$A$4:$A1000,Instagram_follows_raw!$B$4:$B1000)</f>
        <v>5</v>
      </c>
      <c r="E234" s="26">
        <f t="array" ref="E234">XLOOKUP($A234,Instagram_interactions_raw!$A$4:$A1000,Instagram_interactions_raw!$B$4:$B1000)</f>
        <v>17</v>
      </c>
      <c r="F234" s="26">
        <f t="array" ref="F234">XLOOKUP($A234,Instagram_reach_raw!$A$4:$A1000,Instagram_reach_raw!$B$4:$B1000)</f>
        <v>307</v>
      </c>
    </row>
    <row r="235">
      <c r="A235" s="28">
        <f>Instagram_reach_raw!$A237</f>
        <v>45707</v>
      </c>
      <c r="B235" s="29">
        <f>Instagram_interactions_raw!$A237</f>
        <v>45707</v>
      </c>
      <c r="C235" s="26" t="str">
        <f t="shared" si="1"/>
        <v>Instagram</v>
      </c>
      <c r="D235" s="26">
        <f t="array" ref="D235">XLOOKUP($A235,Instagram_follows_raw!$A$4:$A1000,Instagram_follows_raw!$B$4:$B1000)</f>
        <v>5</v>
      </c>
      <c r="E235" s="26">
        <f t="array" ref="E235">XLOOKUP($A235,Instagram_interactions_raw!$A$4:$A1000,Instagram_interactions_raw!$B$4:$B1000)</f>
        <v>47</v>
      </c>
      <c r="F235" s="26">
        <f t="array" ref="F235">XLOOKUP($A235,Instagram_reach_raw!$A$4:$A1000,Instagram_reach_raw!$B$4:$B1000)</f>
        <v>559</v>
      </c>
    </row>
    <row r="236">
      <c r="A236" s="28">
        <f>Instagram_reach_raw!$A238</f>
        <v>45708</v>
      </c>
      <c r="B236" s="29">
        <f>Instagram_interactions_raw!$A238</f>
        <v>45708</v>
      </c>
      <c r="C236" s="26" t="str">
        <f t="shared" si="1"/>
        <v>Instagram</v>
      </c>
      <c r="D236" s="26">
        <f t="array" ref="D236">XLOOKUP($A236,Instagram_follows_raw!$A$4:$A1000,Instagram_follows_raw!$B$4:$B1000)</f>
        <v>3</v>
      </c>
      <c r="E236" s="26">
        <f t="array" ref="E236">XLOOKUP($A236,Instagram_interactions_raw!$A$4:$A1000,Instagram_interactions_raw!$B$4:$B1000)</f>
        <v>26</v>
      </c>
      <c r="F236" s="26">
        <f t="array" ref="F236">XLOOKUP($A236,Instagram_reach_raw!$A$4:$A1000,Instagram_reach_raw!$B$4:$B1000)</f>
        <v>1090</v>
      </c>
    </row>
    <row r="237">
      <c r="A237" s="28">
        <f>Instagram_reach_raw!$A239</f>
        <v>45709</v>
      </c>
      <c r="B237" s="29">
        <f>Instagram_interactions_raw!$A239</f>
        <v>45709</v>
      </c>
      <c r="C237" s="26" t="str">
        <f t="shared" si="1"/>
        <v>Instagram</v>
      </c>
      <c r="D237" s="26">
        <f t="array" ref="D237">XLOOKUP($A237,Instagram_follows_raw!$A$4:$A1000,Instagram_follows_raw!$B$4:$B1000)</f>
        <v>3</v>
      </c>
      <c r="E237" s="26">
        <f t="array" ref="E237">XLOOKUP($A237,Instagram_interactions_raw!$A$4:$A1000,Instagram_interactions_raw!$B$4:$B1000)</f>
        <v>10</v>
      </c>
      <c r="F237" s="26">
        <f t="array" ref="F237">XLOOKUP($A237,Instagram_reach_raw!$A$4:$A1000,Instagram_reach_raw!$B$4:$B1000)</f>
        <v>672</v>
      </c>
    </row>
    <row r="238">
      <c r="A238" s="28">
        <f>Instagram_reach_raw!$A240</f>
        <v>45710</v>
      </c>
      <c r="B238" s="29">
        <f>Instagram_interactions_raw!$A240</f>
        <v>45710</v>
      </c>
      <c r="C238" s="26" t="str">
        <f t="shared" si="1"/>
        <v>Instagram</v>
      </c>
      <c r="D238" s="26">
        <f t="array" ref="D238">XLOOKUP($A238,Instagram_follows_raw!$A$4:$A1000,Instagram_follows_raw!$B$4:$B1000)</f>
        <v>3</v>
      </c>
      <c r="E238" s="26">
        <f t="array" ref="E238">XLOOKUP($A238,Instagram_interactions_raw!$A$4:$A1000,Instagram_interactions_raw!$B$4:$B1000)</f>
        <v>13</v>
      </c>
      <c r="F238" s="26">
        <f t="array" ref="F238">XLOOKUP($A238,Instagram_reach_raw!$A$4:$A1000,Instagram_reach_raw!$B$4:$B1000)</f>
        <v>470</v>
      </c>
    </row>
    <row r="239">
      <c r="A239" s="28">
        <f>Instagram_reach_raw!$A241</f>
        <v>45711</v>
      </c>
      <c r="B239" s="29">
        <f>Instagram_interactions_raw!$A241</f>
        <v>45711</v>
      </c>
      <c r="C239" s="26" t="str">
        <f t="shared" si="1"/>
        <v>Instagram</v>
      </c>
      <c r="D239" s="26">
        <f t="array" ref="D239">XLOOKUP($A239,Instagram_follows_raw!$A$4:$A1000,Instagram_follows_raw!$B$4:$B1000)</f>
        <v>5</v>
      </c>
      <c r="E239" s="26">
        <f t="array" ref="E239">XLOOKUP($A239,Instagram_interactions_raw!$A$4:$A1000,Instagram_interactions_raw!$B$4:$B1000)</f>
        <v>7</v>
      </c>
      <c r="F239" s="26">
        <f t="array" ref="F239">XLOOKUP($A239,Instagram_reach_raw!$A$4:$A1000,Instagram_reach_raw!$B$4:$B1000)</f>
        <v>354</v>
      </c>
    </row>
    <row r="240">
      <c r="A240" s="28">
        <f>Instagram_reach_raw!$A242</f>
        <v>45712</v>
      </c>
      <c r="B240" s="29">
        <f>Instagram_interactions_raw!$A242</f>
        <v>45712</v>
      </c>
      <c r="C240" s="26" t="str">
        <f t="shared" si="1"/>
        <v>Instagram</v>
      </c>
      <c r="D240" s="26">
        <f t="array" ref="D240">XLOOKUP($A240,Instagram_follows_raw!$A$4:$A1000,Instagram_follows_raw!$B$4:$B1000)</f>
        <v>7</v>
      </c>
      <c r="E240" s="26">
        <f t="array" ref="E240">XLOOKUP($A240,Instagram_interactions_raw!$A$4:$A1000,Instagram_interactions_raw!$B$4:$B1000)</f>
        <v>148</v>
      </c>
      <c r="F240" s="26">
        <f t="array" ref="F240">XLOOKUP($A240,Instagram_reach_raw!$A$4:$A1000,Instagram_reach_raw!$B$4:$B1000)</f>
        <v>2369</v>
      </c>
    </row>
    <row r="241">
      <c r="A241" s="28">
        <f>Instagram_reach_raw!$A243</f>
        <v>45713</v>
      </c>
      <c r="B241" s="29">
        <f>Instagram_interactions_raw!$A243</f>
        <v>45713</v>
      </c>
      <c r="C241" s="26" t="str">
        <f t="shared" si="1"/>
        <v>Instagram</v>
      </c>
      <c r="D241" s="26">
        <f t="array" ref="D241">XLOOKUP($A241,Instagram_follows_raw!$A$4:$A1000,Instagram_follows_raw!$B$4:$B1000)</f>
        <v>3</v>
      </c>
      <c r="E241" s="26">
        <f t="array" ref="E241">XLOOKUP($A241,Instagram_interactions_raw!$A$4:$A1000,Instagram_interactions_raw!$B$4:$B1000)</f>
        <v>25</v>
      </c>
      <c r="F241" s="26">
        <f t="array" ref="F241">XLOOKUP($A241,Instagram_reach_raw!$A$4:$A1000,Instagram_reach_raw!$B$4:$B1000)</f>
        <v>915</v>
      </c>
    </row>
    <row r="242">
      <c r="A242" s="28">
        <f>Instagram_reach_raw!$A244</f>
        <v>45714</v>
      </c>
      <c r="B242" s="29">
        <f>Instagram_interactions_raw!$A244</f>
        <v>45714</v>
      </c>
      <c r="C242" s="26" t="str">
        <f t="shared" si="1"/>
        <v>Instagram</v>
      </c>
      <c r="D242" s="26">
        <f t="array" ref="D242">XLOOKUP($A242,Instagram_follows_raw!$A$4:$A1000,Instagram_follows_raw!$B$4:$B1000)</f>
        <v>6</v>
      </c>
      <c r="E242" s="26">
        <f t="array" ref="E242">XLOOKUP($A242,Instagram_interactions_raw!$A$4:$A1000,Instagram_interactions_raw!$B$4:$B1000)</f>
        <v>92</v>
      </c>
      <c r="F242" s="26">
        <f t="array" ref="F242">XLOOKUP($A242,Instagram_reach_raw!$A$4:$A1000,Instagram_reach_raw!$B$4:$B1000)</f>
        <v>1187</v>
      </c>
    </row>
    <row r="243">
      <c r="A243" s="28">
        <f>Instagram_reach_raw!$A245</f>
        <v>45715</v>
      </c>
      <c r="B243" s="29">
        <f>Instagram_interactions_raw!$A245</f>
        <v>45715</v>
      </c>
      <c r="C243" s="26" t="str">
        <f t="shared" si="1"/>
        <v>Instagram</v>
      </c>
      <c r="D243" s="26">
        <f t="array" ref="D243">XLOOKUP($A243,Instagram_follows_raw!$A$4:$A1000,Instagram_follows_raw!$B$4:$B1000)</f>
        <v>1</v>
      </c>
      <c r="E243" s="26">
        <f t="array" ref="E243">XLOOKUP($A243,Instagram_interactions_raw!$A$4:$A1000,Instagram_interactions_raw!$B$4:$B1000)</f>
        <v>18</v>
      </c>
      <c r="F243" s="26">
        <f t="array" ref="F243">XLOOKUP($A243,Instagram_reach_raw!$A$4:$A1000,Instagram_reach_raw!$B$4:$B1000)</f>
        <v>469</v>
      </c>
    </row>
    <row r="244">
      <c r="A244" s="28">
        <f>Instagram_reach_raw!$A246</f>
        <v>45716</v>
      </c>
      <c r="B244" s="29">
        <f>Instagram_interactions_raw!$A246</f>
        <v>45716</v>
      </c>
      <c r="C244" s="26" t="str">
        <f t="shared" si="1"/>
        <v>Instagram</v>
      </c>
      <c r="D244" s="26">
        <f t="array" ref="D244">XLOOKUP($A244,Instagram_follows_raw!$A$4:$A1000,Instagram_follows_raw!$B$4:$B1000)</f>
        <v>2</v>
      </c>
      <c r="E244" s="26">
        <f t="array" ref="E244">XLOOKUP($A244,Instagram_interactions_raw!$A$4:$A1000,Instagram_interactions_raw!$B$4:$B1000)</f>
        <v>42</v>
      </c>
      <c r="F244" s="26">
        <f t="array" ref="F244">XLOOKUP($A244,Instagram_reach_raw!$A$4:$A1000,Instagram_reach_raw!$B$4:$B1000)</f>
        <v>733</v>
      </c>
    </row>
    <row r="245">
      <c r="A245" s="28">
        <f>Instagram_reach_raw!$A247</f>
        <v>45717</v>
      </c>
      <c r="B245" s="29">
        <f>Instagram_interactions_raw!$A247</f>
        <v>45717</v>
      </c>
      <c r="C245" s="26" t="str">
        <f t="shared" si="1"/>
        <v>Instagram</v>
      </c>
      <c r="D245" s="26">
        <f t="array" ref="D245">XLOOKUP($A245,Instagram_follows_raw!$A$4:$A1000,Instagram_follows_raw!$B$4:$B1000)</f>
        <v>10</v>
      </c>
      <c r="E245" s="26">
        <f t="array" ref="E245">XLOOKUP($A245,Instagram_interactions_raw!$A$4:$A1000,Instagram_interactions_raw!$B$4:$B1000)</f>
        <v>9</v>
      </c>
      <c r="F245" s="26">
        <f t="array" ref="F245">XLOOKUP($A245,Instagram_reach_raw!$A$4:$A1000,Instagram_reach_raw!$B$4:$B1000)</f>
        <v>704</v>
      </c>
    </row>
    <row r="246">
      <c r="A246" s="28">
        <f>Instagram_reach_raw!$A248</f>
        <v>45718</v>
      </c>
      <c r="B246" s="29">
        <f>Instagram_interactions_raw!$A248</f>
        <v>45718</v>
      </c>
      <c r="C246" s="26" t="str">
        <f t="shared" si="1"/>
        <v>Instagram</v>
      </c>
      <c r="D246" s="26">
        <f t="array" ref="D246">XLOOKUP($A246,Instagram_follows_raw!$A$4:$A1000,Instagram_follows_raw!$B$4:$B1000)</f>
        <v>5</v>
      </c>
      <c r="E246" s="26">
        <f t="array" ref="E246">XLOOKUP($A246,Instagram_interactions_raw!$A$4:$A1000,Instagram_interactions_raw!$B$4:$B1000)</f>
        <v>11</v>
      </c>
      <c r="F246" s="26">
        <f t="array" ref="F246">XLOOKUP($A246,Instagram_reach_raw!$A$4:$A1000,Instagram_reach_raw!$B$4:$B1000)</f>
        <v>343</v>
      </c>
    </row>
    <row r="247">
      <c r="A247" s="28">
        <f>Instagram_reach_raw!$A249</f>
        <v>45719</v>
      </c>
      <c r="B247" s="29">
        <f>Instagram_interactions_raw!$A249</f>
        <v>45719</v>
      </c>
      <c r="C247" s="26" t="str">
        <f t="shared" si="1"/>
        <v>Instagram</v>
      </c>
      <c r="D247" s="26">
        <f t="array" ref="D247">XLOOKUP($A247,Instagram_follows_raw!$A$4:$A1000,Instagram_follows_raw!$B$4:$B1000)</f>
        <v>2</v>
      </c>
      <c r="E247" s="26">
        <f t="array" ref="E247">XLOOKUP($A247,Instagram_interactions_raw!$A$4:$A1000,Instagram_interactions_raw!$B$4:$B1000)</f>
        <v>106</v>
      </c>
      <c r="F247" s="26">
        <f t="array" ref="F247">XLOOKUP($A247,Instagram_reach_raw!$A$4:$A1000,Instagram_reach_raw!$B$4:$B1000)</f>
        <v>1721</v>
      </c>
    </row>
    <row r="248">
      <c r="A248" s="28">
        <f>Instagram_reach_raw!$A250</f>
        <v>45720</v>
      </c>
      <c r="B248" s="29">
        <f>Instagram_interactions_raw!$A250</f>
        <v>45720</v>
      </c>
      <c r="C248" s="26" t="str">
        <f t="shared" si="1"/>
        <v>Instagram</v>
      </c>
      <c r="D248" s="26">
        <f t="array" ref="D248">XLOOKUP($A248,Instagram_follows_raw!$A$4:$A1000,Instagram_follows_raw!$B$4:$B1000)</f>
        <v>1</v>
      </c>
      <c r="E248" s="26">
        <f t="array" ref="E248">XLOOKUP($A248,Instagram_interactions_raw!$A$4:$A1000,Instagram_interactions_raw!$B$4:$B1000)</f>
        <v>34</v>
      </c>
      <c r="F248" s="26">
        <f t="array" ref="F248">XLOOKUP($A248,Instagram_reach_raw!$A$4:$A1000,Instagram_reach_raw!$B$4:$B1000)</f>
        <v>1036</v>
      </c>
    </row>
    <row r="249">
      <c r="A249" s="28">
        <f>Instagram_reach_raw!$A251</f>
        <v>45721</v>
      </c>
      <c r="B249" s="29">
        <f>Instagram_interactions_raw!$A251</f>
        <v>45721</v>
      </c>
      <c r="C249" s="26" t="str">
        <f t="shared" si="1"/>
        <v>Instagram</v>
      </c>
      <c r="D249" s="26">
        <f t="array" ref="D249">XLOOKUP($A249,Instagram_follows_raw!$A$4:$A1000,Instagram_follows_raw!$B$4:$B1000)</f>
        <v>3</v>
      </c>
      <c r="E249" s="26">
        <f t="array" ref="E249">XLOOKUP($A249,Instagram_interactions_raw!$A$4:$A1000,Instagram_interactions_raw!$B$4:$B1000)</f>
        <v>26</v>
      </c>
      <c r="F249" s="26">
        <f t="array" ref="F249">XLOOKUP($A249,Instagram_reach_raw!$A$4:$A1000,Instagram_reach_raw!$B$4:$B1000)</f>
        <v>863</v>
      </c>
    </row>
    <row r="250">
      <c r="A250" s="28">
        <f>Instagram_reach_raw!$A252</f>
        <v>45722</v>
      </c>
      <c r="B250" s="29">
        <f>Instagram_interactions_raw!$A252</f>
        <v>45722</v>
      </c>
      <c r="C250" s="26" t="str">
        <f t="shared" si="1"/>
        <v>Instagram</v>
      </c>
      <c r="D250" s="26">
        <f t="array" ref="D250">XLOOKUP($A250,Instagram_follows_raw!$A$4:$A1000,Instagram_follows_raw!$B$4:$B1000)</f>
        <v>2</v>
      </c>
      <c r="E250" s="26">
        <f t="array" ref="E250">XLOOKUP($A250,Instagram_interactions_raw!$A$4:$A1000,Instagram_interactions_raw!$B$4:$B1000)</f>
        <v>51</v>
      </c>
      <c r="F250" s="26">
        <f t="array" ref="F250">XLOOKUP($A250,Instagram_reach_raw!$A$4:$A1000,Instagram_reach_raw!$B$4:$B1000)</f>
        <v>864</v>
      </c>
    </row>
    <row r="251">
      <c r="A251" s="28">
        <f>Instagram_reach_raw!$A253</f>
        <v>45723</v>
      </c>
      <c r="B251" s="29">
        <f>Instagram_interactions_raw!$A253</f>
        <v>45723</v>
      </c>
      <c r="C251" s="26" t="str">
        <f t="shared" si="1"/>
        <v>Instagram</v>
      </c>
      <c r="D251" s="26">
        <f t="array" ref="D251">XLOOKUP($A251,Instagram_follows_raw!$A$4:$A1000,Instagram_follows_raw!$B$4:$B1000)</f>
        <v>3</v>
      </c>
      <c r="E251" s="26">
        <f t="array" ref="E251">XLOOKUP($A251,Instagram_interactions_raw!$A$4:$A1000,Instagram_interactions_raw!$B$4:$B1000)</f>
        <v>21</v>
      </c>
      <c r="F251" s="26">
        <f t="array" ref="F251">XLOOKUP($A251,Instagram_reach_raw!$A$4:$A1000,Instagram_reach_raw!$B$4:$B1000)</f>
        <v>538</v>
      </c>
    </row>
    <row r="252">
      <c r="A252" s="28">
        <f>Instagram_reach_raw!$A254</f>
        <v>45724</v>
      </c>
      <c r="B252" s="29">
        <f>Instagram_interactions_raw!$A254</f>
        <v>45724</v>
      </c>
      <c r="C252" s="26" t="str">
        <f t="shared" si="1"/>
        <v>Instagram</v>
      </c>
      <c r="D252" s="26">
        <f t="array" ref="D252">XLOOKUP($A252,Instagram_follows_raw!$A$4:$A1000,Instagram_follows_raw!$B$4:$B1000)</f>
        <v>6</v>
      </c>
      <c r="E252" s="26">
        <f t="array" ref="E252">XLOOKUP($A252,Instagram_interactions_raw!$A$4:$A1000,Instagram_interactions_raw!$B$4:$B1000)</f>
        <v>7</v>
      </c>
      <c r="F252" s="26">
        <f t="array" ref="F252">XLOOKUP($A252,Instagram_reach_raw!$A$4:$A1000,Instagram_reach_raw!$B$4:$B1000)</f>
        <v>197</v>
      </c>
    </row>
    <row r="253">
      <c r="A253" s="28">
        <f>Instagram_reach_raw!$A255</f>
        <v>45725</v>
      </c>
      <c r="B253" s="29">
        <f>Instagram_interactions_raw!$A255</f>
        <v>45725</v>
      </c>
      <c r="C253" s="26" t="str">
        <f t="shared" si="1"/>
        <v>Instagram</v>
      </c>
      <c r="D253" s="26">
        <f t="array" ref="D253">XLOOKUP($A253,Instagram_follows_raw!$A$4:$A1000,Instagram_follows_raw!$B$4:$B1000)</f>
        <v>8</v>
      </c>
      <c r="E253" s="26">
        <f t="array" ref="E253">XLOOKUP($A253,Instagram_interactions_raw!$A$4:$A1000,Instagram_interactions_raw!$B$4:$B1000)</f>
        <v>9</v>
      </c>
      <c r="F253" s="26">
        <f t="array" ref="F253">XLOOKUP($A253,Instagram_reach_raw!$A$4:$A1000,Instagram_reach_raw!$B$4:$B1000)</f>
        <v>333</v>
      </c>
    </row>
    <row r="254">
      <c r="A254" s="28">
        <f>Instagram_reach_raw!$A256</f>
        <v>45726</v>
      </c>
      <c r="B254" s="29">
        <f>Instagram_interactions_raw!$A256</f>
        <v>45726</v>
      </c>
      <c r="C254" s="26" t="str">
        <f t="shared" si="1"/>
        <v>Instagram</v>
      </c>
      <c r="D254" s="26">
        <f t="array" ref="D254">XLOOKUP($A254,Instagram_follows_raw!$A$4:$A1000,Instagram_follows_raw!$B$4:$B1000)</f>
        <v>3</v>
      </c>
      <c r="E254" s="26">
        <f t="array" ref="E254">XLOOKUP($A254,Instagram_interactions_raw!$A$4:$A1000,Instagram_interactions_raw!$B$4:$B1000)</f>
        <v>53</v>
      </c>
      <c r="F254" s="26">
        <f t="array" ref="F254">XLOOKUP($A254,Instagram_reach_raw!$A$4:$A1000,Instagram_reach_raw!$B$4:$B1000)</f>
        <v>584</v>
      </c>
    </row>
    <row r="255">
      <c r="A255" s="28">
        <f>Instagram_reach_raw!$A257</f>
        <v>45727</v>
      </c>
      <c r="B255" s="29">
        <f>Instagram_interactions_raw!$A257</f>
        <v>45727</v>
      </c>
      <c r="C255" s="26" t="str">
        <f t="shared" si="1"/>
        <v>Instagram</v>
      </c>
      <c r="D255" s="26">
        <f t="array" ref="D255">XLOOKUP($A255,Instagram_follows_raw!$A$4:$A1000,Instagram_follows_raw!$B$4:$B1000)</f>
        <v>3</v>
      </c>
      <c r="E255" s="26">
        <f t="array" ref="E255">XLOOKUP($A255,Instagram_interactions_raw!$A$4:$A1000,Instagram_interactions_raw!$B$4:$B1000)</f>
        <v>12</v>
      </c>
      <c r="F255" s="26">
        <f t="array" ref="F255">XLOOKUP($A255,Instagram_reach_raw!$A$4:$A1000,Instagram_reach_raw!$B$4:$B1000)</f>
        <v>415</v>
      </c>
    </row>
    <row r="256">
      <c r="A256" s="28">
        <f>Instagram_reach_raw!$A258</f>
        <v>45728</v>
      </c>
      <c r="B256" s="29">
        <f>Instagram_interactions_raw!$A258</f>
        <v>45728</v>
      </c>
      <c r="C256" s="26" t="str">
        <f t="shared" si="1"/>
        <v>Instagram</v>
      </c>
      <c r="D256" s="26">
        <f t="array" ref="D256">XLOOKUP($A256,Instagram_follows_raw!$A$4:$A1000,Instagram_follows_raw!$B$4:$B1000)</f>
        <v>4</v>
      </c>
      <c r="E256" s="26">
        <f t="array" ref="E256">XLOOKUP($A256,Instagram_interactions_raw!$A$4:$A1000,Instagram_interactions_raw!$B$4:$B1000)</f>
        <v>18</v>
      </c>
      <c r="F256" s="26">
        <f t="array" ref="F256">XLOOKUP($A256,Instagram_reach_raw!$A$4:$A1000,Instagram_reach_raw!$B$4:$B1000)</f>
        <v>539</v>
      </c>
    </row>
    <row r="257">
      <c r="A257" s="28">
        <f>Instagram_reach_raw!$A259</f>
        <v>45729</v>
      </c>
      <c r="B257" s="29">
        <f>Instagram_interactions_raw!$A259</f>
        <v>45729</v>
      </c>
      <c r="C257" s="26" t="str">
        <f t="shared" si="1"/>
        <v>Instagram</v>
      </c>
      <c r="D257" s="26">
        <f t="array" ref="D257">XLOOKUP($A257,Instagram_follows_raw!$A$4:$A1000,Instagram_follows_raw!$B$4:$B1000)</f>
        <v>3</v>
      </c>
      <c r="E257" s="26">
        <f t="array" ref="E257">XLOOKUP($A257,Instagram_interactions_raw!$A$4:$A1000,Instagram_interactions_raw!$B$4:$B1000)</f>
        <v>10</v>
      </c>
      <c r="F257" s="26">
        <f t="array" ref="F257">XLOOKUP($A257,Instagram_reach_raw!$A$4:$A1000,Instagram_reach_raw!$B$4:$B1000)</f>
        <v>201</v>
      </c>
    </row>
    <row r="258">
      <c r="A258" s="28">
        <f>Instagram_reach_raw!$A260</f>
        <v>45730</v>
      </c>
      <c r="B258" s="29">
        <f>Instagram_interactions_raw!$A260</f>
        <v>45730</v>
      </c>
      <c r="C258" s="26" t="str">
        <f t="shared" si="1"/>
        <v>Instagram</v>
      </c>
      <c r="D258" s="26" t="str">
        <f t="array" ref="D258">XLOOKUP($A258,Instagram_follows_raw!$A$4:$A1000,Instagram_follows_raw!$B$4:$B1000)</f>
        <v>#N/A</v>
      </c>
      <c r="E258" s="26">
        <f t="array" ref="E258">XLOOKUP($A258,Instagram_interactions_raw!$A$4:$A1000,Instagram_interactions_raw!$B$4:$B1000)</f>
        <v>70</v>
      </c>
      <c r="F258" s="26">
        <f t="array" ref="F258">XLOOKUP($A258,Instagram_reach_raw!$A$4:$A1000,Instagram_reach_raw!$B$4:$B1000)</f>
        <v>738</v>
      </c>
    </row>
    <row r="259">
      <c r="A259" s="28">
        <f>Instagram_reach_raw!$A261</f>
        <v>45731</v>
      </c>
      <c r="B259" s="29">
        <f>Instagram_interactions_raw!$A261</f>
        <v>45731</v>
      </c>
      <c r="C259" s="26" t="str">
        <f t="shared" si="1"/>
        <v>Instagram</v>
      </c>
      <c r="D259" s="26">
        <f t="array" ref="D259">XLOOKUP($A259,Instagram_follows_raw!$A$4:$A1000,Instagram_follows_raw!$B$4:$B1000)</f>
        <v>10</v>
      </c>
      <c r="E259" s="26">
        <f t="array" ref="E259">XLOOKUP($A259,Instagram_interactions_raw!$A$4:$A1000,Instagram_interactions_raw!$B$4:$B1000)</f>
        <v>52</v>
      </c>
      <c r="F259" s="26">
        <f t="array" ref="F259">XLOOKUP($A259,Instagram_reach_raw!$A$4:$A1000,Instagram_reach_raw!$B$4:$B1000)</f>
        <v>766</v>
      </c>
    </row>
    <row r="260">
      <c r="A260" s="28">
        <f>Instagram_reach_raw!$A262</f>
        <v>45732</v>
      </c>
      <c r="B260" s="29">
        <f>Instagram_interactions_raw!$A262</f>
        <v>45732</v>
      </c>
      <c r="C260" s="26" t="str">
        <f t="shared" si="1"/>
        <v>Instagram</v>
      </c>
      <c r="D260" s="26">
        <f t="array" ref="D260">XLOOKUP($A260,Instagram_follows_raw!$A$4:$A1000,Instagram_follows_raw!$B$4:$B1000)</f>
        <v>8</v>
      </c>
      <c r="E260" s="26">
        <f t="array" ref="E260">XLOOKUP($A260,Instagram_interactions_raw!$A$4:$A1000,Instagram_interactions_raw!$B$4:$B1000)</f>
        <v>24</v>
      </c>
      <c r="F260" s="26">
        <f t="array" ref="F260">XLOOKUP($A260,Instagram_reach_raw!$A$4:$A1000,Instagram_reach_raw!$B$4:$B1000)</f>
        <v>588</v>
      </c>
    </row>
    <row r="261">
      <c r="A261" s="28">
        <f>Instagram_reach_raw!$A263</f>
        <v>45733</v>
      </c>
      <c r="B261" s="29">
        <f>Instagram_interactions_raw!$A263</f>
        <v>45733</v>
      </c>
      <c r="C261" s="26" t="str">
        <f t="shared" si="1"/>
        <v>Instagram</v>
      </c>
      <c r="D261" s="26">
        <f t="array" ref="D261">XLOOKUP($A261,Instagram_follows_raw!$A$4:$A1000,Instagram_follows_raw!$B$4:$B1000)</f>
        <v>6</v>
      </c>
      <c r="E261" s="26">
        <f t="array" ref="E261">XLOOKUP($A261,Instagram_interactions_raw!$A$4:$A1000,Instagram_interactions_raw!$B$4:$B1000)</f>
        <v>13</v>
      </c>
      <c r="F261" s="26">
        <f t="array" ref="F261">XLOOKUP($A261,Instagram_reach_raw!$A$4:$A1000,Instagram_reach_raw!$B$4:$B1000)</f>
        <v>381</v>
      </c>
    </row>
    <row r="262">
      <c r="A262" s="28">
        <f>Instagram_reach_raw!$A264</f>
        <v>45734</v>
      </c>
      <c r="B262" s="29">
        <f>Instagram_interactions_raw!$A264</f>
        <v>45734</v>
      </c>
      <c r="C262" s="26" t="str">
        <f t="shared" si="1"/>
        <v>Instagram</v>
      </c>
      <c r="D262" s="26">
        <f t="array" ref="D262">XLOOKUP($A262,Instagram_follows_raw!$A$4:$A1000,Instagram_follows_raw!$B$4:$B1000)</f>
        <v>3</v>
      </c>
      <c r="E262" s="26">
        <f t="array" ref="E262">XLOOKUP($A262,Instagram_interactions_raw!$A$4:$A1000,Instagram_interactions_raw!$B$4:$B1000)</f>
        <v>38</v>
      </c>
      <c r="F262" s="26">
        <f t="array" ref="F262">XLOOKUP($A262,Instagram_reach_raw!$A$4:$A1000,Instagram_reach_raw!$B$4:$B1000)</f>
        <v>443</v>
      </c>
    </row>
    <row r="263">
      <c r="A263" s="28">
        <f>Instagram_reach_raw!$A265</f>
        <v>45735</v>
      </c>
      <c r="B263" s="29">
        <f>Instagram_interactions_raw!$A265</f>
        <v>45735</v>
      </c>
      <c r="C263" s="26" t="str">
        <f t="shared" si="1"/>
        <v>Instagram</v>
      </c>
      <c r="D263" s="26">
        <f t="array" ref="D263">XLOOKUP($A263,Instagram_follows_raw!$A$4:$A1000,Instagram_follows_raw!$B$4:$B1000)</f>
        <v>4</v>
      </c>
      <c r="E263" s="26">
        <f t="array" ref="E263">XLOOKUP($A263,Instagram_interactions_raw!$A$4:$A1000,Instagram_interactions_raw!$B$4:$B1000)</f>
        <v>16</v>
      </c>
      <c r="F263" s="26">
        <f t="array" ref="F263">XLOOKUP($A263,Instagram_reach_raw!$A$4:$A1000,Instagram_reach_raw!$B$4:$B1000)</f>
        <v>185</v>
      </c>
    </row>
    <row r="264">
      <c r="A264" s="28">
        <f>Instagram_reach_raw!$A266</f>
        <v>45736</v>
      </c>
      <c r="B264" s="29">
        <f>Instagram_interactions_raw!$A266</f>
        <v>45736</v>
      </c>
      <c r="C264" s="26" t="str">
        <f t="shared" si="1"/>
        <v>Instagram</v>
      </c>
      <c r="D264" s="26">
        <f t="array" ref="D264">XLOOKUP($A264,Instagram_follows_raw!$A$4:$A1000,Instagram_follows_raw!$B$4:$B1000)</f>
        <v>11</v>
      </c>
      <c r="E264" s="26">
        <f t="array" ref="E264">XLOOKUP($A264,Instagram_interactions_raw!$A$4:$A1000,Instagram_interactions_raw!$B$4:$B1000)</f>
        <v>386</v>
      </c>
      <c r="F264" s="26">
        <f t="array" ref="F264">XLOOKUP($A264,Instagram_reach_raw!$A$4:$A1000,Instagram_reach_raw!$B$4:$B1000)</f>
        <v>5321</v>
      </c>
    </row>
    <row r="265">
      <c r="A265" s="28">
        <f>Instagram_reach_raw!$A267</f>
        <v>45737</v>
      </c>
      <c r="B265" s="29">
        <f>Instagram_interactions_raw!$A267</f>
        <v>45737</v>
      </c>
      <c r="C265" s="26" t="str">
        <f t="shared" si="1"/>
        <v>Instagram</v>
      </c>
      <c r="D265" s="26">
        <f t="array" ref="D265">XLOOKUP($A265,Instagram_follows_raw!$A$4:$A1000,Instagram_follows_raw!$B$4:$B1000)</f>
        <v>8</v>
      </c>
      <c r="E265" s="26">
        <f t="array" ref="E265">XLOOKUP($A265,Instagram_interactions_raw!$A$4:$A1000,Instagram_interactions_raw!$B$4:$B1000)</f>
        <v>84</v>
      </c>
      <c r="F265" s="26">
        <f t="array" ref="F265">XLOOKUP($A265,Instagram_reach_raw!$A$4:$A1000,Instagram_reach_raw!$B$4:$B1000)</f>
        <v>2376</v>
      </c>
    </row>
    <row r="266">
      <c r="A266" s="28">
        <f>Instagram_reach_raw!$A268</f>
        <v>45738</v>
      </c>
      <c r="B266" s="29">
        <f>Instagram_interactions_raw!$A268</f>
        <v>45738</v>
      </c>
      <c r="C266" s="26" t="str">
        <f t="shared" si="1"/>
        <v>Instagram</v>
      </c>
      <c r="D266" s="26">
        <f t="array" ref="D266">XLOOKUP($A266,Instagram_follows_raw!$A$4:$A1000,Instagram_follows_raw!$B$4:$B1000)</f>
        <v>3</v>
      </c>
      <c r="E266" s="26">
        <f t="array" ref="E266">XLOOKUP($A266,Instagram_interactions_raw!$A$4:$A1000,Instagram_interactions_raw!$B$4:$B1000)</f>
        <v>47</v>
      </c>
      <c r="F266" s="26">
        <f t="array" ref="F266">XLOOKUP($A266,Instagram_reach_raw!$A$4:$A1000,Instagram_reach_raw!$B$4:$B1000)</f>
        <v>1372</v>
      </c>
    </row>
    <row r="267">
      <c r="A267" s="28">
        <f>Instagram_reach_raw!$A269</f>
        <v>45739</v>
      </c>
      <c r="B267" s="29">
        <f>Instagram_interactions_raw!$A269</f>
        <v>45739</v>
      </c>
      <c r="C267" s="26" t="str">
        <f t="shared" si="1"/>
        <v>Instagram</v>
      </c>
      <c r="D267" s="26">
        <f t="array" ref="D267">XLOOKUP($A267,Instagram_follows_raw!$A$4:$A1000,Instagram_follows_raw!$B$4:$B1000)</f>
        <v>10</v>
      </c>
      <c r="E267" s="26">
        <f t="array" ref="E267">XLOOKUP($A267,Instagram_interactions_raw!$A$4:$A1000,Instagram_interactions_raw!$B$4:$B1000)</f>
        <v>31</v>
      </c>
      <c r="F267" s="26">
        <f t="array" ref="F267">XLOOKUP($A267,Instagram_reach_raw!$A$4:$A1000,Instagram_reach_raw!$B$4:$B1000)</f>
        <v>772</v>
      </c>
    </row>
    <row r="268">
      <c r="A268" s="28">
        <f>Instagram_reach_raw!$A270</f>
        <v>45740</v>
      </c>
      <c r="B268" s="29">
        <f>Instagram_interactions_raw!$A270</f>
        <v>45740</v>
      </c>
      <c r="C268" s="26" t="str">
        <f t="shared" si="1"/>
        <v>Instagram</v>
      </c>
      <c r="D268" s="26">
        <f t="array" ref="D268">XLOOKUP($A268,Instagram_follows_raw!$A$4:$A1000,Instagram_follows_raw!$B$4:$B1000)</f>
        <v>6</v>
      </c>
      <c r="E268" s="26">
        <f t="array" ref="E268">XLOOKUP($A268,Instagram_interactions_raw!$A$4:$A1000,Instagram_interactions_raw!$B$4:$B1000)</f>
        <v>40</v>
      </c>
      <c r="F268" s="26">
        <f t="array" ref="F268">XLOOKUP($A268,Instagram_reach_raw!$A$4:$A1000,Instagram_reach_raw!$B$4:$B1000)</f>
        <v>1185</v>
      </c>
    </row>
    <row r="269">
      <c r="A269" s="28">
        <f>Instagram_reach_raw!$A271</f>
        <v>45741</v>
      </c>
      <c r="B269" s="29">
        <f>Instagram_interactions_raw!$A271</f>
        <v>45741</v>
      </c>
      <c r="C269" s="26" t="str">
        <f t="shared" si="1"/>
        <v>Instagram</v>
      </c>
      <c r="D269" s="26">
        <f t="array" ref="D269">XLOOKUP($A269,Instagram_follows_raw!$A$4:$A1000,Instagram_follows_raw!$B$4:$B1000)</f>
        <v>5</v>
      </c>
      <c r="E269" s="26">
        <f t="array" ref="E269">XLOOKUP($A269,Instagram_interactions_raw!$A$4:$A1000,Instagram_interactions_raw!$B$4:$B1000)</f>
        <v>59</v>
      </c>
      <c r="F269" s="26">
        <f t="array" ref="F269">XLOOKUP($A269,Instagram_reach_raw!$A$4:$A1000,Instagram_reach_raw!$B$4:$B1000)</f>
        <v>2467</v>
      </c>
    </row>
    <row r="270">
      <c r="A270" s="28">
        <f>Instagram_reach_raw!$A272</f>
        <v>45742</v>
      </c>
      <c r="B270" s="29">
        <f>Instagram_interactions_raw!$A272</f>
        <v>45742</v>
      </c>
      <c r="C270" s="26" t="str">
        <f t="shared" si="1"/>
        <v>Instagram</v>
      </c>
      <c r="D270" s="26">
        <f t="array" ref="D270">XLOOKUP($A270,Instagram_follows_raw!$A$4:$A1000,Instagram_follows_raw!$B$4:$B1000)</f>
        <v>3</v>
      </c>
      <c r="E270" s="26">
        <f t="array" ref="E270">XLOOKUP($A270,Instagram_interactions_raw!$A$4:$A1000,Instagram_interactions_raw!$B$4:$B1000)</f>
        <v>81</v>
      </c>
      <c r="F270" s="26">
        <f t="array" ref="F270">XLOOKUP($A270,Instagram_reach_raw!$A$4:$A1000,Instagram_reach_raw!$B$4:$B1000)</f>
        <v>3054</v>
      </c>
    </row>
    <row r="271">
      <c r="A271" s="28">
        <f>Instagram_reach_raw!$A273</f>
        <v>45743</v>
      </c>
      <c r="B271" s="29">
        <f>Instagram_interactions_raw!$A273</f>
        <v>45743</v>
      </c>
      <c r="C271" s="26" t="str">
        <f t="shared" si="1"/>
        <v>Instagram</v>
      </c>
      <c r="D271" s="26">
        <f t="array" ref="D271">XLOOKUP($A271,Instagram_follows_raw!$A$4:$A1000,Instagram_follows_raw!$B$4:$B1000)</f>
        <v>7</v>
      </c>
      <c r="E271" s="26">
        <f t="array" ref="E271">XLOOKUP($A271,Instagram_interactions_raw!$A$4:$A1000,Instagram_interactions_raw!$B$4:$B1000)</f>
        <v>35</v>
      </c>
      <c r="F271" s="26">
        <f t="array" ref="F271">XLOOKUP($A271,Instagram_reach_raw!$A$4:$A1000,Instagram_reach_raw!$B$4:$B1000)</f>
        <v>1370</v>
      </c>
    </row>
    <row r="272">
      <c r="A272" s="28">
        <f>Instagram_reach_raw!$A274</f>
        <v>45744</v>
      </c>
      <c r="B272" s="29">
        <f>Instagram_interactions_raw!$A274</f>
        <v>45744</v>
      </c>
      <c r="C272" s="26" t="str">
        <f t="shared" si="1"/>
        <v>Instagram</v>
      </c>
      <c r="D272" s="26">
        <f t="array" ref="D272">XLOOKUP($A272,Instagram_follows_raw!$A$4:$A1000,Instagram_follows_raw!$B$4:$B1000)</f>
        <v>4</v>
      </c>
      <c r="E272" s="26">
        <f t="array" ref="E272">XLOOKUP($A272,Instagram_interactions_raw!$A$4:$A1000,Instagram_interactions_raw!$B$4:$B1000)</f>
        <v>1189</v>
      </c>
      <c r="F272" s="26">
        <f t="array" ref="F272">XLOOKUP($A272,Instagram_reach_raw!$A$4:$A1000,Instagram_reach_raw!$B$4:$B1000)</f>
        <v>19260</v>
      </c>
    </row>
    <row r="273">
      <c r="A273" s="28">
        <f>Instagram_reach_raw!$A275</f>
        <v>45745</v>
      </c>
      <c r="B273" s="29">
        <f>Instagram_interactions_raw!$A275</f>
        <v>45745</v>
      </c>
      <c r="C273" s="26" t="str">
        <f t="shared" si="1"/>
        <v>Instagram</v>
      </c>
      <c r="D273" s="26">
        <f t="array" ref="D273">XLOOKUP($A273,Instagram_follows_raw!$A$4:$A1000,Instagram_follows_raw!$B$4:$B1000)</f>
        <v>3</v>
      </c>
      <c r="E273" s="26">
        <f t="array" ref="E273">XLOOKUP($A273,Instagram_interactions_raw!$A$4:$A1000,Instagram_interactions_raw!$B$4:$B1000)</f>
        <v>306</v>
      </c>
      <c r="F273" s="26">
        <f t="array" ref="F273">XLOOKUP($A273,Instagram_reach_raw!$A$4:$A1000,Instagram_reach_raw!$B$4:$B1000)</f>
        <v>9007</v>
      </c>
    </row>
    <row r="274">
      <c r="A274" s="28">
        <f>Instagram_reach_raw!$A276</f>
        <v>45746</v>
      </c>
      <c r="B274" s="29">
        <f>Instagram_interactions_raw!$A276</f>
        <v>45746</v>
      </c>
      <c r="C274" s="26" t="str">
        <f t="shared" si="1"/>
        <v>Instagram</v>
      </c>
      <c r="D274" s="26">
        <f t="array" ref="D274">XLOOKUP($A274,Instagram_follows_raw!$A$4:$A1000,Instagram_follows_raw!$B$4:$B1000)</f>
        <v>4</v>
      </c>
      <c r="E274" s="26">
        <f t="array" ref="E274">XLOOKUP($A274,Instagram_interactions_raw!$A$4:$A1000,Instagram_interactions_raw!$B$4:$B1000)</f>
        <v>100</v>
      </c>
      <c r="F274" s="26">
        <f t="array" ref="F274">XLOOKUP($A274,Instagram_reach_raw!$A$4:$A1000,Instagram_reach_raw!$B$4:$B1000)</f>
        <v>3764</v>
      </c>
    </row>
    <row r="275">
      <c r="A275" s="28">
        <f>Instagram_reach_raw!$A277</f>
        <v>45747</v>
      </c>
      <c r="B275" s="29">
        <f>Instagram_interactions_raw!$A277</f>
        <v>45747</v>
      </c>
      <c r="C275" s="26" t="str">
        <f t="shared" si="1"/>
        <v>Instagram</v>
      </c>
      <c r="D275" s="26">
        <f t="array" ref="D275">XLOOKUP($A275,Instagram_follows_raw!$A$4:$A1000,Instagram_follows_raw!$B$4:$B1000)</f>
        <v>3</v>
      </c>
      <c r="E275" s="26">
        <f t="array" ref="E275">XLOOKUP($A275,Instagram_interactions_raw!$A$4:$A1000,Instagram_interactions_raw!$B$4:$B1000)</f>
        <v>43</v>
      </c>
      <c r="F275" s="26">
        <f t="array" ref="F275">XLOOKUP($A275,Instagram_reach_raw!$A$4:$A1000,Instagram_reach_raw!$B$4:$B1000)</f>
        <v>1520</v>
      </c>
    </row>
    <row r="276">
      <c r="A276" s="28">
        <f>Instagram_reach_raw!$A278</f>
        <v>45748</v>
      </c>
      <c r="B276" s="29">
        <f>Instagram_interactions_raw!$A278</f>
        <v>45748</v>
      </c>
      <c r="C276" s="26" t="str">
        <f t="shared" si="1"/>
        <v>Instagram</v>
      </c>
      <c r="D276" s="26">
        <f t="array" ref="D276">XLOOKUP($A276,Instagram_follows_raw!$A$4:$A1000,Instagram_follows_raw!$B$4:$B1000)</f>
        <v>2</v>
      </c>
      <c r="E276" s="26">
        <f t="array" ref="E276">XLOOKUP($A276,Instagram_interactions_raw!$A$4:$A1000,Instagram_interactions_raw!$B$4:$B1000)</f>
        <v>21</v>
      </c>
      <c r="F276" s="26">
        <f t="array" ref="F276">XLOOKUP($A276,Instagram_reach_raw!$A$4:$A1000,Instagram_reach_raw!$B$4:$B1000)</f>
        <v>1008</v>
      </c>
    </row>
    <row r="277">
      <c r="A277" s="28">
        <f>Instagram_reach_raw!$A279</f>
        <v>45749</v>
      </c>
      <c r="B277" s="29">
        <f>Instagram_interactions_raw!$A279</f>
        <v>45749</v>
      </c>
      <c r="C277" s="26" t="str">
        <f t="shared" si="1"/>
        <v>Instagram</v>
      </c>
      <c r="D277" s="26">
        <f t="array" ref="D277">XLOOKUP($A277,Instagram_follows_raw!$A$4:$A1000,Instagram_follows_raw!$B$4:$B1000)</f>
        <v>5</v>
      </c>
      <c r="E277" s="26">
        <f t="array" ref="E277">XLOOKUP($A277,Instagram_interactions_raw!$A$4:$A1000,Instagram_interactions_raw!$B$4:$B1000)</f>
        <v>20</v>
      </c>
      <c r="F277" s="26">
        <f t="array" ref="F277">XLOOKUP($A277,Instagram_reach_raw!$A$4:$A1000,Instagram_reach_raw!$B$4:$B1000)</f>
        <v>1061</v>
      </c>
    </row>
    <row r="278">
      <c r="A278" s="28">
        <f>Instagram_reach_raw!$A280</f>
        <v>45750</v>
      </c>
      <c r="B278" s="29">
        <f>Instagram_interactions_raw!$A280</f>
        <v>45750</v>
      </c>
      <c r="C278" s="26" t="str">
        <f t="shared" si="1"/>
        <v>Instagram</v>
      </c>
      <c r="D278" s="26" t="str">
        <f t="array" ref="D278">XLOOKUP($A278,Instagram_follows_raw!$A$4:$A1000,Instagram_follows_raw!$B$4:$B1000)</f>
        <v>#N/A</v>
      </c>
      <c r="E278" s="26">
        <f t="array" ref="E278">XLOOKUP($A278,Instagram_interactions_raw!$A$4:$A1000,Instagram_interactions_raw!$B$4:$B1000)</f>
        <v>119</v>
      </c>
      <c r="F278" s="26">
        <f t="array" ref="F278">XLOOKUP($A278,Instagram_reach_raw!$A$4:$A1000,Instagram_reach_raw!$B$4:$B1000)</f>
        <v>1650</v>
      </c>
    </row>
    <row r="279">
      <c r="A279" s="28">
        <f>Instagram_reach_raw!$A281</f>
        <v>45751</v>
      </c>
      <c r="B279" s="29">
        <f>Instagram_interactions_raw!$A281</f>
        <v>45751</v>
      </c>
      <c r="C279" s="26" t="str">
        <f t="shared" si="1"/>
        <v>Instagram</v>
      </c>
      <c r="D279" s="26">
        <f t="array" ref="D279">XLOOKUP($A279,Instagram_follows_raw!$A$4:$A1000,Instagram_follows_raw!$B$4:$B1000)</f>
        <v>5</v>
      </c>
      <c r="E279" s="26">
        <f t="array" ref="E279">XLOOKUP($A279,Instagram_interactions_raw!$A$4:$A1000,Instagram_interactions_raw!$B$4:$B1000)</f>
        <v>92</v>
      </c>
      <c r="F279" s="26">
        <f t="array" ref="F279">XLOOKUP($A279,Instagram_reach_raw!$A$4:$A1000,Instagram_reach_raw!$B$4:$B1000)</f>
        <v>1847</v>
      </c>
    </row>
    <row r="280">
      <c r="A280" s="28">
        <f>Instagram_reach_raw!$A282</f>
        <v>45752</v>
      </c>
      <c r="B280" s="29">
        <f>Instagram_interactions_raw!$A282</f>
        <v>45752</v>
      </c>
      <c r="C280" s="26" t="str">
        <f t="shared" si="1"/>
        <v>Instagram</v>
      </c>
      <c r="D280" s="26">
        <f t="array" ref="D280">XLOOKUP($A280,Instagram_follows_raw!$A$4:$A1000,Instagram_follows_raw!$B$4:$B1000)</f>
        <v>2</v>
      </c>
      <c r="E280" s="26">
        <f t="array" ref="E280">XLOOKUP($A280,Instagram_interactions_raw!$A$4:$A1000,Instagram_interactions_raw!$B$4:$B1000)</f>
        <v>34</v>
      </c>
      <c r="F280" s="26">
        <f t="array" ref="F280">XLOOKUP($A280,Instagram_reach_raw!$A$4:$A1000,Instagram_reach_raw!$B$4:$B1000)</f>
        <v>1382</v>
      </c>
    </row>
    <row r="281">
      <c r="A281" s="28">
        <f>Instagram_reach_raw!$A283</f>
        <v>45753</v>
      </c>
      <c r="B281" s="29">
        <f>Instagram_interactions_raw!$A283</f>
        <v>45753</v>
      </c>
      <c r="C281" s="26" t="str">
        <f t="shared" si="1"/>
        <v>Instagram</v>
      </c>
      <c r="D281" s="26">
        <f t="array" ref="D281">XLOOKUP($A281,Instagram_follows_raw!$A$4:$A1000,Instagram_follows_raw!$B$4:$B1000)</f>
        <v>1</v>
      </c>
      <c r="E281" s="26">
        <f t="array" ref="E281">XLOOKUP($A281,Instagram_interactions_raw!$A$4:$A1000,Instagram_interactions_raw!$B$4:$B1000)</f>
        <v>16</v>
      </c>
      <c r="F281" s="26">
        <f t="array" ref="F281">XLOOKUP($A281,Instagram_reach_raw!$A$4:$A1000,Instagram_reach_raw!$B$4:$B1000)</f>
        <v>939</v>
      </c>
    </row>
    <row r="282">
      <c r="A282" s="28">
        <f>Instagram_reach_raw!$A284</f>
        <v>45754</v>
      </c>
      <c r="B282" s="29">
        <f>Instagram_interactions_raw!$A284</f>
        <v>45754</v>
      </c>
      <c r="C282" s="26" t="str">
        <f t="shared" si="1"/>
        <v>Instagram</v>
      </c>
      <c r="D282" s="26">
        <f t="array" ref="D282">XLOOKUP($A282,Instagram_follows_raw!$A$4:$A1000,Instagram_follows_raw!$B$4:$B1000)</f>
        <v>3</v>
      </c>
      <c r="E282" s="26">
        <f t="array" ref="E282">XLOOKUP($A282,Instagram_interactions_raw!$A$4:$A1000,Instagram_interactions_raw!$B$4:$B1000)</f>
        <v>67</v>
      </c>
      <c r="F282" s="26">
        <f t="array" ref="F282">XLOOKUP($A282,Instagram_reach_raw!$A$4:$A1000,Instagram_reach_raw!$B$4:$B1000)</f>
        <v>795</v>
      </c>
    </row>
    <row r="283">
      <c r="A283" s="28">
        <f>Instagram_reach_raw!$A285</f>
        <v>45755</v>
      </c>
      <c r="B283" s="29">
        <f>Instagram_interactions_raw!$A285</f>
        <v>45755</v>
      </c>
      <c r="C283" s="26" t="str">
        <f t="shared" si="1"/>
        <v>Instagram</v>
      </c>
      <c r="D283" s="26">
        <f t="array" ref="D283">XLOOKUP($A283,Instagram_follows_raw!$A$4:$A1000,Instagram_follows_raw!$B$4:$B1000)</f>
        <v>4</v>
      </c>
      <c r="E283" s="26">
        <f t="array" ref="E283">XLOOKUP($A283,Instagram_interactions_raw!$A$4:$A1000,Instagram_interactions_raw!$B$4:$B1000)</f>
        <v>33</v>
      </c>
      <c r="F283" s="26">
        <f t="array" ref="F283">XLOOKUP($A283,Instagram_reach_raw!$A$4:$A1000,Instagram_reach_raw!$B$4:$B1000)</f>
        <v>1039</v>
      </c>
    </row>
    <row r="284">
      <c r="A284" s="28">
        <f>Instagram_reach_raw!$A286</f>
        <v>45756</v>
      </c>
      <c r="B284" s="29">
        <f>Instagram_interactions_raw!$A286</f>
        <v>45756</v>
      </c>
      <c r="C284" s="26" t="str">
        <f t="shared" si="1"/>
        <v>Instagram</v>
      </c>
      <c r="D284" s="26">
        <f t="array" ref="D284">XLOOKUP($A284,Instagram_follows_raw!$A$4:$A1000,Instagram_follows_raw!$B$4:$B1000)</f>
        <v>3</v>
      </c>
      <c r="E284" s="26">
        <f t="array" ref="E284">XLOOKUP($A284,Instagram_interactions_raw!$A$4:$A1000,Instagram_interactions_raw!$B$4:$B1000)</f>
        <v>16</v>
      </c>
      <c r="F284" s="26">
        <f t="array" ref="F284">XLOOKUP($A284,Instagram_reach_raw!$A$4:$A1000,Instagram_reach_raw!$B$4:$B1000)</f>
        <v>863</v>
      </c>
    </row>
    <row r="285">
      <c r="A285" s="28">
        <f>Instagram_reach_raw!$A287</f>
        <v>45757</v>
      </c>
      <c r="B285" s="29">
        <f>Instagram_interactions_raw!$A287</f>
        <v>45757</v>
      </c>
      <c r="C285" s="26" t="str">
        <f t="shared" si="1"/>
        <v>Instagram</v>
      </c>
      <c r="D285" s="26">
        <f t="array" ref="D285">XLOOKUP($A285,Instagram_follows_raw!$A$4:$A1000,Instagram_follows_raw!$B$4:$B1000)</f>
        <v>4</v>
      </c>
      <c r="E285" s="26">
        <f t="array" ref="E285">XLOOKUP($A285,Instagram_interactions_raw!$A$4:$A1000,Instagram_interactions_raw!$B$4:$B1000)</f>
        <v>18</v>
      </c>
      <c r="F285" s="26">
        <f t="array" ref="F285">XLOOKUP($A285,Instagram_reach_raw!$A$4:$A1000,Instagram_reach_raw!$B$4:$B1000)</f>
        <v>786</v>
      </c>
    </row>
    <row r="286">
      <c r="A286" s="28">
        <f>Instagram_reach_raw!$A288</f>
        <v>45758</v>
      </c>
      <c r="B286" s="29">
        <f>Instagram_interactions_raw!$A288</f>
        <v>45758</v>
      </c>
      <c r="C286" s="26" t="str">
        <f t="shared" si="1"/>
        <v>Instagram</v>
      </c>
      <c r="D286" s="26">
        <f t="array" ref="D286">XLOOKUP($A286,Instagram_follows_raw!$A$4:$A1000,Instagram_follows_raw!$B$4:$B1000)</f>
        <v>1</v>
      </c>
      <c r="E286" s="26">
        <f t="array" ref="E286">XLOOKUP($A286,Instagram_interactions_raw!$A$4:$A1000,Instagram_interactions_raw!$B$4:$B1000)</f>
        <v>49</v>
      </c>
      <c r="F286" s="26">
        <f t="array" ref="F286">XLOOKUP($A286,Instagram_reach_raw!$A$4:$A1000,Instagram_reach_raw!$B$4:$B1000)</f>
        <v>753</v>
      </c>
    </row>
    <row r="287">
      <c r="A287" s="28">
        <f>Instagram_reach_raw!$A289</f>
        <v>45759</v>
      </c>
      <c r="B287" s="29">
        <f>Instagram_interactions_raw!$A289</f>
        <v>45759</v>
      </c>
      <c r="C287" s="26" t="str">
        <f t="shared" si="1"/>
        <v>Instagram</v>
      </c>
      <c r="D287" s="26">
        <f t="array" ref="D287">XLOOKUP($A287,Instagram_follows_raw!$A$4:$A1000,Instagram_follows_raw!$B$4:$B1000)</f>
        <v>6</v>
      </c>
      <c r="E287" s="26">
        <f t="array" ref="E287">XLOOKUP($A287,Instagram_interactions_raw!$A$4:$A1000,Instagram_interactions_raw!$B$4:$B1000)</f>
        <v>16</v>
      </c>
      <c r="F287" s="26">
        <f t="array" ref="F287">XLOOKUP($A287,Instagram_reach_raw!$A$4:$A1000,Instagram_reach_raw!$B$4:$B1000)</f>
        <v>438</v>
      </c>
    </row>
    <row r="288">
      <c r="A288" s="28">
        <f>Instagram_reach_raw!$A290</f>
        <v>45760</v>
      </c>
      <c r="B288" s="29">
        <f>Instagram_interactions_raw!$A290</f>
        <v>45760</v>
      </c>
      <c r="C288" s="26" t="str">
        <f t="shared" si="1"/>
        <v>Instagram</v>
      </c>
      <c r="D288" s="26" t="str">
        <f t="array" ref="D288">XLOOKUP($A288,Instagram_follows_raw!$A$4:$A1000,Instagram_follows_raw!$B$4:$B1000)</f>
        <v>#N/A</v>
      </c>
      <c r="E288" s="26">
        <f t="array" ref="E288">XLOOKUP($A288,Instagram_interactions_raw!$A$4:$A1000,Instagram_interactions_raw!$B$4:$B1000)</f>
        <v>9</v>
      </c>
      <c r="F288" s="26">
        <f t="array" ref="F288">XLOOKUP($A288,Instagram_reach_raw!$A$4:$A1000,Instagram_reach_raw!$B$4:$B1000)</f>
        <v>269</v>
      </c>
    </row>
    <row r="289">
      <c r="A289" s="28">
        <f>Instagram_reach_raw!$A291</f>
        <v>45761</v>
      </c>
      <c r="B289" s="29">
        <f>Instagram_interactions_raw!$A291</f>
        <v>45761</v>
      </c>
      <c r="C289" s="26" t="str">
        <f t="shared" si="1"/>
        <v>Instagram</v>
      </c>
      <c r="D289" s="26">
        <f t="array" ref="D289">XLOOKUP($A289,Instagram_follows_raw!$A$4:$A1000,Instagram_follows_raw!$B$4:$B1000)</f>
        <v>1</v>
      </c>
      <c r="E289" s="26">
        <f t="array" ref="E289">XLOOKUP($A289,Instagram_interactions_raw!$A$4:$A1000,Instagram_interactions_raw!$B$4:$B1000)</f>
        <v>9</v>
      </c>
      <c r="F289" s="26">
        <f t="array" ref="F289">XLOOKUP($A289,Instagram_reach_raw!$A$4:$A1000,Instagram_reach_raw!$B$4:$B1000)</f>
        <v>363</v>
      </c>
    </row>
    <row r="290">
      <c r="A290" s="28">
        <f>Instagram_reach_raw!$A292</f>
        <v>45762</v>
      </c>
      <c r="B290" s="29">
        <f>Instagram_interactions_raw!$A292</f>
        <v>45762</v>
      </c>
      <c r="C290" s="26" t="str">
        <f t="shared" si="1"/>
        <v>Instagram</v>
      </c>
      <c r="D290" s="26">
        <f t="array" ref="D290">XLOOKUP($A290,Instagram_follows_raw!$A$4:$A1000,Instagram_follows_raw!$B$4:$B1000)</f>
        <v>4</v>
      </c>
      <c r="E290" s="26">
        <f t="array" ref="E290">XLOOKUP($A290,Instagram_interactions_raw!$A$4:$A1000,Instagram_interactions_raw!$B$4:$B1000)</f>
        <v>62</v>
      </c>
      <c r="F290" s="26">
        <f t="array" ref="F290">XLOOKUP($A290,Instagram_reach_raw!$A$4:$A1000,Instagram_reach_raw!$B$4:$B1000)</f>
        <v>814</v>
      </c>
    </row>
    <row r="291">
      <c r="A291" s="28">
        <f>Instagram_reach_raw!$A293</f>
        <v>45763</v>
      </c>
      <c r="B291" s="29">
        <f>Instagram_interactions_raw!$A293</f>
        <v>45763</v>
      </c>
      <c r="C291" s="26" t="str">
        <f t="shared" si="1"/>
        <v>Instagram</v>
      </c>
      <c r="D291" s="26">
        <f t="array" ref="D291">XLOOKUP($A291,Instagram_follows_raw!$A$4:$A1000,Instagram_follows_raw!$B$4:$B1000)</f>
        <v>3</v>
      </c>
      <c r="E291" s="26">
        <f t="array" ref="E291">XLOOKUP($A291,Instagram_interactions_raw!$A$4:$A1000,Instagram_interactions_raw!$B$4:$B1000)</f>
        <v>23</v>
      </c>
      <c r="F291" s="26">
        <f t="array" ref="F291">XLOOKUP($A291,Instagram_reach_raw!$A$4:$A1000,Instagram_reach_raw!$B$4:$B1000)</f>
        <v>690</v>
      </c>
    </row>
    <row r="292">
      <c r="A292" s="28">
        <f>Instagram_reach_raw!$A294</f>
        <v>45764</v>
      </c>
      <c r="B292" s="29">
        <f>Instagram_interactions_raw!$A294</f>
        <v>45764</v>
      </c>
      <c r="C292" s="26" t="str">
        <f t="shared" si="1"/>
        <v>Instagram</v>
      </c>
      <c r="D292" s="26">
        <f t="array" ref="D292">XLOOKUP($A292,Instagram_follows_raw!$A$4:$A1000,Instagram_follows_raw!$B$4:$B1000)</f>
        <v>2</v>
      </c>
      <c r="E292" s="26">
        <f t="array" ref="E292">XLOOKUP($A292,Instagram_interactions_raw!$A$4:$A1000,Instagram_interactions_raw!$B$4:$B1000)</f>
        <v>6</v>
      </c>
      <c r="F292" s="26">
        <f t="array" ref="F292">XLOOKUP($A292,Instagram_reach_raw!$A$4:$A1000,Instagram_reach_raw!$B$4:$B1000)</f>
        <v>335</v>
      </c>
    </row>
    <row r="293">
      <c r="A293" s="28">
        <f>Instagram_reach_raw!$A295</f>
        <v>45765</v>
      </c>
      <c r="B293" s="29">
        <f>Instagram_interactions_raw!$A295</f>
        <v>45765</v>
      </c>
      <c r="C293" s="26" t="str">
        <f t="shared" si="1"/>
        <v>Instagram</v>
      </c>
      <c r="D293" s="26">
        <f t="array" ref="D293">XLOOKUP($A293,Instagram_follows_raw!$A$4:$A1000,Instagram_follows_raw!$B$4:$B1000)</f>
        <v>1</v>
      </c>
      <c r="E293" s="26">
        <f t="array" ref="E293">XLOOKUP($A293,Instagram_interactions_raw!$A$4:$A1000,Instagram_interactions_raw!$B$4:$B1000)</f>
        <v>1</v>
      </c>
      <c r="F293" s="26">
        <f t="array" ref="F293">XLOOKUP($A293,Instagram_reach_raw!$A$4:$A1000,Instagram_reach_raw!$B$4:$B1000)</f>
        <v>139</v>
      </c>
    </row>
    <row r="294">
      <c r="A294" s="28">
        <f>Instagram_reach_raw!$A296</f>
        <v>45766</v>
      </c>
      <c r="B294" s="29">
        <f>Instagram_interactions_raw!$A296</f>
        <v>45766</v>
      </c>
      <c r="C294" s="26" t="str">
        <f t="shared" si="1"/>
        <v>Instagram</v>
      </c>
      <c r="D294" s="26">
        <f t="array" ref="D294">XLOOKUP($A294,Instagram_follows_raw!$A$4:$A1000,Instagram_follows_raw!$B$4:$B1000)</f>
        <v>4</v>
      </c>
      <c r="E294" s="26">
        <f t="array" ref="E294">XLOOKUP($A294,Instagram_interactions_raw!$A$4:$A1000,Instagram_interactions_raw!$B$4:$B1000)</f>
        <v>33</v>
      </c>
      <c r="F294" s="26">
        <f t="array" ref="F294">XLOOKUP($A294,Instagram_reach_raw!$A$4:$A1000,Instagram_reach_raw!$B$4:$B1000)</f>
        <v>524</v>
      </c>
    </row>
    <row r="295">
      <c r="A295" s="28">
        <f>Instagram_reach_raw!$A297</f>
        <v>45767</v>
      </c>
      <c r="B295" s="29">
        <f>Instagram_interactions_raw!$A297</f>
        <v>45767</v>
      </c>
      <c r="C295" s="26" t="str">
        <f t="shared" si="1"/>
        <v>Instagram</v>
      </c>
      <c r="D295" s="26">
        <f t="array" ref="D295">XLOOKUP($A295,Instagram_follows_raw!$A$4:$A1000,Instagram_follows_raw!$B$4:$B1000)</f>
        <v>1</v>
      </c>
      <c r="E295" s="26">
        <f t="array" ref="E295">XLOOKUP($A295,Instagram_interactions_raw!$A$4:$A1000,Instagram_interactions_raw!$B$4:$B1000)</f>
        <v>8</v>
      </c>
      <c r="F295" s="26">
        <f t="array" ref="F295">XLOOKUP($A295,Instagram_reach_raw!$A$4:$A1000,Instagram_reach_raw!$B$4:$B1000)</f>
        <v>576</v>
      </c>
    </row>
    <row r="296">
      <c r="A296" s="28">
        <f>Instagram_reach_raw!$A298</f>
        <v>45768</v>
      </c>
      <c r="B296" s="29">
        <f>Instagram_interactions_raw!$A298</f>
        <v>45768</v>
      </c>
      <c r="C296" s="26" t="str">
        <f t="shared" si="1"/>
        <v>Instagram</v>
      </c>
      <c r="D296" s="26">
        <f t="array" ref="D296">XLOOKUP($A296,Instagram_follows_raw!$A$4:$A1000,Instagram_follows_raw!$B$4:$B1000)</f>
        <v>2</v>
      </c>
      <c r="E296" s="26">
        <f t="array" ref="E296">XLOOKUP($A296,Instagram_interactions_raw!$A$4:$A1000,Instagram_interactions_raw!$B$4:$B1000)</f>
        <v>4</v>
      </c>
      <c r="F296" s="26">
        <f t="array" ref="F296">XLOOKUP($A296,Instagram_reach_raw!$A$4:$A1000,Instagram_reach_raw!$B$4:$B1000)</f>
        <v>413</v>
      </c>
    </row>
    <row r="297">
      <c r="A297" s="28">
        <f>Instagram_reach_raw!$A299</f>
        <v>45769</v>
      </c>
      <c r="B297" s="29">
        <f>Instagram_interactions_raw!$A299</f>
        <v>45769</v>
      </c>
      <c r="C297" s="26" t="str">
        <f t="shared" si="1"/>
        <v>Instagram</v>
      </c>
      <c r="D297" s="26">
        <f t="array" ref="D297">XLOOKUP($A297,Instagram_follows_raw!$A$4:$A1000,Instagram_follows_raw!$B$4:$B1000)</f>
        <v>4</v>
      </c>
      <c r="E297" s="26">
        <f t="array" ref="E297">XLOOKUP($A297,Instagram_interactions_raw!$A$4:$A1000,Instagram_interactions_raw!$B$4:$B1000)</f>
        <v>28</v>
      </c>
      <c r="F297" s="26">
        <f t="array" ref="F297">XLOOKUP($A297,Instagram_reach_raw!$A$4:$A1000,Instagram_reach_raw!$B$4:$B1000)</f>
        <v>605</v>
      </c>
    </row>
    <row r="298">
      <c r="A298" s="28">
        <f>Instagram_reach_raw!$A300</f>
        <v>45770</v>
      </c>
      <c r="B298" s="29">
        <f>Instagram_interactions_raw!$A300</f>
        <v>45770</v>
      </c>
      <c r="C298" s="26" t="str">
        <f t="shared" si="1"/>
        <v>Instagram</v>
      </c>
      <c r="D298" s="26">
        <f t="array" ref="D298">XLOOKUP($A298,Instagram_follows_raw!$A$4:$A1000,Instagram_follows_raw!$B$4:$B1000)</f>
        <v>3</v>
      </c>
      <c r="E298" s="26">
        <f t="array" ref="E298">XLOOKUP($A298,Instagram_interactions_raw!$A$4:$A1000,Instagram_interactions_raw!$B$4:$B1000)</f>
        <v>25</v>
      </c>
      <c r="F298" s="26">
        <f t="array" ref="F298">XLOOKUP($A298,Instagram_reach_raw!$A$4:$A1000,Instagram_reach_raw!$B$4:$B1000)</f>
        <v>239</v>
      </c>
    </row>
    <row r="299">
      <c r="A299" s="28">
        <f>Instagram_reach_raw!$A301</f>
        <v>45771</v>
      </c>
      <c r="B299" s="29">
        <f>Instagram_interactions_raw!$A301</f>
        <v>45771</v>
      </c>
      <c r="C299" s="26" t="str">
        <f t="shared" si="1"/>
        <v>Instagram</v>
      </c>
      <c r="D299" s="26">
        <f t="array" ref="D299">XLOOKUP($A299,Instagram_follows_raw!$A$4:$A1000,Instagram_follows_raw!$B$4:$B1000)</f>
        <v>1</v>
      </c>
      <c r="E299" s="26">
        <f t="array" ref="E299">XLOOKUP($A299,Instagram_interactions_raw!$A$4:$A1000,Instagram_interactions_raw!$B$4:$B1000)</f>
        <v>33</v>
      </c>
      <c r="F299" s="26">
        <f t="array" ref="F299">XLOOKUP($A299,Instagram_reach_raw!$A$4:$A1000,Instagram_reach_raw!$B$4:$B1000)</f>
        <v>601</v>
      </c>
    </row>
    <row r="300">
      <c r="A300" s="28">
        <f>Instagram_reach_raw!$A302</f>
        <v>45772</v>
      </c>
      <c r="B300" s="29">
        <f>Instagram_interactions_raw!$A302</f>
        <v>45772</v>
      </c>
      <c r="C300" s="26" t="str">
        <f t="shared" si="1"/>
        <v>Instagram</v>
      </c>
      <c r="D300" s="26">
        <f t="array" ref="D300">XLOOKUP($A300,Instagram_follows_raw!$A$4:$A1000,Instagram_follows_raw!$B$4:$B1000)</f>
        <v>2</v>
      </c>
      <c r="E300" s="26">
        <f t="array" ref="E300">XLOOKUP($A300,Instagram_interactions_raw!$A$4:$A1000,Instagram_interactions_raw!$B$4:$B1000)</f>
        <v>91</v>
      </c>
      <c r="F300" s="26">
        <f t="array" ref="F300">XLOOKUP($A300,Instagram_reach_raw!$A$4:$A1000,Instagram_reach_raw!$B$4:$B1000)</f>
        <v>773</v>
      </c>
    </row>
    <row r="301">
      <c r="A301" s="28">
        <f>Instagram_reach_raw!$A303</f>
        <v>45773</v>
      </c>
      <c r="B301" s="29">
        <f>Instagram_interactions_raw!$A303</f>
        <v>45773</v>
      </c>
      <c r="C301" s="26" t="str">
        <f t="shared" si="1"/>
        <v>Instagram</v>
      </c>
      <c r="D301" s="26">
        <f t="array" ref="D301">XLOOKUP($A301,Instagram_follows_raw!$A$4:$A1000,Instagram_follows_raw!$B$4:$B1000)</f>
        <v>3</v>
      </c>
      <c r="E301" s="26">
        <f t="array" ref="E301">XLOOKUP($A301,Instagram_interactions_raw!$A$4:$A1000,Instagram_interactions_raw!$B$4:$B1000)</f>
        <v>50</v>
      </c>
      <c r="F301" s="26">
        <f t="array" ref="F301">XLOOKUP($A301,Instagram_reach_raw!$A$4:$A1000,Instagram_reach_raw!$B$4:$B1000)</f>
        <v>593</v>
      </c>
    </row>
    <row r="302">
      <c r="A302" s="28">
        <f>Instagram_reach_raw!$A304</f>
        <v>45774</v>
      </c>
      <c r="B302" s="29">
        <f>Instagram_interactions_raw!$A304</f>
        <v>45774</v>
      </c>
      <c r="C302" s="26" t="str">
        <f t="shared" si="1"/>
        <v>Instagram</v>
      </c>
      <c r="D302" s="26">
        <f t="array" ref="D302">XLOOKUP($A302,Instagram_follows_raw!$A$4:$A1000,Instagram_follows_raw!$B$4:$B1000)</f>
        <v>4</v>
      </c>
      <c r="E302" s="26">
        <f t="array" ref="E302">XLOOKUP($A302,Instagram_interactions_raw!$A$4:$A1000,Instagram_interactions_raw!$B$4:$B1000)</f>
        <v>17</v>
      </c>
      <c r="F302" s="26">
        <f t="array" ref="F302">XLOOKUP($A302,Instagram_reach_raw!$A$4:$A1000,Instagram_reach_raw!$B$4:$B1000)</f>
        <v>434</v>
      </c>
    </row>
    <row r="303">
      <c r="A303" s="28">
        <f>Instagram_reach_raw!$A305</f>
        <v>45775</v>
      </c>
      <c r="B303" s="29">
        <f>Instagram_interactions_raw!$A305</f>
        <v>45775</v>
      </c>
      <c r="C303" s="26" t="str">
        <f t="shared" si="1"/>
        <v>Instagram</v>
      </c>
      <c r="D303" s="26">
        <f t="array" ref="D303">XLOOKUP($A303,Instagram_follows_raw!$A$4:$A1000,Instagram_follows_raw!$B$4:$B1000)</f>
        <v>2</v>
      </c>
      <c r="E303" s="26">
        <f t="array" ref="E303">XLOOKUP($A303,Instagram_interactions_raw!$A$4:$A1000,Instagram_interactions_raw!$B$4:$B1000)</f>
        <v>10</v>
      </c>
      <c r="F303" s="26">
        <f t="array" ref="F303">XLOOKUP($A303,Instagram_reach_raw!$A$4:$A1000,Instagram_reach_raw!$B$4:$B1000)</f>
        <v>348</v>
      </c>
    </row>
    <row r="304">
      <c r="A304" s="28">
        <f>Instagram_reach_raw!$A306</f>
        <v>45776</v>
      </c>
      <c r="B304" s="29">
        <f>Instagram_interactions_raw!$A306</f>
        <v>45776</v>
      </c>
      <c r="C304" s="26" t="str">
        <f t="shared" si="1"/>
        <v>Instagram</v>
      </c>
      <c r="D304" s="26">
        <f t="array" ref="D304">XLOOKUP($A304,Instagram_follows_raw!$A$4:$A1000,Instagram_follows_raw!$B$4:$B1000)</f>
        <v>3</v>
      </c>
      <c r="E304" s="26">
        <f t="array" ref="E304">XLOOKUP($A304,Instagram_interactions_raw!$A$4:$A1000,Instagram_interactions_raw!$B$4:$B1000)</f>
        <v>10</v>
      </c>
      <c r="F304" s="26">
        <f t="array" ref="F304">XLOOKUP($A304,Instagram_reach_raw!$A$4:$A1000,Instagram_reach_raw!$B$4:$B1000)</f>
        <v>295</v>
      </c>
    </row>
    <row r="305">
      <c r="A305" s="28">
        <f>Instagram_reach_raw!$A307</f>
        <v>45777</v>
      </c>
      <c r="B305" s="29">
        <f>Instagram_interactions_raw!$A307</f>
        <v>45777</v>
      </c>
      <c r="C305" s="26" t="str">
        <f t="shared" si="1"/>
        <v>Instagram</v>
      </c>
      <c r="D305" s="26">
        <f t="array" ref="D305">XLOOKUP($A305,Instagram_follows_raw!$A$4:$A1000,Instagram_follows_raw!$B$4:$B1000)</f>
        <v>4</v>
      </c>
      <c r="E305" s="26">
        <f t="array" ref="E305">XLOOKUP($A305,Instagram_interactions_raw!$A$4:$A1000,Instagram_interactions_raw!$B$4:$B1000)</f>
        <v>9</v>
      </c>
      <c r="F305" s="26">
        <f t="array" ref="F305">XLOOKUP($A305,Instagram_reach_raw!$A$4:$A1000,Instagram_reach_raw!$B$4:$B1000)</f>
        <v>287</v>
      </c>
    </row>
    <row r="306">
      <c r="A306" s="30" t="str">
        <f>Instagram_reach_raw!$A308</f>
        <v/>
      </c>
      <c r="B306" s="29" t="str">
        <f>Instagram_interactions_raw!$A308</f>
        <v/>
      </c>
      <c r="C306" s="26" t="str">
        <f t="shared" si="1"/>
        <v/>
      </c>
      <c r="D306" s="26" t="str">
        <f t="array" ref="D306">XLOOKUP($A306,Instagram_follows_raw!$A$4:$A1000,Instagram_follows_raw!$B$4:$B1000)</f>
        <v>#N/A</v>
      </c>
      <c r="E306" s="26" t="str">
        <f t="array" ref="E306">XLOOKUP($A306,Instagram_interactions_raw!$A$4:$A1000,Instagram_interactions_raw!$B$4:$B1000)</f>
        <v>#N/A</v>
      </c>
      <c r="F306" s="26" t="str">
        <f t="array" ref="F306">XLOOKUP($A306,Instagram_reach_raw!$A$4:$A1000,Instagram_reach_raw!$B$4:$B1000)</f>
        <v>#N/A</v>
      </c>
    </row>
    <row r="307">
      <c r="A307" s="30" t="str">
        <f>Instagram_reach_raw!$A309</f>
        <v/>
      </c>
      <c r="B307" s="29" t="str">
        <f>Instagram_interactions_raw!$A309</f>
        <v/>
      </c>
      <c r="C307" s="26" t="str">
        <f t="shared" si="1"/>
        <v/>
      </c>
      <c r="D307" s="26" t="str">
        <f t="array" ref="D307">XLOOKUP($A307,Instagram_follows_raw!$A$4:$A1000,Instagram_follows_raw!$B$4:$B1000)</f>
        <v>#N/A</v>
      </c>
      <c r="E307" s="26" t="str">
        <f t="array" ref="E307">XLOOKUP($A307,Instagram_interactions_raw!$A$4:$A1000,Instagram_interactions_raw!$B$4:$B1000)</f>
        <v>#N/A</v>
      </c>
      <c r="F307" s="26" t="str">
        <f t="array" ref="F307">XLOOKUP($A307,Instagram_reach_raw!$A$4:$A1000,Instagram_reach_raw!$B$4:$B1000)</f>
        <v>#N/A</v>
      </c>
    </row>
    <row r="308">
      <c r="A308" s="30" t="str">
        <f>Instagram_reach_raw!$A310</f>
        <v/>
      </c>
      <c r="B308" s="29" t="str">
        <f>Instagram_interactions_raw!$A310</f>
        <v/>
      </c>
      <c r="C308" s="26" t="str">
        <f t="shared" si="1"/>
        <v/>
      </c>
      <c r="D308" s="26" t="str">
        <f t="array" ref="D308">XLOOKUP($A308,Instagram_follows_raw!$A$4:$A1000,Instagram_follows_raw!$B$4:$B1000)</f>
        <v>#N/A</v>
      </c>
      <c r="E308" s="26" t="str">
        <f t="array" ref="E308">XLOOKUP($A308,Instagram_interactions_raw!$A$4:$A1000,Instagram_interactions_raw!$B$4:$B1000)</f>
        <v>#N/A</v>
      </c>
      <c r="F308" s="26" t="str">
        <f t="array" ref="F308">XLOOKUP($A308,Instagram_reach_raw!$A$4:$A1000,Instagram_reach_raw!$B$4:$B1000)</f>
        <v>#N/A</v>
      </c>
    </row>
    <row r="309">
      <c r="A309" s="30" t="str">
        <f>Instagram_reach_raw!$A311</f>
        <v/>
      </c>
      <c r="B309" s="29" t="str">
        <f>Instagram_interactions_raw!$A311</f>
        <v/>
      </c>
      <c r="C309" s="26" t="str">
        <f t="shared" si="1"/>
        <v/>
      </c>
      <c r="D309" s="26" t="str">
        <f t="array" ref="D309">XLOOKUP($A309,Instagram_follows_raw!$A$4:$A1000,Instagram_follows_raw!$B$4:$B1000)</f>
        <v>#N/A</v>
      </c>
      <c r="E309" s="26" t="str">
        <f t="array" ref="E309">XLOOKUP($A309,Instagram_interactions_raw!$A$4:$A1000,Instagram_interactions_raw!$B$4:$B1000)</f>
        <v>#N/A</v>
      </c>
      <c r="F309" s="26" t="str">
        <f t="array" ref="F309">XLOOKUP($A309,Instagram_reach_raw!$A$4:$A1000,Instagram_reach_raw!$B$4:$B1000)</f>
        <v>#N/A</v>
      </c>
    </row>
    <row r="310">
      <c r="A310" s="30" t="str">
        <f>Instagram_reach_raw!$A312</f>
        <v/>
      </c>
      <c r="B310" s="29" t="str">
        <f>Instagram_interactions_raw!$A312</f>
        <v/>
      </c>
      <c r="C310" s="26" t="str">
        <f t="shared" si="1"/>
        <v/>
      </c>
      <c r="D310" s="26" t="str">
        <f t="array" ref="D310">XLOOKUP($A310,Instagram_follows_raw!$A$4:$A1000,Instagram_follows_raw!$B$4:$B1000)</f>
        <v>#N/A</v>
      </c>
      <c r="E310" s="26" t="str">
        <f t="array" ref="E310">XLOOKUP($A310,Instagram_interactions_raw!$A$4:$A1000,Instagram_interactions_raw!$B$4:$B1000)</f>
        <v>#N/A</v>
      </c>
      <c r="F310" s="26" t="str">
        <f t="array" ref="F310">XLOOKUP($A310,Instagram_reach_raw!$A$4:$A1000,Instagram_reach_raw!$B$4:$B1000)</f>
        <v>#N/A</v>
      </c>
    </row>
    <row r="311">
      <c r="A311" s="30" t="str">
        <f>Instagram_reach_raw!$A313</f>
        <v/>
      </c>
      <c r="B311" s="29" t="str">
        <f>Instagram_interactions_raw!$A313</f>
        <v/>
      </c>
      <c r="C311" s="26" t="str">
        <f t="shared" si="1"/>
        <v/>
      </c>
      <c r="D311" s="26" t="str">
        <f t="array" ref="D311">XLOOKUP($A311,Instagram_follows_raw!$A$4:$A1000,Instagram_follows_raw!$B$4:$B1000)</f>
        <v>#N/A</v>
      </c>
      <c r="E311" s="26" t="str">
        <f t="array" ref="E311">XLOOKUP($A311,Instagram_interactions_raw!$A$4:$A1000,Instagram_interactions_raw!$B$4:$B1000)</f>
        <v>#N/A</v>
      </c>
      <c r="F311" s="26" t="str">
        <f t="array" ref="F311">XLOOKUP($A311,Instagram_reach_raw!$A$4:$A1000,Instagram_reach_raw!$B$4:$B1000)</f>
        <v>#N/A</v>
      </c>
    </row>
    <row r="312">
      <c r="A312" s="30" t="str">
        <f>Instagram_reach_raw!$A314</f>
        <v/>
      </c>
      <c r="B312" s="29" t="str">
        <f>Instagram_interactions_raw!$A314</f>
        <v/>
      </c>
      <c r="C312" s="26" t="str">
        <f t="shared" si="1"/>
        <v/>
      </c>
      <c r="D312" s="26" t="str">
        <f t="array" ref="D312">XLOOKUP($A312,Instagram_follows_raw!$A$4:$A1000,Instagram_follows_raw!$B$4:$B1000)</f>
        <v>#N/A</v>
      </c>
      <c r="E312" s="26" t="str">
        <f t="array" ref="E312">XLOOKUP($A312,Instagram_interactions_raw!$A$4:$A1000,Instagram_interactions_raw!$B$4:$B1000)</f>
        <v>#N/A</v>
      </c>
      <c r="F312" s="26" t="str">
        <f t="array" ref="F312">XLOOKUP($A312,Instagram_reach_raw!$A$4:$A1000,Instagram_reach_raw!$B$4:$B1000)</f>
        <v>#N/A</v>
      </c>
    </row>
    <row r="313">
      <c r="A313" s="30" t="str">
        <f>Instagram_reach_raw!$A315</f>
        <v/>
      </c>
      <c r="B313" s="29" t="str">
        <f>Instagram_interactions_raw!$A315</f>
        <v/>
      </c>
      <c r="C313" s="26" t="str">
        <f t="shared" si="1"/>
        <v/>
      </c>
      <c r="D313" s="26" t="str">
        <f t="array" ref="D313">XLOOKUP($A313,Instagram_follows_raw!$A$4:$A1000,Instagram_follows_raw!$B$4:$B1000)</f>
        <v>#N/A</v>
      </c>
      <c r="E313" s="26" t="str">
        <f t="array" ref="E313">XLOOKUP($A313,Instagram_interactions_raw!$A$4:$A1000,Instagram_interactions_raw!$B$4:$B1000)</f>
        <v>#N/A</v>
      </c>
      <c r="F313" s="26" t="str">
        <f t="array" ref="F313">XLOOKUP($A313,Instagram_reach_raw!$A$4:$A1000,Instagram_reach_raw!$B$4:$B1000)</f>
        <v>#N/A</v>
      </c>
    </row>
    <row r="314">
      <c r="A314" s="30" t="str">
        <f>Instagram_reach_raw!$A316</f>
        <v/>
      </c>
      <c r="B314" s="29" t="str">
        <f>Instagram_interactions_raw!$A316</f>
        <v/>
      </c>
      <c r="C314" s="26" t="str">
        <f t="shared" si="1"/>
        <v/>
      </c>
      <c r="D314" s="26" t="str">
        <f t="array" ref="D314">XLOOKUP($A314,Instagram_follows_raw!$A$4:$A1000,Instagram_follows_raw!$B$4:$B1000)</f>
        <v>#N/A</v>
      </c>
      <c r="E314" s="26" t="str">
        <f t="array" ref="E314">XLOOKUP($A314,Instagram_interactions_raw!$A$4:$A1000,Instagram_interactions_raw!$B$4:$B1000)</f>
        <v>#N/A</v>
      </c>
      <c r="F314" s="26" t="str">
        <f t="array" ref="F314">XLOOKUP($A314,Instagram_reach_raw!$A$4:$A1000,Instagram_reach_raw!$B$4:$B1000)</f>
        <v>#N/A</v>
      </c>
    </row>
    <row r="315">
      <c r="A315" s="30" t="str">
        <f>Instagram_reach_raw!$A317</f>
        <v/>
      </c>
      <c r="B315" s="29" t="str">
        <f>Instagram_interactions_raw!$A317</f>
        <v/>
      </c>
      <c r="C315" s="26" t="str">
        <f t="shared" si="1"/>
        <v/>
      </c>
      <c r="D315" s="26" t="str">
        <f t="array" ref="D315">XLOOKUP($A315,Instagram_follows_raw!$A$4:$A1000,Instagram_follows_raw!$B$4:$B1000)</f>
        <v>#N/A</v>
      </c>
      <c r="E315" s="26" t="str">
        <f t="array" ref="E315">XLOOKUP($A315,Instagram_interactions_raw!$A$4:$A1000,Instagram_interactions_raw!$B$4:$B1000)</f>
        <v>#N/A</v>
      </c>
      <c r="F315" s="26" t="str">
        <f t="array" ref="F315">XLOOKUP($A315,Instagram_reach_raw!$A$4:$A1000,Instagram_reach_raw!$B$4:$B1000)</f>
        <v>#N/A</v>
      </c>
    </row>
    <row r="316">
      <c r="A316" s="30" t="str">
        <f>Instagram_reach_raw!$A318</f>
        <v/>
      </c>
      <c r="B316" s="29" t="str">
        <f>Instagram_interactions_raw!$A318</f>
        <v/>
      </c>
      <c r="C316" s="26" t="str">
        <f t="shared" si="1"/>
        <v/>
      </c>
      <c r="D316" s="26" t="str">
        <f t="array" ref="D316">XLOOKUP($A316,Instagram_follows_raw!$A$4:$A1000,Instagram_follows_raw!$B$4:$B1000)</f>
        <v>#N/A</v>
      </c>
      <c r="E316" s="26" t="str">
        <f t="array" ref="E316">XLOOKUP($A316,Instagram_interactions_raw!$A$4:$A1000,Instagram_interactions_raw!$B$4:$B1000)</f>
        <v>#N/A</v>
      </c>
      <c r="F316" s="26" t="str">
        <f t="array" ref="F316">XLOOKUP($A316,Instagram_reach_raw!$A$4:$A1000,Instagram_reach_raw!$B$4:$B1000)</f>
        <v>#N/A</v>
      </c>
    </row>
    <row r="317">
      <c r="A317" s="30" t="str">
        <f>Instagram_reach_raw!$A319</f>
        <v/>
      </c>
      <c r="B317" s="29" t="str">
        <f>Instagram_interactions_raw!$A319</f>
        <v/>
      </c>
      <c r="C317" s="26" t="str">
        <f t="shared" si="1"/>
        <v/>
      </c>
      <c r="D317" s="26" t="str">
        <f t="array" ref="D317">XLOOKUP($A317,Instagram_follows_raw!$A$4:$A1000,Instagram_follows_raw!$B$4:$B1000)</f>
        <v>#N/A</v>
      </c>
      <c r="E317" s="26" t="str">
        <f t="array" ref="E317">XLOOKUP($A317,Instagram_interactions_raw!$A$4:$A1000,Instagram_interactions_raw!$B$4:$B1000)</f>
        <v>#N/A</v>
      </c>
      <c r="F317" s="26" t="str">
        <f t="array" ref="F317">XLOOKUP($A317,Instagram_reach_raw!$A$4:$A1000,Instagram_reach_raw!$B$4:$B1000)</f>
        <v>#N/A</v>
      </c>
    </row>
    <row r="318">
      <c r="A318" s="30" t="str">
        <f>Instagram_reach_raw!$A320</f>
        <v/>
      </c>
      <c r="B318" s="29" t="str">
        <f>Instagram_interactions_raw!$A320</f>
        <v/>
      </c>
      <c r="C318" s="26" t="str">
        <f t="shared" si="1"/>
        <v/>
      </c>
      <c r="D318" s="26" t="str">
        <f t="array" ref="D318">XLOOKUP($A318,Instagram_follows_raw!$A$4:$A1000,Instagram_follows_raw!$B$4:$B1000)</f>
        <v>#N/A</v>
      </c>
      <c r="E318" s="26" t="str">
        <f t="array" ref="E318">XLOOKUP($A318,Instagram_interactions_raw!$A$4:$A1000,Instagram_interactions_raw!$B$4:$B1000)</f>
        <v>#N/A</v>
      </c>
      <c r="F318" s="26" t="str">
        <f t="array" ref="F318">XLOOKUP($A318,Instagram_reach_raw!$A$4:$A1000,Instagram_reach_raw!$B$4:$B1000)</f>
        <v>#N/A</v>
      </c>
    </row>
    <row r="319">
      <c r="A319" s="30" t="str">
        <f>Instagram_reach_raw!$A321</f>
        <v/>
      </c>
      <c r="B319" s="29" t="str">
        <f>Instagram_interactions_raw!$A321</f>
        <v/>
      </c>
      <c r="C319" s="26" t="str">
        <f t="shared" si="1"/>
        <v/>
      </c>
      <c r="D319" s="26" t="str">
        <f t="array" ref="D319">XLOOKUP($A319,Instagram_follows_raw!$A$4:$A1000,Instagram_follows_raw!$B$4:$B1000)</f>
        <v>#N/A</v>
      </c>
      <c r="E319" s="26" t="str">
        <f t="array" ref="E319">XLOOKUP($A319,Instagram_interactions_raw!$A$4:$A1000,Instagram_interactions_raw!$B$4:$B1000)</f>
        <v>#N/A</v>
      </c>
      <c r="F319" s="26" t="str">
        <f t="array" ref="F319">XLOOKUP($A319,Instagram_reach_raw!$A$4:$A1000,Instagram_reach_raw!$B$4:$B1000)</f>
        <v>#N/A</v>
      </c>
    </row>
    <row r="320">
      <c r="A320" s="30" t="str">
        <f>Instagram_reach_raw!$A322</f>
        <v/>
      </c>
      <c r="B320" s="29" t="str">
        <f>Instagram_interactions_raw!$A322</f>
        <v/>
      </c>
      <c r="C320" s="26" t="str">
        <f t="shared" si="1"/>
        <v/>
      </c>
      <c r="D320" s="26" t="str">
        <f t="array" ref="D320">XLOOKUP($A320,Instagram_follows_raw!$A$4:$A1000,Instagram_follows_raw!$B$4:$B1000)</f>
        <v>#N/A</v>
      </c>
      <c r="E320" s="26" t="str">
        <f t="array" ref="E320">XLOOKUP($A320,Instagram_interactions_raw!$A$4:$A1000,Instagram_interactions_raw!$B$4:$B1000)</f>
        <v>#N/A</v>
      </c>
      <c r="F320" s="26" t="str">
        <f t="array" ref="F320">XLOOKUP($A320,Instagram_reach_raw!$A$4:$A1000,Instagram_reach_raw!$B$4:$B1000)</f>
        <v>#N/A</v>
      </c>
    </row>
    <row r="321">
      <c r="A321" s="30" t="str">
        <f>Instagram_reach_raw!$A323</f>
        <v/>
      </c>
      <c r="B321" s="29" t="str">
        <f>Instagram_interactions_raw!$A323</f>
        <v/>
      </c>
      <c r="C321" s="26" t="str">
        <f t="shared" si="1"/>
        <v/>
      </c>
      <c r="D321" s="26" t="str">
        <f t="array" ref="D321">XLOOKUP($A321,Instagram_follows_raw!$A$4:$A1000,Instagram_follows_raw!$B$4:$B1000)</f>
        <v>#N/A</v>
      </c>
      <c r="E321" s="26" t="str">
        <f t="array" ref="E321">XLOOKUP($A321,Instagram_interactions_raw!$A$4:$A1000,Instagram_interactions_raw!$B$4:$B1000)</f>
        <v>#N/A</v>
      </c>
      <c r="F321" s="26" t="str">
        <f t="array" ref="F321">XLOOKUP($A321,Instagram_reach_raw!$A$4:$A1000,Instagram_reach_raw!$B$4:$B1000)</f>
        <v>#N/A</v>
      </c>
    </row>
    <row r="322">
      <c r="A322" s="30" t="str">
        <f>Instagram_reach_raw!$A324</f>
        <v/>
      </c>
      <c r="B322" s="29" t="str">
        <f>Instagram_interactions_raw!$A324</f>
        <v/>
      </c>
      <c r="C322" s="26" t="str">
        <f t="shared" si="1"/>
        <v/>
      </c>
      <c r="D322" s="26" t="str">
        <f t="array" ref="D322">XLOOKUP($A322,Instagram_follows_raw!$A$4:$A1000,Instagram_follows_raw!$B$4:$B1000)</f>
        <v>#N/A</v>
      </c>
      <c r="E322" s="26" t="str">
        <f t="array" ref="E322">XLOOKUP($A322,Instagram_interactions_raw!$A$4:$A1000,Instagram_interactions_raw!$B$4:$B1000)</f>
        <v>#N/A</v>
      </c>
      <c r="F322" s="26" t="str">
        <f t="array" ref="F322">XLOOKUP($A322,Instagram_reach_raw!$A$4:$A1000,Instagram_reach_raw!$B$4:$B1000)</f>
        <v>#N/A</v>
      </c>
    </row>
    <row r="323">
      <c r="A323" s="30" t="str">
        <f>Instagram_reach_raw!$A325</f>
        <v/>
      </c>
      <c r="B323" s="29" t="str">
        <f>Instagram_interactions_raw!$A325</f>
        <v/>
      </c>
      <c r="C323" s="26" t="str">
        <f t="shared" si="1"/>
        <v/>
      </c>
      <c r="D323" s="26" t="str">
        <f t="array" ref="D323">XLOOKUP($A323,Instagram_follows_raw!$A$4:$A1000,Instagram_follows_raw!$B$4:$B1000)</f>
        <v>#N/A</v>
      </c>
      <c r="E323" s="26" t="str">
        <f t="array" ref="E323">XLOOKUP($A323,Instagram_interactions_raw!$A$4:$A1000,Instagram_interactions_raw!$B$4:$B1000)</f>
        <v>#N/A</v>
      </c>
      <c r="F323" s="26" t="str">
        <f t="array" ref="F323">XLOOKUP($A323,Instagram_reach_raw!$A$4:$A1000,Instagram_reach_raw!$B$4:$B1000)</f>
        <v>#N/A</v>
      </c>
    </row>
    <row r="324">
      <c r="A324" s="30" t="str">
        <f>Instagram_reach_raw!$A326</f>
        <v/>
      </c>
      <c r="B324" s="29" t="str">
        <f>Instagram_interactions_raw!$A326</f>
        <v/>
      </c>
      <c r="C324" s="26" t="str">
        <f t="shared" si="1"/>
        <v/>
      </c>
      <c r="D324" s="26" t="str">
        <f t="array" ref="D324">XLOOKUP($A324,Instagram_follows_raw!$A$4:$A1000,Instagram_follows_raw!$B$4:$B1000)</f>
        <v>#N/A</v>
      </c>
      <c r="E324" s="26" t="str">
        <f t="array" ref="E324">XLOOKUP($A324,Instagram_interactions_raw!$A$4:$A1000,Instagram_interactions_raw!$B$4:$B1000)</f>
        <v>#N/A</v>
      </c>
      <c r="F324" s="26" t="str">
        <f t="array" ref="F324">XLOOKUP($A324,Instagram_reach_raw!$A$4:$A1000,Instagram_reach_raw!$B$4:$B1000)</f>
        <v>#N/A</v>
      </c>
    </row>
    <row r="325">
      <c r="A325" s="30" t="str">
        <f>Instagram_reach_raw!$A327</f>
        <v/>
      </c>
      <c r="B325" s="29" t="str">
        <f>Instagram_interactions_raw!$A327</f>
        <v/>
      </c>
      <c r="C325" s="26" t="str">
        <f t="shared" si="1"/>
        <v/>
      </c>
      <c r="D325" s="26" t="str">
        <f t="array" ref="D325">XLOOKUP($A325,Instagram_follows_raw!$A$4:$A1000,Instagram_follows_raw!$B$4:$B1000)</f>
        <v>#N/A</v>
      </c>
      <c r="E325" s="26" t="str">
        <f t="array" ref="E325">XLOOKUP($A325,Instagram_interactions_raw!$A$4:$A1000,Instagram_interactions_raw!$B$4:$B1000)</f>
        <v>#N/A</v>
      </c>
      <c r="F325" s="26" t="str">
        <f t="array" ref="F325">XLOOKUP($A325,Instagram_reach_raw!$A$4:$A1000,Instagram_reach_raw!$B$4:$B1000)</f>
        <v>#N/A</v>
      </c>
    </row>
    <row r="326">
      <c r="A326" s="30" t="str">
        <f>Instagram_reach_raw!$A328</f>
        <v/>
      </c>
      <c r="B326" s="29" t="str">
        <f>Instagram_interactions_raw!$A328</f>
        <v/>
      </c>
      <c r="C326" s="26" t="str">
        <f t="shared" si="1"/>
        <v/>
      </c>
      <c r="D326" s="26" t="str">
        <f t="array" ref="D326">XLOOKUP($A326,Instagram_follows_raw!$A$4:$A1000,Instagram_follows_raw!$B$4:$B1000)</f>
        <v>#N/A</v>
      </c>
      <c r="E326" s="26" t="str">
        <f t="array" ref="E326">XLOOKUP($A326,Instagram_interactions_raw!$A$4:$A1000,Instagram_interactions_raw!$B$4:$B1000)</f>
        <v>#N/A</v>
      </c>
      <c r="F326" s="26" t="str">
        <f t="array" ref="F326">XLOOKUP($A326,Instagram_reach_raw!$A$4:$A1000,Instagram_reach_raw!$B$4:$B1000)</f>
        <v>#N/A</v>
      </c>
    </row>
    <row r="327">
      <c r="A327" s="30" t="str">
        <f>Instagram_reach_raw!$A329</f>
        <v/>
      </c>
      <c r="B327" s="29" t="str">
        <f>Instagram_interactions_raw!$A329</f>
        <v/>
      </c>
      <c r="C327" s="26" t="str">
        <f t="shared" si="1"/>
        <v/>
      </c>
      <c r="D327" s="26" t="str">
        <f t="array" ref="D327">XLOOKUP($A327,Instagram_follows_raw!$A$4:$A1000,Instagram_follows_raw!$B$4:$B1000)</f>
        <v>#N/A</v>
      </c>
      <c r="E327" s="26" t="str">
        <f t="array" ref="E327">XLOOKUP($A327,Instagram_interactions_raw!$A$4:$A1000,Instagram_interactions_raw!$B$4:$B1000)</f>
        <v>#N/A</v>
      </c>
      <c r="F327" s="26" t="str">
        <f t="array" ref="F327">XLOOKUP($A327,Instagram_reach_raw!$A$4:$A1000,Instagram_reach_raw!$B$4:$B1000)</f>
        <v>#N/A</v>
      </c>
    </row>
    <row r="328">
      <c r="A328" s="30" t="str">
        <f>Instagram_reach_raw!$A330</f>
        <v/>
      </c>
      <c r="B328" s="29" t="str">
        <f>Instagram_interactions_raw!$A330</f>
        <v/>
      </c>
      <c r="C328" s="26" t="str">
        <f t="shared" si="1"/>
        <v/>
      </c>
      <c r="D328" s="26" t="str">
        <f t="array" ref="D328">XLOOKUP($A328,Instagram_follows_raw!$A$4:$A1000,Instagram_follows_raw!$B$4:$B1000)</f>
        <v>#N/A</v>
      </c>
      <c r="E328" s="26" t="str">
        <f t="array" ref="E328">XLOOKUP($A328,Instagram_interactions_raw!$A$4:$A1000,Instagram_interactions_raw!$B$4:$B1000)</f>
        <v>#N/A</v>
      </c>
      <c r="F328" s="26" t="str">
        <f t="array" ref="F328">XLOOKUP($A328,Instagram_reach_raw!$A$4:$A1000,Instagram_reach_raw!$B$4:$B1000)</f>
        <v>#N/A</v>
      </c>
    </row>
    <row r="329">
      <c r="A329" s="30" t="str">
        <f>Instagram_reach_raw!$A331</f>
        <v/>
      </c>
      <c r="B329" s="29" t="str">
        <f>Instagram_interactions_raw!$A331</f>
        <v/>
      </c>
      <c r="C329" s="26" t="str">
        <f t="shared" si="1"/>
        <v/>
      </c>
      <c r="D329" s="26" t="str">
        <f t="array" ref="D329">XLOOKUP($A329,Instagram_follows_raw!$A$4:$A1000,Instagram_follows_raw!$B$4:$B1000)</f>
        <v>#N/A</v>
      </c>
      <c r="E329" s="26" t="str">
        <f t="array" ref="E329">XLOOKUP($A329,Instagram_interactions_raw!$A$4:$A1000,Instagram_interactions_raw!$B$4:$B1000)</f>
        <v>#N/A</v>
      </c>
      <c r="F329" s="26" t="str">
        <f t="array" ref="F329">XLOOKUP($A329,Instagram_reach_raw!$A$4:$A1000,Instagram_reach_raw!$B$4:$B1000)</f>
        <v>#N/A</v>
      </c>
    </row>
    <row r="330">
      <c r="A330" s="30" t="str">
        <f>Instagram_reach_raw!$A332</f>
        <v/>
      </c>
      <c r="B330" s="29" t="str">
        <f>Instagram_interactions_raw!$A332</f>
        <v/>
      </c>
      <c r="C330" s="26" t="str">
        <f t="shared" si="1"/>
        <v/>
      </c>
      <c r="D330" s="26" t="str">
        <f t="array" ref="D330">XLOOKUP($A330,Instagram_follows_raw!$A$4:$A1000,Instagram_follows_raw!$B$4:$B1000)</f>
        <v>#N/A</v>
      </c>
      <c r="E330" s="26" t="str">
        <f t="array" ref="E330">XLOOKUP($A330,Instagram_interactions_raw!$A$4:$A1000,Instagram_interactions_raw!$B$4:$B1000)</f>
        <v>#N/A</v>
      </c>
      <c r="F330" s="26" t="str">
        <f t="array" ref="F330">XLOOKUP($A330,Instagram_reach_raw!$A$4:$A1000,Instagram_reach_raw!$B$4:$B1000)</f>
        <v>#N/A</v>
      </c>
    </row>
    <row r="331">
      <c r="A331" s="30" t="str">
        <f>Instagram_reach_raw!$A333</f>
        <v/>
      </c>
      <c r="B331" s="29" t="str">
        <f>Instagram_interactions_raw!$A333</f>
        <v/>
      </c>
      <c r="C331" s="26" t="str">
        <f t="shared" si="1"/>
        <v/>
      </c>
      <c r="D331" s="26" t="str">
        <f t="array" ref="D331">XLOOKUP($A331,Instagram_follows_raw!$A$4:$A1000,Instagram_follows_raw!$B$4:$B1000)</f>
        <v>#N/A</v>
      </c>
      <c r="E331" s="26" t="str">
        <f t="array" ref="E331">XLOOKUP($A331,Instagram_interactions_raw!$A$4:$A1000,Instagram_interactions_raw!$B$4:$B1000)</f>
        <v>#N/A</v>
      </c>
      <c r="F331" s="26" t="str">
        <f t="array" ref="F331">XLOOKUP($A331,Instagram_reach_raw!$A$4:$A1000,Instagram_reach_raw!$B$4:$B1000)</f>
        <v>#N/A</v>
      </c>
    </row>
    <row r="332">
      <c r="A332" s="30" t="str">
        <f>Instagram_reach_raw!$A334</f>
        <v/>
      </c>
      <c r="B332" s="29" t="str">
        <f>Instagram_interactions_raw!$A334</f>
        <v/>
      </c>
      <c r="C332" s="26" t="str">
        <f t="shared" si="1"/>
        <v/>
      </c>
      <c r="D332" s="26" t="str">
        <f t="array" ref="D332">XLOOKUP($A332,Instagram_follows_raw!$A$4:$A1000,Instagram_follows_raw!$B$4:$B1000)</f>
        <v>#N/A</v>
      </c>
      <c r="E332" s="26" t="str">
        <f t="array" ref="E332">XLOOKUP($A332,Instagram_interactions_raw!$A$4:$A1000,Instagram_interactions_raw!$B$4:$B1000)</f>
        <v>#N/A</v>
      </c>
      <c r="F332" s="26" t="str">
        <f t="array" ref="F332">XLOOKUP($A332,Instagram_reach_raw!$A$4:$A1000,Instagram_reach_raw!$B$4:$B1000)</f>
        <v>#N/A</v>
      </c>
    </row>
    <row r="333">
      <c r="A333" s="30" t="str">
        <f>Instagram_reach_raw!$A335</f>
        <v/>
      </c>
      <c r="B333" s="29" t="str">
        <f>Instagram_interactions_raw!$A335</f>
        <v/>
      </c>
      <c r="C333" s="26" t="str">
        <f t="shared" si="1"/>
        <v/>
      </c>
      <c r="D333" s="26" t="str">
        <f t="array" ref="D333">XLOOKUP($A333,Instagram_follows_raw!$A$4:$A1000,Instagram_follows_raw!$B$4:$B1000)</f>
        <v>#N/A</v>
      </c>
      <c r="E333" s="26" t="str">
        <f t="array" ref="E333">XLOOKUP($A333,Instagram_interactions_raw!$A$4:$A1000,Instagram_interactions_raw!$B$4:$B1000)</f>
        <v>#N/A</v>
      </c>
      <c r="F333" s="26" t="str">
        <f t="array" ref="F333">XLOOKUP($A333,Instagram_reach_raw!$A$4:$A1000,Instagram_reach_raw!$B$4:$B1000)</f>
        <v>#N/A</v>
      </c>
    </row>
    <row r="334">
      <c r="A334" s="30" t="str">
        <f>Instagram_reach_raw!$A336</f>
        <v/>
      </c>
      <c r="B334" s="29" t="str">
        <f>Instagram_interactions_raw!$A336</f>
        <v/>
      </c>
      <c r="C334" s="26" t="str">
        <f t="shared" si="1"/>
        <v/>
      </c>
      <c r="D334" s="26" t="str">
        <f t="array" ref="D334">XLOOKUP($A334,Instagram_follows_raw!$A$4:$A1000,Instagram_follows_raw!$B$4:$B1000)</f>
        <v>#N/A</v>
      </c>
      <c r="E334" s="26" t="str">
        <f t="array" ref="E334">XLOOKUP($A334,Instagram_interactions_raw!$A$4:$A1000,Instagram_interactions_raw!$B$4:$B1000)</f>
        <v>#N/A</v>
      </c>
      <c r="F334" s="26" t="str">
        <f t="array" ref="F334">XLOOKUP($A334,Instagram_reach_raw!$A$4:$A1000,Instagram_reach_raw!$B$4:$B1000)</f>
        <v>#N/A</v>
      </c>
    </row>
    <row r="335">
      <c r="A335" s="30" t="str">
        <f>Instagram_reach_raw!$A337</f>
        <v/>
      </c>
      <c r="B335" s="29" t="str">
        <f>Instagram_interactions_raw!$A337</f>
        <v/>
      </c>
      <c r="C335" s="26" t="str">
        <f t="shared" si="1"/>
        <v/>
      </c>
      <c r="D335" s="26" t="str">
        <f t="array" ref="D335">XLOOKUP($A335,Instagram_follows_raw!$A$4:$A1000,Instagram_follows_raw!$B$4:$B1000)</f>
        <v>#N/A</v>
      </c>
      <c r="E335" s="26" t="str">
        <f t="array" ref="E335">XLOOKUP($A335,Instagram_interactions_raw!$A$4:$A1000,Instagram_interactions_raw!$B$4:$B1000)</f>
        <v>#N/A</v>
      </c>
      <c r="F335" s="26" t="str">
        <f t="array" ref="F335">XLOOKUP($A335,Instagram_reach_raw!$A$4:$A1000,Instagram_reach_raw!$B$4:$B1000)</f>
        <v>#N/A</v>
      </c>
    </row>
    <row r="336">
      <c r="A336" s="30" t="str">
        <f>Instagram_reach_raw!$A338</f>
        <v/>
      </c>
      <c r="B336" s="29" t="str">
        <f>Instagram_interactions_raw!$A338</f>
        <v/>
      </c>
      <c r="C336" s="26" t="str">
        <f t="shared" si="1"/>
        <v/>
      </c>
      <c r="D336" s="26" t="str">
        <f t="array" ref="D336">XLOOKUP($A336,Instagram_follows_raw!$A$4:$A1000,Instagram_follows_raw!$B$4:$B1000)</f>
        <v>#N/A</v>
      </c>
      <c r="E336" s="26" t="str">
        <f t="array" ref="E336">XLOOKUP($A336,Instagram_interactions_raw!$A$4:$A1000,Instagram_interactions_raw!$B$4:$B1000)</f>
        <v>#N/A</v>
      </c>
      <c r="F336" s="26" t="str">
        <f t="array" ref="F336">XLOOKUP($A336,Instagram_reach_raw!$A$4:$A1000,Instagram_reach_raw!$B$4:$B1000)</f>
        <v>#N/A</v>
      </c>
    </row>
    <row r="337">
      <c r="A337" s="30" t="str">
        <f>Instagram_reach_raw!$A339</f>
        <v/>
      </c>
      <c r="B337" s="29" t="str">
        <f>Instagram_interactions_raw!$A339</f>
        <v/>
      </c>
      <c r="C337" s="26" t="str">
        <f t="shared" si="1"/>
        <v/>
      </c>
      <c r="D337" s="26" t="str">
        <f t="array" ref="D337">XLOOKUP($A337,Instagram_follows_raw!$A$4:$A1000,Instagram_follows_raw!$B$4:$B1000)</f>
        <v>#N/A</v>
      </c>
      <c r="E337" s="26" t="str">
        <f t="array" ref="E337">XLOOKUP($A337,Instagram_interactions_raw!$A$4:$A1000,Instagram_interactions_raw!$B$4:$B1000)</f>
        <v>#N/A</v>
      </c>
      <c r="F337" s="26" t="str">
        <f t="array" ref="F337">XLOOKUP($A337,Instagram_reach_raw!$A$4:$A1000,Instagram_reach_raw!$B$4:$B1000)</f>
        <v>#N/A</v>
      </c>
    </row>
    <row r="338">
      <c r="A338" s="30" t="str">
        <f>Instagram_reach_raw!$A340</f>
        <v/>
      </c>
      <c r="B338" s="29" t="str">
        <f>Instagram_interactions_raw!$A340</f>
        <v/>
      </c>
      <c r="C338" s="26" t="str">
        <f t="shared" si="1"/>
        <v/>
      </c>
      <c r="D338" s="26" t="str">
        <f t="array" ref="D338">XLOOKUP($A338,Instagram_follows_raw!$A$4:$A1000,Instagram_follows_raw!$B$4:$B1000)</f>
        <v>#N/A</v>
      </c>
      <c r="E338" s="26" t="str">
        <f t="array" ref="E338">XLOOKUP($A338,Instagram_interactions_raw!$A$4:$A1000,Instagram_interactions_raw!$B$4:$B1000)</f>
        <v>#N/A</v>
      </c>
      <c r="F338" s="26" t="str">
        <f t="array" ref="F338">XLOOKUP($A338,Instagram_reach_raw!$A$4:$A1000,Instagram_reach_raw!$B$4:$B1000)</f>
        <v>#N/A</v>
      </c>
    </row>
    <row r="339">
      <c r="A339" s="30" t="str">
        <f>Instagram_reach_raw!$A341</f>
        <v/>
      </c>
      <c r="B339" s="29" t="str">
        <f>Instagram_interactions_raw!$A341</f>
        <v/>
      </c>
      <c r="C339" s="26" t="str">
        <f t="shared" si="1"/>
        <v/>
      </c>
      <c r="D339" s="26" t="str">
        <f t="array" ref="D339">XLOOKUP($A339,Instagram_follows_raw!$A$4:$A1000,Instagram_follows_raw!$B$4:$B1000)</f>
        <v>#N/A</v>
      </c>
      <c r="E339" s="26" t="str">
        <f t="array" ref="E339">XLOOKUP($A339,Instagram_interactions_raw!$A$4:$A1000,Instagram_interactions_raw!$B$4:$B1000)</f>
        <v>#N/A</v>
      </c>
      <c r="F339" s="26" t="str">
        <f t="array" ref="F339">XLOOKUP($A339,Instagram_reach_raw!$A$4:$A1000,Instagram_reach_raw!$B$4:$B1000)</f>
        <v>#N/A</v>
      </c>
    </row>
    <row r="340">
      <c r="A340" s="30" t="str">
        <f>Instagram_reach_raw!$A342</f>
        <v/>
      </c>
      <c r="B340" s="29" t="str">
        <f>Instagram_interactions_raw!$A342</f>
        <v/>
      </c>
      <c r="C340" s="26" t="str">
        <f t="shared" si="1"/>
        <v/>
      </c>
      <c r="D340" s="26" t="str">
        <f t="array" ref="D340">XLOOKUP($A340,Instagram_follows_raw!$A$4:$A1000,Instagram_follows_raw!$B$4:$B1000)</f>
        <v>#N/A</v>
      </c>
      <c r="E340" s="26" t="str">
        <f t="array" ref="E340">XLOOKUP($A340,Instagram_interactions_raw!$A$4:$A1000,Instagram_interactions_raw!$B$4:$B1000)</f>
        <v>#N/A</v>
      </c>
      <c r="F340" s="26" t="str">
        <f t="array" ref="F340">XLOOKUP($A340,Instagram_reach_raw!$A$4:$A1000,Instagram_reach_raw!$B$4:$B1000)</f>
        <v>#N/A</v>
      </c>
    </row>
    <row r="341">
      <c r="A341" s="30" t="str">
        <f>Instagram_reach_raw!$A343</f>
        <v/>
      </c>
      <c r="B341" s="29" t="str">
        <f>Instagram_interactions_raw!$A343</f>
        <v/>
      </c>
      <c r="C341" s="26" t="str">
        <f t="shared" si="1"/>
        <v/>
      </c>
      <c r="D341" s="26" t="str">
        <f t="array" ref="D341">XLOOKUP($A341,Instagram_follows_raw!$A$4:$A1000,Instagram_follows_raw!$B$4:$B1000)</f>
        <v>#N/A</v>
      </c>
      <c r="E341" s="26" t="str">
        <f t="array" ref="E341">XLOOKUP($A341,Instagram_interactions_raw!$A$4:$A1000,Instagram_interactions_raw!$B$4:$B1000)</f>
        <v>#N/A</v>
      </c>
      <c r="F341" s="26" t="str">
        <f t="array" ref="F341">XLOOKUP($A341,Instagram_reach_raw!$A$4:$A1000,Instagram_reach_raw!$B$4:$B1000)</f>
        <v>#N/A</v>
      </c>
    </row>
    <row r="342">
      <c r="A342" s="30" t="str">
        <f>Instagram_reach_raw!$A344</f>
        <v/>
      </c>
      <c r="B342" s="29" t="str">
        <f>Instagram_interactions_raw!$A344</f>
        <v/>
      </c>
      <c r="C342" s="26" t="str">
        <f t="shared" si="1"/>
        <v/>
      </c>
      <c r="D342" s="26" t="str">
        <f t="array" ref="D342">XLOOKUP($A342,Instagram_follows_raw!$A$4:$A1000,Instagram_follows_raw!$B$4:$B1000)</f>
        <v>#N/A</v>
      </c>
      <c r="E342" s="26" t="str">
        <f t="array" ref="E342">XLOOKUP($A342,Instagram_interactions_raw!$A$4:$A1000,Instagram_interactions_raw!$B$4:$B1000)</f>
        <v>#N/A</v>
      </c>
      <c r="F342" s="26" t="str">
        <f t="array" ref="F342">XLOOKUP($A342,Instagram_reach_raw!$A$4:$A1000,Instagram_reach_raw!$B$4:$B1000)</f>
        <v>#N/A</v>
      </c>
    </row>
    <row r="343">
      <c r="A343" s="30" t="str">
        <f>Instagram_reach_raw!$A345</f>
        <v/>
      </c>
      <c r="B343" s="29" t="str">
        <f>Instagram_interactions_raw!$A345</f>
        <v/>
      </c>
      <c r="C343" s="26" t="str">
        <f t="shared" si="1"/>
        <v/>
      </c>
      <c r="D343" s="26" t="str">
        <f t="array" ref="D343">XLOOKUP($A343,Instagram_follows_raw!$A$4:$A1000,Instagram_follows_raw!$B$4:$B1000)</f>
        <v>#N/A</v>
      </c>
      <c r="E343" s="26" t="str">
        <f t="array" ref="E343">XLOOKUP($A343,Instagram_interactions_raw!$A$4:$A1000,Instagram_interactions_raw!$B$4:$B1000)</f>
        <v>#N/A</v>
      </c>
      <c r="F343" s="26" t="str">
        <f t="array" ref="F343">XLOOKUP($A343,Instagram_reach_raw!$A$4:$A1000,Instagram_reach_raw!$B$4:$B1000)</f>
        <v>#N/A</v>
      </c>
    </row>
    <row r="344">
      <c r="A344" s="30" t="str">
        <f>Instagram_reach_raw!$A346</f>
        <v/>
      </c>
      <c r="B344" s="29" t="str">
        <f>Instagram_interactions_raw!$A346</f>
        <v/>
      </c>
      <c r="C344" s="26" t="str">
        <f t="shared" si="1"/>
        <v/>
      </c>
      <c r="D344" s="26" t="str">
        <f t="array" ref="D344">XLOOKUP($A344,Instagram_follows_raw!$A$4:$A1000,Instagram_follows_raw!$B$4:$B1000)</f>
        <v>#N/A</v>
      </c>
      <c r="E344" s="26" t="str">
        <f t="array" ref="E344">XLOOKUP($A344,Instagram_interactions_raw!$A$4:$A1000,Instagram_interactions_raw!$B$4:$B1000)</f>
        <v>#N/A</v>
      </c>
      <c r="F344" s="26" t="str">
        <f t="array" ref="F344">XLOOKUP($A344,Instagram_reach_raw!$A$4:$A1000,Instagram_reach_raw!$B$4:$B1000)</f>
        <v>#N/A</v>
      </c>
    </row>
    <row r="345">
      <c r="A345" s="30" t="str">
        <f>Instagram_reach_raw!$A347</f>
        <v/>
      </c>
      <c r="B345" s="29" t="str">
        <f>Instagram_interactions_raw!$A347</f>
        <v/>
      </c>
      <c r="C345" s="26" t="str">
        <f t="shared" si="1"/>
        <v/>
      </c>
      <c r="D345" s="26" t="str">
        <f t="array" ref="D345">XLOOKUP($A345,Instagram_follows_raw!$A$4:$A1000,Instagram_follows_raw!$B$4:$B1000)</f>
        <v>#N/A</v>
      </c>
      <c r="E345" s="26" t="str">
        <f t="array" ref="E345">XLOOKUP($A345,Instagram_interactions_raw!$A$4:$A1000,Instagram_interactions_raw!$B$4:$B1000)</f>
        <v>#N/A</v>
      </c>
      <c r="F345" s="26" t="str">
        <f t="array" ref="F345">XLOOKUP($A345,Instagram_reach_raw!$A$4:$A1000,Instagram_reach_raw!$B$4:$B1000)</f>
        <v>#N/A</v>
      </c>
    </row>
    <row r="346">
      <c r="A346" s="30" t="str">
        <f>Instagram_reach_raw!$A348</f>
        <v/>
      </c>
      <c r="B346" s="29" t="str">
        <f>Instagram_interactions_raw!$A348</f>
        <v/>
      </c>
      <c r="C346" s="26" t="str">
        <f t="shared" si="1"/>
        <v/>
      </c>
      <c r="D346" s="26" t="str">
        <f t="array" ref="D346">XLOOKUP($A346,Instagram_follows_raw!$A$4:$A1000,Instagram_follows_raw!$B$4:$B1000)</f>
        <v>#N/A</v>
      </c>
      <c r="E346" s="26" t="str">
        <f t="array" ref="E346">XLOOKUP($A346,Instagram_interactions_raw!$A$4:$A1000,Instagram_interactions_raw!$B$4:$B1000)</f>
        <v>#N/A</v>
      </c>
      <c r="F346" s="26" t="str">
        <f t="array" ref="F346">XLOOKUP($A346,Instagram_reach_raw!$A$4:$A1000,Instagram_reach_raw!$B$4:$B1000)</f>
        <v>#N/A</v>
      </c>
    </row>
    <row r="347">
      <c r="A347" s="30" t="str">
        <f>Instagram_reach_raw!$A349</f>
        <v/>
      </c>
      <c r="B347" s="29" t="str">
        <f>Instagram_interactions_raw!$A349</f>
        <v/>
      </c>
      <c r="C347" s="26" t="str">
        <f t="shared" si="1"/>
        <v/>
      </c>
      <c r="D347" s="26" t="str">
        <f t="array" ref="D347">XLOOKUP($A347,Instagram_follows_raw!$A$4:$A1000,Instagram_follows_raw!$B$4:$B1000)</f>
        <v>#N/A</v>
      </c>
      <c r="E347" s="26" t="str">
        <f t="array" ref="E347">XLOOKUP($A347,Instagram_interactions_raw!$A$4:$A1000,Instagram_interactions_raw!$B$4:$B1000)</f>
        <v>#N/A</v>
      </c>
      <c r="F347" s="26" t="str">
        <f t="array" ref="F347">XLOOKUP($A347,Instagram_reach_raw!$A$4:$A1000,Instagram_reach_raw!$B$4:$B1000)</f>
        <v>#N/A</v>
      </c>
    </row>
    <row r="348">
      <c r="A348" s="30" t="str">
        <f>Instagram_reach_raw!$A350</f>
        <v/>
      </c>
      <c r="B348" s="29" t="str">
        <f>Instagram_interactions_raw!$A350</f>
        <v/>
      </c>
      <c r="C348" s="26" t="str">
        <f t="shared" si="1"/>
        <v/>
      </c>
      <c r="D348" s="26" t="str">
        <f t="array" ref="D348">XLOOKUP($A348,Instagram_follows_raw!$A$4:$A1000,Instagram_follows_raw!$B$4:$B1000)</f>
        <v>#N/A</v>
      </c>
      <c r="E348" s="26" t="str">
        <f t="array" ref="E348">XLOOKUP($A348,Instagram_interactions_raw!$A$4:$A1000,Instagram_interactions_raw!$B$4:$B1000)</f>
        <v>#N/A</v>
      </c>
      <c r="F348" s="26" t="str">
        <f t="array" ref="F348">XLOOKUP($A348,Instagram_reach_raw!$A$4:$A1000,Instagram_reach_raw!$B$4:$B1000)</f>
        <v>#N/A</v>
      </c>
    </row>
    <row r="349">
      <c r="A349" s="30" t="str">
        <f>Instagram_reach_raw!$A351</f>
        <v/>
      </c>
      <c r="B349" s="29" t="str">
        <f>Instagram_interactions_raw!$A351</f>
        <v/>
      </c>
      <c r="C349" s="26" t="str">
        <f t="shared" si="1"/>
        <v/>
      </c>
      <c r="D349" s="26" t="str">
        <f t="array" ref="D349">XLOOKUP($A349,Instagram_follows_raw!$A$4:$A1000,Instagram_follows_raw!$B$4:$B1000)</f>
        <v>#N/A</v>
      </c>
      <c r="E349" s="26" t="str">
        <f t="array" ref="E349">XLOOKUP($A349,Instagram_interactions_raw!$A$4:$A1000,Instagram_interactions_raw!$B$4:$B1000)</f>
        <v>#N/A</v>
      </c>
      <c r="F349" s="26" t="str">
        <f t="array" ref="F349">XLOOKUP($A349,Instagram_reach_raw!$A$4:$A1000,Instagram_reach_raw!$B$4:$B1000)</f>
        <v>#N/A</v>
      </c>
    </row>
    <row r="350">
      <c r="A350" s="30" t="str">
        <f>Instagram_reach_raw!$A352</f>
        <v/>
      </c>
      <c r="B350" s="29" t="str">
        <f>Instagram_interactions_raw!$A352</f>
        <v/>
      </c>
      <c r="C350" s="26" t="str">
        <f t="shared" si="1"/>
        <v/>
      </c>
      <c r="D350" s="26" t="str">
        <f t="array" ref="D350">XLOOKUP($A350,Instagram_follows_raw!$A$4:$A1000,Instagram_follows_raw!$B$4:$B1000)</f>
        <v>#N/A</v>
      </c>
      <c r="E350" s="26" t="str">
        <f t="array" ref="E350">XLOOKUP($A350,Instagram_interactions_raw!$A$4:$A1000,Instagram_interactions_raw!$B$4:$B1000)</f>
        <v>#N/A</v>
      </c>
      <c r="F350" s="26" t="str">
        <f t="array" ref="F350">XLOOKUP($A350,Instagram_reach_raw!$A$4:$A1000,Instagram_reach_raw!$B$4:$B1000)</f>
        <v>#N/A</v>
      </c>
    </row>
    <row r="351">
      <c r="A351" s="30" t="str">
        <f>Instagram_reach_raw!$A353</f>
        <v/>
      </c>
      <c r="B351" s="29" t="str">
        <f>Instagram_interactions_raw!$A353</f>
        <v/>
      </c>
      <c r="C351" s="26" t="str">
        <f t="shared" si="1"/>
        <v/>
      </c>
      <c r="D351" s="26" t="str">
        <f t="array" ref="D351">XLOOKUP($A351,Instagram_follows_raw!$A$4:$A1000,Instagram_follows_raw!$B$4:$B1000)</f>
        <v>#N/A</v>
      </c>
      <c r="E351" s="26" t="str">
        <f t="array" ref="E351">XLOOKUP($A351,Instagram_interactions_raw!$A$4:$A1000,Instagram_interactions_raw!$B$4:$B1000)</f>
        <v>#N/A</v>
      </c>
      <c r="F351" s="26" t="str">
        <f t="array" ref="F351">XLOOKUP($A351,Instagram_reach_raw!$A$4:$A1000,Instagram_reach_raw!$B$4:$B1000)</f>
        <v>#N/A</v>
      </c>
    </row>
    <row r="352">
      <c r="A352" s="30" t="str">
        <f>Instagram_reach_raw!$A354</f>
        <v/>
      </c>
      <c r="B352" s="29" t="str">
        <f>Instagram_interactions_raw!$A354</f>
        <v/>
      </c>
      <c r="C352" s="26" t="str">
        <f t="shared" si="1"/>
        <v/>
      </c>
      <c r="D352" s="26" t="str">
        <f t="array" ref="D352">XLOOKUP($A352,Instagram_follows_raw!$A$4:$A1000,Instagram_follows_raw!$B$4:$B1000)</f>
        <v>#N/A</v>
      </c>
      <c r="E352" s="26" t="str">
        <f t="array" ref="E352">XLOOKUP($A352,Instagram_interactions_raw!$A$4:$A1000,Instagram_interactions_raw!$B$4:$B1000)</f>
        <v>#N/A</v>
      </c>
      <c r="F352" s="26" t="str">
        <f t="array" ref="F352">XLOOKUP($A352,Instagram_reach_raw!$A$4:$A1000,Instagram_reach_raw!$B$4:$B1000)</f>
        <v>#N/A</v>
      </c>
    </row>
    <row r="353">
      <c r="A353" s="30" t="str">
        <f>Instagram_reach_raw!$A355</f>
        <v/>
      </c>
      <c r="B353" s="29" t="str">
        <f>Instagram_interactions_raw!$A355</f>
        <v/>
      </c>
      <c r="C353" s="26" t="str">
        <f t="shared" si="1"/>
        <v/>
      </c>
      <c r="D353" s="26" t="str">
        <f t="array" ref="D353">XLOOKUP($A353,Instagram_follows_raw!$A$4:$A1000,Instagram_follows_raw!$B$4:$B1000)</f>
        <v>#N/A</v>
      </c>
      <c r="E353" s="26" t="str">
        <f t="array" ref="E353">XLOOKUP($A353,Instagram_interactions_raw!$A$4:$A1000,Instagram_interactions_raw!$B$4:$B1000)</f>
        <v>#N/A</v>
      </c>
      <c r="F353" s="26" t="str">
        <f t="array" ref="F353">XLOOKUP($A353,Instagram_reach_raw!$A$4:$A1000,Instagram_reach_raw!$B$4:$B1000)</f>
        <v>#N/A</v>
      </c>
    </row>
    <row r="354">
      <c r="A354" s="30" t="str">
        <f>Instagram_reach_raw!$A356</f>
        <v/>
      </c>
      <c r="B354" s="29" t="str">
        <f>Instagram_interactions_raw!$A356</f>
        <v/>
      </c>
      <c r="C354" s="26" t="str">
        <f t="shared" si="1"/>
        <v/>
      </c>
      <c r="D354" s="26" t="str">
        <f t="array" ref="D354">XLOOKUP($A354,Instagram_follows_raw!$A$4:$A1000,Instagram_follows_raw!$B$4:$B1000)</f>
        <v>#N/A</v>
      </c>
      <c r="E354" s="26" t="str">
        <f t="array" ref="E354">XLOOKUP($A354,Instagram_interactions_raw!$A$4:$A1000,Instagram_interactions_raw!$B$4:$B1000)</f>
        <v>#N/A</v>
      </c>
      <c r="F354" s="26" t="str">
        <f t="array" ref="F354">XLOOKUP($A354,Instagram_reach_raw!$A$4:$A1000,Instagram_reach_raw!$B$4:$B1000)</f>
        <v>#N/A</v>
      </c>
    </row>
    <row r="355">
      <c r="A355" s="30" t="str">
        <f>Instagram_reach_raw!$A357</f>
        <v/>
      </c>
      <c r="B355" s="29" t="str">
        <f>Instagram_interactions_raw!$A357</f>
        <v/>
      </c>
      <c r="C355" s="26" t="str">
        <f t="shared" si="1"/>
        <v/>
      </c>
      <c r="D355" s="26" t="str">
        <f t="array" ref="D355">XLOOKUP($A355,Instagram_follows_raw!$A$4:$A1000,Instagram_follows_raw!$B$4:$B1000)</f>
        <v>#N/A</v>
      </c>
      <c r="E355" s="26" t="str">
        <f t="array" ref="E355">XLOOKUP($A355,Instagram_interactions_raw!$A$4:$A1000,Instagram_interactions_raw!$B$4:$B1000)</f>
        <v>#N/A</v>
      </c>
      <c r="F355" s="26" t="str">
        <f t="array" ref="F355">XLOOKUP($A355,Instagram_reach_raw!$A$4:$A1000,Instagram_reach_raw!$B$4:$B1000)</f>
        <v>#N/A</v>
      </c>
    </row>
    <row r="356">
      <c r="A356" s="30" t="str">
        <f>Instagram_reach_raw!$A358</f>
        <v/>
      </c>
      <c r="B356" s="29" t="str">
        <f>Instagram_interactions_raw!$A358</f>
        <v/>
      </c>
      <c r="C356" s="26" t="str">
        <f t="shared" si="1"/>
        <v/>
      </c>
      <c r="D356" s="26" t="str">
        <f t="array" ref="D356">XLOOKUP($A356,Instagram_follows_raw!$A$4:$A1000,Instagram_follows_raw!$B$4:$B1000)</f>
        <v>#N/A</v>
      </c>
      <c r="E356" s="26" t="str">
        <f t="array" ref="E356">XLOOKUP($A356,Instagram_interactions_raw!$A$4:$A1000,Instagram_interactions_raw!$B$4:$B1000)</f>
        <v>#N/A</v>
      </c>
      <c r="F356" s="26" t="str">
        <f t="array" ref="F356">XLOOKUP($A356,Instagram_reach_raw!$A$4:$A1000,Instagram_reach_raw!$B$4:$B1000)</f>
        <v>#N/A</v>
      </c>
    </row>
    <row r="357">
      <c r="A357" s="30" t="str">
        <f>Instagram_reach_raw!$A359</f>
        <v/>
      </c>
      <c r="B357" s="29" t="str">
        <f>Instagram_interactions_raw!$A359</f>
        <v/>
      </c>
      <c r="C357" s="26" t="str">
        <f t="shared" si="1"/>
        <v/>
      </c>
      <c r="D357" s="26" t="str">
        <f t="array" ref="D357">XLOOKUP($A357,Instagram_follows_raw!$A$4:$A1000,Instagram_follows_raw!$B$4:$B1000)</f>
        <v>#N/A</v>
      </c>
      <c r="E357" s="26" t="str">
        <f t="array" ref="E357">XLOOKUP($A357,Instagram_interactions_raw!$A$4:$A1000,Instagram_interactions_raw!$B$4:$B1000)</f>
        <v>#N/A</v>
      </c>
      <c r="F357" s="26" t="str">
        <f t="array" ref="F357">XLOOKUP($A357,Instagram_reach_raw!$A$4:$A1000,Instagram_reach_raw!$B$4:$B1000)</f>
        <v>#N/A</v>
      </c>
    </row>
    <row r="358">
      <c r="A358" s="30" t="str">
        <f>Instagram_reach_raw!$A360</f>
        <v/>
      </c>
      <c r="B358" s="29" t="str">
        <f>Instagram_interactions_raw!$A360</f>
        <v/>
      </c>
      <c r="C358" s="26" t="str">
        <f t="shared" si="1"/>
        <v/>
      </c>
      <c r="D358" s="26" t="str">
        <f t="array" ref="D358">XLOOKUP($A358,Instagram_follows_raw!$A$4:$A1000,Instagram_follows_raw!$B$4:$B1000)</f>
        <v>#N/A</v>
      </c>
      <c r="E358" s="26" t="str">
        <f t="array" ref="E358">XLOOKUP($A358,Instagram_interactions_raw!$A$4:$A1000,Instagram_interactions_raw!$B$4:$B1000)</f>
        <v>#N/A</v>
      </c>
      <c r="F358" s="26" t="str">
        <f t="array" ref="F358">XLOOKUP($A358,Instagram_reach_raw!$A$4:$A1000,Instagram_reach_raw!$B$4:$B1000)</f>
        <v>#N/A</v>
      </c>
    </row>
    <row r="359">
      <c r="A359" s="30" t="str">
        <f>Instagram_reach_raw!$A361</f>
        <v/>
      </c>
      <c r="B359" s="29" t="str">
        <f>Instagram_interactions_raw!$A361</f>
        <v/>
      </c>
      <c r="C359" s="26" t="str">
        <f t="shared" si="1"/>
        <v/>
      </c>
      <c r="D359" s="26" t="str">
        <f t="array" ref="D359">XLOOKUP($A359,Instagram_follows_raw!$A$4:$A1000,Instagram_follows_raw!$B$4:$B1000)</f>
        <v>#N/A</v>
      </c>
      <c r="E359" s="26" t="str">
        <f t="array" ref="E359">XLOOKUP($A359,Instagram_interactions_raw!$A$4:$A1000,Instagram_interactions_raw!$B$4:$B1000)</f>
        <v>#N/A</v>
      </c>
      <c r="F359" s="26" t="str">
        <f t="array" ref="F359">XLOOKUP($A359,Instagram_reach_raw!$A$4:$A1000,Instagram_reach_raw!$B$4:$B1000)</f>
        <v>#N/A</v>
      </c>
    </row>
    <row r="360">
      <c r="A360" s="30" t="str">
        <f>Instagram_reach_raw!$A362</f>
        <v/>
      </c>
      <c r="B360" s="29" t="str">
        <f>Instagram_interactions_raw!$A362</f>
        <v/>
      </c>
      <c r="C360" s="26" t="str">
        <f t="shared" si="1"/>
        <v/>
      </c>
      <c r="D360" s="26" t="str">
        <f t="array" ref="D360">XLOOKUP($A360,Instagram_follows_raw!$A$4:$A1000,Instagram_follows_raw!$B$4:$B1000)</f>
        <v>#N/A</v>
      </c>
      <c r="E360" s="26" t="str">
        <f t="array" ref="E360">XLOOKUP($A360,Instagram_interactions_raw!$A$4:$A1000,Instagram_interactions_raw!$B$4:$B1000)</f>
        <v>#N/A</v>
      </c>
      <c r="F360" s="26" t="str">
        <f t="array" ref="F360">XLOOKUP($A360,Instagram_reach_raw!$A$4:$A1000,Instagram_reach_raw!$B$4:$B1000)</f>
        <v>#N/A</v>
      </c>
    </row>
    <row r="361">
      <c r="A361" s="30" t="str">
        <f>Instagram_reach_raw!$A363</f>
        <v/>
      </c>
      <c r="B361" s="29" t="str">
        <f>Instagram_interactions_raw!$A363</f>
        <v/>
      </c>
      <c r="C361" s="26" t="str">
        <f t="shared" si="1"/>
        <v/>
      </c>
      <c r="D361" s="26" t="str">
        <f t="array" ref="D361">XLOOKUP($A361,Instagram_follows_raw!$A$4:$A1000,Instagram_follows_raw!$B$4:$B1000)</f>
        <v>#N/A</v>
      </c>
      <c r="E361" s="26" t="str">
        <f t="array" ref="E361">XLOOKUP($A361,Instagram_interactions_raw!$A$4:$A1000,Instagram_interactions_raw!$B$4:$B1000)</f>
        <v>#N/A</v>
      </c>
      <c r="F361" s="26" t="str">
        <f t="array" ref="F361">XLOOKUP($A361,Instagram_reach_raw!$A$4:$A1000,Instagram_reach_raw!$B$4:$B1000)</f>
        <v>#N/A</v>
      </c>
    </row>
    <row r="362">
      <c r="A362" s="30" t="str">
        <f>Instagram_reach_raw!$A364</f>
        <v/>
      </c>
      <c r="B362" s="29" t="str">
        <f>Instagram_interactions_raw!$A364</f>
        <v/>
      </c>
      <c r="C362" s="26" t="str">
        <f t="shared" si="1"/>
        <v/>
      </c>
      <c r="D362" s="26" t="str">
        <f t="array" ref="D362">XLOOKUP($A362,Instagram_follows_raw!$A$4:$A1000,Instagram_follows_raw!$B$4:$B1000)</f>
        <v>#N/A</v>
      </c>
      <c r="E362" s="26" t="str">
        <f t="array" ref="E362">XLOOKUP($A362,Instagram_interactions_raw!$A$4:$A1000,Instagram_interactions_raw!$B$4:$B1000)</f>
        <v>#N/A</v>
      </c>
      <c r="F362" s="26" t="str">
        <f t="array" ref="F362">XLOOKUP($A362,Instagram_reach_raw!$A$4:$A1000,Instagram_reach_raw!$B$4:$B1000)</f>
        <v>#N/A</v>
      </c>
    </row>
    <row r="363">
      <c r="A363" s="30" t="str">
        <f>Instagram_reach_raw!$A365</f>
        <v/>
      </c>
      <c r="B363" s="29" t="str">
        <f>Instagram_interactions_raw!$A365</f>
        <v/>
      </c>
      <c r="C363" s="26" t="str">
        <f t="shared" si="1"/>
        <v/>
      </c>
      <c r="D363" s="26" t="str">
        <f t="array" ref="D363">XLOOKUP($A363,Instagram_follows_raw!$A$4:$A1000,Instagram_follows_raw!$B$4:$B1000)</f>
        <v>#N/A</v>
      </c>
      <c r="E363" s="26" t="str">
        <f t="array" ref="E363">XLOOKUP($A363,Instagram_interactions_raw!$A$4:$A1000,Instagram_interactions_raw!$B$4:$B1000)</f>
        <v>#N/A</v>
      </c>
      <c r="F363" s="26" t="str">
        <f t="array" ref="F363">XLOOKUP($A363,Instagram_reach_raw!$A$4:$A1000,Instagram_reach_raw!$B$4:$B1000)</f>
        <v>#N/A</v>
      </c>
    </row>
    <row r="364">
      <c r="A364" s="30" t="str">
        <f>Instagram_reach_raw!$A366</f>
        <v/>
      </c>
      <c r="B364" s="29" t="str">
        <f>Instagram_interactions_raw!$A366</f>
        <v/>
      </c>
      <c r="C364" s="26" t="str">
        <f t="shared" si="1"/>
        <v/>
      </c>
      <c r="D364" s="26" t="str">
        <f t="array" ref="D364">XLOOKUP($A364,Instagram_follows_raw!$A$4:$A1000,Instagram_follows_raw!$B$4:$B1000)</f>
        <v>#N/A</v>
      </c>
      <c r="E364" s="26" t="str">
        <f t="array" ref="E364">XLOOKUP($A364,Instagram_interactions_raw!$A$4:$A1000,Instagram_interactions_raw!$B$4:$B1000)</f>
        <v>#N/A</v>
      </c>
      <c r="F364" s="26" t="str">
        <f t="array" ref="F364">XLOOKUP($A364,Instagram_reach_raw!$A$4:$A1000,Instagram_reach_raw!$B$4:$B1000)</f>
        <v>#N/A</v>
      </c>
    </row>
    <row r="365">
      <c r="A365" s="30" t="str">
        <f>Instagram_reach_raw!$A367</f>
        <v/>
      </c>
      <c r="B365" s="29" t="str">
        <f>Instagram_interactions_raw!$A367</f>
        <v/>
      </c>
      <c r="C365" s="26" t="str">
        <f t="shared" si="1"/>
        <v/>
      </c>
      <c r="D365" s="26" t="str">
        <f t="array" ref="D365">XLOOKUP($A365,Instagram_follows_raw!$A$4:$A1000,Instagram_follows_raw!$B$4:$B1000)</f>
        <v>#N/A</v>
      </c>
      <c r="E365" s="26" t="str">
        <f t="array" ref="E365">XLOOKUP($A365,Instagram_interactions_raw!$A$4:$A1000,Instagram_interactions_raw!$B$4:$B1000)</f>
        <v>#N/A</v>
      </c>
      <c r="F365" s="26" t="str">
        <f t="array" ref="F365">XLOOKUP($A365,Instagram_reach_raw!$A$4:$A1000,Instagram_reach_raw!$B$4:$B1000)</f>
        <v>#N/A</v>
      </c>
    </row>
    <row r="366">
      <c r="A366" s="30" t="str">
        <f>Instagram_reach_raw!$A368</f>
        <v/>
      </c>
      <c r="B366" s="29" t="str">
        <f>Instagram_interactions_raw!$A368</f>
        <v/>
      </c>
      <c r="C366" s="26" t="str">
        <f t="shared" si="1"/>
        <v/>
      </c>
      <c r="D366" s="26" t="str">
        <f t="array" ref="D366">XLOOKUP($A366,Instagram_follows_raw!$A$4:$A1000,Instagram_follows_raw!$B$4:$B1000)</f>
        <v>#N/A</v>
      </c>
      <c r="E366" s="26" t="str">
        <f t="array" ref="E366">XLOOKUP($A366,Instagram_interactions_raw!$A$4:$A1000,Instagram_interactions_raw!$B$4:$B1000)</f>
        <v>#N/A</v>
      </c>
      <c r="F366" s="26" t="str">
        <f t="array" ref="F366">XLOOKUP($A366,Instagram_reach_raw!$A$4:$A1000,Instagram_reach_raw!$B$4:$B1000)</f>
        <v>#N/A</v>
      </c>
    </row>
    <row r="367">
      <c r="A367" s="30" t="str">
        <f>Instagram_reach_raw!$A369</f>
        <v/>
      </c>
      <c r="B367" s="29" t="str">
        <f>Instagram_interactions_raw!$A369</f>
        <v/>
      </c>
      <c r="C367" s="26" t="str">
        <f t="shared" si="1"/>
        <v/>
      </c>
      <c r="D367" s="26" t="str">
        <f t="array" ref="D367">XLOOKUP($A367,Instagram_follows_raw!$A$4:$A1000,Instagram_follows_raw!$B$4:$B1000)</f>
        <v>#N/A</v>
      </c>
      <c r="E367" s="26" t="str">
        <f t="array" ref="E367">XLOOKUP($A367,Instagram_interactions_raw!$A$4:$A1000,Instagram_interactions_raw!$B$4:$B1000)</f>
        <v>#N/A</v>
      </c>
      <c r="F367" s="26" t="str">
        <f t="array" ref="F367">XLOOKUP($A367,Instagram_reach_raw!$A$4:$A1000,Instagram_reach_raw!$B$4:$B1000)</f>
        <v>#N/A</v>
      </c>
    </row>
    <row r="368">
      <c r="A368" s="30" t="str">
        <f>Instagram_reach_raw!$A370</f>
        <v/>
      </c>
      <c r="B368" s="29" t="str">
        <f>Instagram_interactions_raw!$A370</f>
        <v/>
      </c>
      <c r="C368" s="26" t="str">
        <f t="shared" si="1"/>
        <v/>
      </c>
      <c r="D368" s="26" t="str">
        <f t="array" ref="D368">XLOOKUP($A368,Instagram_follows_raw!$A$4:$A1000,Instagram_follows_raw!$B$4:$B1000)</f>
        <v>#N/A</v>
      </c>
      <c r="E368" s="26" t="str">
        <f t="array" ref="E368">XLOOKUP($A368,Instagram_interactions_raw!$A$4:$A1000,Instagram_interactions_raw!$B$4:$B1000)</f>
        <v>#N/A</v>
      </c>
      <c r="F368" s="26" t="str">
        <f t="array" ref="F368">XLOOKUP($A368,Instagram_reach_raw!$A$4:$A1000,Instagram_reach_raw!$B$4:$B1000)</f>
        <v>#N/A</v>
      </c>
    </row>
    <row r="369">
      <c r="A369" s="30" t="str">
        <f>Instagram_reach_raw!$A371</f>
        <v/>
      </c>
      <c r="B369" s="29" t="str">
        <f>Instagram_interactions_raw!$A371</f>
        <v/>
      </c>
      <c r="C369" s="26" t="str">
        <f t="shared" si="1"/>
        <v/>
      </c>
      <c r="D369" s="26" t="str">
        <f t="array" ref="D369">XLOOKUP($A369,Instagram_follows_raw!$A$4:$A1000,Instagram_follows_raw!$B$4:$B1000)</f>
        <v>#N/A</v>
      </c>
      <c r="E369" s="26" t="str">
        <f t="array" ref="E369">XLOOKUP($A369,Instagram_interactions_raw!$A$4:$A1000,Instagram_interactions_raw!$B$4:$B1000)</f>
        <v>#N/A</v>
      </c>
      <c r="F369" s="26" t="str">
        <f t="array" ref="F369">XLOOKUP($A369,Instagram_reach_raw!$A$4:$A1000,Instagram_reach_raw!$B$4:$B1000)</f>
        <v>#N/A</v>
      </c>
    </row>
    <row r="370">
      <c r="A370" s="30" t="str">
        <f>Instagram_reach_raw!$A372</f>
        <v/>
      </c>
      <c r="B370" s="29" t="str">
        <f>Instagram_interactions_raw!$A372</f>
        <v/>
      </c>
      <c r="C370" s="26" t="str">
        <f t="shared" si="1"/>
        <v/>
      </c>
      <c r="D370" s="26" t="str">
        <f t="array" ref="D370">XLOOKUP($A370,Instagram_follows_raw!$A$4:$A1000,Instagram_follows_raw!$B$4:$B1000)</f>
        <v>#N/A</v>
      </c>
      <c r="E370" s="26" t="str">
        <f t="array" ref="E370">XLOOKUP($A370,Instagram_interactions_raw!$A$4:$A1000,Instagram_interactions_raw!$B$4:$B1000)</f>
        <v>#N/A</v>
      </c>
      <c r="F370" s="26" t="str">
        <f t="array" ref="F370">XLOOKUP($A370,Instagram_reach_raw!$A$4:$A1000,Instagram_reach_raw!$B$4:$B1000)</f>
        <v>#N/A</v>
      </c>
    </row>
    <row r="371">
      <c r="A371" s="30" t="str">
        <f>Instagram_reach_raw!$A373</f>
        <v/>
      </c>
      <c r="B371" s="29" t="str">
        <f>Instagram_interactions_raw!$A373</f>
        <v/>
      </c>
      <c r="C371" s="26" t="str">
        <f t="shared" si="1"/>
        <v/>
      </c>
      <c r="D371" s="26" t="str">
        <f t="array" ref="D371">XLOOKUP($A371,Instagram_follows_raw!$A$4:$A1000,Instagram_follows_raw!$B$4:$B1000)</f>
        <v>#N/A</v>
      </c>
      <c r="E371" s="26" t="str">
        <f t="array" ref="E371">XLOOKUP($A371,Instagram_interactions_raw!$A$4:$A1000,Instagram_interactions_raw!$B$4:$B1000)</f>
        <v>#N/A</v>
      </c>
      <c r="F371" s="26" t="str">
        <f t="array" ref="F371">XLOOKUP($A371,Instagram_reach_raw!$A$4:$A1000,Instagram_reach_raw!$B$4:$B1000)</f>
        <v>#N/A</v>
      </c>
    </row>
    <row r="372">
      <c r="A372" s="30" t="str">
        <f>Instagram_reach_raw!$A374</f>
        <v/>
      </c>
      <c r="B372" s="29" t="str">
        <f>Instagram_interactions_raw!$A374</f>
        <v/>
      </c>
      <c r="C372" s="26" t="str">
        <f t="shared" si="1"/>
        <v/>
      </c>
      <c r="D372" s="26" t="str">
        <f t="array" ref="D372">XLOOKUP($A372,Instagram_follows_raw!$A$4:$A1000,Instagram_follows_raw!$B$4:$B1000)</f>
        <v>#N/A</v>
      </c>
      <c r="E372" s="26" t="str">
        <f t="array" ref="E372">XLOOKUP($A372,Instagram_interactions_raw!$A$4:$A1000,Instagram_interactions_raw!$B$4:$B1000)</f>
        <v>#N/A</v>
      </c>
      <c r="F372" s="26" t="str">
        <f t="array" ref="F372">XLOOKUP($A372,Instagram_reach_raw!$A$4:$A1000,Instagram_reach_raw!$B$4:$B1000)</f>
        <v>#N/A</v>
      </c>
    </row>
    <row r="373">
      <c r="A373" s="30" t="str">
        <f>Instagram_reach_raw!$A375</f>
        <v/>
      </c>
      <c r="B373" s="29" t="str">
        <f>Instagram_interactions_raw!$A375</f>
        <v/>
      </c>
      <c r="C373" s="26" t="str">
        <f t="shared" si="1"/>
        <v/>
      </c>
      <c r="D373" s="26" t="str">
        <f t="array" ref="D373">XLOOKUP($A373,Instagram_follows_raw!$A$4:$A1000,Instagram_follows_raw!$B$4:$B1000)</f>
        <v>#N/A</v>
      </c>
      <c r="E373" s="26" t="str">
        <f t="array" ref="E373">XLOOKUP($A373,Instagram_interactions_raw!$A$4:$A1000,Instagram_interactions_raw!$B$4:$B1000)</f>
        <v>#N/A</v>
      </c>
      <c r="F373" s="26" t="str">
        <f t="array" ref="F373">XLOOKUP($A373,Instagram_reach_raw!$A$4:$A1000,Instagram_reach_raw!$B$4:$B1000)</f>
        <v>#N/A</v>
      </c>
    </row>
    <row r="374">
      <c r="A374" s="30" t="str">
        <f>Instagram_reach_raw!$A376</f>
        <v/>
      </c>
      <c r="B374" s="29" t="str">
        <f>Instagram_interactions_raw!$A376</f>
        <v/>
      </c>
      <c r="C374" s="26" t="str">
        <f t="shared" si="1"/>
        <v/>
      </c>
      <c r="D374" s="26" t="str">
        <f t="array" ref="D374">XLOOKUP($A374,Instagram_follows_raw!$A$4:$A1000,Instagram_follows_raw!$B$4:$B1000)</f>
        <v>#N/A</v>
      </c>
      <c r="E374" s="26" t="str">
        <f t="array" ref="E374">XLOOKUP($A374,Instagram_interactions_raw!$A$4:$A1000,Instagram_interactions_raw!$B$4:$B1000)</f>
        <v>#N/A</v>
      </c>
      <c r="F374" s="26" t="str">
        <f t="array" ref="F374">XLOOKUP($A374,Instagram_reach_raw!$A$4:$A1000,Instagram_reach_raw!$B$4:$B1000)</f>
        <v>#N/A</v>
      </c>
    </row>
    <row r="375">
      <c r="A375" s="30" t="str">
        <f>Instagram_reach_raw!$A377</f>
        <v/>
      </c>
      <c r="B375" s="29" t="str">
        <f>Instagram_interactions_raw!$A377</f>
        <v/>
      </c>
      <c r="C375" s="26" t="str">
        <f t="shared" si="1"/>
        <v/>
      </c>
      <c r="D375" s="26" t="str">
        <f t="array" ref="D375">XLOOKUP($A375,Instagram_follows_raw!$A$4:$A1000,Instagram_follows_raw!$B$4:$B1000)</f>
        <v>#N/A</v>
      </c>
      <c r="E375" s="26" t="str">
        <f t="array" ref="E375">XLOOKUP($A375,Instagram_interactions_raw!$A$4:$A1000,Instagram_interactions_raw!$B$4:$B1000)</f>
        <v>#N/A</v>
      </c>
      <c r="F375" s="26" t="str">
        <f t="array" ref="F375">XLOOKUP($A375,Instagram_reach_raw!$A$4:$A1000,Instagram_reach_raw!$B$4:$B1000)</f>
        <v>#N/A</v>
      </c>
    </row>
    <row r="376">
      <c r="A376" s="30" t="str">
        <f>Instagram_reach_raw!$A378</f>
        <v/>
      </c>
      <c r="B376" s="29" t="str">
        <f>Instagram_interactions_raw!$A378</f>
        <v/>
      </c>
      <c r="C376" s="26" t="str">
        <f t="shared" si="1"/>
        <v/>
      </c>
      <c r="D376" s="26" t="str">
        <f t="array" ref="D376">XLOOKUP($A376,Instagram_follows_raw!$A$4:$A1000,Instagram_follows_raw!$B$4:$B1000)</f>
        <v>#N/A</v>
      </c>
      <c r="E376" s="26" t="str">
        <f t="array" ref="E376">XLOOKUP($A376,Instagram_interactions_raw!$A$4:$A1000,Instagram_interactions_raw!$B$4:$B1000)</f>
        <v>#N/A</v>
      </c>
      <c r="F376" s="26" t="str">
        <f t="array" ref="F376">XLOOKUP($A376,Instagram_reach_raw!$A$4:$A1000,Instagram_reach_raw!$B$4:$B1000)</f>
        <v>#N/A</v>
      </c>
    </row>
    <row r="377">
      <c r="A377" s="30" t="str">
        <f>Instagram_reach_raw!$A379</f>
        <v/>
      </c>
      <c r="B377" s="29" t="str">
        <f>Instagram_interactions_raw!$A379</f>
        <v/>
      </c>
      <c r="C377" s="26" t="str">
        <f t="shared" si="1"/>
        <v/>
      </c>
      <c r="D377" s="26" t="str">
        <f t="array" ref="D377">XLOOKUP($A377,Instagram_follows_raw!$A$4:$A1000,Instagram_follows_raw!$B$4:$B1000)</f>
        <v>#N/A</v>
      </c>
      <c r="E377" s="26" t="str">
        <f t="array" ref="E377">XLOOKUP($A377,Instagram_interactions_raw!$A$4:$A1000,Instagram_interactions_raw!$B$4:$B1000)</f>
        <v>#N/A</v>
      </c>
      <c r="F377" s="26" t="str">
        <f t="array" ref="F377">XLOOKUP($A377,Instagram_reach_raw!$A$4:$A1000,Instagram_reach_raw!$B$4:$B1000)</f>
        <v>#N/A</v>
      </c>
    </row>
    <row r="378">
      <c r="A378" s="30" t="str">
        <f>Instagram_reach_raw!$A380</f>
        <v/>
      </c>
      <c r="B378" s="29" t="str">
        <f>Instagram_interactions_raw!$A380</f>
        <v/>
      </c>
      <c r="C378" s="26" t="str">
        <f t="shared" si="1"/>
        <v/>
      </c>
      <c r="D378" s="26" t="str">
        <f t="array" ref="D378">XLOOKUP($A378,Instagram_follows_raw!$A$4:$A1000,Instagram_follows_raw!$B$4:$B1000)</f>
        <v>#N/A</v>
      </c>
      <c r="E378" s="26" t="str">
        <f t="array" ref="E378">XLOOKUP($A378,Instagram_interactions_raw!$A$4:$A1000,Instagram_interactions_raw!$B$4:$B1000)</f>
        <v>#N/A</v>
      </c>
      <c r="F378" s="26" t="str">
        <f t="array" ref="F378">XLOOKUP($A378,Instagram_reach_raw!$A$4:$A1000,Instagram_reach_raw!$B$4:$B1000)</f>
        <v>#N/A</v>
      </c>
    </row>
    <row r="379">
      <c r="A379" s="30" t="str">
        <f>Instagram_reach_raw!$A381</f>
        <v/>
      </c>
      <c r="B379" s="29" t="str">
        <f>Instagram_interactions_raw!$A381</f>
        <v/>
      </c>
      <c r="C379" s="26" t="str">
        <f t="shared" si="1"/>
        <v/>
      </c>
      <c r="D379" s="26" t="str">
        <f t="array" ref="D379">XLOOKUP($A379,Instagram_follows_raw!$A$4:$A1000,Instagram_follows_raw!$B$4:$B1000)</f>
        <v>#N/A</v>
      </c>
      <c r="E379" s="26" t="str">
        <f t="array" ref="E379">XLOOKUP($A379,Instagram_interactions_raw!$A$4:$A1000,Instagram_interactions_raw!$B$4:$B1000)</f>
        <v>#N/A</v>
      </c>
      <c r="F379" s="26" t="str">
        <f t="array" ref="F379">XLOOKUP($A379,Instagram_reach_raw!$A$4:$A1000,Instagram_reach_raw!$B$4:$B1000)</f>
        <v>#N/A</v>
      </c>
    </row>
    <row r="380">
      <c r="A380" s="30" t="str">
        <f>Instagram_reach_raw!$A382</f>
        <v/>
      </c>
      <c r="B380" s="29" t="str">
        <f>Instagram_interactions_raw!$A382</f>
        <v/>
      </c>
      <c r="C380" s="26" t="str">
        <f t="shared" si="1"/>
        <v/>
      </c>
      <c r="D380" s="26" t="str">
        <f t="array" ref="D380">XLOOKUP($A380,Instagram_follows_raw!$A$4:$A1000,Instagram_follows_raw!$B$4:$B1000)</f>
        <v>#N/A</v>
      </c>
      <c r="E380" s="26" t="str">
        <f t="array" ref="E380">XLOOKUP($A380,Instagram_interactions_raw!$A$4:$A1000,Instagram_interactions_raw!$B$4:$B1000)</f>
        <v>#N/A</v>
      </c>
      <c r="F380" s="26" t="str">
        <f t="array" ref="F380">XLOOKUP($A380,Instagram_reach_raw!$A$4:$A1000,Instagram_reach_raw!$B$4:$B1000)</f>
        <v>#N/A</v>
      </c>
    </row>
    <row r="381">
      <c r="A381" s="30" t="str">
        <f>Instagram_reach_raw!$A383</f>
        <v/>
      </c>
      <c r="B381" s="29" t="str">
        <f>Instagram_interactions_raw!$A383</f>
        <v/>
      </c>
      <c r="C381" s="26" t="str">
        <f t="shared" si="1"/>
        <v/>
      </c>
      <c r="D381" s="26" t="str">
        <f t="array" ref="D381">XLOOKUP($A381,Instagram_follows_raw!$A$4:$A1000,Instagram_follows_raw!$B$4:$B1000)</f>
        <v>#N/A</v>
      </c>
      <c r="E381" s="26" t="str">
        <f t="array" ref="E381">XLOOKUP($A381,Instagram_interactions_raw!$A$4:$A1000,Instagram_interactions_raw!$B$4:$B1000)</f>
        <v>#N/A</v>
      </c>
      <c r="F381" s="26" t="str">
        <f t="array" ref="F381">XLOOKUP($A381,Instagram_reach_raw!$A$4:$A1000,Instagram_reach_raw!$B$4:$B1000)</f>
        <v>#N/A</v>
      </c>
    </row>
    <row r="382">
      <c r="A382" s="30" t="str">
        <f>Instagram_reach_raw!$A384</f>
        <v/>
      </c>
      <c r="B382" s="29" t="str">
        <f>Instagram_interactions_raw!$A384</f>
        <v/>
      </c>
      <c r="C382" s="26" t="str">
        <f t="shared" si="1"/>
        <v/>
      </c>
      <c r="D382" s="26" t="str">
        <f t="array" ref="D382">XLOOKUP($A382,Instagram_follows_raw!$A$4:$A1000,Instagram_follows_raw!$B$4:$B1000)</f>
        <v>#N/A</v>
      </c>
      <c r="E382" s="26" t="str">
        <f t="array" ref="E382">XLOOKUP($A382,Instagram_interactions_raw!$A$4:$A1000,Instagram_interactions_raw!$B$4:$B1000)</f>
        <v>#N/A</v>
      </c>
      <c r="F382" s="26" t="str">
        <f t="array" ref="F382">XLOOKUP($A382,Instagram_reach_raw!$A$4:$A1000,Instagram_reach_raw!$B$4:$B1000)</f>
        <v>#N/A</v>
      </c>
    </row>
    <row r="383">
      <c r="A383" s="30" t="str">
        <f>Instagram_reach_raw!$A385</f>
        <v/>
      </c>
      <c r="B383" s="29" t="str">
        <f>Instagram_interactions_raw!$A385</f>
        <v/>
      </c>
      <c r="C383" s="26" t="str">
        <f t="shared" si="1"/>
        <v/>
      </c>
      <c r="D383" s="26" t="str">
        <f t="array" ref="D383">XLOOKUP($A383,Instagram_follows_raw!$A$4:$A1000,Instagram_follows_raw!$B$4:$B1000)</f>
        <v>#N/A</v>
      </c>
      <c r="E383" s="26" t="str">
        <f t="array" ref="E383">XLOOKUP($A383,Instagram_interactions_raw!$A$4:$A1000,Instagram_interactions_raw!$B$4:$B1000)</f>
        <v>#N/A</v>
      </c>
      <c r="F383" s="26" t="str">
        <f t="array" ref="F383">XLOOKUP($A383,Instagram_reach_raw!$A$4:$A1000,Instagram_reach_raw!$B$4:$B1000)</f>
        <v>#N/A</v>
      </c>
    </row>
    <row r="384">
      <c r="A384" s="30" t="str">
        <f>Instagram_reach_raw!$A386</f>
        <v/>
      </c>
      <c r="B384" s="29" t="str">
        <f>Instagram_interactions_raw!$A386</f>
        <v/>
      </c>
      <c r="C384" s="26" t="str">
        <f t="shared" si="1"/>
        <v/>
      </c>
      <c r="D384" s="26" t="str">
        <f t="array" ref="D384">XLOOKUP($A384,Instagram_follows_raw!$A$4:$A1000,Instagram_follows_raw!$B$4:$B1000)</f>
        <v>#N/A</v>
      </c>
      <c r="E384" s="26" t="str">
        <f t="array" ref="E384">XLOOKUP($A384,Instagram_interactions_raw!$A$4:$A1000,Instagram_interactions_raw!$B$4:$B1000)</f>
        <v>#N/A</v>
      </c>
      <c r="F384" s="26" t="str">
        <f t="array" ref="F384">XLOOKUP($A384,Instagram_reach_raw!$A$4:$A1000,Instagram_reach_raw!$B$4:$B1000)</f>
        <v>#N/A</v>
      </c>
    </row>
    <row r="385">
      <c r="A385" s="30" t="str">
        <f>Instagram_reach_raw!$A387</f>
        <v/>
      </c>
      <c r="B385" s="29" t="str">
        <f>Instagram_interactions_raw!$A387</f>
        <v/>
      </c>
      <c r="C385" s="26" t="str">
        <f t="shared" si="1"/>
        <v/>
      </c>
      <c r="D385" s="26" t="str">
        <f t="array" ref="D385">XLOOKUP($A385,Instagram_follows_raw!$A$4:$A1000,Instagram_follows_raw!$B$4:$B1000)</f>
        <v>#N/A</v>
      </c>
      <c r="E385" s="26" t="str">
        <f t="array" ref="E385">XLOOKUP($A385,Instagram_interactions_raw!$A$4:$A1000,Instagram_interactions_raw!$B$4:$B1000)</f>
        <v>#N/A</v>
      </c>
      <c r="F385" s="26" t="str">
        <f t="array" ref="F385">XLOOKUP($A385,Instagram_reach_raw!$A$4:$A1000,Instagram_reach_raw!$B$4:$B1000)</f>
        <v>#N/A</v>
      </c>
    </row>
    <row r="386">
      <c r="A386" s="30" t="str">
        <f>Instagram_reach_raw!$A388</f>
        <v/>
      </c>
      <c r="B386" s="29" t="str">
        <f>Instagram_interactions_raw!$A388</f>
        <v/>
      </c>
      <c r="C386" s="26" t="str">
        <f t="shared" si="1"/>
        <v/>
      </c>
      <c r="D386" s="26" t="str">
        <f t="array" ref="D386">XLOOKUP($A386,Instagram_follows_raw!$A$4:$A1000,Instagram_follows_raw!$B$4:$B1000)</f>
        <v>#N/A</v>
      </c>
      <c r="E386" s="26" t="str">
        <f t="array" ref="E386">XLOOKUP($A386,Instagram_interactions_raw!$A$4:$A1000,Instagram_interactions_raw!$B$4:$B1000)</f>
        <v>#N/A</v>
      </c>
      <c r="F386" s="26" t="str">
        <f t="array" ref="F386">XLOOKUP($A386,Instagram_reach_raw!$A$4:$A1000,Instagram_reach_raw!$B$4:$B1000)</f>
        <v>#N/A</v>
      </c>
    </row>
    <row r="387">
      <c r="A387" s="30" t="str">
        <f>Instagram_reach_raw!$A389</f>
        <v/>
      </c>
      <c r="B387" s="29" t="str">
        <f>Instagram_interactions_raw!$A389</f>
        <v/>
      </c>
      <c r="C387" s="26" t="str">
        <f t="shared" si="1"/>
        <v/>
      </c>
      <c r="D387" s="26" t="str">
        <f t="array" ref="D387">XLOOKUP($A387,Instagram_follows_raw!$A$4:$A1000,Instagram_follows_raw!$B$4:$B1000)</f>
        <v>#N/A</v>
      </c>
      <c r="E387" s="26" t="str">
        <f t="array" ref="E387">XLOOKUP($A387,Instagram_interactions_raw!$A$4:$A1000,Instagram_interactions_raw!$B$4:$B1000)</f>
        <v>#N/A</v>
      </c>
      <c r="F387" s="26" t="str">
        <f t="array" ref="F387">XLOOKUP($A387,Instagram_reach_raw!$A$4:$A1000,Instagram_reach_raw!$B$4:$B1000)</f>
        <v>#N/A</v>
      </c>
    </row>
    <row r="388">
      <c r="A388" s="30" t="str">
        <f>Instagram_reach_raw!$A390</f>
        <v/>
      </c>
      <c r="B388" s="29" t="str">
        <f>Instagram_interactions_raw!$A390</f>
        <v/>
      </c>
      <c r="C388" s="26" t="str">
        <f t="shared" si="1"/>
        <v/>
      </c>
      <c r="D388" s="26" t="str">
        <f t="array" ref="D388">XLOOKUP($A388,Instagram_follows_raw!$A$4:$A1000,Instagram_follows_raw!$B$4:$B1000)</f>
        <v>#N/A</v>
      </c>
      <c r="E388" s="26" t="str">
        <f t="array" ref="E388">XLOOKUP($A388,Instagram_interactions_raw!$A$4:$A1000,Instagram_interactions_raw!$B$4:$B1000)</f>
        <v>#N/A</v>
      </c>
      <c r="F388" s="26" t="str">
        <f t="array" ref="F388">XLOOKUP($A388,Instagram_reach_raw!$A$4:$A1000,Instagram_reach_raw!$B$4:$B1000)</f>
        <v>#N/A</v>
      </c>
    </row>
    <row r="389">
      <c r="A389" s="30" t="str">
        <f>Instagram_reach_raw!$A391</f>
        <v/>
      </c>
      <c r="B389" s="29" t="str">
        <f>Instagram_interactions_raw!$A391</f>
        <v/>
      </c>
      <c r="C389" s="26" t="str">
        <f t="shared" si="1"/>
        <v/>
      </c>
      <c r="D389" s="26" t="str">
        <f t="array" ref="D389">XLOOKUP($A389,Instagram_follows_raw!$A$4:$A1000,Instagram_follows_raw!$B$4:$B1000)</f>
        <v>#N/A</v>
      </c>
      <c r="E389" s="26" t="str">
        <f t="array" ref="E389">XLOOKUP($A389,Instagram_interactions_raw!$A$4:$A1000,Instagram_interactions_raw!$B$4:$B1000)</f>
        <v>#N/A</v>
      </c>
      <c r="F389" s="26" t="str">
        <f t="array" ref="F389">XLOOKUP($A389,Instagram_reach_raw!$A$4:$A1000,Instagram_reach_raw!$B$4:$B1000)</f>
        <v>#N/A</v>
      </c>
    </row>
    <row r="390">
      <c r="A390" s="30" t="str">
        <f>Instagram_reach_raw!$A392</f>
        <v/>
      </c>
      <c r="B390" s="29" t="str">
        <f>Instagram_interactions_raw!$A392</f>
        <v/>
      </c>
      <c r="C390" s="26" t="str">
        <f t="shared" si="1"/>
        <v/>
      </c>
      <c r="D390" s="26" t="str">
        <f t="array" ref="D390">XLOOKUP($A390,Instagram_follows_raw!$A$4:$A1000,Instagram_follows_raw!$B$4:$B1000)</f>
        <v>#N/A</v>
      </c>
      <c r="E390" s="26" t="str">
        <f t="array" ref="E390">XLOOKUP($A390,Instagram_interactions_raw!$A$4:$A1000,Instagram_interactions_raw!$B$4:$B1000)</f>
        <v>#N/A</v>
      </c>
      <c r="F390" s="26" t="str">
        <f t="array" ref="F390">XLOOKUP($A390,Instagram_reach_raw!$A$4:$A1000,Instagram_reach_raw!$B$4:$B1000)</f>
        <v>#N/A</v>
      </c>
    </row>
    <row r="391">
      <c r="A391" s="30" t="str">
        <f>Instagram_reach_raw!$A393</f>
        <v/>
      </c>
      <c r="B391" s="29" t="str">
        <f>Instagram_interactions_raw!$A393</f>
        <v/>
      </c>
      <c r="C391" s="26" t="str">
        <f t="shared" si="1"/>
        <v/>
      </c>
      <c r="D391" s="26" t="str">
        <f t="array" ref="D391">XLOOKUP($A391,Instagram_follows_raw!$A$4:$A1000,Instagram_follows_raw!$B$4:$B1000)</f>
        <v>#N/A</v>
      </c>
      <c r="E391" s="26" t="str">
        <f t="array" ref="E391">XLOOKUP($A391,Instagram_interactions_raw!$A$4:$A1000,Instagram_interactions_raw!$B$4:$B1000)</f>
        <v>#N/A</v>
      </c>
      <c r="F391" s="26" t="str">
        <f t="array" ref="F391">XLOOKUP($A391,Instagram_reach_raw!$A$4:$A1000,Instagram_reach_raw!$B$4:$B1000)</f>
        <v>#N/A</v>
      </c>
    </row>
    <row r="392">
      <c r="A392" s="30" t="str">
        <f>Instagram_reach_raw!$A394</f>
        <v/>
      </c>
      <c r="B392" s="29" t="str">
        <f>Instagram_interactions_raw!$A394</f>
        <v/>
      </c>
      <c r="C392" s="26" t="str">
        <f t="shared" si="1"/>
        <v/>
      </c>
      <c r="D392" s="26" t="str">
        <f t="array" ref="D392">XLOOKUP($A392,Instagram_follows_raw!$A$4:$A1000,Instagram_follows_raw!$B$4:$B1000)</f>
        <v>#N/A</v>
      </c>
      <c r="E392" s="26" t="str">
        <f t="array" ref="E392">XLOOKUP($A392,Instagram_interactions_raw!$A$4:$A1000,Instagram_interactions_raw!$B$4:$B1000)</f>
        <v>#N/A</v>
      </c>
      <c r="F392" s="26" t="str">
        <f t="array" ref="F392">XLOOKUP($A392,Instagram_reach_raw!$A$4:$A1000,Instagram_reach_raw!$B$4:$B1000)</f>
        <v>#N/A</v>
      </c>
    </row>
    <row r="393">
      <c r="A393" s="30" t="str">
        <f>Instagram_reach_raw!$A395</f>
        <v/>
      </c>
      <c r="B393" s="29" t="str">
        <f>Instagram_interactions_raw!$A395</f>
        <v/>
      </c>
      <c r="C393" s="26" t="str">
        <f t="shared" si="1"/>
        <v/>
      </c>
      <c r="D393" s="26" t="str">
        <f t="array" ref="D393">XLOOKUP($A393,Instagram_follows_raw!$A$4:$A1000,Instagram_follows_raw!$B$4:$B1000)</f>
        <v>#N/A</v>
      </c>
      <c r="E393" s="26" t="str">
        <f t="array" ref="E393">XLOOKUP($A393,Instagram_interactions_raw!$A$4:$A1000,Instagram_interactions_raw!$B$4:$B1000)</f>
        <v>#N/A</v>
      </c>
      <c r="F393" s="26" t="str">
        <f t="array" ref="F393">XLOOKUP($A393,Instagram_reach_raw!$A$4:$A1000,Instagram_reach_raw!$B$4:$B1000)</f>
        <v>#N/A</v>
      </c>
    </row>
    <row r="394">
      <c r="A394" s="30" t="str">
        <f>Instagram_reach_raw!$A396</f>
        <v/>
      </c>
      <c r="B394" s="29" t="str">
        <f>Instagram_interactions_raw!$A396</f>
        <v/>
      </c>
      <c r="C394" s="26" t="str">
        <f t="shared" si="1"/>
        <v/>
      </c>
      <c r="D394" s="26" t="str">
        <f t="array" ref="D394">XLOOKUP($A394,Instagram_follows_raw!$A$4:$A1000,Instagram_follows_raw!$B$4:$B1000)</f>
        <v>#N/A</v>
      </c>
      <c r="E394" s="26" t="str">
        <f t="array" ref="E394">XLOOKUP($A394,Instagram_interactions_raw!$A$4:$A1000,Instagram_interactions_raw!$B$4:$B1000)</f>
        <v>#N/A</v>
      </c>
      <c r="F394" s="26" t="str">
        <f t="array" ref="F394">XLOOKUP($A394,Instagram_reach_raw!$A$4:$A1000,Instagram_reach_raw!$B$4:$B1000)</f>
        <v>#N/A</v>
      </c>
    </row>
    <row r="395">
      <c r="A395" s="30" t="str">
        <f>Instagram_reach_raw!$A397</f>
        <v/>
      </c>
      <c r="B395" s="29" t="str">
        <f>Instagram_interactions_raw!$A397</f>
        <v/>
      </c>
      <c r="C395" s="26" t="str">
        <f t="shared" si="1"/>
        <v/>
      </c>
      <c r="D395" s="26" t="str">
        <f t="array" ref="D395">XLOOKUP($A395,Instagram_follows_raw!$A$4:$A1000,Instagram_follows_raw!$B$4:$B1000)</f>
        <v>#N/A</v>
      </c>
      <c r="E395" s="26" t="str">
        <f t="array" ref="E395">XLOOKUP($A395,Instagram_interactions_raw!$A$4:$A1000,Instagram_interactions_raw!$B$4:$B1000)</f>
        <v>#N/A</v>
      </c>
      <c r="F395" s="26" t="str">
        <f t="array" ref="F395">XLOOKUP($A395,Instagram_reach_raw!$A$4:$A1000,Instagram_reach_raw!$B$4:$B1000)</f>
        <v>#N/A</v>
      </c>
    </row>
    <row r="396">
      <c r="A396" s="30" t="str">
        <f>Instagram_reach_raw!$A398</f>
        <v/>
      </c>
      <c r="B396" s="29" t="str">
        <f>Instagram_interactions_raw!$A398</f>
        <v/>
      </c>
      <c r="C396" s="26" t="str">
        <f t="shared" si="1"/>
        <v/>
      </c>
      <c r="D396" s="26" t="str">
        <f t="array" ref="D396">XLOOKUP($A396,Instagram_follows_raw!$A$4:$A1000,Instagram_follows_raw!$B$4:$B1000)</f>
        <v>#N/A</v>
      </c>
      <c r="E396" s="26" t="str">
        <f t="array" ref="E396">XLOOKUP($A396,Instagram_interactions_raw!$A$4:$A1000,Instagram_interactions_raw!$B$4:$B1000)</f>
        <v>#N/A</v>
      </c>
      <c r="F396" s="26" t="str">
        <f t="array" ref="F396">XLOOKUP($A396,Instagram_reach_raw!$A$4:$A1000,Instagram_reach_raw!$B$4:$B1000)</f>
        <v>#N/A</v>
      </c>
    </row>
    <row r="397">
      <c r="A397" s="30" t="str">
        <f>Instagram_reach_raw!$A399</f>
        <v/>
      </c>
      <c r="B397" s="29" t="str">
        <f>Instagram_interactions_raw!$A399</f>
        <v/>
      </c>
      <c r="C397" s="26" t="str">
        <f t="shared" si="1"/>
        <v/>
      </c>
      <c r="D397" s="26" t="str">
        <f t="array" ref="D397">XLOOKUP($A397,Instagram_follows_raw!$A$4:$A1000,Instagram_follows_raw!$B$4:$B1000)</f>
        <v>#N/A</v>
      </c>
      <c r="E397" s="26" t="str">
        <f t="array" ref="E397">XLOOKUP($A397,Instagram_interactions_raw!$A$4:$A1000,Instagram_interactions_raw!$B$4:$B1000)</f>
        <v>#N/A</v>
      </c>
      <c r="F397" s="26" t="str">
        <f t="array" ref="F397">XLOOKUP($A397,Instagram_reach_raw!$A$4:$A1000,Instagram_reach_raw!$B$4:$B1000)</f>
        <v>#N/A</v>
      </c>
    </row>
    <row r="398">
      <c r="A398" s="30" t="str">
        <f>Instagram_reach_raw!$A400</f>
        <v/>
      </c>
      <c r="B398" s="29" t="str">
        <f>Instagram_interactions_raw!$A400</f>
        <v/>
      </c>
      <c r="C398" s="26" t="str">
        <f t="shared" si="1"/>
        <v/>
      </c>
      <c r="D398" s="26" t="str">
        <f t="array" ref="D398">XLOOKUP($A398,Instagram_follows_raw!$A$4:$A1000,Instagram_follows_raw!$B$4:$B1000)</f>
        <v>#N/A</v>
      </c>
      <c r="E398" s="26" t="str">
        <f t="array" ref="E398">XLOOKUP($A398,Instagram_interactions_raw!$A$4:$A1000,Instagram_interactions_raw!$B$4:$B1000)</f>
        <v>#N/A</v>
      </c>
      <c r="F398" s="26" t="str">
        <f t="array" ref="F398">XLOOKUP($A398,Instagram_reach_raw!$A$4:$A1000,Instagram_reach_raw!$B$4:$B1000)</f>
        <v>#N/A</v>
      </c>
    </row>
    <row r="399">
      <c r="A399" s="30" t="str">
        <f>Instagram_reach_raw!$A401</f>
        <v/>
      </c>
      <c r="B399" s="29" t="str">
        <f>Instagram_interactions_raw!$A401</f>
        <v/>
      </c>
      <c r="C399" s="26" t="str">
        <f t="shared" si="1"/>
        <v/>
      </c>
      <c r="D399" s="26" t="str">
        <f t="array" ref="D399">XLOOKUP($A399,Instagram_follows_raw!$A$4:$A1000,Instagram_follows_raw!$B$4:$B1000)</f>
        <v>#N/A</v>
      </c>
      <c r="E399" s="26" t="str">
        <f t="array" ref="E399">XLOOKUP($A399,Instagram_interactions_raw!$A$4:$A1000,Instagram_interactions_raw!$B$4:$B1000)</f>
        <v>#N/A</v>
      </c>
      <c r="F399" s="26" t="str">
        <f t="array" ref="F399">XLOOKUP($A399,Instagram_reach_raw!$A$4:$A1000,Instagram_reach_raw!$B$4:$B1000)</f>
        <v>#N/A</v>
      </c>
    </row>
    <row r="400">
      <c r="A400" s="30" t="str">
        <f>Instagram_reach_raw!$A402</f>
        <v/>
      </c>
      <c r="B400" s="29" t="str">
        <f>Instagram_interactions_raw!$A402</f>
        <v/>
      </c>
      <c r="C400" s="26" t="str">
        <f t="shared" si="1"/>
        <v/>
      </c>
      <c r="D400" s="26" t="str">
        <f t="array" ref="D400">XLOOKUP($A400,Instagram_follows_raw!$A$4:$A1000,Instagram_follows_raw!$B$4:$B1000)</f>
        <v>#N/A</v>
      </c>
      <c r="E400" s="26" t="str">
        <f t="array" ref="E400">XLOOKUP($A400,Instagram_interactions_raw!$A$4:$A1000,Instagram_interactions_raw!$B$4:$B1000)</f>
        <v>#N/A</v>
      </c>
      <c r="F400" s="26" t="str">
        <f t="array" ref="F400">XLOOKUP($A400,Instagram_reach_raw!$A$4:$A1000,Instagram_reach_raw!$B$4:$B1000)</f>
        <v>#N/A</v>
      </c>
    </row>
    <row r="401">
      <c r="A401" s="30" t="str">
        <f>Instagram_reach_raw!$A403</f>
        <v/>
      </c>
      <c r="B401" s="29" t="str">
        <f>Instagram_interactions_raw!$A403</f>
        <v/>
      </c>
      <c r="C401" s="26" t="str">
        <f t="shared" si="1"/>
        <v/>
      </c>
      <c r="D401" s="26" t="str">
        <f t="array" ref="D401">XLOOKUP($A401,Instagram_follows_raw!$A$4:$A1000,Instagram_follows_raw!$B$4:$B1000)</f>
        <v>#N/A</v>
      </c>
      <c r="E401" s="26" t="str">
        <f t="array" ref="E401">XLOOKUP($A401,Instagram_interactions_raw!$A$4:$A1000,Instagram_interactions_raw!$B$4:$B1000)</f>
        <v>#N/A</v>
      </c>
      <c r="F401" s="26" t="str">
        <f t="array" ref="F401">XLOOKUP($A401,Instagram_reach_raw!$A$4:$A1000,Instagram_reach_raw!$B$4:$B1000)</f>
        <v>#N/A</v>
      </c>
    </row>
    <row r="402">
      <c r="A402" s="30" t="str">
        <f>Instagram_reach_raw!$A404</f>
        <v/>
      </c>
      <c r="B402" s="29" t="str">
        <f>Instagram_interactions_raw!$A404</f>
        <v/>
      </c>
      <c r="C402" s="26" t="str">
        <f t="shared" si="1"/>
        <v/>
      </c>
      <c r="D402" s="26" t="str">
        <f t="array" ref="D402">XLOOKUP($A402,Instagram_follows_raw!$A$4:$A1000,Instagram_follows_raw!$B$4:$B1000)</f>
        <v>#N/A</v>
      </c>
      <c r="E402" s="26" t="str">
        <f t="array" ref="E402">XLOOKUP($A402,Instagram_interactions_raw!$A$4:$A1000,Instagram_interactions_raw!$B$4:$B1000)</f>
        <v>#N/A</v>
      </c>
      <c r="F402" s="26" t="str">
        <f t="array" ref="F402">XLOOKUP($A402,Instagram_reach_raw!$A$4:$A1000,Instagram_reach_raw!$B$4:$B1000)</f>
        <v>#N/A</v>
      </c>
    </row>
    <row r="403">
      <c r="A403" s="30" t="str">
        <f>Instagram_reach_raw!$A405</f>
        <v/>
      </c>
      <c r="B403" s="29" t="str">
        <f>Instagram_interactions_raw!$A405</f>
        <v/>
      </c>
      <c r="C403" s="26" t="str">
        <f t="shared" si="1"/>
        <v/>
      </c>
      <c r="D403" s="26" t="str">
        <f t="array" ref="D403">XLOOKUP($A403,Instagram_follows_raw!$A$4:$A1000,Instagram_follows_raw!$B$4:$B1000)</f>
        <v>#N/A</v>
      </c>
      <c r="E403" s="26" t="str">
        <f t="array" ref="E403">XLOOKUP($A403,Instagram_interactions_raw!$A$4:$A1000,Instagram_interactions_raw!$B$4:$B1000)</f>
        <v>#N/A</v>
      </c>
      <c r="F403" s="26" t="str">
        <f t="array" ref="F403">XLOOKUP($A403,Instagram_reach_raw!$A$4:$A1000,Instagram_reach_raw!$B$4:$B1000)</f>
        <v>#N/A</v>
      </c>
    </row>
    <row r="404">
      <c r="A404" s="30" t="str">
        <f>Instagram_reach_raw!$A406</f>
        <v/>
      </c>
      <c r="B404" s="29" t="str">
        <f>Instagram_interactions_raw!$A406</f>
        <v/>
      </c>
      <c r="C404" s="26" t="str">
        <f t="shared" si="1"/>
        <v/>
      </c>
      <c r="D404" s="26" t="str">
        <f t="array" ref="D404">XLOOKUP($A404,Instagram_follows_raw!$A$4:$A1000,Instagram_follows_raw!$B$4:$B1000)</f>
        <v>#N/A</v>
      </c>
      <c r="E404" s="26" t="str">
        <f t="array" ref="E404">XLOOKUP($A404,Instagram_interactions_raw!$A$4:$A1000,Instagram_interactions_raw!$B$4:$B1000)</f>
        <v>#N/A</v>
      </c>
      <c r="F404" s="26" t="str">
        <f t="array" ref="F404">XLOOKUP($A404,Instagram_reach_raw!$A$4:$A1000,Instagram_reach_raw!$B$4:$B1000)</f>
        <v>#N/A</v>
      </c>
    </row>
    <row r="405">
      <c r="A405" s="30" t="str">
        <f>Instagram_reach_raw!$A407</f>
        <v/>
      </c>
      <c r="B405" s="29" t="str">
        <f>Instagram_interactions_raw!$A407</f>
        <v/>
      </c>
      <c r="C405" s="26" t="str">
        <f t="shared" si="1"/>
        <v/>
      </c>
      <c r="D405" s="26" t="str">
        <f t="array" ref="D405">XLOOKUP($A405,Instagram_follows_raw!$A$4:$A1000,Instagram_follows_raw!$B$4:$B1000)</f>
        <v>#N/A</v>
      </c>
      <c r="E405" s="26" t="str">
        <f t="array" ref="E405">XLOOKUP($A405,Instagram_interactions_raw!$A$4:$A1000,Instagram_interactions_raw!$B$4:$B1000)</f>
        <v>#N/A</v>
      </c>
      <c r="F405" s="26" t="str">
        <f t="array" ref="F405">XLOOKUP($A405,Instagram_reach_raw!$A$4:$A1000,Instagram_reach_raw!$B$4:$B1000)</f>
        <v>#N/A</v>
      </c>
    </row>
    <row r="406">
      <c r="A406" s="30" t="str">
        <f>Instagram_reach_raw!$A408</f>
        <v/>
      </c>
      <c r="B406" s="29" t="str">
        <f>Instagram_interactions_raw!$A408</f>
        <v/>
      </c>
      <c r="C406" s="26" t="str">
        <f t="shared" si="1"/>
        <v/>
      </c>
      <c r="D406" s="26" t="str">
        <f t="array" ref="D406">XLOOKUP($A406,Instagram_follows_raw!$A$4:$A1000,Instagram_follows_raw!$B$4:$B1000)</f>
        <v>#N/A</v>
      </c>
      <c r="E406" s="26" t="str">
        <f t="array" ref="E406">XLOOKUP($A406,Instagram_interactions_raw!$A$4:$A1000,Instagram_interactions_raw!$B$4:$B1000)</f>
        <v>#N/A</v>
      </c>
      <c r="F406" s="26" t="str">
        <f t="array" ref="F406">XLOOKUP($A406,Instagram_reach_raw!$A$4:$A1000,Instagram_reach_raw!$B$4:$B1000)</f>
        <v>#N/A</v>
      </c>
    </row>
    <row r="407">
      <c r="A407" s="30" t="str">
        <f>Instagram_reach_raw!$A409</f>
        <v/>
      </c>
      <c r="B407" s="29" t="str">
        <f>Instagram_interactions_raw!$A409</f>
        <v/>
      </c>
      <c r="C407" s="26" t="str">
        <f t="shared" si="1"/>
        <v/>
      </c>
      <c r="D407" s="26" t="str">
        <f t="array" ref="D407">XLOOKUP($A407,Instagram_follows_raw!$A$4:$A1000,Instagram_follows_raw!$B$4:$B1000)</f>
        <v>#N/A</v>
      </c>
      <c r="E407" s="26" t="str">
        <f t="array" ref="E407">XLOOKUP($A407,Instagram_interactions_raw!$A$4:$A1000,Instagram_interactions_raw!$B$4:$B1000)</f>
        <v>#N/A</v>
      </c>
      <c r="F407" s="26" t="str">
        <f t="array" ref="F407">XLOOKUP($A407,Instagram_reach_raw!$A$4:$A1000,Instagram_reach_raw!$B$4:$B1000)</f>
        <v>#N/A</v>
      </c>
    </row>
    <row r="408">
      <c r="A408" s="30" t="str">
        <f>Instagram_reach_raw!$A410</f>
        <v/>
      </c>
      <c r="B408" s="29" t="str">
        <f>Instagram_interactions_raw!$A410</f>
        <v/>
      </c>
      <c r="C408" s="26" t="str">
        <f t="shared" si="1"/>
        <v/>
      </c>
      <c r="D408" s="26" t="str">
        <f t="array" ref="D408">XLOOKUP($A408,Instagram_follows_raw!$A$4:$A1000,Instagram_follows_raw!$B$4:$B1000)</f>
        <v>#N/A</v>
      </c>
      <c r="E408" s="26" t="str">
        <f t="array" ref="E408">XLOOKUP($A408,Instagram_interactions_raw!$A$4:$A1000,Instagram_interactions_raw!$B$4:$B1000)</f>
        <v>#N/A</v>
      </c>
      <c r="F408" s="26" t="str">
        <f t="array" ref="F408">XLOOKUP($A408,Instagram_reach_raw!$A$4:$A1000,Instagram_reach_raw!$B$4:$B1000)</f>
        <v>#N/A</v>
      </c>
    </row>
    <row r="409">
      <c r="A409" s="30" t="str">
        <f>Instagram_reach_raw!$A411</f>
        <v/>
      </c>
      <c r="B409" s="29" t="str">
        <f>Instagram_interactions_raw!$A411</f>
        <v/>
      </c>
      <c r="C409" s="26" t="str">
        <f t="shared" si="1"/>
        <v/>
      </c>
      <c r="D409" s="26" t="str">
        <f t="array" ref="D409">XLOOKUP($A409,Instagram_follows_raw!$A$4:$A1000,Instagram_follows_raw!$B$4:$B1000)</f>
        <v>#N/A</v>
      </c>
      <c r="E409" s="26" t="str">
        <f t="array" ref="E409">XLOOKUP($A409,Instagram_interactions_raw!$A$4:$A1000,Instagram_interactions_raw!$B$4:$B1000)</f>
        <v>#N/A</v>
      </c>
      <c r="F409" s="26" t="str">
        <f t="array" ref="F409">XLOOKUP($A409,Instagram_reach_raw!$A$4:$A1000,Instagram_reach_raw!$B$4:$B1000)</f>
        <v>#N/A</v>
      </c>
    </row>
    <row r="410">
      <c r="A410" s="30" t="str">
        <f>Instagram_reach_raw!$A412</f>
        <v/>
      </c>
      <c r="B410" s="29" t="str">
        <f>Instagram_interactions_raw!$A412</f>
        <v/>
      </c>
      <c r="C410" s="26" t="str">
        <f t="shared" si="1"/>
        <v/>
      </c>
      <c r="D410" s="26" t="str">
        <f t="array" ref="D410">XLOOKUP($A410,Instagram_follows_raw!$A$4:$A1000,Instagram_follows_raw!$B$4:$B1000)</f>
        <v>#N/A</v>
      </c>
      <c r="E410" s="26" t="str">
        <f t="array" ref="E410">XLOOKUP($A410,Instagram_interactions_raw!$A$4:$A1000,Instagram_interactions_raw!$B$4:$B1000)</f>
        <v>#N/A</v>
      </c>
      <c r="F410" s="26" t="str">
        <f t="array" ref="F410">XLOOKUP($A410,Instagram_reach_raw!$A$4:$A1000,Instagram_reach_raw!$B$4:$B1000)</f>
        <v>#N/A</v>
      </c>
    </row>
    <row r="411">
      <c r="A411" s="30" t="str">
        <f>Instagram_reach_raw!$A413</f>
        <v/>
      </c>
      <c r="B411" s="29" t="str">
        <f>Instagram_interactions_raw!$A413</f>
        <v/>
      </c>
      <c r="C411" s="26" t="str">
        <f t="shared" si="1"/>
        <v/>
      </c>
      <c r="D411" s="26" t="str">
        <f t="array" ref="D411">XLOOKUP($A411,Instagram_follows_raw!$A$4:$A1000,Instagram_follows_raw!$B$4:$B1000)</f>
        <v>#N/A</v>
      </c>
      <c r="E411" s="26" t="str">
        <f t="array" ref="E411">XLOOKUP($A411,Instagram_interactions_raw!$A$4:$A1000,Instagram_interactions_raw!$B$4:$B1000)</f>
        <v>#N/A</v>
      </c>
      <c r="F411" s="26" t="str">
        <f t="array" ref="F411">XLOOKUP($A411,Instagram_reach_raw!$A$4:$A1000,Instagram_reach_raw!$B$4:$B1000)</f>
        <v>#N/A</v>
      </c>
    </row>
    <row r="412">
      <c r="A412" s="30" t="str">
        <f>Instagram_reach_raw!$A414</f>
        <v/>
      </c>
      <c r="B412" s="29" t="str">
        <f>Instagram_interactions_raw!$A414</f>
        <v/>
      </c>
      <c r="C412" s="26" t="str">
        <f t="shared" si="1"/>
        <v/>
      </c>
      <c r="D412" s="26" t="str">
        <f t="array" ref="D412">XLOOKUP($A412,Instagram_follows_raw!$A$4:$A1000,Instagram_follows_raw!$B$4:$B1000)</f>
        <v>#N/A</v>
      </c>
      <c r="E412" s="26" t="str">
        <f t="array" ref="E412">XLOOKUP($A412,Instagram_interactions_raw!$A$4:$A1000,Instagram_interactions_raw!$B$4:$B1000)</f>
        <v>#N/A</v>
      </c>
      <c r="F412" s="26" t="str">
        <f t="array" ref="F412">XLOOKUP($A412,Instagram_reach_raw!$A$4:$A1000,Instagram_reach_raw!$B$4:$B1000)</f>
        <v>#N/A</v>
      </c>
    </row>
    <row r="413">
      <c r="A413" s="30" t="str">
        <f>Instagram_reach_raw!$A415</f>
        <v/>
      </c>
      <c r="B413" s="29" t="str">
        <f>Instagram_interactions_raw!$A415</f>
        <v/>
      </c>
      <c r="C413" s="26" t="str">
        <f t="shared" si="1"/>
        <v/>
      </c>
      <c r="D413" s="26" t="str">
        <f t="array" ref="D413">XLOOKUP($A413,Instagram_follows_raw!$A$4:$A1000,Instagram_follows_raw!$B$4:$B1000)</f>
        <v>#N/A</v>
      </c>
      <c r="E413" s="26" t="str">
        <f t="array" ref="E413">XLOOKUP($A413,Instagram_interactions_raw!$A$4:$A1000,Instagram_interactions_raw!$B$4:$B1000)</f>
        <v>#N/A</v>
      </c>
      <c r="F413" s="26" t="str">
        <f t="array" ref="F413">XLOOKUP($A413,Instagram_reach_raw!$A$4:$A1000,Instagram_reach_raw!$B$4:$B1000)</f>
        <v>#N/A</v>
      </c>
    </row>
    <row r="414">
      <c r="A414" s="30" t="str">
        <f>Instagram_reach_raw!$A416</f>
        <v/>
      </c>
      <c r="B414" s="29" t="str">
        <f>Instagram_interactions_raw!$A416</f>
        <v/>
      </c>
      <c r="C414" s="26" t="str">
        <f t="shared" si="1"/>
        <v/>
      </c>
      <c r="D414" s="26" t="str">
        <f t="array" ref="D414">XLOOKUP($A414,Instagram_follows_raw!$A$4:$A1000,Instagram_follows_raw!$B$4:$B1000)</f>
        <v>#N/A</v>
      </c>
      <c r="E414" s="26" t="str">
        <f t="array" ref="E414">XLOOKUP($A414,Instagram_interactions_raw!$A$4:$A1000,Instagram_interactions_raw!$B$4:$B1000)</f>
        <v>#N/A</v>
      </c>
      <c r="F414" s="26" t="str">
        <f t="array" ref="F414">XLOOKUP($A414,Instagram_reach_raw!$A$4:$A1000,Instagram_reach_raw!$B$4:$B1000)</f>
        <v>#N/A</v>
      </c>
    </row>
    <row r="415">
      <c r="A415" s="30" t="str">
        <f>Instagram_reach_raw!$A417</f>
        <v/>
      </c>
      <c r="B415" s="29" t="str">
        <f>Instagram_interactions_raw!$A417</f>
        <v/>
      </c>
      <c r="C415" s="26" t="str">
        <f t="shared" si="1"/>
        <v/>
      </c>
      <c r="D415" s="26" t="str">
        <f t="array" ref="D415">XLOOKUP($A415,Instagram_follows_raw!$A$4:$A1000,Instagram_follows_raw!$B$4:$B1000)</f>
        <v>#N/A</v>
      </c>
      <c r="E415" s="26" t="str">
        <f t="array" ref="E415">XLOOKUP($A415,Instagram_interactions_raw!$A$4:$A1000,Instagram_interactions_raw!$B$4:$B1000)</f>
        <v>#N/A</v>
      </c>
      <c r="F415" s="26" t="str">
        <f t="array" ref="F415">XLOOKUP($A415,Instagram_reach_raw!$A$4:$A1000,Instagram_reach_raw!$B$4:$B1000)</f>
        <v>#N/A</v>
      </c>
    </row>
    <row r="416">
      <c r="A416" s="30" t="str">
        <f>Instagram_reach_raw!$A418</f>
        <v/>
      </c>
      <c r="B416" s="29" t="str">
        <f>Instagram_interactions_raw!$A418</f>
        <v/>
      </c>
      <c r="C416" s="26" t="str">
        <f t="shared" si="1"/>
        <v/>
      </c>
      <c r="D416" s="26" t="str">
        <f t="array" ref="D416">XLOOKUP($A416,Instagram_follows_raw!$A$4:$A1000,Instagram_follows_raw!$B$4:$B1000)</f>
        <v>#N/A</v>
      </c>
      <c r="E416" s="26" t="str">
        <f t="array" ref="E416">XLOOKUP($A416,Instagram_interactions_raw!$A$4:$A1000,Instagram_interactions_raw!$B$4:$B1000)</f>
        <v>#N/A</v>
      </c>
      <c r="F416" s="26" t="str">
        <f t="array" ref="F416">XLOOKUP($A416,Instagram_reach_raw!$A$4:$A1000,Instagram_reach_raw!$B$4:$B1000)</f>
        <v>#N/A</v>
      </c>
    </row>
    <row r="417">
      <c r="A417" s="30" t="str">
        <f>Instagram_reach_raw!$A419</f>
        <v/>
      </c>
      <c r="B417" s="29" t="str">
        <f>Instagram_interactions_raw!$A419</f>
        <v/>
      </c>
      <c r="C417" s="26" t="str">
        <f t="shared" si="1"/>
        <v/>
      </c>
      <c r="D417" s="26" t="str">
        <f t="array" ref="D417">XLOOKUP($A417,Instagram_follows_raw!$A$4:$A1000,Instagram_follows_raw!$B$4:$B1000)</f>
        <v>#N/A</v>
      </c>
      <c r="E417" s="26" t="str">
        <f t="array" ref="E417">XLOOKUP($A417,Instagram_interactions_raw!$A$4:$A1000,Instagram_interactions_raw!$B$4:$B1000)</f>
        <v>#N/A</v>
      </c>
      <c r="F417" s="26" t="str">
        <f t="array" ref="F417">XLOOKUP($A417,Instagram_reach_raw!$A$4:$A1000,Instagram_reach_raw!$B$4:$B1000)</f>
        <v>#N/A</v>
      </c>
    </row>
    <row r="418">
      <c r="A418" s="30" t="str">
        <f>Instagram_reach_raw!$A420</f>
        <v/>
      </c>
      <c r="B418" s="29" t="str">
        <f>Instagram_interactions_raw!$A420</f>
        <v/>
      </c>
      <c r="C418" s="26" t="str">
        <f t="shared" si="1"/>
        <v/>
      </c>
      <c r="D418" s="26" t="str">
        <f t="array" ref="D418">XLOOKUP($A418,Instagram_follows_raw!$A$4:$A1000,Instagram_follows_raw!$B$4:$B1000)</f>
        <v>#N/A</v>
      </c>
      <c r="E418" s="26" t="str">
        <f t="array" ref="E418">XLOOKUP($A418,Instagram_interactions_raw!$A$4:$A1000,Instagram_interactions_raw!$B$4:$B1000)</f>
        <v>#N/A</v>
      </c>
      <c r="F418" s="26" t="str">
        <f t="array" ref="F418">XLOOKUP($A418,Instagram_reach_raw!$A$4:$A1000,Instagram_reach_raw!$B$4:$B1000)</f>
        <v>#N/A</v>
      </c>
    </row>
    <row r="419">
      <c r="A419" s="30" t="str">
        <f>Instagram_reach_raw!$A421</f>
        <v/>
      </c>
      <c r="B419" s="29" t="str">
        <f>Instagram_interactions_raw!$A421</f>
        <v/>
      </c>
      <c r="C419" s="26" t="str">
        <f t="shared" si="1"/>
        <v/>
      </c>
      <c r="D419" s="26" t="str">
        <f t="array" ref="D419">XLOOKUP($A419,Instagram_follows_raw!$A$4:$A1000,Instagram_follows_raw!$B$4:$B1000)</f>
        <v>#N/A</v>
      </c>
      <c r="E419" s="26" t="str">
        <f t="array" ref="E419">XLOOKUP($A419,Instagram_interactions_raw!$A$4:$A1000,Instagram_interactions_raw!$B$4:$B1000)</f>
        <v>#N/A</v>
      </c>
      <c r="F419" s="26" t="str">
        <f t="array" ref="F419">XLOOKUP($A419,Instagram_reach_raw!$A$4:$A1000,Instagram_reach_raw!$B$4:$B1000)</f>
        <v>#N/A</v>
      </c>
    </row>
    <row r="420">
      <c r="A420" s="30" t="str">
        <f>Instagram_reach_raw!$A422</f>
        <v/>
      </c>
      <c r="B420" s="29" t="str">
        <f>Instagram_interactions_raw!$A422</f>
        <v/>
      </c>
      <c r="C420" s="26" t="str">
        <f t="shared" si="1"/>
        <v/>
      </c>
      <c r="D420" s="26" t="str">
        <f t="array" ref="D420">XLOOKUP($A420,Instagram_follows_raw!$A$4:$A1000,Instagram_follows_raw!$B$4:$B1000)</f>
        <v>#N/A</v>
      </c>
      <c r="E420" s="26" t="str">
        <f t="array" ref="E420">XLOOKUP($A420,Instagram_interactions_raw!$A$4:$A1000,Instagram_interactions_raw!$B$4:$B1000)</f>
        <v>#N/A</v>
      </c>
      <c r="F420" s="26" t="str">
        <f t="array" ref="F420">XLOOKUP($A420,Instagram_reach_raw!$A$4:$A1000,Instagram_reach_raw!$B$4:$B1000)</f>
        <v>#N/A</v>
      </c>
    </row>
    <row r="421">
      <c r="A421" s="30" t="str">
        <f>Instagram_reach_raw!$A423</f>
        <v/>
      </c>
      <c r="B421" s="29" t="str">
        <f>Instagram_interactions_raw!$A423</f>
        <v/>
      </c>
      <c r="C421" s="26" t="str">
        <f t="shared" si="1"/>
        <v/>
      </c>
      <c r="D421" s="26" t="str">
        <f t="array" ref="D421">XLOOKUP($A421,Instagram_follows_raw!$A$4:$A1000,Instagram_follows_raw!$B$4:$B1000)</f>
        <v>#N/A</v>
      </c>
      <c r="E421" s="26" t="str">
        <f t="array" ref="E421">XLOOKUP($A421,Instagram_interactions_raw!$A$4:$A1000,Instagram_interactions_raw!$B$4:$B1000)</f>
        <v>#N/A</v>
      </c>
      <c r="F421" s="26" t="str">
        <f t="array" ref="F421">XLOOKUP($A421,Instagram_reach_raw!$A$4:$A1000,Instagram_reach_raw!$B$4:$B1000)</f>
        <v>#N/A</v>
      </c>
    </row>
    <row r="422">
      <c r="A422" s="30" t="str">
        <f>Instagram_reach_raw!$A424</f>
        <v/>
      </c>
      <c r="B422" s="29" t="str">
        <f>Instagram_interactions_raw!$A424</f>
        <v/>
      </c>
      <c r="C422" s="26" t="str">
        <f t="shared" si="1"/>
        <v/>
      </c>
      <c r="D422" s="26" t="str">
        <f t="array" ref="D422">XLOOKUP($A422,Instagram_follows_raw!$A$4:$A1000,Instagram_follows_raw!$B$4:$B1000)</f>
        <v>#N/A</v>
      </c>
      <c r="E422" s="26" t="str">
        <f t="array" ref="E422">XLOOKUP($A422,Instagram_interactions_raw!$A$4:$A1000,Instagram_interactions_raw!$B$4:$B1000)</f>
        <v>#N/A</v>
      </c>
      <c r="F422" s="26" t="str">
        <f t="array" ref="F422">XLOOKUP($A422,Instagram_reach_raw!$A$4:$A1000,Instagram_reach_raw!$B$4:$B1000)</f>
        <v>#N/A</v>
      </c>
    </row>
    <row r="423">
      <c r="A423" s="30" t="str">
        <f>Instagram_reach_raw!$A425</f>
        <v/>
      </c>
      <c r="B423" s="29" t="str">
        <f>Instagram_interactions_raw!$A425</f>
        <v/>
      </c>
      <c r="C423" s="26" t="str">
        <f t="shared" si="1"/>
        <v/>
      </c>
      <c r="D423" s="26" t="str">
        <f t="array" ref="D423">XLOOKUP($A423,Instagram_follows_raw!$A$4:$A1000,Instagram_follows_raw!$B$4:$B1000)</f>
        <v>#N/A</v>
      </c>
      <c r="E423" s="26" t="str">
        <f t="array" ref="E423">XLOOKUP($A423,Instagram_interactions_raw!$A$4:$A1000,Instagram_interactions_raw!$B$4:$B1000)</f>
        <v>#N/A</v>
      </c>
      <c r="F423" s="26" t="str">
        <f t="array" ref="F423">XLOOKUP($A423,Instagram_reach_raw!$A$4:$A1000,Instagram_reach_raw!$B$4:$B1000)</f>
        <v>#N/A</v>
      </c>
    </row>
    <row r="424">
      <c r="A424" s="30" t="str">
        <f>Instagram_reach_raw!$A426</f>
        <v/>
      </c>
      <c r="B424" s="29" t="str">
        <f>Instagram_interactions_raw!$A426</f>
        <v/>
      </c>
      <c r="C424" s="26" t="str">
        <f t="shared" si="1"/>
        <v/>
      </c>
      <c r="D424" s="26" t="str">
        <f t="array" ref="D424">XLOOKUP($A424,Instagram_follows_raw!$A$4:$A1000,Instagram_follows_raw!$B$4:$B1000)</f>
        <v>#N/A</v>
      </c>
      <c r="E424" s="26" t="str">
        <f t="array" ref="E424">XLOOKUP($A424,Instagram_interactions_raw!$A$4:$A1000,Instagram_interactions_raw!$B$4:$B1000)</f>
        <v>#N/A</v>
      </c>
      <c r="F424" s="26" t="str">
        <f t="array" ref="F424">XLOOKUP($A424,Instagram_reach_raw!$A$4:$A1000,Instagram_reach_raw!$B$4:$B1000)</f>
        <v>#N/A</v>
      </c>
    </row>
    <row r="425">
      <c r="A425" s="30" t="str">
        <f>Instagram_reach_raw!$A427</f>
        <v/>
      </c>
      <c r="B425" s="29" t="str">
        <f>Instagram_interactions_raw!$A427</f>
        <v/>
      </c>
      <c r="C425" s="26" t="str">
        <f t="shared" si="1"/>
        <v/>
      </c>
      <c r="D425" s="26" t="str">
        <f t="array" ref="D425">XLOOKUP($A425,Instagram_follows_raw!$A$4:$A1000,Instagram_follows_raw!$B$4:$B1000)</f>
        <v>#N/A</v>
      </c>
      <c r="E425" s="26" t="str">
        <f t="array" ref="E425">XLOOKUP($A425,Instagram_interactions_raw!$A$4:$A1000,Instagram_interactions_raw!$B$4:$B1000)</f>
        <v>#N/A</v>
      </c>
      <c r="F425" s="26" t="str">
        <f t="array" ref="F425">XLOOKUP($A425,Instagram_reach_raw!$A$4:$A1000,Instagram_reach_raw!$B$4:$B1000)</f>
        <v>#N/A</v>
      </c>
    </row>
    <row r="426">
      <c r="A426" s="30" t="str">
        <f>Instagram_reach_raw!$A428</f>
        <v/>
      </c>
      <c r="B426" s="29" t="str">
        <f>Instagram_interactions_raw!$A428</f>
        <v/>
      </c>
      <c r="C426" s="26" t="str">
        <f t="shared" si="1"/>
        <v/>
      </c>
      <c r="D426" s="26" t="str">
        <f t="array" ref="D426">XLOOKUP($A426,Instagram_follows_raw!$A$4:$A1000,Instagram_follows_raw!$B$4:$B1000)</f>
        <v>#N/A</v>
      </c>
      <c r="E426" s="26" t="str">
        <f t="array" ref="E426">XLOOKUP($A426,Instagram_interactions_raw!$A$4:$A1000,Instagram_interactions_raw!$B$4:$B1000)</f>
        <v>#N/A</v>
      </c>
      <c r="F426" s="26" t="str">
        <f t="array" ref="F426">XLOOKUP($A426,Instagram_reach_raw!$A$4:$A1000,Instagram_reach_raw!$B$4:$B1000)</f>
        <v>#N/A</v>
      </c>
    </row>
    <row r="427">
      <c r="A427" s="30" t="str">
        <f>Instagram_reach_raw!$A429</f>
        <v/>
      </c>
      <c r="B427" s="29" t="str">
        <f>Instagram_interactions_raw!$A429</f>
        <v/>
      </c>
      <c r="C427" s="26" t="str">
        <f t="shared" si="1"/>
        <v/>
      </c>
      <c r="D427" s="26" t="str">
        <f t="array" ref="D427">XLOOKUP($A427,Instagram_follows_raw!$A$4:$A1000,Instagram_follows_raw!$B$4:$B1000)</f>
        <v>#N/A</v>
      </c>
      <c r="E427" s="26" t="str">
        <f t="array" ref="E427">XLOOKUP($A427,Instagram_interactions_raw!$A$4:$A1000,Instagram_interactions_raw!$B$4:$B1000)</f>
        <v>#N/A</v>
      </c>
      <c r="F427" s="26" t="str">
        <f t="array" ref="F427">XLOOKUP($A427,Instagram_reach_raw!$A$4:$A1000,Instagram_reach_raw!$B$4:$B1000)</f>
        <v>#N/A</v>
      </c>
    </row>
    <row r="428">
      <c r="A428" s="30" t="str">
        <f>Instagram_reach_raw!$A430</f>
        <v/>
      </c>
      <c r="B428" s="29" t="str">
        <f>Instagram_interactions_raw!$A430</f>
        <v/>
      </c>
      <c r="C428" s="26" t="str">
        <f t="shared" si="1"/>
        <v/>
      </c>
      <c r="D428" s="26" t="str">
        <f t="array" ref="D428">XLOOKUP($A428,Instagram_follows_raw!$A$4:$A1000,Instagram_follows_raw!$B$4:$B1000)</f>
        <v>#N/A</v>
      </c>
      <c r="E428" s="26" t="str">
        <f t="array" ref="E428">XLOOKUP($A428,Instagram_interactions_raw!$A$4:$A1000,Instagram_interactions_raw!$B$4:$B1000)</f>
        <v>#N/A</v>
      </c>
      <c r="F428" s="26" t="str">
        <f t="array" ref="F428">XLOOKUP($A428,Instagram_reach_raw!$A$4:$A1000,Instagram_reach_raw!$B$4:$B1000)</f>
        <v>#N/A</v>
      </c>
    </row>
    <row r="429">
      <c r="A429" s="30" t="str">
        <f>Instagram_reach_raw!$A431</f>
        <v/>
      </c>
      <c r="B429" s="29" t="str">
        <f>Instagram_interactions_raw!$A431</f>
        <v/>
      </c>
      <c r="C429" s="26" t="str">
        <f t="shared" si="1"/>
        <v/>
      </c>
      <c r="D429" s="26" t="str">
        <f t="array" ref="D429">XLOOKUP($A429,Instagram_follows_raw!$A$4:$A1000,Instagram_follows_raw!$B$4:$B1000)</f>
        <v>#N/A</v>
      </c>
      <c r="E429" s="26" t="str">
        <f t="array" ref="E429">XLOOKUP($A429,Instagram_interactions_raw!$A$4:$A1000,Instagram_interactions_raw!$B$4:$B1000)</f>
        <v>#N/A</v>
      </c>
      <c r="F429" s="26" t="str">
        <f t="array" ref="F429">XLOOKUP($A429,Instagram_reach_raw!$A$4:$A1000,Instagram_reach_raw!$B$4:$B1000)</f>
        <v>#N/A</v>
      </c>
    </row>
    <row r="430">
      <c r="A430" s="30" t="str">
        <f>Instagram_reach_raw!$A432</f>
        <v/>
      </c>
      <c r="B430" s="29" t="str">
        <f>Instagram_interactions_raw!$A432</f>
        <v/>
      </c>
      <c r="C430" s="26" t="str">
        <f t="shared" si="1"/>
        <v/>
      </c>
      <c r="D430" s="26" t="str">
        <f t="array" ref="D430">XLOOKUP($A430,Instagram_follows_raw!$A$4:$A1000,Instagram_follows_raw!$B$4:$B1000)</f>
        <v>#N/A</v>
      </c>
      <c r="E430" s="26" t="str">
        <f t="array" ref="E430">XLOOKUP($A430,Instagram_interactions_raw!$A$4:$A1000,Instagram_interactions_raw!$B$4:$B1000)</f>
        <v>#N/A</v>
      </c>
      <c r="F430" s="26" t="str">
        <f t="array" ref="F430">XLOOKUP($A430,Instagram_reach_raw!$A$4:$A1000,Instagram_reach_raw!$B$4:$B1000)</f>
        <v>#N/A</v>
      </c>
    </row>
    <row r="431">
      <c r="A431" s="30" t="str">
        <f>Instagram_reach_raw!$A433</f>
        <v/>
      </c>
      <c r="B431" s="29" t="str">
        <f>Instagram_interactions_raw!$A433</f>
        <v/>
      </c>
      <c r="C431" s="26" t="str">
        <f t="shared" si="1"/>
        <v/>
      </c>
      <c r="D431" s="26" t="str">
        <f t="array" ref="D431">XLOOKUP($A431,Instagram_follows_raw!$A$4:$A1000,Instagram_follows_raw!$B$4:$B1000)</f>
        <v>#N/A</v>
      </c>
      <c r="E431" s="26" t="str">
        <f t="array" ref="E431">XLOOKUP($A431,Instagram_interactions_raw!$A$4:$A1000,Instagram_interactions_raw!$B$4:$B1000)</f>
        <v>#N/A</v>
      </c>
      <c r="F431" s="26" t="str">
        <f t="array" ref="F431">XLOOKUP($A431,Instagram_reach_raw!$A$4:$A1000,Instagram_reach_raw!$B$4:$B1000)</f>
        <v>#N/A</v>
      </c>
    </row>
    <row r="432">
      <c r="A432" s="30" t="str">
        <f>Instagram_reach_raw!$A434</f>
        <v/>
      </c>
      <c r="B432" s="29" t="str">
        <f>Instagram_interactions_raw!$A434</f>
        <v/>
      </c>
      <c r="C432" s="26" t="str">
        <f t="shared" si="1"/>
        <v/>
      </c>
      <c r="D432" s="26" t="str">
        <f t="array" ref="D432">XLOOKUP($A432,Instagram_follows_raw!$A$4:$A1000,Instagram_follows_raw!$B$4:$B1000)</f>
        <v>#N/A</v>
      </c>
      <c r="E432" s="26" t="str">
        <f t="array" ref="E432">XLOOKUP($A432,Instagram_interactions_raw!$A$4:$A1000,Instagram_interactions_raw!$B$4:$B1000)</f>
        <v>#N/A</v>
      </c>
      <c r="F432" s="26" t="str">
        <f t="array" ref="F432">XLOOKUP($A432,Instagram_reach_raw!$A$4:$A1000,Instagram_reach_raw!$B$4:$B1000)</f>
        <v>#N/A</v>
      </c>
    </row>
    <row r="433">
      <c r="A433" s="30" t="str">
        <f>Instagram_reach_raw!$A435</f>
        <v/>
      </c>
      <c r="B433" s="29" t="str">
        <f>Instagram_interactions_raw!$A435</f>
        <v/>
      </c>
      <c r="C433" s="26" t="str">
        <f t="shared" si="1"/>
        <v/>
      </c>
      <c r="D433" s="26" t="str">
        <f t="array" ref="D433">XLOOKUP($A433,Instagram_follows_raw!$A$4:$A1000,Instagram_follows_raw!$B$4:$B1000)</f>
        <v>#N/A</v>
      </c>
      <c r="E433" s="26" t="str">
        <f t="array" ref="E433">XLOOKUP($A433,Instagram_interactions_raw!$A$4:$A1000,Instagram_interactions_raw!$B$4:$B1000)</f>
        <v>#N/A</v>
      </c>
      <c r="F433" s="26" t="str">
        <f t="array" ref="F433">XLOOKUP($A433,Instagram_reach_raw!$A$4:$A1000,Instagram_reach_raw!$B$4:$B1000)</f>
        <v>#N/A</v>
      </c>
    </row>
    <row r="434">
      <c r="A434" s="30" t="str">
        <f>Instagram_reach_raw!$A436</f>
        <v/>
      </c>
      <c r="B434" s="29" t="str">
        <f>Instagram_interactions_raw!$A436</f>
        <v/>
      </c>
      <c r="C434" s="26" t="str">
        <f t="shared" si="1"/>
        <v/>
      </c>
      <c r="D434" s="26" t="str">
        <f t="array" ref="D434">XLOOKUP($A434,Instagram_follows_raw!$A$4:$A1000,Instagram_follows_raw!$B$4:$B1000)</f>
        <v>#N/A</v>
      </c>
      <c r="E434" s="26" t="str">
        <f t="array" ref="E434">XLOOKUP($A434,Instagram_interactions_raw!$A$4:$A1000,Instagram_interactions_raw!$B$4:$B1000)</f>
        <v>#N/A</v>
      </c>
      <c r="F434" s="26" t="str">
        <f t="array" ref="F434">XLOOKUP($A434,Instagram_reach_raw!$A$4:$A1000,Instagram_reach_raw!$B$4:$B1000)</f>
        <v>#N/A</v>
      </c>
    </row>
    <row r="435">
      <c r="A435" s="30" t="str">
        <f>Instagram_reach_raw!$A437</f>
        <v/>
      </c>
      <c r="B435" s="29" t="str">
        <f>Instagram_interactions_raw!$A437</f>
        <v/>
      </c>
      <c r="C435" s="26" t="str">
        <f t="shared" si="1"/>
        <v/>
      </c>
      <c r="D435" s="26" t="str">
        <f t="array" ref="D435">XLOOKUP($A435,Instagram_follows_raw!$A$4:$A1000,Instagram_follows_raw!$B$4:$B1000)</f>
        <v>#N/A</v>
      </c>
      <c r="E435" s="26" t="str">
        <f t="array" ref="E435">XLOOKUP($A435,Instagram_interactions_raw!$A$4:$A1000,Instagram_interactions_raw!$B$4:$B1000)</f>
        <v>#N/A</v>
      </c>
      <c r="F435" s="26" t="str">
        <f t="array" ref="F435">XLOOKUP($A435,Instagram_reach_raw!$A$4:$A1000,Instagram_reach_raw!$B$4:$B1000)</f>
        <v>#N/A</v>
      </c>
    </row>
    <row r="436">
      <c r="A436" s="30" t="str">
        <f>Instagram_reach_raw!$A438</f>
        <v/>
      </c>
      <c r="B436" s="29" t="str">
        <f>Instagram_interactions_raw!$A438</f>
        <v/>
      </c>
      <c r="C436" s="26" t="str">
        <f t="shared" si="1"/>
        <v/>
      </c>
      <c r="D436" s="26" t="str">
        <f t="array" ref="D436">XLOOKUP($A436,Instagram_follows_raw!$A$4:$A1000,Instagram_follows_raw!$B$4:$B1000)</f>
        <v>#N/A</v>
      </c>
      <c r="E436" s="26" t="str">
        <f t="array" ref="E436">XLOOKUP($A436,Instagram_interactions_raw!$A$4:$A1000,Instagram_interactions_raw!$B$4:$B1000)</f>
        <v>#N/A</v>
      </c>
      <c r="F436" s="26" t="str">
        <f t="array" ref="F436">XLOOKUP($A436,Instagram_reach_raw!$A$4:$A1000,Instagram_reach_raw!$B$4:$B1000)</f>
        <v>#N/A</v>
      </c>
    </row>
    <row r="437">
      <c r="A437" s="30" t="str">
        <f>Instagram_reach_raw!$A439</f>
        <v/>
      </c>
      <c r="B437" s="29" t="str">
        <f>Instagram_interactions_raw!$A439</f>
        <v/>
      </c>
      <c r="C437" s="26" t="str">
        <f t="shared" si="1"/>
        <v/>
      </c>
      <c r="D437" s="26" t="str">
        <f t="array" ref="D437">XLOOKUP($A437,Instagram_follows_raw!$A$4:$A1000,Instagram_follows_raw!$B$4:$B1000)</f>
        <v>#N/A</v>
      </c>
      <c r="E437" s="26" t="str">
        <f t="array" ref="E437">XLOOKUP($A437,Instagram_interactions_raw!$A$4:$A1000,Instagram_interactions_raw!$B$4:$B1000)</f>
        <v>#N/A</v>
      </c>
      <c r="F437" s="26" t="str">
        <f t="array" ref="F437">XLOOKUP($A437,Instagram_reach_raw!$A$4:$A1000,Instagram_reach_raw!$B$4:$B1000)</f>
        <v>#N/A</v>
      </c>
    </row>
    <row r="438">
      <c r="A438" s="30" t="str">
        <f>Instagram_reach_raw!$A440</f>
        <v/>
      </c>
      <c r="B438" s="29" t="str">
        <f>Instagram_interactions_raw!$A440</f>
        <v/>
      </c>
      <c r="C438" s="26" t="str">
        <f t="shared" si="1"/>
        <v/>
      </c>
      <c r="D438" s="26" t="str">
        <f t="array" ref="D438">XLOOKUP($A438,Instagram_follows_raw!$A$4:$A1000,Instagram_follows_raw!$B$4:$B1000)</f>
        <v>#N/A</v>
      </c>
      <c r="E438" s="26" t="str">
        <f t="array" ref="E438">XLOOKUP($A438,Instagram_interactions_raw!$A$4:$A1000,Instagram_interactions_raw!$B$4:$B1000)</f>
        <v>#N/A</v>
      </c>
      <c r="F438" s="26" t="str">
        <f t="array" ref="F438">XLOOKUP($A438,Instagram_reach_raw!$A$4:$A1000,Instagram_reach_raw!$B$4:$B1000)</f>
        <v>#N/A</v>
      </c>
    </row>
    <row r="439">
      <c r="A439" s="30" t="str">
        <f>Instagram_reach_raw!$A441</f>
        <v/>
      </c>
      <c r="B439" s="29" t="str">
        <f>Instagram_interactions_raw!$A441</f>
        <v/>
      </c>
      <c r="C439" s="26" t="str">
        <f t="shared" si="1"/>
        <v/>
      </c>
      <c r="D439" s="26" t="str">
        <f t="array" ref="D439">XLOOKUP($A439,Instagram_follows_raw!$A$4:$A1000,Instagram_follows_raw!$B$4:$B1000)</f>
        <v>#N/A</v>
      </c>
      <c r="E439" s="26" t="str">
        <f t="array" ref="E439">XLOOKUP($A439,Instagram_interactions_raw!$A$4:$A1000,Instagram_interactions_raw!$B$4:$B1000)</f>
        <v>#N/A</v>
      </c>
      <c r="F439" s="26" t="str">
        <f t="array" ref="F439">XLOOKUP($A439,Instagram_reach_raw!$A$4:$A1000,Instagram_reach_raw!$B$4:$B1000)</f>
        <v>#N/A</v>
      </c>
    </row>
    <row r="440">
      <c r="A440" s="30" t="str">
        <f>Instagram_reach_raw!$A442</f>
        <v/>
      </c>
      <c r="B440" s="29" t="str">
        <f>Instagram_interactions_raw!$A442</f>
        <v/>
      </c>
      <c r="C440" s="26" t="str">
        <f t="shared" si="1"/>
        <v/>
      </c>
      <c r="D440" s="26" t="str">
        <f t="array" ref="D440">XLOOKUP($A440,Instagram_follows_raw!$A$4:$A1000,Instagram_follows_raw!$B$4:$B1000)</f>
        <v>#N/A</v>
      </c>
      <c r="E440" s="26" t="str">
        <f t="array" ref="E440">XLOOKUP($A440,Instagram_interactions_raw!$A$4:$A1000,Instagram_interactions_raw!$B$4:$B1000)</f>
        <v>#N/A</v>
      </c>
      <c r="F440" s="26" t="str">
        <f t="array" ref="F440">XLOOKUP($A440,Instagram_reach_raw!$A$4:$A1000,Instagram_reach_raw!$B$4:$B1000)</f>
        <v>#N/A</v>
      </c>
    </row>
    <row r="441">
      <c r="A441" s="30" t="str">
        <f>Instagram_reach_raw!$A443</f>
        <v/>
      </c>
      <c r="B441" s="29" t="str">
        <f>Instagram_interactions_raw!$A443</f>
        <v/>
      </c>
      <c r="C441" s="26" t="str">
        <f t="shared" si="1"/>
        <v/>
      </c>
      <c r="D441" s="26" t="str">
        <f t="array" ref="D441">XLOOKUP($A441,Instagram_follows_raw!$A$4:$A1000,Instagram_follows_raw!$B$4:$B1000)</f>
        <v>#N/A</v>
      </c>
      <c r="E441" s="26" t="str">
        <f t="array" ref="E441">XLOOKUP($A441,Instagram_interactions_raw!$A$4:$A1000,Instagram_interactions_raw!$B$4:$B1000)</f>
        <v>#N/A</v>
      </c>
      <c r="F441" s="26" t="str">
        <f t="array" ref="F441">XLOOKUP($A441,Instagram_reach_raw!$A$4:$A1000,Instagram_reach_raw!$B$4:$B1000)</f>
        <v>#N/A</v>
      </c>
    </row>
    <row r="442">
      <c r="A442" s="30" t="str">
        <f>Instagram_reach_raw!$A444</f>
        <v/>
      </c>
      <c r="B442" s="29" t="str">
        <f>Instagram_interactions_raw!$A444</f>
        <v/>
      </c>
      <c r="C442" s="26" t="str">
        <f t="shared" si="1"/>
        <v/>
      </c>
      <c r="D442" s="26" t="str">
        <f t="array" ref="D442">XLOOKUP($A442,Instagram_follows_raw!$A$4:$A1000,Instagram_follows_raw!$B$4:$B1000)</f>
        <v>#N/A</v>
      </c>
      <c r="E442" s="26" t="str">
        <f t="array" ref="E442">XLOOKUP($A442,Instagram_interactions_raw!$A$4:$A1000,Instagram_interactions_raw!$B$4:$B1000)</f>
        <v>#N/A</v>
      </c>
      <c r="F442" s="26" t="str">
        <f t="array" ref="F442">XLOOKUP($A442,Instagram_reach_raw!$A$4:$A1000,Instagram_reach_raw!$B$4:$B1000)</f>
        <v>#N/A</v>
      </c>
    </row>
    <row r="443">
      <c r="A443" s="30" t="str">
        <f>Instagram_reach_raw!$A445</f>
        <v/>
      </c>
      <c r="B443" s="29" t="str">
        <f>Instagram_interactions_raw!$A445</f>
        <v/>
      </c>
      <c r="C443" s="26" t="str">
        <f t="shared" si="1"/>
        <v/>
      </c>
      <c r="D443" s="26" t="str">
        <f t="array" ref="D443">XLOOKUP($A443,Instagram_follows_raw!$A$4:$A1000,Instagram_follows_raw!$B$4:$B1000)</f>
        <v>#N/A</v>
      </c>
      <c r="E443" s="26" t="str">
        <f t="array" ref="E443">XLOOKUP($A443,Instagram_interactions_raw!$A$4:$A1000,Instagram_interactions_raw!$B$4:$B1000)</f>
        <v>#N/A</v>
      </c>
      <c r="F443" s="26" t="str">
        <f t="array" ref="F443">XLOOKUP($A443,Instagram_reach_raw!$A$4:$A1000,Instagram_reach_raw!$B$4:$B1000)</f>
        <v>#N/A</v>
      </c>
    </row>
    <row r="444">
      <c r="A444" s="30" t="str">
        <f>Instagram_reach_raw!$A446</f>
        <v/>
      </c>
      <c r="B444" s="29" t="str">
        <f>Instagram_interactions_raw!$A446</f>
        <v/>
      </c>
      <c r="C444" s="26" t="str">
        <f t="shared" si="1"/>
        <v/>
      </c>
      <c r="D444" s="26" t="str">
        <f t="array" ref="D444">XLOOKUP($A444,Instagram_follows_raw!$A$4:$A1000,Instagram_follows_raw!$B$4:$B1000)</f>
        <v>#N/A</v>
      </c>
      <c r="E444" s="26" t="str">
        <f t="array" ref="E444">XLOOKUP($A444,Instagram_interactions_raw!$A$4:$A1000,Instagram_interactions_raw!$B$4:$B1000)</f>
        <v>#N/A</v>
      </c>
      <c r="F444" s="26" t="str">
        <f t="array" ref="F444">XLOOKUP($A444,Instagram_reach_raw!$A$4:$A1000,Instagram_reach_raw!$B$4:$B1000)</f>
        <v>#N/A</v>
      </c>
    </row>
    <row r="445">
      <c r="A445" s="30" t="str">
        <f>Instagram_reach_raw!$A447</f>
        <v/>
      </c>
      <c r="B445" s="29" t="str">
        <f>Instagram_interactions_raw!$A447</f>
        <v/>
      </c>
      <c r="C445" s="26" t="str">
        <f t="shared" si="1"/>
        <v/>
      </c>
      <c r="D445" s="26" t="str">
        <f t="array" ref="D445">XLOOKUP($A445,Instagram_follows_raw!$A$4:$A1000,Instagram_follows_raw!$B$4:$B1000)</f>
        <v>#N/A</v>
      </c>
      <c r="E445" s="26" t="str">
        <f t="array" ref="E445">XLOOKUP($A445,Instagram_interactions_raw!$A$4:$A1000,Instagram_interactions_raw!$B$4:$B1000)</f>
        <v>#N/A</v>
      </c>
      <c r="F445" s="26" t="str">
        <f t="array" ref="F445">XLOOKUP($A445,Instagram_reach_raw!$A$4:$A1000,Instagram_reach_raw!$B$4:$B1000)</f>
        <v>#N/A</v>
      </c>
    </row>
    <row r="446">
      <c r="A446" s="30" t="str">
        <f>Instagram_reach_raw!$A448</f>
        <v/>
      </c>
      <c r="B446" s="29" t="str">
        <f>Instagram_interactions_raw!$A448</f>
        <v/>
      </c>
      <c r="C446" s="26" t="str">
        <f t="shared" si="1"/>
        <v/>
      </c>
      <c r="D446" s="26" t="str">
        <f t="array" ref="D446">XLOOKUP($A446,Instagram_follows_raw!$A$4:$A1000,Instagram_follows_raw!$B$4:$B1000)</f>
        <v>#N/A</v>
      </c>
      <c r="E446" s="26" t="str">
        <f t="array" ref="E446">XLOOKUP($A446,Instagram_interactions_raw!$A$4:$A1000,Instagram_interactions_raw!$B$4:$B1000)</f>
        <v>#N/A</v>
      </c>
      <c r="F446" s="26" t="str">
        <f t="array" ref="F446">XLOOKUP($A446,Instagram_reach_raw!$A$4:$A1000,Instagram_reach_raw!$B$4:$B1000)</f>
        <v>#N/A</v>
      </c>
    </row>
    <row r="447">
      <c r="A447" s="30" t="str">
        <f>Instagram_reach_raw!$A449</f>
        <v/>
      </c>
      <c r="B447" s="29" t="str">
        <f>Instagram_interactions_raw!$A449</f>
        <v/>
      </c>
      <c r="C447" s="26" t="str">
        <f t="shared" si="1"/>
        <v/>
      </c>
      <c r="D447" s="26" t="str">
        <f t="array" ref="D447">XLOOKUP($A447,Instagram_follows_raw!$A$4:$A1000,Instagram_follows_raw!$B$4:$B1000)</f>
        <v>#N/A</v>
      </c>
      <c r="E447" s="26" t="str">
        <f t="array" ref="E447">XLOOKUP($A447,Instagram_interactions_raw!$A$4:$A1000,Instagram_interactions_raw!$B$4:$B1000)</f>
        <v>#N/A</v>
      </c>
      <c r="F447" s="26" t="str">
        <f t="array" ref="F447">XLOOKUP($A447,Instagram_reach_raw!$A$4:$A1000,Instagram_reach_raw!$B$4:$B1000)</f>
        <v>#N/A</v>
      </c>
    </row>
    <row r="448">
      <c r="A448" s="30" t="str">
        <f>Instagram_reach_raw!$A450</f>
        <v/>
      </c>
      <c r="B448" s="29" t="str">
        <f>Instagram_interactions_raw!$A450</f>
        <v/>
      </c>
      <c r="C448" s="26" t="str">
        <f t="shared" si="1"/>
        <v/>
      </c>
      <c r="D448" s="26" t="str">
        <f t="array" ref="D448">XLOOKUP($A448,Instagram_follows_raw!$A$4:$A1000,Instagram_follows_raw!$B$4:$B1000)</f>
        <v>#N/A</v>
      </c>
      <c r="E448" s="26" t="str">
        <f t="array" ref="E448">XLOOKUP($A448,Instagram_interactions_raw!$A$4:$A1000,Instagram_interactions_raw!$B$4:$B1000)</f>
        <v>#N/A</v>
      </c>
      <c r="F448" s="26" t="str">
        <f t="array" ref="F448">XLOOKUP($A448,Instagram_reach_raw!$A$4:$A1000,Instagram_reach_raw!$B$4:$B1000)</f>
        <v>#N/A</v>
      </c>
    </row>
    <row r="449">
      <c r="A449" s="30" t="str">
        <f>Instagram_reach_raw!$A451</f>
        <v/>
      </c>
      <c r="B449" s="29" t="str">
        <f>Instagram_interactions_raw!$A451</f>
        <v/>
      </c>
      <c r="C449" s="26" t="str">
        <f t="shared" si="1"/>
        <v/>
      </c>
      <c r="D449" s="26" t="str">
        <f t="array" ref="D449">XLOOKUP($A449,Instagram_follows_raw!$A$4:$A1000,Instagram_follows_raw!$B$4:$B1000)</f>
        <v>#N/A</v>
      </c>
      <c r="E449" s="26" t="str">
        <f t="array" ref="E449">XLOOKUP($A449,Instagram_interactions_raw!$A$4:$A1000,Instagram_interactions_raw!$B$4:$B1000)</f>
        <v>#N/A</v>
      </c>
      <c r="F449" s="26" t="str">
        <f t="array" ref="F449">XLOOKUP($A449,Instagram_reach_raw!$A$4:$A1000,Instagram_reach_raw!$B$4:$B1000)</f>
        <v>#N/A</v>
      </c>
    </row>
    <row r="450">
      <c r="A450" s="30" t="str">
        <f>Instagram_reach_raw!$A452</f>
        <v/>
      </c>
      <c r="B450" s="29" t="str">
        <f>Instagram_interactions_raw!$A452</f>
        <v/>
      </c>
      <c r="C450" s="26" t="str">
        <f t="shared" si="1"/>
        <v/>
      </c>
      <c r="D450" s="26" t="str">
        <f t="array" ref="D450">XLOOKUP($A450,Instagram_follows_raw!$A$4:$A1000,Instagram_follows_raw!$B$4:$B1000)</f>
        <v>#N/A</v>
      </c>
      <c r="E450" s="26" t="str">
        <f t="array" ref="E450">XLOOKUP($A450,Instagram_interactions_raw!$A$4:$A1000,Instagram_interactions_raw!$B$4:$B1000)</f>
        <v>#N/A</v>
      </c>
      <c r="F450" s="26" t="str">
        <f t="array" ref="F450">XLOOKUP($A450,Instagram_reach_raw!$A$4:$A1000,Instagram_reach_raw!$B$4:$B1000)</f>
        <v>#N/A</v>
      </c>
    </row>
    <row r="451">
      <c r="A451" s="30" t="str">
        <f>Instagram_reach_raw!$A453</f>
        <v/>
      </c>
      <c r="B451" s="29" t="str">
        <f>Instagram_interactions_raw!$A453</f>
        <v/>
      </c>
      <c r="C451" s="26" t="str">
        <f t="shared" si="1"/>
        <v/>
      </c>
      <c r="D451" s="26" t="str">
        <f t="array" ref="D451">XLOOKUP($A451,Instagram_follows_raw!$A$4:$A1000,Instagram_follows_raw!$B$4:$B1000)</f>
        <v>#N/A</v>
      </c>
      <c r="E451" s="26" t="str">
        <f t="array" ref="E451">XLOOKUP($A451,Instagram_interactions_raw!$A$4:$A1000,Instagram_interactions_raw!$B$4:$B1000)</f>
        <v>#N/A</v>
      </c>
      <c r="F451" s="26" t="str">
        <f t="array" ref="F451">XLOOKUP($A451,Instagram_reach_raw!$A$4:$A1000,Instagram_reach_raw!$B$4:$B1000)</f>
        <v>#N/A</v>
      </c>
    </row>
    <row r="452">
      <c r="A452" s="30" t="str">
        <f>Instagram_reach_raw!$A454</f>
        <v/>
      </c>
      <c r="B452" s="29" t="str">
        <f>Instagram_interactions_raw!$A454</f>
        <v/>
      </c>
      <c r="C452" s="26" t="str">
        <f t="shared" si="1"/>
        <v/>
      </c>
      <c r="D452" s="26" t="str">
        <f t="array" ref="D452">XLOOKUP($A452,Instagram_follows_raw!$A$4:$A1000,Instagram_follows_raw!$B$4:$B1000)</f>
        <v>#N/A</v>
      </c>
      <c r="E452" s="26" t="str">
        <f t="array" ref="E452">XLOOKUP($A452,Instagram_interactions_raw!$A$4:$A1000,Instagram_interactions_raw!$B$4:$B1000)</f>
        <v>#N/A</v>
      </c>
      <c r="F452" s="26" t="str">
        <f t="array" ref="F452">XLOOKUP($A452,Instagram_reach_raw!$A$4:$A1000,Instagram_reach_raw!$B$4:$B1000)</f>
        <v>#N/A</v>
      </c>
    </row>
    <row r="453">
      <c r="A453" s="30" t="str">
        <f>Instagram_reach_raw!$A455</f>
        <v/>
      </c>
      <c r="B453" s="29" t="str">
        <f>Instagram_interactions_raw!$A455</f>
        <v/>
      </c>
      <c r="C453" s="26" t="str">
        <f t="shared" si="1"/>
        <v/>
      </c>
      <c r="D453" s="26" t="str">
        <f t="array" ref="D453">XLOOKUP($A453,Instagram_follows_raw!$A$4:$A1000,Instagram_follows_raw!$B$4:$B1000)</f>
        <v>#N/A</v>
      </c>
      <c r="E453" s="26" t="str">
        <f t="array" ref="E453">XLOOKUP($A453,Instagram_interactions_raw!$A$4:$A1000,Instagram_interactions_raw!$B$4:$B1000)</f>
        <v>#N/A</v>
      </c>
      <c r="F453" s="26" t="str">
        <f t="array" ref="F453">XLOOKUP($A453,Instagram_reach_raw!$A$4:$A1000,Instagram_reach_raw!$B$4:$B1000)</f>
        <v>#N/A</v>
      </c>
    </row>
    <row r="454">
      <c r="A454" s="30" t="str">
        <f>Instagram_reach_raw!$A456</f>
        <v/>
      </c>
      <c r="B454" s="29" t="str">
        <f>Instagram_interactions_raw!$A456</f>
        <v/>
      </c>
      <c r="C454" s="26" t="str">
        <f t="shared" si="1"/>
        <v/>
      </c>
      <c r="D454" s="26" t="str">
        <f t="array" ref="D454">XLOOKUP($A454,Instagram_follows_raw!$A$4:$A1000,Instagram_follows_raw!$B$4:$B1000)</f>
        <v>#N/A</v>
      </c>
      <c r="E454" s="26" t="str">
        <f t="array" ref="E454">XLOOKUP($A454,Instagram_interactions_raw!$A$4:$A1000,Instagram_interactions_raw!$B$4:$B1000)</f>
        <v>#N/A</v>
      </c>
      <c r="F454" s="26" t="str">
        <f t="array" ref="F454">XLOOKUP($A454,Instagram_reach_raw!$A$4:$A1000,Instagram_reach_raw!$B$4:$B1000)</f>
        <v>#N/A</v>
      </c>
    </row>
    <row r="455">
      <c r="A455" s="30" t="str">
        <f>Instagram_reach_raw!$A457</f>
        <v/>
      </c>
      <c r="B455" s="29" t="str">
        <f>Instagram_interactions_raw!$A457</f>
        <v/>
      </c>
      <c r="C455" s="26" t="str">
        <f t="shared" si="1"/>
        <v/>
      </c>
      <c r="D455" s="26" t="str">
        <f t="array" ref="D455">XLOOKUP($A455,Instagram_follows_raw!$A$4:$A1000,Instagram_follows_raw!$B$4:$B1000)</f>
        <v>#N/A</v>
      </c>
      <c r="E455" s="26" t="str">
        <f t="array" ref="E455">XLOOKUP($A455,Instagram_interactions_raw!$A$4:$A1000,Instagram_interactions_raw!$B$4:$B1000)</f>
        <v>#N/A</v>
      </c>
      <c r="F455" s="26" t="str">
        <f t="array" ref="F455">XLOOKUP($A455,Instagram_reach_raw!$A$4:$A1000,Instagram_reach_raw!$B$4:$B1000)</f>
        <v>#N/A</v>
      </c>
    </row>
    <row r="456">
      <c r="A456" s="30" t="str">
        <f>Instagram_reach_raw!$A458</f>
        <v/>
      </c>
      <c r="B456" s="29" t="str">
        <f>Instagram_interactions_raw!$A458</f>
        <v/>
      </c>
      <c r="C456" s="26" t="str">
        <f t="shared" si="1"/>
        <v/>
      </c>
      <c r="D456" s="26" t="str">
        <f t="array" ref="D456">XLOOKUP($A456,Instagram_follows_raw!$A$4:$A1000,Instagram_follows_raw!$B$4:$B1000)</f>
        <v>#N/A</v>
      </c>
      <c r="E456" s="26" t="str">
        <f t="array" ref="E456">XLOOKUP($A456,Instagram_interactions_raw!$A$4:$A1000,Instagram_interactions_raw!$B$4:$B1000)</f>
        <v>#N/A</v>
      </c>
      <c r="F456" s="26" t="str">
        <f t="array" ref="F456">XLOOKUP($A456,Instagram_reach_raw!$A$4:$A1000,Instagram_reach_raw!$B$4:$B1000)</f>
        <v>#N/A</v>
      </c>
    </row>
    <row r="457">
      <c r="A457" s="30" t="str">
        <f>Instagram_reach_raw!$A459</f>
        <v/>
      </c>
      <c r="B457" s="29" t="str">
        <f>Instagram_interactions_raw!$A459</f>
        <v/>
      </c>
      <c r="C457" s="26" t="str">
        <f t="shared" si="1"/>
        <v/>
      </c>
      <c r="D457" s="26" t="str">
        <f t="array" ref="D457">XLOOKUP($A457,Instagram_follows_raw!$A$4:$A1000,Instagram_follows_raw!$B$4:$B1000)</f>
        <v>#N/A</v>
      </c>
      <c r="E457" s="26" t="str">
        <f t="array" ref="E457">XLOOKUP($A457,Instagram_interactions_raw!$A$4:$A1000,Instagram_interactions_raw!$B$4:$B1000)</f>
        <v>#N/A</v>
      </c>
      <c r="F457" s="26" t="str">
        <f t="array" ref="F457">XLOOKUP($A457,Instagram_reach_raw!$A$4:$A1000,Instagram_reach_raw!$B$4:$B1000)</f>
        <v>#N/A</v>
      </c>
    </row>
    <row r="458">
      <c r="A458" s="30" t="str">
        <f>Instagram_reach_raw!$A460</f>
        <v/>
      </c>
      <c r="B458" s="29" t="str">
        <f>Instagram_interactions_raw!$A460</f>
        <v/>
      </c>
      <c r="C458" s="26" t="str">
        <f t="shared" si="1"/>
        <v/>
      </c>
      <c r="D458" s="26" t="str">
        <f t="array" ref="D458">XLOOKUP($A458,Instagram_follows_raw!$A$4:$A1000,Instagram_follows_raw!$B$4:$B1000)</f>
        <v>#N/A</v>
      </c>
      <c r="E458" s="26" t="str">
        <f t="array" ref="E458">XLOOKUP($A458,Instagram_interactions_raw!$A$4:$A1000,Instagram_interactions_raw!$B$4:$B1000)</f>
        <v>#N/A</v>
      </c>
      <c r="F458" s="26" t="str">
        <f t="array" ref="F458">XLOOKUP($A458,Instagram_reach_raw!$A$4:$A1000,Instagram_reach_raw!$B$4:$B1000)</f>
        <v>#N/A</v>
      </c>
    </row>
    <row r="459">
      <c r="A459" s="30" t="str">
        <f>Instagram_reach_raw!$A461</f>
        <v/>
      </c>
      <c r="B459" s="29" t="str">
        <f>Instagram_interactions_raw!$A461</f>
        <v/>
      </c>
      <c r="C459" s="26" t="str">
        <f t="shared" si="1"/>
        <v/>
      </c>
      <c r="D459" s="26" t="str">
        <f t="array" ref="D459">XLOOKUP($A459,Instagram_follows_raw!$A$4:$A1000,Instagram_follows_raw!$B$4:$B1000)</f>
        <v>#N/A</v>
      </c>
      <c r="E459" s="26" t="str">
        <f t="array" ref="E459">XLOOKUP($A459,Instagram_interactions_raw!$A$4:$A1000,Instagram_interactions_raw!$B$4:$B1000)</f>
        <v>#N/A</v>
      </c>
      <c r="F459" s="26" t="str">
        <f t="array" ref="F459">XLOOKUP($A459,Instagram_reach_raw!$A$4:$A1000,Instagram_reach_raw!$B$4:$B1000)</f>
        <v>#N/A</v>
      </c>
    </row>
    <row r="460">
      <c r="A460" s="30" t="str">
        <f>Instagram_reach_raw!$A462</f>
        <v/>
      </c>
      <c r="B460" s="29" t="str">
        <f>Instagram_interactions_raw!$A462</f>
        <v/>
      </c>
      <c r="C460" s="26" t="str">
        <f t="shared" si="1"/>
        <v/>
      </c>
      <c r="D460" s="26" t="str">
        <f t="array" ref="D460">XLOOKUP($A460,Instagram_follows_raw!$A$4:$A1000,Instagram_follows_raw!$B$4:$B1000)</f>
        <v>#N/A</v>
      </c>
      <c r="E460" s="26" t="str">
        <f t="array" ref="E460">XLOOKUP($A460,Instagram_interactions_raw!$A$4:$A1000,Instagram_interactions_raw!$B$4:$B1000)</f>
        <v>#N/A</v>
      </c>
      <c r="F460" s="26" t="str">
        <f t="array" ref="F460">XLOOKUP($A460,Instagram_reach_raw!$A$4:$A1000,Instagram_reach_raw!$B$4:$B1000)</f>
        <v>#N/A</v>
      </c>
    </row>
    <row r="461">
      <c r="A461" s="30" t="str">
        <f>Instagram_reach_raw!$A463</f>
        <v/>
      </c>
      <c r="B461" s="29" t="str">
        <f>Instagram_interactions_raw!$A463</f>
        <v/>
      </c>
      <c r="C461" s="26" t="str">
        <f t="shared" si="1"/>
        <v/>
      </c>
      <c r="D461" s="26" t="str">
        <f t="array" ref="D461">XLOOKUP($A461,Instagram_follows_raw!$A$4:$A1000,Instagram_follows_raw!$B$4:$B1000)</f>
        <v>#N/A</v>
      </c>
      <c r="E461" s="26" t="str">
        <f t="array" ref="E461">XLOOKUP($A461,Instagram_interactions_raw!$A$4:$A1000,Instagram_interactions_raw!$B$4:$B1000)</f>
        <v>#N/A</v>
      </c>
      <c r="F461" s="26" t="str">
        <f t="array" ref="F461">XLOOKUP($A461,Instagram_reach_raw!$A$4:$A1000,Instagram_reach_raw!$B$4:$B1000)</f>
        <v>#N/A</v>
      </c>
    </row>
    <row r="462">
      <c r="A462" s="30" t="str">
        <f>Instagram_reach_raw!$A464</f>
        <v/>
      </c>
      <c r="B462" s="29" t="str">
        <f>Instagram_interactions_raw!$A464</f>
        <v/>
      </c>
      <c r="C462" s="26" t="str">
        <f t="shared" si="1"/>
        <v/>
      </c>
      <c r="D462" s="26" t="str">
        <f t="array" ref="D462">XLOOKUP($A462,Instagram_follows_raw!$A$4:$A1000,Instagram_follows_raw!$B$4:$B1000)</f>
        <v>#N/A</v>
      </c>
      <c r="E462" s="26" t="str">
        <f t="array" ref="E462">XLOOKUP($A462,Instagram_interactions_raw!$A$4:$A1000,Instagram_interactions_raw!$B$4:$B1000)</f>
        <v>#N/A</v>
      </c>
      <c r="F462" s="26" t="str">
        <f t="array" ref="F462">XLOOKUP($A462,Instagram_reach_raw!$A$4:$A1000,Instagram_reach_raw!$B$4:$B1000)</f>
        <v>#N/A</v>
      </c>
    </row>
    <row r="463">
      <c r="A463" s="30" t="str">
        <f>Instagram_reach_raw!$A465</f>
        <v/>
      </c>
      <c r="B463" s="29" t="str">
        <f>Instagram_interactions_raw!$A465</f>
        <v/>
      </c>
      <c r="C463" s="26" t="str">
        <f t="shared" si="1"/>
        <v/>
      </c>
      <c r="D463" s="26" t="str">
        <f t="array" ref="D463">XLOOKUP($A463,Instagram_follows_raw!$A$4:$A1000,Instagram_follows_raw!$B$4:$B1000)</f>
        <v>#N/A</v>
      </c>
      <c r="E463" s="26" t="str">
        <f t="array" ref="E463">XLOOKUP($A463,Instagram_interactions_raw!$A$4:$A1000,Instagram_interactions_raw!$B$4:$B1000)</f>
        <v>#N/A</v>
      </c>
      <c r="F463" s="26" t="str">
        <f t="array" ref="F463">XLOOKUP($A463,Instagram_reach_raw!$A$4:$A1000,Instagram_reach_raw!$B$4:$B1000)</f>
        <v>#N/A</v>
      </c>
    </row>
    <row r="464">
      <c r="A464" s="30" t="str">
        <f>Instagram_reach_raw!$A466</f>
        <v/>
      </c>
      <c r="B464" s="29" t="str">
        <f>Instagram_interactions_raw!$A466</f>
        <v/>
      </c>
      <c r="C464" s="26" t="str">
        <f t="shared" si="1"/>
        <v/>
      </c>
      <c r="D464" s="26" t="str">
        <f t="array" ref="D464">XLOOKUP($A464,Instagram_follows_raw!$A$4:$A1000,Instagram_follows_raw!$B$4:$B1000)</f>
        <v>#N/A</v>
      </c>
      <c r="E464" s="26" t="str">
        <f t="array" ref="E464">XLOOKUP($A464,Instagram_interactions_raw!$A$4:$A1000,Instagram_interactions_raw!$B$4:$B1000)</f>
        <v>#N/A</v>
      </c>
      <c r="F464" s="26" t="str">
        <f t="array" ref="F464">XLOOKUP($A464,Instagram_reach_raw!$A$4:$A1000,Instagram_reach_raw!$B$4:$B1000)</f>
        <v>#N/A</v>
      </c>
    </row>
    <row r="465">
      <c r="A465" s="30" t="str">
        <f>Instagram_reach_raw!$A467</f>
        <v/>
      </c>
      <c r="B465" s="29" t="str">
        <f>Instagram_interactions_raw!$A467</f>
        <v/>
      </c>
      <c r="C465" s="26" t="str">
        <f t="shared" si="1"/>
        <v/>
      </c>
      <c r="D465" s="26" t="str">
        <f t="array" ref="D465">XLOOKUP($A465,Instagram_follows_raw!$A$4:$A1000,Instagram_follows_raw!$B$4:$B1000)</f>
        <v>#N/A</v>
      </c>
      <c r="E465" s="26" t="str">
        <f t="array" ref="E465">XLOOKUP($A465,Instagram_interactions_raw!$A$4:$A1000,Instagram_interactions_raw!$B$4:$B1000)</f>
        <v>#N/A</v>
      </c>
      <c r="F465" s="26" t="str">
        <f t="array" ref="F465">XLOOKUP($A465,Instagram_reach_raw!$A$4:$A1000,Instagram_reach_raw!$B$4:$B1000)</f>
        <v>#N/A</v>
      </c>
    </row>
    <row r="466">
      <c r="A466" s="30" t="str">
        <f>Instagram_reach_raw!$A468</f>
        <v/>
      </c>
      <c r="B466" s="29" t="str">
        <f>Instagram_interactions_raw!$A468</f>
        <v/>
      </c>
      <c r="C466" s="26" t="str">
        <f t="shared" si="1"/>
        <v/>
      </c>
      <c r="D466" s="26" t="str">
        <f t="array" ref="D466">XLOOKUP($A466,Instagram_follows_raw!$A$4:$A1000,Instagram_follows_raw!$B$4:$B1000)</f>
        <v>#N/A</v>
      </c>
      <c r="E466" s="26" t="str">
        <f t="array" ref="E466">XLOOKUP($A466,Instagram_interactions_raw!$A$4:$A1000,Instagram_interactions_raw!$B$4:$B1000)</f>
        <v>#N/A</v>
      </c>
      <c r="F466" s="26" t="str">
        <f t="array" ref="F466">XLOOKUP($A466,Instagram_reach_raw!$A$4:$A1000,Instagram_reach_raw!$B$4:$B1000)</f>
        <v>#N/A</v>
      </c>
    </row>
    <row r="467">
      <c r="A467" s="30" t="str">
        <f>Instagram_reach_raw!$A469</f>
        <v/>
      </c>
      <c r="B467" s="29" t="str">
        <f>Instagram_interactions_raw!$A469</f>
        <v/>
      </c>
      <c r="C467" s="26" t="str">
        <f t="shared" si="1"/>
        <v/>
      </c>
      <c r="D467" s="26" t="str">
        <f t="array" ref="D467">XLOOKUP($A467,Instagram_follows_raw!$A$4:$A1000,Instagram_follows_raw!$B$4:$B1000)</f>
        <v>#N/A</v>
      </c>
      <c r="E467" s="26" t="str">
        <f t="array" ref="E467">XLOOKUP($A467,Instagram_interactions_raw!$A$4:$A1000,Instagram_interactions_raw!$B$4:$B1000)</f>
        <v>#N/A</v>
      </c>
      <c r="F467" s="26" t="str">
        <f t="array" ref="F467">XLOOKUP($A467,Instagram_reach_raw!$A$4:$A1000,Instagram_reach_raw!$B$4:$B1000)</f>
        <v>#N/A</v>
      </c>
    </row>
    <row r="468">
      <c r="A468" s="30" t="str">
        <f>Instagram_reach_raw!$A470</f>
        <v/>
      </c>
      <c r="B468" s="29" t="str">
        <f>Instagram_interactions_raw!$A470</f>
        <v/>
      </c>
      <c r="C468" s="26" t="str">
        <f t="shared" si="1"/>
        <v/>
      </c>
      <c r="D468" s="26" t="str">
        <f t="array" ref="D468">XLOOKUP($A468,Instagram_follows_raw!$A$4:$A1000,Instagram_follows_raw!$B$4:$B1000)</f>
        <v>#N/A</v>
      </c>
      <c r="E468" s="26" t="str">
        <f t="array" ref="E468">XLOOKUP($A468,Instagram_interactions_raw!$A$4:$A1000,Instagram_interactions_raw!$B$4:$B1000)</f>
        <v>#N/A</v>
      </c>
      <c r="F468" s="26" t="str">
        <f t="array" ref="F468">XLOOKUP($A468,Instagram_reach_raw!$A$4:$A1000,Instagram_reach_raw!$B$4:$B1000)</f>
        <v>#N/A</v>
      </c>
    </row>
    <row r="469">
      <c r="A469" s="30" t="str">
        <f>Instagram_reach_raw!$A471</f>
        <v/>
      </c>
      <c r="B469" s="29" t="str">
        <f>Instagram_interactions_raw!$A471</f>
        <v/>
      </c>
      <c r="C469" s="26" t="str">
        <f t="shared" si="1"/>
        <v/>
      </c>
      <c r="D469" s="26" t="str">
        <f t="array" ref="D469">XLOOKUP($A469,Instagram_follows_raw!$A$4:$A1000,Instagram_follows_raw!$B$4:$B1000)</f>
        <v>#N/A</v>
      </c>
      <c r="E469" s="26" t="str">
        <f t="array" ref="E469">XLOOKUP($A469,Instagram_interactions_raw!$A$4:$A1000,Instagram_interactions_raw!$B$4:$B1000)</f>
        <v>#N/A</v>
      </c>
      <c r="F469" s="26" t="str">
        <f t="array" ref="F469">XLOOKUP($A469,Instagram_reach_raw!$A$4:$A1000,Instagram_reach_raw!$B$4:$B1000)</f>
        <v>#N/A</v>
      </c>
    </row>
    <row r="470">
      <c r="A470" s="30" t="str">
        <f>Instagram_reach_raw!$A472</f>
        <v/>
      </c>
      <c r="B470" s="29" t="str">
        <f>Instagram_interactions_raw!$A472</f>
        <v/>
      </c>
      <c r="C470" s="26" t="str">
        <f t="shared" si="1"/>
        <v/>
      </c>
      <c r="D470" s="26" t="str">
        <f t="array" ref="D470">XLOOKUP($A470,Instagram_follows_raw!$A$4:$A1000,Instagram_follows_raw!$B$4:$B1000)</f>
        <v>#N/A</v>
      </c>
      <c r="E470" s="26" t="str">
        <f t="array" ref="E470">XLOOKUP($A470,Instagram_interactions_raw!$A$4:$A1000,Instagram_interactions_raw!$B$4:$B1000)</f>
        <v>#N/A</v>
      </c>
      <c r="F470" s="26" t="str">
        <f t="array" ref="F470">XLOOKUP($A470,Instagram_reach_raw!$A$4:$A1000,Instagram_reach_raw!$B$4:$B1000)</f>
        <v>#N/A</v>
      </c>
    </row>
    <row r="471">
      <c r="A471" s="30" t="str">
        <f>Instagram_reach_raw!$A473</f>
        <v/>
      </c>
      <c r="B471" s="29" t="str">
        <f>Instagram_interactions_raw!$A473</f>
        <v/>
      </c>
      <c r="C471" s="26" t="str">
        <f t="shared" si="1"/>
        <v/>
      </c>
      <c r="D471" s="26" t="str">
        <f t="array" ref="D471">XLOOKUP($A471,Instagram_follows_raw!$A$4:$A1000,Instagram_follows_raw!$B$4:$B1000)</f>
        <v>#N/A</v>
      </c>
      <c r="E471" s="26" t="str">
        <f t="array" ref="E471">XLOOKUP($A471,Instagram_interactions_raw!$A$4:$A1000,Instagram_interactions_raw!$B$4:$B1000)</f>
        <v>#N/A</v>
      </c>
      <c r="F471" s="26" t="str">
        <f t="array" ref="F471">XLOOKUP($A471,Instagram_reach_raw!$A$4:$A1000,Instagram_reach_raw!$B$4:$B1000)</f>
        <v>#N/A</v>
      </c>
    </row>
    <row r="472">
      <c r="A472" s="30" t="str">
        <f>Instagram_reach_raw!$A474</f>
        <v/>
      </c>
      <c r="B472" s="29" t="str">
        <f>Instagram_interactions_raw!$A474</f>
        <v/>
      </c>
      <c r="C472" s="26" t="str">
        <f t="shared" si="1"/>
        <v/>
      </c>
      <c r="D472" s="26" t="str">
        <f t="array" ref="D472">XLOOKUP($A472,Instagram_follows_raw!$A$4:$A1000,Instagram_follows_raw!$B$4:$B1000)</f>
        <v>#N/A</v>
      </c>
      <c r="E472" s="26" t="str">
        <f t="array" ref="E472">XLOOKUP($A472,Instagram_interactions_raw!$A$4:$A1000,Instagram_interactions_raw!$B$4:$B1000)</f>
        <v>#N/A</v>
      </c>
      <c r="F472" s="26" t="str">
        <f t="array" ref="F472">XLOOKUP($A472,Instagram_reach_raw!$A$4:$A1000,Instagram_reach_raw!$B$4:$B1000)</f>
        <v>#N/A</v>
      </c>
    </row>
    <row r="473">
      <c r="A473" s="30" t="str">
        <f>Instagram_reach_raw!$A475</f>
        <v/>
      </c>
      <c r="B473" s="29" t="str">
        <f>Instagram_interactions_raw!$A475</f>
        <v/>
      </c>
      <c r="C473" s="26" t="str">
        <f t="shared" si="1"/>
        <v/>
      </c>
      <c r="D473" s="26" t="str">
        <f t="array" ref="D473">XLOOKUP($A473,Instagram_follows_raw!$A$4:$A1000,Instagram_follows_raw!$B$4:$B1000)</f>
        <v>#N/A</v>
      </c>
      <c r="E473" s="26" t="str">
        <f t="array" ref="E473">XLOOKUP($A473,Instagram_interactions_raw!$A$4:$A1000,Instagram_interactions_raw!$B$4:$B1000)</f>
        <v>#N/A</v>
      </c>
      <c r="F473" s="26" t="str">
        <f t="array" ref="F473">XLOOKUP($A473,Instagram_reach_raw!$A$4:$A1000,Instagram_reach_raw!$B$4:$B1000)</f>
        <v>#N/A</v>
      </c>
    </row>
    <row r="474">
      <c r="A474" s="30" t="str">
        <f>Instagram_reach_raw!$A476</f>
        <v/>
      </c>
      <c r="B474" s="29" t="str">
        <f>Instagram_interactions_raw!$A476</f>
        <v/>
      </c>
      <c r="C474" s="26" t="str">
        <f t="shared" si="1"/>
        <v/>
      </c>
      <c r="D474" s="26" t="str">
        <f t="array" ref="D474">XLOOKUP($A474,Instagram_follows_raw!$A$4:$A1000,Instagram_follows_raw!$B$4:$B1000)</f>
        <v>#N/A</v>
      </c>
      <c r="E474" s="26" t="str">
        <f t="array" ref="E474">XLOOKUP($A474,Instagram_interactions_raw!$A$4:$A1000,Instagram_interactions_raw!$B$4:$B1000)</f>
        <v>#N/A</v>
      </c>
      <c r="F474" s="26" t="str">
        <f t="array" ref="F474">XLOOKUP($A474,Instagram_reach_raw!$A$4:$A1000,Instagram_reach_raw!$B$4:$B1000)</f>
        <v>#N/A</v>
      </c>
    </row>
    <row r="475">
      <c r="A475" s="30" t="str">
        <f>Instagram_reach_raw!$A477</f>
        <v/>
      </c>
      <c r="B475" s="29" t="str">
        <f>Instagram_interactions_raw!$A477</f>
        <v/>
      </c>
      <c r="C475" s="26" t="str">
        <f t="shared" si="1"/>
        <v/>
      </c>
      <c r="D475" s="26" t="str">
        <f t="array" ref="D475">XLOOKUP($A475,Instagram_follows_raw!$A$4:$A1000,Instagram_follows_raw!$B$4:$B1000)</f>
        <v>#N/A</v>
      </c>
      <c r="E475" s="26" t="str">
        <f t="array" ref="E475">XLOOKUP($A475,Instagram_interactions_raw!$A$4:$A1000,Instagram_interactions_raw!$B$4:$B1000)</f>
        <v>#N/A</v>
      </c>
      <c r="F475" s="26" t="str">
        <f t="array" ref="F475">XLOOKUP($A475,Instagram_reach_raw!$A$4:$A1000,Instagram_reach_raw!$B$4:$B1000)</f>
        <v>#N/A</v>
      </c>
    </row>
    <row r="476">
      <c r="A476" s="30" t="str">
        <f>Instagram_reach_raw!$A478</f>
        <v/>
      </c>
      <c r="B476" s="29" t="str">
        <f>Instagram_interactions_raw!$A478</f>
        <v/>
      </c>
      <c r="C476" s="26" t="str">
        <f t="shared" si="1"/>
        <v/>
      </c>
      <c r="D476" s="26" t="str">
        <f t="array" ref="D476">XLOOKUP($A476,Instagram_follows_raw!$A$4:$A1000,Instagram_follows_raw!$B$4:$B1000)</f>
        <v>#N/A</v>
      </c>
      <c r="E476" s="26" t="str">
        <f t="array" ref="E476">XLOOKUP($A476,Instagram_interactions_raw!$A$4:$A1000,Instagram_interactions_raw!$B$4:$B1000)</f>
        <v>#N/A</v>
      </c>
      <c r="F476" s="26" t="str">
        <f t="array" ref="F476">XLOOKUP($A476,Instagram_reach_raw!$A$4:$A1000,Instagram_reach_raw!$B$4:$B1000)</f>
        <v>#N/A</v>
      </c>
    </row>
    <row r="477">
      <c r="A477" s="30" t="str">
        <f>Instagram_reach_raw!$A479</f>
        <v/>
      </c>
      <c r="B477" s="29" t="str">
        <f>Instagram_interactions_raw!$A479</f>
        <v/>
      </c>
      <c r="C477" s="26" t="str">
        <f t="shared" si="1"/>
        <v/>
      </c>
      <c r="D477" s="26" t="str">
        <f t="array" ref="D477">XLOOKUP($A477,Instagram_follows_raw!$A$4:$A1000,Instagram_follows_raw!$B$4:$B1000)</f>
        <v>#N/A</v>
      </c>
      <c r="E477" s="26" t="str">
        <f t="array" ref="E477">XLOOKUP($A477,Instagram_interactions_raw!$A$4:$A1000,Instagram_interactions_raw!$B$4:$B1000)</f>
        <v>#N/A</v>
      </c>
      <c r="F477" s="26" t="str">
        <f t="array" ref="F477">XLOOKUP($A477,Instagram_reach_raw!$A$4:$A1000,Instagram_reach_raw!$B$4:$B1000)</f>
        <v>#N/A</v>
      </c>
    </row>
    <row r="478">
      <c r="A478" s="30" t="str">
        <f>Instagram_reach_raw!$A480</f>
        <v/>
      </c>
      <c r="B478" s="29" t="str">
        <f>Instagram_interactions_raw!$A480</f>
        <v/>
      </c>
      <c r="C478" s="26" t="str">
        <f t="shared" si="1"/>
        <v/>
      </c>
      <c r="D478" s="26" t="str">
        <f t="array" ref="D478">XLOOKUP($A478,Instagram_follows_raw!$A$4:$A1000,Instagram_follows_raw!$B$4:$B1000)</f>
        <v>#N/A</v>
      </c>
      <c r="E478" s="26" t="str">
        <f t="array" ref="E478">XLOOKUP($A478,Instagram_interactions_raw!$A$4:$A1000,Instagram_interactions_raw!$B$4:$B1000)</f>
        <v>#N/A</v>
      </c>
      <c r="F478" s="26" t="str">
        <f t="array" ref="F478">XLOOKUP($A478,Instagram_reach_raw!$A$4:$A1000,Instagram_reach_raw!$B$4:$B1000)</f>
        <v>#N/A</v>
      </c>
    </row>
    <row r="479">
      <c r="A479" s="30" t="str">
        <f>Instagram_reach_raw!$A481</f>
        <v/>
      </c>
      <c r="B479" s="29" t="str">
        <f>Instagram_interactions_raw!$A481</f>
        <v/>
      </c>
      <c r="C479" s="26" t="str">
        <f t="shared" si="1"/>
        <v/>
      </c>
      <c r="D479" s="26" t="str">
        <f t="array" ref="D479">XLOOKUP($A479,Instagram_follows_raw!$A$4:$A1000,Instagram_follows_raw!$B$4:$B1000)</f>
        <v>#N/A</v>
      </c>
      <c r="E479" s="26" t="str">
        <f t="array" ref="E479">XLOOKUP($A479,Instagram_interactions_raw!$A$4:$A1000,Instagram_interactions_raw!$B$4:$B1000)</f>
        <v>#N/A</v>
      </c>
      <c r="F479" s="26" t="str">
        <f t="array" ref="F479">XLOOKUP($A479,Instagram_reach_raw!$A$4:$A1000,Instagram_reach_raw!$B$4:$B1000)</f>
        <v>#N/A</v>
      </c>
    </row>
    <row r="480">
      <c r="A480" s="30" t="str">
        <f>Instagram_reach_raw!$A482</f>
        <v/>
      </c>
      <c r="B480" s="29" t="str">
        <f>Instagram_interactions_raw!$A482</f>
        <v/>
      </c>
      <c r="C480" s="26" t="str">
        <f t="shared" si="1"/>
        <v/>
      </c>
      <c r="D480" s="26" t="str">
        <f t="array" ref="D480">XLOOKUP($A480,Instagram_follows_raw!$A$4:$A1000,Instagram_follows_raw!$B$4:$B1000)</f>
        <v>#N/A</v>
      </c>
      <c r="E480" s="26" t="str">
        <f t="array" ref="E480">XLOOKUP($A480,Instagram_interactions_raw!$A$4:$A1000,Instagram_interactions_raw!$B$4:$B1000)</f>
        <v>#N/A</v>
      </c>
      <c r="F480" s="26" t="str">
        <f t="array" ref="F480">XLOOKUP($A480,Instagram_reach_raw!$A$4:$A1000,Instagram_reach_raw!$B$4:$B1000)</f>
        <v>#N/A</v>
      </c>
    </row>
    <row r="481">
      <c r="A481" s="30" t="str">
        <f>Instagram_reach_raw!$A483</f>
        <v/>
      </c>
      <c r="B481" s="29" t="str">
        <f>Instagram_interactions_raw!$A483</f>
        <v/>
      </c>
      <c r="C481" s="26" t="str">
        <f t="shared" si="1"/>
        <v/>
      </c>
      <c r="D481" s="26" t="str">
        <f t="array" ref="D481">XLOOKUP($A481,Instagram_follows_raw!$A$4:$A1000,Instagram_follows_raw!$B$4:$B1000)</f>
        <v>#N/A</v>
      </c>
      <c r="E481" s="26" t="str">
        <f t="array" ref="E481">XLOOKUP($A481,Instagram_interactions_raw!$A$4:$A1000,Instagram_interactions_raw!$B$4:$B1000)</f>
        <v>#N/A</v>
      </c>
      <c r="F481" s="26" t="str">
        <f t="array" ref="F481">XLOOKUP($A481,Instagram_reach_raw!$A$4:$A1000,Instagram_reach_raw!$B$4:$B1000)</f>
        <v>#N/A</v>
      </c>
    </row>
    <row r="482">
      <c r="A482" s="30" t="str">
        <f>Instagram_reach_raw!$A484</f>
        <v/>
      </c>
      <c r="B482" s="29" t="str">
        <f>Instagram_interactions_raw!$A484</f>
        <v/>
      </c>
      <c r="C482" s="26" t="str">
        <f t="shared" si="1"/>
        <v/>
      </c>
      <c r="D482" s="26" t="str">
        <f t="array" ref="D482">XLOOKUP($A482,Instagram_follows_raw!$A$4:$A1000,Instagram_follows_raw!$B$4:$B1000)</f>
        <v>#N/A</v>
      </c>
      <c r="E482" s="26" t="str">
        <f t="array" ref="E482">XLOOKUP($A482,Instagram_interactions_raw!$A$4:$A1000,Instagram_interactions_raw!$B$4:$B1000)</f>
        <v>#N/A</v>
      </c>
      <c r="F482" s="26" t="str">
        <f t="array" ref="F482">XLOOKUP($A482,Instagram_reach_raw!$A$4:$A1000,Instagram_reach_raw!$B$4:$B1000)</f>
        <v>#N/A</v>
      </c>
    </row>
    <row r="483">
      <c r="A483" s="30" t="str">
        <f>Instagram_reach_raw!$A485</f>
        <v/>
      </c>
      <c r="B483" s="29" t="str">
        <f>Instagram_interactions_raw!$A485</f>
        <v/>
      </c>
      <c r="C483" s="26" t="str">
        <f t="shared" si="1"/>
        <v/>
      </c>
      <c r="D483" s="26" t="str">
        <f t="array" ref="D483">XLOOKUP($A483,Instagram_follows_raw!$A$4:$A1000,Instagram_follows_raw!$B$4:$B1000)</f>
        <v>#N/A</v>
      </c>
      <c r="E483" s="26" t="str">
        <f t="array" ref="E483">XLOOKUP($A483,Instagram_interactions_raw!$A$4:$A1000,Instagram_interactions_raw!$B$4:$B1000)</f>
        <v>#N/A</v>
      </c>
      <c r="F483" s="26" t="str">
        <f t="array" ref="F483">XLOOKUP($A483,Instagram_reach_raw!$A$4:$A1000,Instagram_reach_raw!$B$4:$B1000)</f>
        <v>#N/A</v>
      </c>
    </row>
    <row r="484">
      <c r="A484" s="30" t="str">
        <f>Instagram_reach_raw!$A486</f>
        <v/>
      </c>
      <c r="B484" s="29" t="str">
        <f>Instagram_interactions_raw!$A486</f>
        <v/>
      </c>
      <c r="C484" s="26" t="str">
        <f t="shared" si="1"/>
        <v/>
      </c>
      <c r="D484" s="26" t="str">
        <f t="array" ref="D484">XLOOKUP($A484,Instagram_follows_raw!$A$4:$A1000,Instagram_follows_raw!$B$4:$B1000)</f>
        <v>#N/A</v>
      </c>
      <c r="E484" s="26" t="str">
        <f t="array" ref="E484">XLOOKUP($A484,Instagram_interactions_raw!$A$4:$A1000,Instagram_interactions_raw!$B$4:$B1000)</f>
        <v>#N/A</v>
      </c>
      <c r="F484" s="26" t="str">
        <f t="array" ref="F484">XLOOKUP($A484,Instagram_reach_raw!$A$4:$A1000,Instagram_reach_raw!$B$4:$B1000)</f>
        <v>#N/A</v>
      </c>
    </row>
    <row r="485">
      <c r="A485" s="30" t="str">
        <f>Instagram_reach_raw!$A487</f>
        <v/>
      </c>
      <c r="B485" s="29" t="str">
        <f>Instagram_interactions_raw!$A487</f>
        <v/>
      </c>
      <c r="C485" s="26" t="str">
        <f t="shared" si="1"/>
        <v/>
      </c>
      <c r="D485" s="26" t="str">
        <f t="array" ref="D485">XLOOKUP($A485,Instagram_follows_raw!$A$4:$A1000,Instagram_follows_raw!$B$4:$B1000)</f>
        <v>#N/A</v>
      </c>
      <c r="E485" s="26" t="str">
        <f t="array" ref="E485">XLOOKUP($A485,Instagram_interactions_raw!$A$4:$A1000,Instagram_interactions_raw!$B$4:$B1000)</f>
        <v>#N/A</v>
      </c>
      <c r="F485" s="26" t="str">
        <f t="array" ref="F485">XLOOKUP($A485,Instagram_reach_raw!$A$4:$A1000,Instagram_reach_raw!$B$4:$B1000)</f>
        <v>#N/A</v>
      </c>
    </row>
    <row r="486">
      <c r="A486" s="30" t="str">
        <f>Instagram_reach_raw!$A488</f>
        <v/>
      </c>
      <c r="B486" s="29" t="str">
        <f>Instagram_interactions_raw!$A488</f>
        <v/>
      </c>
      <c r="C486" s="26" t="str">
        <f t="shared" si="1"/>
        <v/>
      </c>
      <c r="D486" s="26" t="str">
        <f t="array" ref="D486">XLOOKUP($A486,Instagram_follows_raw!$A$4:$A1000,Instagram_follows_raw!$B$4:$B1000)</f>
        <v>#N/A</v>
      </c>
      <c r="E486" s="26" t="str">
        <f t="array" ref="E486">XLOOKUP($A486,Instagram_interactions_raw!$A$4:$A1000,Instagram_interactions_raw!$B$4:$B1000)</f>
        <v>#N/A</v>
      </c>
      <c r="F486" s="26" t="str">
        <f t="array" ref="F486">XLOOKUP($A486,Instagram_reach_raw!$A$4:$A1000,Instagram_reach_raw!$B$4:$B1000)</f>
        <v>#N/A</v>
      </c>
    </row>
    <row r="487">
      <c r="A487" s="30" t="str">
        <f>Instagram_reach_raw!$A489</f>
        <v/>
      </c>
      <c r="B487" s="29" t="str">
        <f>Instagram_interactions_raw!$A489</f>
        <v/>
      </c>
      <c r="C487" s="26" t="str">
        <f t="shared" si="1"/>
        <v/>
      </c>
      <c r="D487" s="26" t="str">
        <f t="array" ref="D487">XLOOKUP($A487,Instagram_follows_raw!$A$4:$A1000,Instagram_follows_raw!$B$4:$B1000)</f>
        <v>#N/A</v>
      </c>
      <c r="E487" s="26" t="str">
        <f t="array" ref="E487">XLOOKUP($A487,Instagram_interactions_raw!$A$4:$A1000,Instagram_interactions_raw!$B$4:$B1000)</f>
        <v>#N/A</v>
      </c>
      <c r="F487" s="26" t="str">
        <f t="array" ref="F487">XLOOKUP($A487,Instagram_reach_raw!$A$4:$A1000,Instagram_reach_raw!$B$4:$B1000)</f>
        <v>#N/A</v>
      </c>
    </row>
    <row r="488">
      <c r="A488" s="30" t="str">
        <f>Instagram_reach_raw!$A490</f>
        <v/>
      </c>
      <c r="B488" s="29" t="str">
        <f>Instagram_interactions_raw!$A490</f>
        <v/>
      </c>
      <c r="C488" s="26" t="str">
        <f t="shared" si="1"/>
        <v/>
      </c>
      <c r="D488" s="26" t="str">
        <f t="array" ref="D488">XLOOKUP($A488,Instagram_follows_raw!$A$4:$A1000,Instagram_follows_raw!$B$4:$B1000)</f>
        <v>#N/A</v>
      </c>
      <c r="E488" s="26" t="str">
        <f t="array" ref="E488">XLOOKUP($A488,Instagram_interactions_raw!$A$4:$A1000,Instagram_interactions_raw!$B$4:$B1000)</f>
        <v>#N/A</v>
      </c>
      <c r="F488" s="26" t="str">
        <f t="array" ref="F488">XLOOKUP($A488,Instagram_reach_raw!$A$4:$A1000,Instagram_reach_raw!$B$4:$B1000)</f>
        <v>#N/A</v>
      </c>
    </row>
    <row r="489">
      <c r="A489" s="30" t="str">
        <f>Instagram_reach_raw!$A491</f>
        <v/>
      </c>
      <c r="B489" s="29" t="str">
        <f>Instagram_interactions_raw!$A491</f>
        <v/>
      </c>
      <c r="C489" s="26" t="str">
        <f t="shared" si="1"/>
        <v/>
      </c>
      <c r="D489" s="26" t="str">
        <f t="array" ref="D489">XLOOKUP($A489,Instagram_follows_raw!$A$4:$A1000,Instagram_follows_raw!$B$4:$B1000)</f>
        <v>#N/A</v>
      </c>
      <c r="E489" s="26" t="str">
        <f t="array" ref="E489">XLOOKUP($A489,Instagram_interactions_raw!$A$4:$A1000,Instagram_interactions_raw!$B$4:$B1000)</f>
        <v>#N/A</v>
      </c>
      <c r="F489" s="26" t="str">
        <f t="array" ref="F489">XLOOKUP($A489,Instagram_reach_raw!$A$4:$A1000,Instagram_reach_raw!$B$4:$B1000)</f>
        <v>#N/A</v>
      </c>
    </row>
    <row r="490">
      <c r="A490" s="30" t="str">
        <f>Instagram_reach_raw!$A492</f>
        <v/>
      </c>
      <c r="B490" s="29" t="str">
        <f>Instagram_interactions_raw!$A492</f>
        <v/>
      </c>
      <c r="C490" s="26" t="str">
        <f t="shared" si="1"/>
        <v/>
      </c>
      <c r="D490" s="26" t="str">
        <f t="array" ref="D490">XLOOKUP($A490,Instagram_follows_raw!$A$4:$A1000,Instagram_follows_raw!$B$4:$B1000)</f>
        <v>#N/A</v>
      </c>
      <c r="E490" s="26" t="str">
        <f t="array" ref="E490">XLOOKUP($A490,Instagram_interactions_raw!$A$4:$A1000,Instagram_interactions_raw!$B$4:$B1000)</f>
        <v>#N/A</v>
      </c>
      <c r="F490" s="26" t="str">
        <f t="array" ref="F490">XLOOKUP($A490,Instagram_reach_raw!$A$4:$A1000,Instagram_reach_raw!$B$4:$B1000)</f>
        <v>#N/A</v>
      </c>
    </row>
    <row r="491">
      <c r="A491" s="30" t="str">
        <f>Instagram_reach_raw!$A493</f>
        <v/>
      </c>
      <c r="B491" s="29" t="str">
        <f>Instagram_interactions_raw!$A493</f>
        <v/>
      </c>
      <c r="C491" s="26" t="str">
        <f t="shared" si="1"/>
        <v/>
      </c>
      <c r="D491" s="26" t="str">
        <f t="array" ref="D491">XLOOKUP($A491,Instagram_follows_raw!$A$4:$A1000,Instagram_follows_raw!$B$4:$B1000)</f>
        <v>#N/A</v>
      </c>
      <c r="E491" s="26" t="str">
        <f t="array" ref="E491">XLOOKUP($A491,Instagram_interactions_raw!$A$4:$A1000,Instagram_interactions_raw!$B$4:$B1000)</f>
        <v>#N/A</v>
      </c>
      <c r="F491" s="26" t="str">
        <f t="array" ref="F491">XLOOKUP($A491,Instagram_reach_raw!$A$4:$A1000,Instagram_reach_raw!$B$4:$B1000)</f>
        <v>#N/A</v>
      </c>
    </row>
    <row r="492">
      <c r="A492" s="30" t="str">
        <f>Instagram_reach_raw!$A494</f>
        <v/>
      </c>
      <c r="B492" s="29" t="str">
        <f>Instagram_interactions_raw!$A494</f>
        <v/>
      </c>
      <c r="C492" s="26" t="str">
        <f t="shared" si="1"/>
        <v/>
      </c>
      <c r="D492" s="26" t="str">
        <f t="array" ref="D492">XLOOKUP($A492,Instagram_follows_raw!$A$4:$A1000,Instagram_follows_raw!$B$4:$B1000)</f>
        <v>#N/A</v>
      </c>
      <c r="E492" s="26" t="str">
        <f t="array" ref="E492">XLOOKUP($A492,Instagram_interactions_raw!$A$4:$A1000,Instagram_interactions_raw!$B$4:$B1000)</f>
        <v>#N/A</v>
      </c>
      <c r="F492" s="26" t="str">
        <f t="array" ref="F492">XLOOKUP($A492,Instagram_reach_raw!$A$4:$A1000,Instagram_reach_raw!$B$4:$B1000)</f>
        <v>#N/A</v>
      </c>
    </row>
    <row r="493">
      <c r="A493" s="30" t="str">
        <f>Instagram_reach_raw!$A495</f>
        <v/>
      </c>
      <c r="B493" s="29" t="str">
        <f>Instagram_interactions_raw!$A495</f>
        <v/>
      </c>
      <c r="C493" s="26" t="str">
        <f t="shared" si="1"/>
        <v/>
      </c>
      <c r="D493" s="26" t="str">
        <f t="array" ref="D493">XLOOKUP($A493,Instagram_follows_raw!$A$4:$A1000,Instagram_follows_raw!$B$4:$B1000)</f>
        <v>#N/A</v>
      </c>
      <c r="E493" s="26" t="str">
        <f t="array" ref="E493">XLOOKUP($A493,Instagram_interactions_raw!$A$4:$A1000,Instagram_interactions_raw!$B$4:$B1000)</f>
        <v>#N/A</v>
      </c>
      <c r="F493" s="26" t="str">
        <f t="array" ref="F493">XLOOKUP($A493,Instagram_reach_raw!$A$4:$A1000,Instagram_reach_raw!$B$4:$B1000)</f>
        <v>#N/A</v>
      </c>
    </row>
    <row r="494">
      <c r="A494" s="30" t="str">
        <f>Instagram_reach_raw!$A496</f>
        <v/>
      </c>
      <c r="B494" s="29" t="str">
        <f>Instagram_interactions_raw!$A496</f>
        <v/>
      </c>
      <c r="C494" s="26" t="str">
        <f t="shared" si="1"/>
        <v/>
      </c>
      <c r="D494" s="26" t="str">
        <f t="array" ref="D494">XLOOKUP($A494,Instagram_follows_raw!$A$4:$A1000,Instagram_follows_raw!$B$4:$B1000)</f>
        <v>#N/A</v>
      </c>
      <c r="E494" s="26" t="str">
        <f t="array" ref="E494">XLOOKUP($A494,Instagram_interactions_raw!$A$4:$A1000,Instagram_interactions_raw!$B$4:$B1000)</f>
        <v>#N/A</v>
      </c>
      <c r="F494" s="26" t="str">
        <f t="array" ref="F494">XLOOKUP($A494,Instagram_reach_raw!$A$4:$A1000,Instagram_reach_raw!$B$4:$B1000)</f>
        <v>#N/A</v>
      </c>
    </row>
    <row r="495">
      <c r="A495" s="30" t="str">
        <f>Instagram_reach_raw!$A497</f>
        <v/>
      </c>
      <c r="B495" s="29" t="str">
        <f>Instagram_interactions_raw!$A497</f>
        <v/>
      </c>
      <c r="C495" s="26" t="str">
        <f t="shared" si="1"/>
        <v/>
      </c>
      <c r="D495" s="26" t="str">
        <f t="array" ref="D495">XLOOKUP($A495,Instagram_follows_raw!$A$4:$A1000,Instagram_follows_raw!$B$4:$B1000)</f>
        <v>#N/A</v>
      </c>
      <c r="E495" s="26" t="str">
        <f t="array" ref="E495">XLOOKUP($A495,Instagram_interactions_raw!$A$4:$A1000,Instagram_interactions_raw!$B$4:$B1000)</f>
        <v>#N/A</v>
      </c>
      <c r="F495" s="26" t="str">
        <f t="array" ref="F495">XLOOKUP($A495,Instagram_reach_raw!$A$4:$A1000,Instagram_reach_raw!$B$4:$B1000)</f>
        <v>#N/A</v>
      </c>
    </row>
    <row r="496">
      <c r="A496" s="30" t="str">
        <f>Instagram_reach_raw!$A498</f>
        <v/>
      </c>
      <c r="B496" s="29" t="str">
        <f>Instagram_interactions_raw!$A498</f>
        <v/>
      </c>
      <c r="C496" s="26" t="str">
        <f t="shared" si="1"/>
        <v/>
      </c>
      <c r="D496" s="26" t="str">
        <f t="array" ref="D496">XLOOKUP($A496,Instagram_follows_raw!$A$4:$A1000,Instagram_follows_raw!$B$4:$B1000)</f>
        <v>#N/A</v>
      </c>
      <c r="E496" s="26" t="str">
        <f t="array" ref="E496">XLOOKUP($A496,Instagram_interactions_raw!$A$4:$A1000,Instagram_interactions_raw!$B$4:$B1000)</f>
        <v>#N/A</v>
      </c>
      <c r="F496" s="26" t="str">
        <f t="array" ref="F496">XLOOKUP($A496,Instagram_reach_raw!$A$4:$A1000,Instagram_reach_raw!$B$4:$B1000)</f>
        <v>#N/A</v>
      </c>
    </row>
    <row r="497">
      <c r="A497" s="30" t="str">
        <f>Instagram_reach_raw!$A499</f>
        <v/>
      </c>
      <c r="B497" s="29" t="str">
        <f>Instagram_interactions_raw!$A499</f>
        <v/>
      </c>
      <c r="C497" s="26" t="str">
        <f t="shared" si="1"/>
        <v/>
      </c>
      <c r="D497" s="26" t="str">
        <f t="array" ref="D497">XLOOKUP($A497,Instagram_follows_raw!$A$4:$A1000,Instagram_follows_raw!$B$4:$B1000)</f>
        <v>#N/A</v>
      </c>
      <c r="E497" s="26" t="str">
        <f t="array" ref="E497">XLOOKUP($A497,Instagram_interactions_raw!$A$4:$A1000,Instagram_interactions_raw!$B$4:$B1000)</f>
        <v>#N/A</v>
      </c>
      <c r="F497" s="26" t="str">
        <f t="array" ref="F497">XLOOKUP($A497,Instagram_reach_raw!$A$4:$A1000,Instagram_reach_raw!$B$4:$B1000)</f>
        <v>#N/A</v>
      </c>
    </row>
    <row r="498">
      <c r="A498" s="30" t="str">
        <f>Instagram_reach_raw!$A500</f>
        <v/>
      </c>
      <c r="B498" s="29" t="str">
        <f>Instagram_interactions_raw!$A500</f>
        <v/>
      </c>
      <c r="C498" s="26" t="str">
        <f t="shared" si="1"/>
        <v/>
      </c>
      <c r="D498" s="26" t="str">
        <f t="array" ref="D498">XLOOKUP($A498,Instagram_follows_raw!$A$4:$A1000,Instagram_follows_raw!$B$4:$B1000)</f>
        <v>#N/A</v>
      </c>
      <c r="E498" s="26" t="str">
        <f t="array" ref="E498">XLOOKUP($A498,Instagram_interactions_raw!$A$4:$A1000,Instagram_interactions_raw!$B$4:$B1000)</f>
        <v>#N/A</v>
      </c>
      <c r="F498" s="26" t="str">
        <f t="array" ref="F498">XLOOKUP($A498,Instagram_reach_raw!$A$4:$A1000,Instagram_reach_raw!$B$4:$B1000)</f>
        <v>#N/A</v>
      </c>
    </row>
    <row r="499">
      <c r="A499" s="30" t="str">
        <f>Instagram_reach_raw!$A501</f>
        <v/>
      </c>
      <c r="B499" s="29" t="str">
        <f>Instagram_interactions_raw!$A501</f>
        <v/>
      </c>
      <c r="C499" s="26" t="str">
        <f t="shared" si="1"/>
        <v/>
      </c>
      <c r="D499" s="26" t="str">
        <f t="array" ref="D499">XLOOKUP($A499,Instagram_follows_raw!$A$4:$A1000,Instagram_follows_raw!$B$4:$B1000)</f>
        <v>#N/A</v>
      </c>
      <c r="E499" s="26" t="str">
        <f t="array" ref="E499">XLOOKUP($A499,Instagram_interactions_raw!$A$4:$A1000,Instagram_interactions_raw!$B$4:$B1000)</f>
        <v>#N/A</v>
      </c>
      <c r="F499" s="26" t="str">
        <f t="array" ref="F499">XLOOKUP($A499,Instagram_reach_raw!$A$4:$A1000,Instagram_reach_raw!$B$4:$B1000)</f>
        <v>#N/A</v>
      </c>
    </row>
    <row r="500">
      <c r="A500" s="30" t="str">
        <f>Instagram_reach_raw!$A502</f>
        <v/>
      </c>
      <c r="B500" s="29" t="str">
        <f>Instagram_interactions_raw!$A502</f>
        <v/>
      </c>
      <c r="C500" s="26" t="str">
        <f t="shared" si="1"/>
        <v/>
      </c>
      <c r="D500" s="26" t="str">
        <f t="array" ref="D500">XLOOKUP($A500,Instagram_follows_raw!$A$4:$A1000,Instagram_follows_raw!$B$4:$B1000)</f>
        <v>#N/A</v>
      </c>
      <c r="E500" s="26" t="str">
        <f t="array" ref="E500">XLOOKUP($A500,Instagram_interactions_raw!$A$4:$A1000,Instagram_interactions_raw!$B$4:$B1000)</f>
        <v>#N/A</v>
      </c>
      <c r="F500" s="26" t="str">
        <f t="array" ref="F500">XLOOKUP($A500,Instagram_reach_raw!$A$4:$A1000,Instagram_reach_raw!$B$4:$B1000)</f>
        <v>#N/A</v>
      </c>
    </row>
    <row r="501">
      <c r="A501" s="30" t="str">
        <f>Instagram_reach_raw!$A503</f>
        <v/>
      </c>
      <c r="B501" s="29" t="str">
        <f>Instagram_interactions_raw!$A503</f>
        <v/>
      </c>
      <c r="C501" s="26" t="str">
        <f t="shared" si="1"/>
        <v/>
      </c>
      <c r="D501" s="26" t="str">
        <f t="array" ref="D501">XLOOKUP($A501,Instagram_follows_raw!$A$4:$A1000,Instagram_follows_raw!$B$4:$B1000)</f>
        <v>#N/A</v>
      </c>
      <c r="E501" s="26" t="str">
        <f t="array" ref="E501">XLOOKUP($A501,Instagram_interactions_raw!$A$4:$A1000,Instagram_interactions_raw!$B$4:$B1000)</f>
        <v>#N/A</v>
      </c>
      <c r="F501" s="26" t="str">
        <f t="array" ref="F501">XLOOKUP($A501,Instagram_reach_raw!$A$4:$A1000,Instagram_reach_raw!$B$4:$B1000)</f>
        <v>#N/A</v>
      </c>
    </row>
    <row r="502">
      <c r="A502" s="30" t="str">
        <f>Instagram_reach_raw!$A504</f>
        <v/>
      </c>
      <c r="B502" s="29" t="str">
        <f>Instagram_interactions_raw!$A504</f>
        <v/>
      </c>
      <c r="C502" s="26" t="str">
        <f t="shared" si="1"/>
        <v/>
      </c>
      <c r="D502" s="26" t="str">
        <f t="array" ref="D502">XLOOKUP($A502,Instagram_follows_raw!$A$4:$A1000,Instagram_follows_raw!$B$4:$B1000)</f>
        <v>#N/A</v>
      </c>
      <c r="E502" s="26" t="str">
        <f t="array" ref="E502">XLOOKUP($A502,Instagram_interactions_raw!$A$4:$A1000,Instagram_interactions_raw!$B$4:$B1000)</f>
        <v>#N/A</v>
      </c>
      <c r="F502" s="26" t="str">
        <f t="array" ref="F502">XLOOKUP($A502,Instagram_reach_raw!$A$4:$A1000,Instagram_reach_raw!$B$4:$B1000)</f>
        <v>#N/A</v>
      </c>
    </row>
    <row r="503">
      <c r="A503" s="30" t="str">
        <f>Instagram_reach_raw!$A505</f>
        <v/>
      </c>
      <c r="B503" s="29" t="str">
        <f>Instagram_interactions_raw!$A505</f>
        <v/>
      </c>
      <c r="C503" s="26" t="str">
        <f t="shared" si="1"/>
        <v/>
      </c>
      <c r="D503" s="26" t="str">
        <f t="array" ref="D503">XLOOKUP($A503,Instagram_follows_raw!$A$4:$A1000,Instagram_follows_raw!$B$4:$B1000)</f>
        <v>#N/A</v>
      </c>
      <c r="E503" s="26" t="str">
        <f t="array" ref="E503">XLOOKUP($A503,Instagram_interactions_raw!$A$4:$A1000,Instagram_interactions_raw!$B$4:$B1000)</f>
        <v>#N/A</v>
      </c>
      <c r="F503" s="26" t="str">
        <f t="array" ref="F503">XLOOKUP($A503,Instagram_reach_raw!$A$4:$A1000,Instagram_reach_raw!$B$4:$B1000)</f>
        <v>#N/A</v>
      </c>
    </row>
    <row r="504">
      <c r="A504" s="30" t="str">
        <f>Instagram_reach_raw!$A506</f>
        <v/>
      </c>
      <c r="B504" s="29" t="str">
        <f>Instagram_interactions_raw!$A506</f>
        <v/>
      </c>
      <c r="C504" s="26" t="str">
        <f t="shared" si="1"/>
        <v/>
      </c>
      <c r="D504" s="26" t="str">
        <f t="array" ref="D504">XLOOKUP($A504,Instagram_follows_raw!$A$4:$A1000,Instagram_follows_raw!$B$4:$B1000)</f>
        <v>#N/A</v>
      </c>
      <c r="E504" s="26" t="str">
        <f t="array" ref="E504">XLOOKUP($A504,Instagram_interactions_raw!$A$4:$A1000,Instagram_interactions_raw!$B$4:$B1000)</f>
        <v>#N/A</v>
      </c>
      <c r="F504" s="26" t="str">
        <f t="array" ref="F504">XLOOKUP($A504,Instagram_reach_raw!$A$4:$A1000,Instagram_reach_raw!$B$4:$B1000)</f>
        <v>#N/A</v>
      </c>
    </row>
    <row r="505">
      <c r="A505" s="30" t="str">
        <f>Instagram_reach_raw!$A507</f>
        <v/>
      </c>
      <c r="B505" s="29" t="str">
        <f>Instagram_interactions_raw!$A507</f>
        <v/>
      </c>
      <c r="C505" s="26" t="str">
        <f t="shared" si="1"/>
        <v/>
      </c>
      <c r="D505" s="26" t="str">
        <f t="array" ref="D505">XLOOKUP($A505,Instagram_follows_raw!$A$4:$A1000,Instagram_follows_raw!$B$4:$B1000)</f>
        <v>#N/A</v>
      </c>
      <c r="E505" s="26" t="str">
        <f t="array" ref="E505">XLOOKUP($A505,Instagram_interactions_raw!$A$4:$A1000,Instagram_interactions_raw!$B$4:$B1000)</f>
        <v>#N/A</v>
      </c>
      <c r="F505" s="26" t="str">
        <f t="array" ref="F505">XLOOKUP($A505,Instagram_reach_raw!$A$4:$A1000,Instagram_reach_raw!$B$4:$B1000)</f>
        <v>#N/A</v>
      </c>
    </row>
    <row r="506">
      <c r="A506" s="30" t="str">
        <f>Instagram_reach_raw!$A508</f>
        <v/>
      </c>
      <c r="B506" s="29" t="str">
        <f>Instagram_interactions_raw!$A508</f>
        <v/>
      </c>
      <c r="C506" s="26" t="str">
        <f t="shared" si="1"/>
        <v/>
      </c>
      <c r="D506" s="26" t="str">
        <f t="array" ref="D506">XLOOKUP($A506,Instagram_follows_raw!$A$4:$A1000,Instagram_follows_raw!$B$4:$B1000)</f>
        <v>#N/A</v>
      </c>
      <c r="E506" s="26" t="str">
        <f t="array" ref="E506">XLOOKUP($A506,Instagram_interactions_raw!$A$4:$A1000,Instagram_interactions_raw!$B$4:$B1000)</f>
        <v>#N/A</v>
      </c>
      <c r="F506" s="26" t="str">
        <f t="array" ref="F506">XLOOKUP($A506,Instagram_reach_raw!$A$4:$A1000,Instagram_reach_raw!$B$4:$B1000)</f>
        <v>#N/A</v>
      </c>
    </row>
    <row r="507">
      <c r="A507" s="30" t="str">
        <f>Instagram_reach_raw!$A509</f>
        <v/>
      </c>
      <c r="B507" s="29" t="str">
        <f>Instagram_interactions_raw!$A509</f>
        <v/>
      </c>
      <c r="C507" s="26" t="str">
        <f t="shared" si="1"/>
        <v/>
      </c>
      <c r="D507" s="26" t="str">
        <f t="array" ref="D507">XLOOKUP($A507,Instagram_follows_raw!$A$4:$A1000,Instagram_follows_raw!$B$4:$B1000)</f>
        <v>#N/A</v>
      </c>
      <c r="E507" s="26" t="str">
        <f t="array" ref="E507">XLOOKUP($A507,Instagram_interactions_raw!$A$4:$A1000,Instagram_interactions_raw!$B$4:$B1000)</f>
        <v>#N/A</v>
      </c>
      <c r="F507" s="26" t="str">
        <f t="array" ref="F507">XLOOKUP($A507,Instagram_reach_raw!$A$4:$A1000,Instagram_reach_raw!$B$4:$B1000)</f>
        <v>#N/A</v>
      </c>
    </row>
    <row r="508">
      <c r="A508" s="30" t="str">
        <f>Instagram_reach_raw!$A510</f>
        <v/>
      </c>
      <c r="B508" s="29" t="str">
        <f>Instagram_interactions_raw!$A510</f>
        <v/>
      </c>
      <c r="C508" s="26" t="str">
        <f t="shared" si="1"/>
        <v/>
      </c>
      <c r="D508" s="26" t="str">
        <f t="array" ref="D508">XLOOKUP($A508,Instagram_follows_raw!$A$4:$A1000,Instagram_follows_raw!$B$4:$B1000)</f>
        <v>#N/A</v>
      </c>
      <c r="E508" s="26" t="str">
        <f t="array" ref="E508">XLOOKUP($A508,Instagram_interactions_raw!$A$4:$A1000,Instagram_interactions_raw!$B$4:$B1000)</f>
        <v>#N/A</v>
      </c>
      <c r="F508" s="26" t="str">
        <f t="array" ref="F508">XLOOKUP($A508,Instagram_reach_raw!$A$4:$A1000,Instagram_reach_raw!$B$4:$B1000)</f>
        <v>#N/A</v>
      </c>
    </row>
    <row r="509">
      <c r="A509" s="30" t="str">
        <f>Instagram_reach_raw!$A511</f>
        <v/>
      </c>
      <c r="B509" s="29" t="str">
        <f>Instagram_interactions_raw!$A511</f>
        <v/>
      </c>
      <c r="C509" s="26" t="str">
        <f t="shared" si="1"/>
        <v/>
      </c>
      <c r="D509" s="26" t="str">
        <f t="array" ref="D509">XLOOKUP($A509,Instagram_follows_raw!$A$4:$A1000,Instagram_follows_raw!$B$4:$B1000)</f>
        <v>#N/A</v>
      </c>
      <c r="E509" s="26" t="str">
        <f t="array" ref="E509">XLOOKUP($A509,Instagram_interactions_raw!$A$4:$A1000,Instagram_interactions_raw!$B$4:$B1000)</f>
        <v>#N/A</v>
      </c>
      <c r="F509" s="26" t="str">
        <f t="array" ref="F509">XLOOKUP($A509,Instagram_reach_raw!$A$4:$A1000,Instagram_reach_raw!$B$4:$B1000)</f>
        <v>#N/A</v>
      </c>
    </row>
    <row r="510">
      <c r="A510" s="30" t="str">
        <f>Instagram_reach_raw!$A512</f>
        <v/>
      </c>
      <c r="B510" s="29" t="str">
        <f>Instagram_interactions_raw!$A512</f>
        <v/>
      </c>
      <c r="C510" s="26" t="str">
        <f t="shared" si="1"/>
        <v/>
      </c>
      <c r="D510" s="26" t="str">
        <f t="array" ref="D510">XLOOKUP($A510,Instagram_follows_raw!$A$4:$A1000,Instagram_follows_raw!$B$4:$B1000)</f>
        <v>#N/A</v>
      </c>
      <c r="E510" s="26" t="str">
        <f t="array" ref="E510">XLOOKUP($A510,Instagram_interactions_raw!$A$4:$A1000,Instagram_interactions_raw!$B$4:$B1000)</f>
        <v>#N/A</v>
      </c>
      <c r="F510" s="26" t="str">
        <f t="array" ref="F510">XLOOKUP($A510,Instagram_reach_raw!$A$4:$A1000,Instagram_reach_raw!$B$4:$B1000)</f>
        <v>#N/A</v>
      </c>
    </row>
    <row r="511">
      <c r="A511" s="30" t="str">
        <f>Instagram_reach_raw!$A513</f>
        <v/>
      </c>
      <c r="B511" s="29" t="str">
        <f>Instagram_interactions_raw!$A513</f>
        <v/>
      </c>
      <c r="C511" s="26" t="str">
        <f t="shared" si="1"/>
        <v/>
      </c>
      <c r="D511" s="26" t="str">
        <f t="array" ref="D511">XLOOKUP($A511,Instagram_follows_raw!$A$4:$A1000,Instagram_follows_raw!$B$4:$B1000)</f>
        <v>#N/A</v>
      </c>
      <c r="E511" s="26" t="str">
        <f t="array" ref="E511">XLOOKUP($A511,Instagram_interactions_raw!$A$4:$A1000,Instagram_interactions_raw!$B$4:$B1000)</f>
        <v>#N/A</v>
      </c>
      <c r="F511" s="26" t="str">
        <f t="array" ref="F511">XLOOKUP($A511,Instagram_reach_raw!$A$4:$A1000,Instagram_reach_raw!$B$4:$B1000)</f>
        <v>#N/A</v>
      </c>
    </row>
    <row r="512">
      <c r="A512" s="30" t="str">
        <f>Instagram_reach_raw!$A514</f>
        <v/>
      </c>
      <c r="B512" s="29" t="str">
        <f>Instagram_interactions_raw!$A514</f>
        <v/>
      </c>
      <c r="C512" s="26" t="str">
        <f t="shared" si="1"/>
        <v/>
      </c>
      <c r="D512" s="26" t="str">
        <f t="array" ref="D512">XLOOKUP($A512,Instagram_follows_raw!$A$4:$A1000,Instagram_follows_raw!$B$4:$B1000)</f>
        <v>#N/A</v>
      </c>
      <c r="E512" s="26" t="str">
        <f t="array" ref="E512">XLOOKUP($A512,Instagram_interactions_raw!$A$4:$A1000,Instagram_interactions_raw!$B$4:$B1000)</f>
        <v>#N/A</v>
      </c>
      <c r="F512" s="26" t="str">
        <f t="array" ref="F512">XLOOKUP($A512,Instagram_reach_raw!$A$4:$A1000,Instagram_reach_raw!$B$4:$B1000)</f>
        <v>#N/A</v>
      </c>
    </row>
    <row r="513">
      <c r="A513" s="30" t="str">
        <f>Instagram_reach_raw!$A515</f>
        <v/>
      </c>
      <c r="B513" s="29" t="str">
        <f>Instagram_interactions_raw!$A515</f>
        <v/>
      </c>
      <c r="C513" s="26" t="str">
        <f t="shared" si="1"/>
        <v/>
      </c>
      <c r="D513" s="26" t="str">
        <f t="array" ref="D513">XLOOKUP($A513,Instagram_follows_raw!$A$4:$A1000,Instagram_follows_raw!$B$4:$B1000)</f>
        <v>#N/A</v>
      </c>
      <c r="E513" s="26" t="str">
        <f t="array" ref="E513">XLOOKUP($A513,Instagram_interactions_raw!$A$4:$A1000,Instagram_interactions_raw!$B$4:$B1000)</f>
        <v>#N/A</v>
      </c>
      <c r="F513" s="26" t="str">
        <f t="array" ref="F513">XLOOKUP($A513,Instagram_reach_raw!$A$4:$A1000,Instagram_reach_raw!$B$4:$B1000)</f>
        <v>#N/A</v>
      </c>
    </row>
    <row r="514">
      <c r="A514" s="30" t="str">
        <f>Instagram_reach_raw!$A516</f>
        <v/>
      </c>
      <c r="B514" s="29" t="str">
        <f>Instagram_interactions_raw!$A516</f>
        <v/>
      </c>
      <c r="C514" s="26" t="str">
        <f t="shared" si="1"/>
        <v/>
      </c>
      <c r="D514" s="26" t="str">
        <f t="array" ref="D514">XLOOKUP($A514,Instagram_follows_raw!$A$4:$A1000,Instagram_follows_raw!$B$4:$B1000)</f>
        <v>#N/A</v>
      </c>
      <c r="E514" s="26" t="str">
        <f t="array" ref="E514">XLOOKUP($A514,Instagram_interactions_raw!$A$4:$A1000,Instagram_interactions_raw!$B$4:$B1000)</f>
        <v>#N/A</v>
      </c>
      <c r="F514" s="26" t="str">
        <f t="array" ref="F514">XLOOKUP($A514,Instagram_reach_raw!$A$4:$A1000,Instagram_reach_raw!$B$4:$B1000)</f>
        <v>#N/A</v>
      </c>
    </row>
    <row r="515">
      <c r="A515" s="30" t="str">
        <f>Instagram_reach_raw!$A517</f>
        <v/>
      </c>
      <c r="B515" s="29" t="str">
        <f>Instagram_interactions_raw!$A517</f>
        <v/>
      </c>
      <c r="C515" s="26" t="str">
        <f t="shared" si="1"/>
        <v/>
      </c>
      <c r="D515" s="26" t="str">
        <f t="array" ref="D515">XLOOKUP($A515,Instagram_follows_raw!$A$4:$A1000,Instagram_follows_raw!$B$4:$B1000)</f>
        <v>#N/A</v>
      </c>
      <c r="E515" s="26" t="str">
        <f t="array" ref="E515">XLOOKUP($A515,Instagram_interactions_raw!$A$4:$A1000,Instagram_interactions_raw!$B$4:$B1000)</f>
        <v>#N/A</v>
      </c>
      <c r="F515" s="26" t="str">
        <f t="array" ref="F515">XLOOKUP($A515,Instagram_reach_raw!$A$4:$A1000,Instagram_reach_raw!$B$4:$B1000)</f>
        <v>#N/A</v>
      </c>
    </row>
    <row r="516">
      <c r="A516" s="30" t="str">
        <f>Instagram_reach_raw!$A518</f>
        <v/>
      </c>
      <c r="B516" s="29" t="str">
        <f>Instagram_interactions_raw!$A518</f>
        <v/>
      </c>
      <c r="C516" s="26" t="str">
        <f t="shared" si="1"/>
        <v/>
      </c>
      <c r="D516" s="26" t="str">
        <f t="array" ref="D516">XLOOKUP($A516,Instagram_follows_raw!$A$4:$A1000,Instagram_follows_raw!$B$4:$B1000)</f>
        <v>#N/A</v>
      </c>
      <c r="E516" s="26" t="str">
        <f t="array" ref="E516">XLOOKUP($A516,Instagram_interactions_raw!$A$4:$A1000,Instagram_interactions_raw!$B$4:$B1000)</f>
        <v>#N/A</v>
      </c>
      <c r="F516" s="26" t="str">
        <f t="array" ref="F516">XLOOKUP($A516,Instagram_reach_raw!$A$4:$A1000,Instagram_reach_raw!$B$4:$B1000)</f>
        <v>#N/A</v>
      </c>
    </row>
    <row r="517">
      <c r="A517" s="30" t="str">
        <f>Instagram_reach_raw!$A519</f>
        <v/>
      </c>
      <c r="B517" s="29" t="str">
        <f>Instagram_interactions_raw!$A519</f>
        <v/>
      </c>
      <c r="C517" s="26" t="str">
        <f t="shared" si="1"/>
        <v/>
      </c>
      <c r="D517" s="26" t="str">
        <f t="array" ref="D517">XLOOKUP($A517,Instagram_follows_raw!$A$4:$A1000,Instagram_follows_raw!$B$4:$B1000)</f>
        <v>#N/A</v>
      </c>
      <c r="E517" s="26" t="str">
        <f t="array" ref="E517">XLOOKUP($A517,Instagram_interactions_raw!$A$4:$A1000,Instagram_interactions_raw!$B$4:$B1000)</f>
        <v>#N/A</v>
      </c>
      <c r="F517" s="26" t="str">
        <f t="array" ref="F517">XLOOKUP($A517,Instagram_reach_raw!$A$4:$A1000,Instagram_reach_raw!$B$4:$B1000)</f>
        <v>#N/A</v>
      </c>
    </row>
    <row r="518">
      <c r="A518" s="30" t="str">
        <f>Instagram_reach_raw!$A520</f>
        <v/>
      </c>
      <c r="B518" s="29" t="str">
        <f>Instagram_interactions_raw!$A520</f>
        <v/>
      </c>
      <c r="C518" s="26" t="str">
        <f t="shared" si="1"/>
        <v/>
      </c>
      <c r="D518" s="26" t="str">
        <f t="array" ref="D518">XLOOKUP($A518,Instagram_follows_raw!$A$4:$A1000,Instagram_follows_raw!$B$4:$B1000)</f>
        <v>#N/A</v>
      </c>
      <c r="E518" s="26" t="str">
        <f t="array" ref="E518">XLOOKUP($A518,Instagram_interactions_raw!$A$4:$A1000,Instagram_interactions_raw!$B$4:$B1000)</f>
        <v>#N/A</v>
      </c>
      <c r="F518" s="26" t="str">
        <f t="array" ref="F518">XLOOKUP($A518,Instagram_reach_raw!$A$4:$A1000,Instagram_reach_raw!$B$4:$B1000)</f>
        <v>#N/A</v>
      </c>
    </row>
    <row r="519">
      <c r="A519" s="30" t="str">
        <f>Instagram_reach_raw!$A521</f>
        <v/>
      </c>
      <c r="B519" s="29" t="str">
        <f>Instagram_interactions_raw!$A521</f>
        <v/>
      </c>
      <c r="C519" s="26" t="str">
        <f t="shared" si="1"/>
        <v/>
      </c>
      <c r="D519" s="26" t="str">
        <f t="array" ref="D519">XLOOKUP($A519,Instagram_follows_raw!$A$4:$A1000,Instagram_follows_raw!$B$4:$B1000)</f>
        <v>#N/A</v>
      </c>
      <c r="E519" s="26" t="str">
        <f t="array" ref="E519">XLOOKUP($A519,Instagram_interactions_raw!$A$4:$A1000,Instagram_interactions_raw!$B$4:$B1000)</f>
        <v>#N/A</v>
      </c>
      <c r="F519" s="26" t="str">
        <f t="array" ref="F519">XLOOKUP($A519,Instagram_reach_raw!$A$4:$A1000,Instagram_reach_raw!$B$4:$B1000)</f>
        <v>#N/A</v>
      </c>
    </row>
    <row r="520">
      <c r="A520" s="30" t="str">
        <f>Instagram_reach_raw!$A522</f>
        <v/>
      </c>
      <c r="B520" s="29" t="str">
        <f>Instagram_interactions_raw!$A522</f>
        <v/>
      </c>
      <c r="C520" s="26" t="str">
        <f t="shared" si="1"/>
        <v/>
      </c>
      <c r="D520" s="26" t="str">
        <f t="array" ref="D520">XLOOKUP($A520,Instagram_follows_raw!$A$4:$A1000,Instagram_follows_raw!$B$4:$B1000)</f>
        <v>#N/A</v>
      </c>
      <c r="E520" s="26" t="str">
        <f t="array" ref="E520">XLOOKUP($A520,Instagram_interactions_raw!$A$4:$A1000,Instagram_interactions_raw!$B$4:$B1000)</f>
        <v>#N/A</v>
      </c>
      <c r="F520" s="26" t="str">
        <f t="array" ref="F520">XLOOKUP($A520,Instagram_reach_raw!$A$4:$A1000,Instagram_reach_raw!$B$4:$B1000)</f>
        <v>#N/A</v>
      </c>
    </row>
    <row r="521">
      <c r="A521" s="30" t="str">
        <f>Instagram_reach_raw!$A523</f>
        <v/>
      </c>
      <c r="B521" s="29" t="str">
        <f>Instagram_interactions_raw!$A523</f>
        <v/>
      </c>
      <c r="C521" s="26" t="str">
        <f t="shared" si="1"/>
        <v/>
      </c>
      <c r="D521" s="26" t="str">
        <f t="array" ref="D521">XLOOKUP($A521,Instagram_follows_raw!$A$4:$A1000,Instagram_follows_raw!$B$4:$B1000)</f>
        <v>#N/A</v>
      </c>
      <c r="E521" s="26" t="str">
        <f t="array" ref="E521">XLOOKUP($A521,Instagram_interactions_raw!$A$4:$A1000,Instagram_interactions_raw!$B$4:$B1000)</f>
        <v>#N/A</v>
      </c>
      <c r="F521" s="26" t="str">
        <f t="array" ref="F521">XLOOKUP($A521,Instagram_reach_raw!$A$4:$A1000,Instagram_reach_raw!$B$4:$B1000)</f>
        <v>#N/A</v>
      </c>
    </row>
    <row r="522">
      <c r="A522" s="30" t="str">
        <f>Instagram_reach_raw!$A524</f>
        <v/>
      </c>
      <c r="B522" s="29" t="str">
        <f>Instagram_interactions_raw!$A524</f>
        <v/>
      </c>
      <c r="C522" s="26" t="str">
        <f t="shared" si="1"/>
        <v/>
      </c>
      <c r="D522" s="26" t="str">
        <f t="array" ref="D522">XLOOKUP($A522,Instagram_follows_raw!$A$4:$A1000,Instagram_follows_raw!$B$4:$B1000)</f>
        <v>#N/A</v>
      </c>
      <c r="E522" s="26" t="str">
        <f t="array" ref="E522">XLOOKUP($A522,Instagram_interactions_raw!$A$4:$A1000,Instagram_interactions_raw!$B$4:$B1000)</f>
        <v>#N/A</v>
      </c>
      <c r="F522" s="26" t="str">
        <f t="array" ref="F522">XLOOKUP($A522,Instagram_reach_raw!$A$4:$A1000,Instagram_reach_raw!$B$4:$B1000)</f>
        <v>#N/A</v>
      </c>
    </row>
    <row r="523">
      <c r="A523" s="30" t="str">
        <f>Instagram_reach_raw!$A525</f>
        <v/>
      </c>
      <c r="B523" s="29" t="str">
        <f>Instagram_interactions_raw!$A525</f>
        <v/>
      </c>
      <c r="C523" s="26" t="str">
        <f t="shared" si="1"/>
        <v/>
      </c>
      <c r="D523" s="26" t="str">
        <f t="array" ref="D523">XLOOKUP($A523,Instagram_follows_raw!$A$4:$A1000,Instagram_follows_raw!$B$4:$B1000)</f>
        <v>#N/A</v>
      </c>
      <c r="E523" s="26" t="str">
        <f t="array" ref="E523">XLOOKUP($A523,Instagram_interactions_raw!$A$4:$A1000,Instagram_interactions_raw!$B$4:$B1000)</f>
        <v>#N/A</v>
      </c>
      <c r="F523" s="26" t="str">
        <f t="array" ref="F523">XLOOKUP($A523,Instagram_reach_raw!$A$4:$A1000,Instagram_reach_raw!$B$4:$B1000)</f>
        <v>#N/A</v>
      </c>
    </row>
    <row r="524">
      <c r="A524" s="30" t="str">
        <f>Instagram_reach_raw!$A526</f>
        <v/>
      </c>
      <c r="B524" s="29" t="str">
        <f>Instagram_interactions_raw!$A526</f>
        <v/>
      </c>
      <c r="C524" s="26" t="str">
        <f t="shared" si="1"/>
        <v/>
      </c>
      <c r="D524" s="26" t="str">
        <f t="array" ref="D524">XLOOKUP($A524,Instagram_follows_raw!$A$4:$A1000,Instagram_follows_raw!$B$4:$B1000)</f>
        <v>#N/A</v>
      </c>
      <c r="E524" s="26" t="str">
        <f t="array" ref="E524">XLOOKUP($A524,Instagram_interactions_raw!$A$4:$A1000,Instagram_interactions_raw!$B$4:$B1000)</f>
        <v>#N/A</v>
      </c>
      <c r="F524" s="26" t="str">
        <f t="array" ref="F524">XLOOKUP($A524,Instagram_reach_raw!$A$4:$A1000,Instagram_reach_raw!$B$4:$B1000)</f>
        <v>#N/A</v>
      </c>
    </row>
    <row r="525">
      <c r="A525" s="30" t="str">
        <f>Instagram_reach_raw!$A527</f>
        <v/>
      </c>
      <c r="B525" s="29" t="str">
        <f>Instagram_interactions_raw!$A527</f>
        <v/>
      </c>
      <c r="C525" s="26" t="str">
        <f t="shared" si="1"/>
        <v/>
      </c>
      <c r="D525" s="26" t="str">
        <f t="array" ref="D525">XLOOKUP($A525,Instagram_follows_raw!$A$4:$A1000,Instagram_follows_raw!$B$4:$B1000)</f>
        <v>#N/A</v>
      </c>
      <c r="E525" s="26" t="str">
        <f t="array" ref="E525">XLOOKUP($A525,Instagram_interactions_raw!$A$4:$A1000,Instagram_interactions_raw!$B$4:$B1000)</f>
        <v>#N/A</v>
      </c>
      <c r="F525" s="26" t="str">
        <f t="array" ref="F525">XLOOKUP($A525,Instagram_reach_raw!$A$4:$A1000,Instagram_reach_raw!$B$4:$B1000)</f>
        <v>#N/A</v>
      </c>
    </row>
    <row r="526">
      <c r="A526" s="30" t="str">
        <f>Instagram_reach_raw!$A528</f>
        <v/>
      </c>
      <c r="B526" s="29" t="str">
        <f>Instagram_interactions_raw!$A528</f>
        <v/>
      </c>
      <c r="C526" s="26" t="str">
        <f t="shared" si="1"/>
        <v/>
      </c>
      <c r="D526" s="26" t="str">
        <f t="array" ref="D526">XLOOKUP($A526,Instagram_follows_raw!$A$4:$A1000,Instagram_follows_raw!$B$4:$B1000)</f>
        <v>#N/A</v>
      </c>
      <c r="E526" s="26" t="str">
        <f t="array" ref="E526">XLOOKUP($A526,Instagram_interactions_raw!$A$4:$A1000,Instagram_interactions_raw!$B$4:$B1000)</f>
        <v>#N/A</v>
      </c>
      <c r="F526" s="26" t="str">
        <f t="array" ref="F526">XLOOKUP($A526,Instagram_reach_raw!$A$4:$A1000,Instagram_reach_raw!$B$4:$B1000)</f>
        <v>#N/A</v>
      </c>
    </row>
    <row r="527">
      <c r="A527" s="30" t="str">
        <f>Instagram_reach_raw!$A529</f>
        <v/>
      </c>
      <c r="B527" s="29" t="str">
        <f>Instagram_interactions_raw!$A529</f>
        <v/>
      </c>
      <c r="C527" s="26" t="str">
        <f t="shared" si="1"/>
        <v/>
      </c>
      <c r="D527" s="26" t="str">
        <f t="array" ref="D527">XLOOKUP($A527,Instagram_follows_raw!$A$4:$A1000,Instagram_follows_raw!$B$4:$B1000)</f>
        <v>#N/A</v>
      </c>
      <c r="E527" s="26" t="str">
        <f t="array" ref="E527">XLOOKUP($A527,Instagram_interactions_raw!$A$4:$A1000,Instagram_interactions_raw!$B$4:$B1000)</f>
        <v>#N/A</v>
      </c>
      <c r="F527" s="26" t="str">
        <f t="array" ref="F527">XLOOKUP($A527,Instagram_reach_raw!$A$4:$A1000,Instagram_reach_raw!$B$4:$B1000)</f>
        <v>#N/A</v>
      </c>
    </row>
    <row r="528">
      <c r="A528" s="30" t="str">
        <f>Instagram_reach_raw!$A530</f>
        <v/>
      </c>
      <c r="B528" s="29" t="str">
        <f>Instagram_interactions_raw!$A530</f>
        <v/>
      </c>
      <c r="C528" s="26" t="str">
        <f t="shared" si="1"/>
        <v/>
      </c>
      <c r="D528" s="26" t="str">
        <f t="array" ref="D528">XLOOKUP($A528,Instagram_follows_raw!$A$4:$A1000,Instagram_follows_raw!$B$4:$B1000)</f>
        <v>#N/A</v>
      </c>
      <c r="E528" s="26" t="str">
        <f t="array" ref="E528">XLOOKUP($A528,Instagram_interactions_raw!$A$4:$A1000,Instagram_interactions_raw!$B$4:$B1000)</f>
        <v>#N/A</v>
      </c>
      <c r="F528" s="26" t="str">
        <f t="array" ref="F528">XLOOKUP($A528,Instagram_reach_raw!$A$4:$A1000,Instagram_reach_raw!$B$4:$B1000)</f>
        <v>#N/A</v>
      </c>
    </row>
    <row r="529">
      <c r="A529" s="30" t="str">
        <f>Instagram_reach_raw!$A531</f>
        <v/>
      </c>
      <c r="B529" s="29" t="str">
        <f>Instagram_interactions_raw!$A531</f>
        <v/>
      </c>
      <c r="C529" s="26" t="str">
        <f t="shared" si="1"/>
        <v/>
      </c>
      <c r="D529" s="26" t="str">
        <f t="array" ref="D529">XLOOKUP($A529,Instagram_follows_raw!$A$4:$A1000,Instagram_follows_raw!$B$4:$B1000)</f>
        <v>#N/A</v>
      </c>
      <c r="E529" s="26" t="str">
        <f t="array" ref="E529">XLOOKUP($A529,Instagram_interactions_raw!$A$4:$A1000,Instagram_interactions_raw!$B$4:$B1000)</f>
        <v>#N/A</v>
      </c>
      <c r="F529" s="26" t="str">
        <f t="array" ref="F529">XLOOKUP($A529,Instagram_reach_raw!$A$4:$A1000,Instagram_reach_raw!$B$4:$B1000)</f>
        <v>#N/A</v>
      </c>
    </row>
    <row r="530">
      <c r="A530" s="30" t="str">
        <f>Instagram_reach_raw!$A532</f>
        <v/>
      </c>
      <c r="B530" s="29" t="str">
        <f>Instagram_interactions_raw!$A532</f>
        <v/>
      </c>
      <c r="C530" s="26" t="str">
        <f t="shared" si="1"/>
        <v/>
      </c>
      <c r="D530" s="26" t="str">
        <f t="array" ref="D530">XLOOKUP($A530,Instagram_follows_raw!$A$4:$A1000,Instagram_follows_raw!$B$4:$B1000)</f>
        <v>#N/A</v>
      </c>
      <c r="E530" s="26" t="str">
        <f t="array" ref="E530">XLOOKUP($A530,Instagram_interactions_raw!$A$4:$A1000,Instagram_interactions_raw!$B$4:$B1000)</f>
        <v>#N/A</v>
      </c>
      <c r="F530" s="26" t="str">
        <f t="array" ref="F530">XLOOKUP($A530,Instagram_reach_raw!$A$4:$A1000,Instagram_reach_raw!$B$4:$B1000)</f>
        <v>#N/A</v>
      </c>
    </row>
    <row r="531">
      <c r="A531" s="30" t="str">
        <f>Instagram_reach_raw!$A533</f>
        <v/>
      </c>
      <c r="B531" s="29" t="str">
        <f>Instagram_interactions_raw!$A533</f>
        <v/>
      </c>
      <c r="C531" s="26" t="str">
        <f t="shared" si="1"/>
        <v/>
      </c>
      <c r="D531" s="26" t="str">
        <f t="array" ref="D531">XLOOKUP($A531,Instagram_follows_raw!$A$4:$A1000,Instagram_follows_raw!$B$4:$B1000)</f>
        <v>#N/A</v>
      </c>
      <c r="E531" s="26" t="str">
        <f t="array" ref="E531">XLOOKUP($A531,Instagram_interactions_raw!$A$4:$A1000,Instagram_interactions_raw!$B$4:$B1000)</f>
        <v>#N/A</v>
      </c>
      <c r="F531" s="26" t="str">
        <f t="array" ref="F531">XLOOKUP($A531,Instagram_reach_raw!$A$4:$A1000,Instagram_reach_raw!$B$4:$B1000)</f>
        <v>#N/A</v>
      </c>
    </row>
    <row r="532">
      <c r="A532" s="30" t="str">
        <f>Instagram_reach_raw!$A534</f>
        <v/>
      </c>
      <c r="B532" s="29" t="str">
        <f>Instagram_interactions_raw!$A534</f>
        <v/>
      </c>
      <c r="C532" s="26" t="str">
        <f t="shared" si="1"/>
        <v/>
      </c>
      <c r="D532" s="26" t="str">
        <f t="array" ref="D532">XLOOKUP($A532,Instagram_follows_raw!$A$4:$A1000,Instagram_follows_raw!$B$4:$B1000)</f>
        <v>#N/A</v>
      </c>
      <c r="E532" s="26" t="str">
        <f t="array" ref="E532">XLOOKUP($A532,Instagram_interactions_raw!$A$4:$A1000,Instagram_interactions_raw!$B$4:$B1000)</f>
        <v>#N/A</v>
      </c>
      <c r="F532" s="26" t="str">
        <f t="array" ref="F532">XLOOKUP($A532,Instagram_reach_raw!$A$4:$A1000,Instagram_reach_raw!$B$4:$B1000)</f>
        <v>#N/A</v>
      </c>
    </row>
    <row r="533">
      <c r="A533" s="30" t="str">
        <f>Instagram_reach_raw!$A535</f>
        <v/>
      </c>
      <c r="B533" s="29" t="str">
        <f>Instagram_interactions_raw!$A535</f>
        <v/>
      </c>
      <c r="C533" s="26" t="str">
        <f t="shared" si="1"/>
        <v/>
      </c>
      <c r="D533" s="26" t="str">
        <f t="array" ref="D533">XLOOKUP($A533,Instagram_follows_raw!$A$4:$A1000,Instagram_follows_raw!$B$4:$B1000)</f>
        <v>#N/A</v>
      </c>
      <c r="E533" s="26" t="str">
        <f t="array" ref="E533">XLOOKUP($A533,Instagram_interactions_raw!$A$4:$A1000,Instagram_interactions_raw!$B$4:$B1000)</f>
        <v>#N/A</v>
      </c>
      <c r="F533" s="26" t="str">
        <f t="array" ref="F533">XLOOKUP($A533,Instagram_reach_raw!$A$4:$A1000,Instagram_reach_raw!$B$4:$B1000)</f>
        <v>#N/A</v>
      </c>
    </row>
    <row r="534">
      <c r="A534" s="30" t="str">
        <f>Instagram_reach_raw!$A536</f>
        <v/>
      </c>
      <c r="B534" s="29" t="str">
        <f>Instagram_interactions_raw!$A536</f>
        <v/>
      </c>
      <c r="C534" s="26" t="str">
        <f t="shared" si="1"/>
        <v/>
      </c>
      <c r="D534" s="26" t="str">
        <f t="array" ref="D534">XLOOKUP($A534,Instagram_follows_raw!$A$4:$A1000,Instagram_follows_raw!$B$4:$B1000)</f>
        <v>#N/A</v>
      </c>
      <c r="E534" s="26" t="str">
        <f t="array" ref="E534">XLOOKUP($A534,Instagram_interactions_raw!$A$4:$A1000,Instagram_interactions_raw!$B$4:$B1000)</f>
        <v>#N/A</v>
      </c>
      <c r="F534" s="26" t="str">
        <f t="array" ref="F534">XLOOKUP($A534,Instagram_reach_raw!$A$4:$A1000,Instagram_reach_raw!$B$4:$B1000)</f>
        <v>#N/A</v>
      </c>
    </row>
    <row r="535">
      <c r="A535" s="30" t="str">
        <f>Instagram_reach_raw!$A537</f>
        <v/>
      </c>
      <c r="B535" s="29" t="str">
        <f>Instagram_interactions_raw!$A537</f>
        <v/>
      </c>
      <c r="C535" s="26" t="str">
        <f t="shared" si="1"/>
        <v/>
      </c>
      <c r="D535" s="26" t="str">
        <f t="array" ref="D535">XLOOKUP($A535,Instagram_follows_raw!$A$4:$A1000,Instagram_follows_raw!$B$4:$B1000)</f>
        <v>#N/A</v>
      </c>
      <c r="E535" s="26" t="str">
        <f t="array" ref="E535">XLOOKUP($A535,Instagram_interactions_raw!$A$4:$A1000,Instagram_interactions_raw!$B$4:$B1000)</f>
        <v>#N/A</v>
      </c>
      <c r="F535" s="26" t="str">
        <f t="array" ref="F535">XLOOKUP($A535,Instagram_reach_raw!$A$4:$A1000,Instagram_reach_raw!$B$4:$B1000)</f>
        <v>#N/A</v>
      </c>
    </row>
    <row r="536">
      <c r="A536" s="30" t="str">
        <f>Instagram_reach_raw!$A538</f>
        <v/>
      </c>
      <c r="B536" s="29" t="str">
        <f>Instagram_interactions_raw!$A538</f>
        <v/>
      </c>
      <c r="C536" s="26" t="str">
        <f t="shared" si="1"/>
        <v/>
      </c>
      <c r="D536" s="26" t="str">
        <f t="array" ref="D536">XLOOKUP($A536,Instagram_follows_raw!$A$4:$A1000,Instagram_follows_raw!$B$4:$B1000)</f>
        <v>#N/A</v>
      </c>
      <c r="E536" s="26" t="str">
        <f t="array" ref="E536">XLOOKUP($A536,Instagram_interactions_raw!$A$4:$A1000,Instagram_interactions_raw!$B$4:$B1000)</f>
        <v>#N/A</v>
      </c>
      <c r="F536" s="26" t="str">
        <f t="array" ref="F536">XLOOKUP($A536,Instagram_reach_raw!$A$4:$A1000,Instagram_reach_raw!$B$4:$B1000)</f>
        <v>#N/A</v>
      </c>
    </row>
    <row r="537">
      <c r="A537" s="30" t="str">
        <f>Instagram_reach_raw!$A539</f>
        <v/>
      </c>
      <c r="B537" s="29" t="str">
        <f>Instagram_interactions_raw!$A539</f>
        <v/>
      </c>
      <c r="C537" s="26" t="str">
        <f t="shared" si="1"/>
        <v/>
      </c>
      <c r="D537" s="26" t="str">
        <f t="array" ref="D537">XLOOKUP($A537,Instagram_follows_raw!$A$4:$A1000,Instagram_follows_raw!$B$4:$B1000)</f>
        <v>#N/A</v>
      </c>
      <c r="E537" s="26" t="str">
        <f t="array" ref="E537">XLOOKUP($A537,Instagram_interactions_raw!$A$4:$A1000,Instagram_interactions_raw!$B$4:$B1000)</f>
        <v>#N/A</v>
      </c>
      <c r="F537" s="26" t="str">
        <f t="array" ref="F537">XLOOKUP($A537,Instagram_reach_raw!$A$4:$A1000,Instagram_reach_raw!$B$4:$B1000)</f>
        <v>#N/A</v>
      </c>
    </row>
    <row r="538">
      <c r="A538" s="30" t="str">
        <f>Instagram_reach_raw!$A540</f>
        <v/>
      </c>
      <c r="B538" s="29" t="str">
        <f>Instagram_interactions_raw!$A540</f>
        <v/>
      </c>
      <c r="C538" s="26" t="str">
        <f t="shared" si="1"/>
        <v/>
      </c>
      <c r="D538" s="26" t="str">
        <f t="array" ref="D538">XLOOKUP($A538,Instagram_follows_raw!$A$4:$A1000,Instagram_follows_raw!$B$4:$B1000)</f>
        <v>#N/A</v>
      </c>
      <c r="E538" s="26" t="str">
        <f t="array" ref="E538">XLOOKUP($A538,Instagram_interactions_raw!$A$4:$A1000,Instagram_interactions_raw!$B$4:$B1000)</f>
        <v>#N/A</v>
      </c>
      <c r="F538" s="26" t="str">
        <f t="array" ref="F538">XLOOKUP($A538,Instagram_reach_raw!$A$4:$A1000,Instagram_reach_raw!$B$4:$B1000)</f>
        <v>#N/A</v>
      </c>
    </row>
    <row r="539">
      <c r="A539" s="30" t="str">
        <f>Instagram_reach_raw!$A541</f>
        <v/>
      </c>
      <c r="B539" s="29" t="str">
        <f>Instagram_interactions_raw!$A541</f>
        <v/>
      </c>
      <c r="C539" s="26" t="str">
        <f t="shared" si="1"/>
        <v/>
      </c>
      <c r="D539" s="26" t="str">
        <f t="array" ref="D539">XLOOKUP($A539,Instagram_follows_raw!$A$4:$A1000,Instagram_follows_raw!$B$4:$B1000)</f>
        <v>#N/A</v>
      </c>
      <c r="E539" s="26" t="str">
        <f t="array" ref="E539">XLOOKUP($A539,Instagram_interactions_raw!$A$4:$A1000,Instagram_interactions_raw!$B$4:$B1000)</f>
        <v>#N/A</v>
      </c>
      <c r="F539" s="26" t="str">
        <f t="array" ref="F539">XLOOKUP($A539,Instagram_reach_raw!$A$4:$A1000,Instagram_reach_raw!$B$4:$B1000)</f>
        <v>#N/A</v>
      </c>
    </row>
    <row r="540">
      <c r="A540" s="30" t="str">
        <f>Instagram_reach_raw!$A542</f>
        <v/>
      </c>
      <c r="B540" s="29" t="str">
        <f>Instagram_interactions_raw!$A542</f>
        <v/>
      </c>
      <c r="C540" s="26" t="str">
        <f t="shared" si="1"/>
        <v/>
      </c>
      <c r="D540" s="26" t="str">
        <f t="array" ref="D540">XLOOKUP($A540,Instagram_follows_raw!$A$4:$A1000,Instagram_follows_raw!$B$4:$B1000)</f>
        <v>#N/A</v>
      </c>
      <c r="E540" s="26" t="str">
        <f t="array" ref="E540">XLOOKUP($A540,Instagram_interactions_raw!$A$4:$A1000,Instagram_interactions_raw!$B$4:$B1000)</f>
        <v>#N/A</v>
      </c>
      <c r="F540" s="26" t="str">
        <f t="array" ref="F540">XLOOKUP($A540,Instagram_reach_raw!$A$4:$A1000,Instagram_reach_raw!$B$4:$B1000)</f>
        <v>#N/A</v>
      </c>
    </row>
    <row r="541">
      <c r="A541" s="30" t="str">
        <f>Instagram_reach_raw!$A543</f>
        <v/>
      </c>
      <c r="B541" s="29" t="str">
        <f>Instagram_interactions_raw!$A543</f>
        <v/>
      </c>
      <c r="C541" s="26" t="str">
        <f t="shared" si="1"/>
        <v/>
      </c>
      <c r="D541" s="26" t="str">
        <f t="array" ref="D541">XLOOKUP($A541,Instagram_follows_raw!$A$4:$A1000,Instagram_follows_raw!$B$4:$B1000)</f>
        <v>#N/A</v>
      </c>
      <c r="E541" s="26" t="str">
        <f t="array" ref="E541">XLOOKUP($A541,Instagram_interactions_raw!$A$4:$A1000,Instagram_interactions_raw!$B$4:$B1000)</f>
        <v>#N/A</v>
      </c>
      <c r="F541" s="26" t="str">
        <f t="array" ref="F541">XLOOKUP($A541,Instagram_reach_raw!$A$4:$A1000,Instagram_reach_raw!$B$4:$B1000)</f>
        <v>#N/A</v>
      </c>
    </row>
    <row r="542">
      <c r="A542" s="30" t="str">
        <f>Instagram_reach_raw!$A544</f>
        <v/>
      </c>
      <c r="B542" s="29" t="str">
        <f>Instagram_interactions_raw!$A544</f>
        <v/>
      </c>
      <c r="C542" s="26" t="str">
        <f t="shared" si="1"/>
        <v/>
      </c>
      <c r="D542" s="26" t="str">
        <f t="array" ref="D542">XLOOKUP($A542,Instagram_follows_raw!$A$4:$A1000,Instagram_follows_raw!$B$4:$B1000)</f>
        <v>#N/A</v>
      </c>
      <c r="E542" s="26" t="str">
        <f t="array" ref="E542">XLOOKUP($A542,Instagram_interactions_raw!$A$4:$A1000,Instagram_interactions_raw!$B$4:$B1000)</f>
        <v>#N/A</v>
      </c>
      <c r="F542" s="26" t="str">
        <f t="array" ref="F542">XLOOKUP($A542,Instagram_reach_raw!$A$4:$A1000,Instagram_reach_raw!$B$4:$B1000)</f>
        <v>#N/A</v>
      </c>
    </row>
    <row r="543">
      <c r="A543" s="30" t="str">
        <f>Instagram_reach_raw!$A545</f>
        <v/>
      </c>
      <c r="B543" s="29" t="str">
        <f>Instagram_interactions_raw!$A545</f>
        <v/>
      </c>
      <c r="C543" s="26" t="str">
        <f t="shared" si="1"/>
        <v/>
      </c>
      <c r="D543" s="26" t="str">
        <f t="array" ref="D543">XLOOKUP($A543,Instagram_follows_raw!$A$4:$A1000,Instagram_follows_raw!$B$4:$B1000)</f>
        <v>#N/A</v>
      </c>
      <c r="E543" s="26" t="str">
        <f t="array" ref="E543">XLOOKUP($A543,Instagram_interactions_raw!$A$4:$A1000,Instagram_interactions_raw!$B$4:$B1000)</f>
        <v>#N/A</v>
      </c>
      <c r="F543" s="26" t="str">
        <f t="array" ref="F543">XLOOKUP($A543,Instagram_reach_raw!$A$4:$A1000,Instagram_reach_raw!$B$4:$B1000)</f>
        <v>#N/A</v>
      </c>
    </row>
    <row r="544">
      <c r="A544" s="30" t="str">
        <f>Instagram_reach_raw!$A546</f>
        <v/>
      </c>
      <c r="B544" s="29" t="str">
        <f>Instagram_interactions_raw!$A546</f>
        <v/>
      </c>
      <c r="C544" s="26" t="str">
        <f t="shared" si="1"/>
        <v/>
      </c>
      <c r="D544" s="26" t="str">
        <f t="array" ref="D544">XLOOKUP($A544,Instagram_follows_raw!$A$4:$A1000,Instagram_follows_raw!$B$4:$B1000)</f>
        <v>#N/A</v>
      </c>
      <c r="E544" s="26" t="str">
        <f t="array" ref="E544">XLOOKUP($A544,Instagram_interactions_raw!$A$4:$A1000,Instagram_interactions_raw!$B$4:$B1000)</f>
        <v>#N/A</v>
      </c>
      <c r="F544" s="26" t="str">
        <f t="array" ref="F544">XLOOKUP($A544,Instagram_reach_raw!$A$4:$A1000,Instagram_reach_raw!$B$4:$B1000)</f>
        <v>#N/A</v>
      </c>
    </row>
    <row r="545">
      <c r="A545" s="30" t="str">
        <f>Instagram_reach_raw!$A547</f>
        <v/>
      </c>
      <c r="B545" s="29" t="str">
        <f>Instagram_interactions_raw!$A547</f>
        <v/>
      </c>
      <c r="C545" s="26" t="str">
        <f t="shared" si="1"/>
        <v/>
      </c>
      <c r="D545" s="26" t="str">
        <f t="array" ref="D545">XLOOKUP($A545,Instagram_follows_raw!$A$4:$A1000,Instagram_follows_raw!$B$4:$B1000)</f>
        <v>#N/A</v>
      </c>
      <c r="E545" s="26" t="str">
        <f t="array" ref="E545">XLOOKUP($A545,Instagram_interactions_raw!$A$4:$A1000,Instagram_interactions_raw!$B$4:$B1000)</f>
        <v>#N/A</v>
      </c>
      <c r="F545" s="26" t="str">
        <f t="array" ref="F545">XLOOKUP($A545,Instagram_reach_raw!$A$4:$A1000,Instagram_reach_raw!$B$4:$B1000)</f>
        <v>#N/A</v>
      </c>
    </row>
    <row r="546">
      <c r="A546" s="30" t="str">
        <f>Instagram_reach_raw!$A548</f>
        <v/>
      </c>
      <c r="B546" s="29" t="str">
        <f>Instagram_interactions_raw!$A548</f>
        <v/>
      </c>
      <c r="C546" s="26" t="str">
        <f t="shared" si="1"/>
        <v/>
      </c>
      <c r="D546" s="26" t="str">
        <f t="array" ref="D546">XLOOKUP($A546,Instagram_follows_raw!$A$4:$A1000,Instagram_follows_raw!$B$4:$B1000)</f>
        <v>#N/A</v>
      </c>
      <c r="E546" s="26" t="str">
        <f t="array" ref="E546">XLOOKUP($A546,Instagram_interactions_raw!$A$4:$A1000,Instagram_interactions_raw!$B$4:$B1000)</f>
        <v>#N/A</v>
      </c>
      <c r="F546" s="26" t="str">
        <f t="array" ref="F546">XLOOKUP($A546,Instagram_reach_raw!$A$4:$A1000,Instagram_reach_raw!$B$4:$B1000)</f>
        <v>#N/A</v>
      </c>
    </row>
    <row r="547">
      <c r="A547" s="30" t="str">
        <f>Instagram_reach_raw!$A549</f>
        <v/>
      </c>
      <c r="B547" s="29" t="str">
        <f>Instagram_interactions_raw!$A549</f>
        <v/>
      </c>
      <c r="C547" s="26" t="str">
        <f t="shared" si="1"/>
        <v/>
      </c>
      <c r="D547" s="26" t="str">
        <f t="array" ref="D547">XLOOKUP($A547,Instagram_follows_raw!$A$4:$A1000,Instagram_follows_raw!$B$4:$B1000)</f>
        <v>#N/A</v>
      </c>
      <c r="E547" s="26" t="str">
        <f t="array" ref="E547">XLOOKUP($A547,Instagram_interactions_raw!$A$4:$A1000,Instagram_interactions_raw!$B$4:$B1000)</f>
        <v>#N/A</v>
      </c>
      <c r="F547" s="26" t="str">
        <f t="array" ref="F547">XLOOKUP($A547,Instagram_reach_raw!$A$4:$A1000,Instagram_reach_raw!$B$4:$B1000)</f>
        <v>#N/A</v>
      </c>
    </row>
    <row r="548">
      <c r="A548" s="30" t="str">
        <f>Instagram_reach_raw!$A550</f>
        <v/>
      </c>
      <c r="B548" s="29" t="str">
        <f>Instagram_interactions_raw!$A550</f>
        <v/>
      </c>
      <c r="C548" s="26" t="str">
        <f t="shared" si="1"/>
        <v/>
      </c>
      <c r="D548" s="26" t="str">
        <f t="array" ref="D548">XLOOKUP($A548,Instagram_follows_raw!$A$4:$A1000,Instagram_follows_raw!$B$4:$B1000)</f>
        <v>#N/A</v>
      </c>
      <c r="E548" s="26" t="str">
        <f t="array" ref="E548">XLOOKUP($A548,Instagram_interactions_raw!$A$4:$A1000,Instagram_interactions_raw!$B$4:$B1000)</f>
        <v>#N/A</v>
      </c>
      <c r="F548" s="26" t="str">
        <f t="array" ref="F548">XLOOKUP($A548,Instagram_reach_raw!$A$4:$A1000,Instagram_reach_raw!$B$4:$B1000)</f>
        <v>#N/A</v>
      </c>
    </row>
    <row r="549">
      <c r="A549" s="30" t="str">
        <f>Instagram_reach_raw!$A551</f>
        <v/>
      </c>
      <c r="B549" s="29" t="str">
        <f>Instagram_interactions_raw!$A551</f>
        <v/>
      </c>
      <c r="C549" s="26" t="str">
        <f t="shared" si="1"/>
        <v/>
      </c>
      <c r="D549" s="26" t="str">
        <f t="array" ref="D549">XLOOKUP($A549,Instagram_follows_raw!$A$4:$A1000,Instagram_follows_raw!$B$4:$B1000)</f>
        <v>#N/A</v>
      </c>
      <c r="E549" s="26" t="str">
        <f t="array" ref="E549">XLOOKUP($A549,Instagram_interactions_raw!$A$4:$A1000,Instagram_interactions_raw!$B$4:$B1000)</f>
        <v>#N/A</v>
      </c>
      <c r="F549" s="26" t="str">
        <f t="array" ref="F549">XLOOKUP($A549,Instagram_reach_raw!$A$4:$A1000,Instagram_reach_raw!$B$4:$B1000)</f>
        <v>#N/A</v>
      </c>
    </row>
    <row r="550">
      <c r="A550" s="30" t="str">
        <f>Instagram_reach_raw!$A552</f>
        <v/>
      </c>
      <c r="B550" s="29" t="str">
        <f>Instagram_interactions_raw!$A552</f>
        <v/>
      </c>
      <c r="C550" s="26" t="str">
        <f t="shared" si="1"/>
        <v/>
      </c>
      <c r="D550" s="26" t="str">
        <f t="array" ref="D550">XLOOKUP($A550,Instagram_follows_raw!$A$4:$A1000,Instagram_follows_raw!$B$4:$B1000)</f>
        <v>#N/A</v>
      </c>
      <c r="E550" s="26" t="str">
        <f t="array" ref="E550">XLOOKUP($A550,Instagram_interactions_raw!$A$4:$A1000,Instagram_interactions_raw!$B$4:$B1000)</f>
        <v>#N/A</v>
      </c>
      <c r="F550" s="26" t="str">
        <f t="array" ref="F550">XLOOKUP($A550,Instagram_reach_raw!$A$4:$A1000,Instagram_reach_raw!$B$4:$B1000)</f>
        <v>#N/A</v>
      </c>
    </row>
    <row r="551">
      <c r="A551" s="30" t="str">
        <f>Instagram_reach_raw!$A553</f>
        <v/>
      </c>
      <c r="B551" s="29" t="str">
        <f>Instagram_interactions_raw!$A553</f>
        <v/>
      </c>
      <c r="C551" s="26" t="str">
        <f t="shared" si="1"/>
        <v/>
      </c>
      <c r="D551" s="26" t="str">
        <f t="array" ref="D551">XLOOKUP($A551,Instagram_follows_raw!$A$4:$A1000,Instagram_follows_raw!$B$4:$B1000)</f>
        <v>#N/A</v>
      </c>
      <c r="E551" s="26" t="str">
        <f t="array" ref="E551">XLOOKUP($A551,Instagram_interactions_raw!$A$4:$A1000,Instagram_interactions_raw!$B$4:$B1000)</f>
        <v>#N/A</v>
      </c>
      <c r="F551" s="26" t="str">
        <f t="array" ref="F551">XLOOKUP($A551,Instagram_reach_raw!$A$4:$A1000,Instagram_reach_raw!$B$4:$B1000)</f>
        <v>#N/A</v>
      </c>
    </row>
    <row r="552">
      <c r="A552" s="30" t="str">
        <f>Instagram_reach_raw!$A554</f>
        <v/>
      </c>
      <c r="B552" s="29" t="str">
        <f>Instagram_interactions_raw!$A554</f>
        <v/>
      </c>
      <c r="C552" s="26" t="str">
        <f t="shared" si="1"/>
        <v/>
      </c>
      <c r="D552" s="26" t="str">
        <f t="array" ref="D552">XLOOKUP($A552,Instagram_follows_raw!$A$4:$A1000,Instagram_follows_raw!$B$4:$B1000)</f>
        <v>#N/A</v>
      </c>
      <c r="E552" s="26" t="str">
        <f t="array" ref="E552">XLOOKUP($A552,Instagram_interactions_raw!$A$4:$A1000,Instagram_interactions_raw!$B$4:$B1000)</f>
        <v>#N/A</v>
      </c>
      <c r="F552" s="26" t="str">
        <f t="array" ref="F552">XLOOKUP($A552,Instagram_reach_raw!$A$4:$A1000,Instagram_reach_raw!$B$4:$B1000)</f>
        <v>#N/A</v>
      </c>
    </row>
    <row r="553">
      <c r="A553" s="30" t="str">
        <f>Instagram_reach_raw!$A555</f>
        <v/>
      </c>
      <c r="B553" s="29" t="str">
        <f>Instagram_interactions_raw!$A555</f>
        <v/>
      </c>
      <c r="C553" s="26" t="str">
        <f t="shared" si="1"/>
        <v/>
      </c>
      <c r="D553" s="26" t="str">
        <f t="array" ref="D553">XLOOKUP($A553,Instagram_follows_raw!$A$4:$A1000,Instagram_follows_raw!$B$4:$B1000)</f>
        <v>#N/A</v>
      </c>
      <c r="E553" s="26" t="str">
        <f t="array" ref="E553">XLOOKUP($A553,Instagram_interactions_raw!$A$4:$A1000,Instagram_interactions_raw!$B$4:$B1000)</f>
        <v>#N/A</v>
      </c>
      <c r="F553" s="26" t="str">
        <f t="array" ref="F553">XLOOKUP($A553,Instagram_reach_raw!$A$4:$A1000,Instagram_reach_raw!$B$4:$B1000)</f>
        <v>#N/A</v>
      </c>
    </row>
    <row r="554">
      <c r="A554" s="30" t="str">
        <f>Instagram_reach_raw!$A556</f>
        <v/>
      </c>
      <c r="B554" s="29" t="str">
        <f>Instagram_interactions_raw!$A556</f>
        <v/>
      </c>
      <c r="C554" s="26" t="str">
        <f t="shared" si="1"/>
        <v/>
      </c>
      <c r="D554" s="26" t="str">
        <f t="array" ref="D554">XLOOKUP($A554,Instagram_follows_raw!$A$4:$A1000,Instagram_follows_raw!$B$4:$B1000)</f>
        <v>#N/A</v>
      </c>
      <c r="E554" s="26" t="str">
        <f t="array" ref="E554">XLOOKUP($A554,Instagram_interactions_raw!$A$4:$A1000,Instagram_interactions_raw!$B$4:$B1000)</f>
        <v>#N/A</v>
      </c>
      <c r="F554" s="26" t="str">
        <f t="array" ref="F554">XLOOKUP($A554,Instagram_reach_raw!$A$4:$A1000,Instagram_reach_raw!$B$4:$B1000)</f>
        <v>#N/A</v>
      </c>
    </row>
    <row r="555">
      <c r="A555" s="30" t="str">
        <f>Instagram_reach_raw!$A557</f>
        <v/>
      </c>
      <c r="B555" s="29" t="str">
        <f>Instagram_interactions_raw!$A557</f>
        <v/>
      </c>
      <c r="C555" s="26" t="str">
        <f t="shared" si="1"/>
        <v/>
      </c>
      <c r="D555" s="26" t="str">
        <f t="array" ref="D555">XLOOKUP($A555,Instagram_follows_raw!$A$4:$A1000,Instagram_follows_raw!$B$4:$B1000)</f>
        <v>#N/A</v>
      </c>
      <c r="E555" s="26" t="str">
        <f t="array" ref="E555">XLOOKUP($A555,Instagram_interactions_raw!$A$4:$A1000,Instagram_interactions_raw!$B$4:$B1000)</f>
        <v>#N/A</v>
      </c>
      <c r="F555" s="26" t="str">
        <f t="array" ref="F555">XLOOKUP($A555,Instagram_reach_raw!$A$4:$A1000,Instagram_reach_raw!$B$4:$B1000)</f>
        <v>#N/A</v>
      </c>
    </row>
    <row r="556">
      <c r="A556" s="30" t="str">
        <f>Instagram_reach_raw!$A558</f>
        <v/>
      </c>
      <c r="B556" s="29" t="str">
        <f>Instagram_interactions_raw!$A558</f>
        <v/>
      </c>
      <c r="C556" s="26" t="str">
        <f t="shared" si="1"/>
        <v/>
      </c>
      <c r="D556" s="26" t="str">
        <f t="array" ref="D556">XLOOKUP($A556,Instagram_follows_raw!$A$4:$A1000,Instagram_follows_raw!$B$4:$B1000)</f>
        <v>#N/A</v>
      </c>
      <c r="E556" s="26" t="str">
        <f t="array" ref="E556">XLOOKUP($A556,Instagram_interactions_raw!$A$4:$A1000,Instagram_interactions_raw!$B$4:$B1000)</f>
        <v>#N/A</v>
      </c>
      <c r="F556" s="26" t="str">
        <f t="array" ref="F556">XLOOKUP($A556,Instagram_reach_raw!$A$4:$A1000,Instagram_reach_raw!$B$4:$B1000)</f>
        <v>#N/A</v>
      </c>
    </row>
    <row r="557">
      <c r="A557" s="30" t="str">
        <f>Instagram_reach_raw!$A559</f>
        <v/>
      </c>
      <c r="B557" s="29" t="str">
        <f>Instagram_interactions_raw!$A559</f>
        <v/>
      </c>
      <c r="C557" s="26" t="str">
        <f t="shared" si="1"/>
        <v/>
      </c>
      <c r="D557" s="26" t="str">
        <f t="array" ref="D557">XLOOKUP($A557,Instagram_follows_raw!$A$4:$A1000,Instagram_follows_raw!$B$4:$B1000)</f>
        <v>#N/A</v>
      </c>
      <c r="E557" s="26" t="str">
        <f t="array" ref="E557">XLOOKUP($A557,Instagram_interactions_raw!$A$4:$A1000,Instagram_interactions_raw!$B$4:$B1000)</f>
        <v>#N/A</v>
      </c>
      <c r="F557" s="26" t="str">
        <f t="array" ref="F557">XLOOKUP($A557,Instagram_reach_raw!$A$4:$A1000,Instagram_reach_raw!$B$4:$B1000)</f>
        <v>#N/A</v>
      </c>
    </row>
    <row r="558">
      <c r="A558" s="30" t="str">
        <f>Instagram_reach_raw!$A560</f>
        <v/>
      </c>
      <c r="B558" s="29" t="str">
        <f>Instagram_interactions_raw!$A560</f>
        <v/>
      </c>
      <c r="C558" s="26" t="str">
        <f t="shared" si="1"/>
        <v/>
      </c>
      <c r="D558" s="26" t="str">
        <f t="array" ref="D558">XLOOKUP($A558,Instagram_follows_raw!$A$4:$A1000,Instagram_follows_raw!$B$4:$B1000)</f>
        <v>#N/A</v>
      </c>
      <c r="E558" s="26" t="str">
        <f t="array" ref="E558">XLOOKUP($A558,Instagram_interactions_raw!$A$4:$A1000,Instagram_interactions_raw!$B$4:$B1000)</f>
        <v>#N/A</v>
      </c>
      <c r="F558" s="26" t="str">
        <f t="array" ref="F558">XLOOKUP($A558,Instagram_reach_raw!$A$4:$A1000,Instagram_reach_raw!$B$4:$B1000)</f>
        <v>#N/A</v>
      </c>
    </row>
    <row r="559">
      <c r="A559" s="30" t="str">
        <f>Instagram_reach_raw!$A561</f>
        <v/>
      </c>
      <c r="B559" s="29" t="str">
        <f>Instagram_interactions_raw!$A561</f>
        <v/>
      </c>
      <c r="C559" s="26" t="str">
        <f t="shared" si="1"/>
        <v/>
      </c>
      <c r="D559" s="26" t="str">
        <f t="array" ref="D559">XLOOKUP($A559,Instagram_follows_raw!$A$4:$A1000,Instagram_follows_raw!$B$4:$B1000)</f>
        <v>#N/A</v>
      </c>
      <c r="E559" s="26" t="str">
        <f t="array" ref="E559">XLOOKUP($A559,Instagram_interactions_raw!$A$4:$A1000,Instagram_interactions_raw!$B$4:$B1000)</f>
        <v>#N/A</v>
      </c>
      <c r="F559" s="26" t="str">
        <f t="array" ref="F559">XLOOKUP($A559,Instagram_reach_raw!$A$4:$A1000,Instagram_reach_raw!$B$4:$B1000)</f>
        <v>#N/A</v>
      </c>
    </row>
    <row r="560">
      <c r="A560" s="30" t="str">
        <f>Instagram_reach_raw!$A562</f>
        <v/>
      </c>
      <c r="B560" s="29" t="str">
        <f>Instagram_interactions_raw!$A562</f>
        <v/>
      </c>
      <c r="C560" s="26" t="str">
        <f t="shared" si="1"/>
        <v/>
      </c>
      <c r="D560" s="26" t="str">
        <f t="array" ref="D560">XLOOKUP($A560,Instagram_follows_raw!$A$4:$A1000,Instagram_follows_raw!$B$4:$B1000)</f>
        <v>#N/A</v>
      </c>
      <c r="E560" s="26" t="str">
        <f t="array" ref="E560">XLOOKUP($A560,Instagram_interactions_raw!$A$4:$A1000,Instagram_interactions_raw!$B$4:$B1000)</f>
        <v>#N/A</v>
      </c>
      <c r="F560" s="26" t="str">
        <f t="array" ref="F560">XLOOKUP($A560,Instagram_reach_raw!$A$4:$A1000,Instagram_reach_raw!$B$4:$B1000)</f>
        <v>#N/A</v>
      </c>
    </row>
    <row r="561">
      <c r="A561" s="30" t="str">
        <f>Instagram_reach_raw!$A563</f>
        <v/>
      </c>
      <c r="B561" s="29" t="str">
        <f>Instagram_interactions_raw!$A563</f>
        <v/>
      </c>
      <c r="C561" s="26" t="str">
        <f t="shared" si="1"/>
        <v/>
      </c>
      <c r="D561" s="26" t="str">
        <f t="array" ref="D561">XLOOKUP($A561,Instagram_follows_raw!$A$4:$A1000,Instagram_follows_raw!$B$4:$B1000)</f>
        <v>#N/A</v>
      </c>
      <c r="E561" s="26" t="str">
        <f t="array" ref="E561">XLOOKUP($A561,Instagram_interactions_raw!$A$4:$A1000,Instagram_interactions_raw!$B$4:$B1000)</f>
        <v>#N/A</v>
      </c>
      <c r="F561" s="26" t="str">
        <f t="array" ref="F561">XLOOKUP($A561,Instagram_reach_raw!$A$4:$A1000,Instagram_reach_raw!$B$4:$B1000)</f>
        <v>#N/A</v>
      </c>
    </row>
    <row r="562">
      <c r="A562" s="30" t="str">
        <f>Instagram_reach_raw!$A564</f>
        <v/>
      </c>
      <c r="B562" s="29" t="str">
        <f>Instagram_interactions_raw!$A564</f>
        <v/>
      </c>
      <c r="C562" s="26" t="str">
        <f t="shared" si="1"/>
        <v/>
      </c>
      <c r="D562" s="26" t="str">
        <f t="array" ref="D562">XLOOKUP($A562,Instagram_follows_raw!$A$4:$A1000,Instagram_follows_raw!$B$4:$B1000)</f>
        <v>#N/A</v>
      </c>
      <c r="E562" s="26" t="str">
        <f t="array" ref="E562">XLOOKUP($A562,Instagram_interactions_raw!$A$4:$A1000,Instagram_interactions_raw!$B$4:$B1000)</f>
        <v>#N/A</v>
      </c>
      <c r="F562" s="26" t="str">
        <f t="array" ref="F562">XLOOKUP($A562,Instagram_reach_raw!$A$4:$A1000,Instagram_reach_raw!$B$4:$B1000)</f>
        <v>#N/A</v>
      </c>
    </row>
    <row r="563">
      <c r="A563" s="30" t="str">
        <f>Instagram_reach_raw!$A565</f>
        <v/>
      </c>
      <c r="B563" s="29" t="str">
        <f>Instagram_interactions_raw!$A565</f>
        <v/>
      </c>
      <c r="C563" s="26" t="str">
        <f t="shared" si="1"/>
        <v/>
      </c>
      <c r="D563" s="26" t="str">
        <f t="array" ref="D563">XLOOKUP($A563,Instagram_follows_raw!$A$4:$A1000,Instagram_follows_raw!$B$4:$B1000)</f>
        <v>#N/A</v>
      </c>
      <c r="E563" s="26" t="str">
        <f t="array" ref="E563">XLOOKUP($A563,Instagram_interactions_raw!$A$4:$A1000,Instagram_interactions_raw!$B$4:$B1000)</f>
        <v>#N/A</v>
      </c>
      <c r="F563" s="26" t="str">
        <f t="array" ref="F563">XLOOKUP($A563,Instagram_reach_raw!$A$4:$A1000,Instagram_reach_raw!$B$4:$B1000)</f>
        <v>#N/A</v>
      </c>
    </row>
    <row r="564">
      <c r="A564" s="30" t="str">
        <f>Instagram_reach_raw!$A566</f>
        <v/>
      </c>
      <c r="B564" s="29" t="str">
        <f>Instagram_interactions_raw!$A566</f>
        <v/>
      </c>
      <c r="C564" s="26" t="str">
        <f t="shared" si="1"/>
        <v/>
      </c>
      <c r="D564" s="26" t="str">
        <f t="array" ref="D564">XLOOKUP($A564,Instagram_follows_raw!$A$4:$A1000,Instagram_follows_raw!$B$4:$B1000)</f>
        <v>#N/A</v>
      </c>
      <c r="E564" s="26" t="str">
        <f t="array" ref="E564">XLOOKUP($A564,Instagram_interactions_raw!$A$4:$A1000,Instagram_interactions_raw!$B$4:$B1000)</f>
        <v>#N/A</v>
      </c>
      <c r="F564" s="26" t="str">
        <f t="array" ref="F564">XLOOKUP($A564,Instagram_reach_raw!$A$4:$A1000,Instagram_reach_raw!$B$4:$B1000)</f>
        <v>#N/A</v>
      </c>
    </row>
    <row r="565">
      <c r="A565" s="30" t="str">
        <f>Instagram_reach_raw!$A567</f>
        <v/>
      </c>
      <c r="B565" s="29" t="str">
        <f>Instagram_interactions_raw!$A567</f>
        <v/>
      </c>
      <c r="C565" s="26" t="str">
        <f t="shared" si="1"/>
        <v/>
      </c>
      <c r="D565" s="26" t="str">
        <f t="array" ref="D565">XLOOKUP($A565,Instagram_follows_raw!$A$4:$A1000,Instagram_follows_raw!$B$4:$B1000)</f>
        <v>#N/A</v>
      </c>
      <c r="E565" s="26" t="str">
        <f t="array" ref="E565">XLOOKUP($A565,Instagram_interactions_raw!$A$4:$A1000,Instagram_interactions_raw!$B$4:$B1000)</f>
        <v>#N/A</v>
      </c>
      <c r="F565" s="26" t="str">
        <f t="array" ref="F565">XLOOKUP($A565,Instagram_reach_raw!$A$4:$A1000,Instagram_reach_raw!$B$4:$B1000)</f>
        <v>#N/A</v>
      </c>
    </row>
    <row r="566">
      <c r="A566" s="30" t="str">
        <f>Instagram_reach_raw!$A568</f>
        <v/>
      </c>
      <c r="B566" s="29" t="str">
        <f>Instagram_interactions_raw!$A568</f>
        <v/>
      </c>
      <c r="C566" s="26" t="str">
        <f t="shared" si="1"/>
        <v/>
      </c>
      <c r="D566" s="26" t="str">
        <f t="array" ref="D566">XLOOKUP($A566,Instagram_follows_raw!$A$4:$A1000,Instagram_follows_raw!$B$4:$B1000)</f>
        <v>#N/A</v>
      </c>
      <c r="E566" s="26" t="str">
        <f t="array" ref="E566">XLOOKUP($A566,Instagram_interactions_raw!$A$4:$A1000,Instagram_interactions_raw!$B$4:$B1000)</f>
        <v>#N/A</v>
      </c>
      <c r="F566" s="26" t="str">
        <f t="array" ref="F566">XLOOKUP($A566,Instagram_reach_raw!$A$4:$A1000,Instagram_reach_raw!$B$4:$B1000)</f>
        <v>#N/A</v>
      </c>
    </row>
    <row r="567">
      <c r="A567" s="30" t="str">
        <f>Instagram_reach_raw!$A569</f>
        <v/>
      </c>
      <c r="B567" s="29" t="str">
        <f>Instagram_interactions_raw!$A569</f>
        <v/>
      </c>
      <c r="C567" s="26" t="str">
        <f t="shared" si="1"/>
        <v/>
      </c>
      <c r="D567" s="26" t="str">
        <f t="array" ref="D567">XLOOKUP($A567,Instagram_follows_raw!$A$4:$A1000,Instagram_follows_raw!$B$4:$B1000)</f>
        <v>#N/A</v>
      </c>
      <c r="E567" s="26" t="str">
        <f t="array" ref="E567">XLOOKUP($A567,Instagram_interactions_raw!$A$4:$A1000,Instagram_interactions_raw!$B$4:$B1000)</f>
        <v>#N/A</v>
      </c>
      <c r="F567" s="26" t="str">
        <f t="array" ref="F567">XLOOKUP($A567,Instagram_reach_raw!$A$4:$A1000,Instagram_reach_raw!$B$4:$B1000)</f>
        <v>#N/A</v>
      </c>
    </row>
    <row r="568">
      <c r="A568" s="30" t="str">
        <f>Instagram_reach_raw!$A570</f>
        <v/>
      </c>
      <c r="B568" s="29" t="str">
        <f>Instagram_interactions_raw!$A570</f>
        <v/>
      </c>
      <c r="C568" s="26" t="str">
        <f t="shared" si="1"/>
        <v/>
      </c>
      <c r="D568" s="26" t="str">
        <f t="array" ref="D568">XLOOKUP($A568,Instagram_follows_raw!$A$4:$A1000,Instagram_follows_raw!$B$4:$B1000)</f>
        <v>#N/A</v>
      </c>
      <c r="E568" s="26" t="str">
        <f t="array" ref="E568">XLOOKUP($A568,Instagram_interactions_raw!$A$4:$A1000,Instagram_interactions_raw!$B$4:$B1000)</f>
        <v>#N/A</v>
      </c>
      <c r="F568" s="26" t="str">
        <f t="array" ref="F568">XLOOKUP($A568,Instagram_reach_raw!$A$4:$A1000,Instagram_reach_raw!$B$4:$B1000)</f>
        <v>#N/A</v>
      </c>
    </row>
    <row r="569">
      <c r="A569" s="30" t="str">
        <f>Instagram_reach_raw!$A571</f>
        <v/>
      </c>
      <c r="B569" s="29" t="str">
        <f>Instagram_interactions_raw!$A571</f>
        <v/>
      </c>
      <c r="C569" s="26" t="str">
        <f t="shared" si="1"/>
        <v/>
      </c>
      <c r="D569" s="26" t="str">
        <f t="array" ref="D569">XLOOKUP($A569,Instagram_follows_raw!$A$4:$A1000,Instagram_follows_raw!$B$4:$B1000)</f>
        <v>#N/A</v>
      </c>
      <c r="E569" s="26" t="str">
        <f t="array" ref="E569">XLOOKUP($A569,Instagram_interactions_raw!$A$4:$A1000,Instagram_interactions_raw!$B$4:$B1000)</f>
        <v>#N/A</v>
      </c>
      <c r="F569" s="26" t="str">
        <f t="array" ref="F569">XLOOKUP($A569,Instagram_reach_raw!$A$4:$A1000,Instagram_reach_raw!$B$4:$B1000)</f>
        <v>#N/A</v>
      </c>
    </row>
    <row r="570">
      <c r="A570" s="30" t="str">
        <f>Instagram_reach_raw!$A572</f>
        <v/>
      </c>
      <c r="B570" s="29" t="str">
        <f>Instagram_interactions_raw!$A572</f>
        <v/>
      </c>
      <c r="C570" s="26" t="str">
        <f t="shared" si="1"/>
        <v/>
      </c>
      <c r="D570" s="26" t="str">
        <f t="array" ref="D570">XLOOKUP($A570,Instagram_follows_raw!$A$4:$A1000,Instagram_follows_raw!$B$4:$B1000)</f>
        <v>#N/A</v>
      </c>
      <c r="E570" s="26" t="str">
        <f t="array" ref="E570">XLOOKUP($A570,Instagram_interactions_raw!$A$4:$A1000,Instagram_interactions_raw!$B$4:$B1000)</f>
        <v>#N/A</v>
      </c>
      <c r="F570" s="26" t="str">
        <f t="array" ref="F570">XLOOKUP($A570,Instagram_reach_raw!$A$4:$A1000,Instagram_reach_raw!$B$4:$B1000)</f>
        <v>#N/A</v>
      </c>
    </row>
    <row r="571">
      <c r="A571" s="30" t="str">
        <f>Instagram_reach_raw!$A573</f>
        <v/>
      </c>
      <c r="B571" s="29" t="str">
        <f>Instagram_interactions_raw!$A573</f>
        <v/>
      </c>
      <c r="C571" s="26" t="str">
        <f t="shared" si="1"/>
        <v/>
      </c>
      <c r="D571" s="26" t="str">
        <f t="array" ref="D571">XLOOKUP($A571,Instagram_follows_raw!$A$4:$A1000,Instagram_follows_raw!$B$4:$B1000)</f>
        <v>#N/A</v>
      </c>
      <c r="E571" s="26" t="str">
        <f t="array" ref="E571">XLOOKUP($A571,Instagram_interactions_raw!$A$4:$A1000,Instagram_interactions_raw!$B$4:$B1000)</f>
        <v>#N/A</v>
      </c>
      <c r="F571" s="26" t="str">
        <f t="array" ref="F571">XLOOKUP($A571,Instagram_reach_raw!$A$4:$A1000,Instagram_reach_raw!$B$4:$B1000)</f>
        <v>#N/A</v>
      </c>
    </row>
    <row r="572">
      <c r="A572" s="30" t="str">
        <f>Instagram_reach_raw!$A574</f>
        <v/>
      </c>
      <c r="B572" s="29" t="str">
        <f>Instagram_interactions_raw!$A574</f>
        <v/>
      </c>
      <c r="C572" s="26" t="str">
        <f t="shared" si="1"/>
        <v/>
      </c>
      <c r="D572" s="26" t="str">
        <f t="array" ref="D572">XLOOKUP($A572,Instagram_follows_raw!$A$4:$A1000,Instagram_follows_raw!$B$4:$B1000)</f>
        <v>#N/A</v>
      </c>
      <c r="E572" s="26" t="str">
        <f t="array" ref="E572">XLOOKUP($A572,Instagram_interactions_raw!$A$4:$A1000,Instagram_interactions_raw!$B$4:$B1000)</f>
        <v>#N/A</v>
      </c>
      <c r="F572" s="26" t="str">
        <f t="array" ref="F572">XLOOKUP($A572,Instagram_reach_raw!$A$4:$A1000,Instagram_reach_raw!$B$4:$B1000)</f>
        <v>#N/A</v>
      </c>
    </row>
    <row r="573">
      <c r="A573" s="30" t="str">
        <f>Instagram_reach_raw!$A575</f>
        <v/>
      </c>
      <c r="B573" s="29" t="str">
        <f>Instagram_interactions_raw!$A575</f>
        <v/>
      </c>
      <c r="C573" s="26" t="str">
        <f t="shared" si="1"/>
        <v/>
      </c>
      <c r="D573" s="26" t="str">
        <f t="array" ref="D573">XLOOKUP($A573,Instagram_follows_raw!$A$4:$A1000,Instagram_follows_raw!$B$4:$B1000)</f>
        <v>#N/A</v>
      </c>
      <c r="E573" s="26" t="str">
        <f t="array" ref="E573">XLOOKUP($A573,Instagram_interactions_raw!$A$4:$A1000,Instagram_interactions_raw!$B$4:$B1000)</f>
        <v>#N/A</v>
      </c>
      <c r="F573" s="26" t="str">
        <f t="array" ref="F573">XLOOKUP($A573,Instagram_reach_raw!$A$4:$A1000,Instagram_reach_raw!$B$4:$B1000)</f>
        <v>#N/A</v>
      </c>
    </row>
    <row r="574">
      <c r="A574" s="30" t="str">
        <f>Instagram_reach_raw!$A576</f>
        <v/>
      </c>
      <c r="B574" s="29" t="str">
        <f>Instagram_interactions_raw!$A576</f>
        <v/>
      </c>
      <c r="C574" s="26" t="str">
        <f t="shared" si="1"/>
        <v/>
      </c>
      <c r="D574" s="26" t="str">
        <f t="array" ref="D574">XLOOKUP($A574,Instagram_follows_raw!$A$4:$A1000,Instagram_follows_raw!$B$4:$B1000)</f>
        <v>#N/A</v>
      </c>
      <c r="E574" s="26" t="str">
        <f t="array" ref="E574">XLOOKUP($A574,Instagram_interactions_raw!$A$4:$A1000,Instagram_interactions_raw!$B$4:$B1000)</f>
        <v>#N/A</v>
      </c>
      <c r="F574" s="26" t="str">
        <f t="array" ref="F574">XLOOKUP($A574,Instagram_reach_raw!$A$4:$A1000,Instagram_reach_raw!$B$4:$B1000)</f>
        <v>#N/A</v>
      </c>
    </row>
    <row r="575">
      <c r="A575" s="30" t="str">
        <f>Instagram_reach_raw!$A577</f>
        <v/>
      </c>
      <c r="B575" s="29" t="str">
        <f>Instagram_interactions_raw!$A577</f>
        <v/>
      </c>
      <c r="C575" s="26" t="str">
        <f t="shared" si="1"/>
        <v/>
      </c>
      <c r="D575" s="26" t="str">
        <f t="array" ref="D575">XLOOKUP($A575,Instagram_follows_raw!$A$4:$A1000,Instagram_follows_raw!$B$4:$B1000)</f>
        <v>#N/A</v>
      </c>
      <c r="E575" s="26" t="str">
        <f t="array" ref="E575">XLOOKUP($A575,Instagram_interactions_raw!$A$4:$A1000,Instagram_interactions_raw!$B$4:$B1000)</f>
        <v>#N/A</v>
      </c>
      <c r="F575" s="26" t="str">
        <f t="array" ref="F575">XLOOKUP($A575,Instagram_reach_raw!$A$4:$A1000,Instagram_reach_raw!$B$4:$B1000)</f>
        <v>#N/A</v>
      </c>
    </row>
    <row r="576">
      <c r="A576" s="30" t="str">
        <f>Instagram_reach_raw!$A578</f>
        <v/>
      </c>
      <c r="B576" s="29" t="str">
        <f>Instagram_interactions_raw!$A578</f>
        <v/>
      </c>
      <c r="C576" s="26" t="str">
        <f t="shared" si="1"/>
        <v/>
      </c>
      <c r="D576" s="26" t="str">
        <f t="array" ref="D576">XLOOKUP($A576,Instagram_follows_raw!$A$4:$A1000,Instagram_follows_raw!$B$4:$B1000)</f>
        <v>#N/A</v>
      </c>
      <c r="E576" s="26" t="str">
        <f t="array" ref="E576">XLOOKUP($A576,Instagram_interactions_raw!$A$4:$A1000,Instagram_interactions_raw!$B$4:$B1000)</f>
        <v>#N/A</v>
      </c>
      <c r="F576" s="26" t="str">
        <f t="array" ref="F576">XLOOKUP($A576,Instagram_reach_raw!$A$4:$A1000,Instagram_reach_raw!$B$4:$B1000)</f>
        <v>#N/A</v>
      </c>
    </row>
    <row r="577">
      <c r="A577" s="30" t="str">
        <f>Instagram_reach_raw!$A579</f>
        <v/>
      </c>
      <c r="B577" s="29" t="str">
        <f>Instagram_interactions_raw!$A579</f>
        <v/>
      </c>
      <c r="C577" s="26" t="str">
        <f t="shared" si="1"/>
        <v/>
      </c>
      <c r="D577" s="26" t="str">
        <f t="array" ref="D577">XLOOKUP($A577,Instagram_follows_raw!$A$4:$A1000,Instagram_follows_raw!$B$4:$B1000)</f>
        <v>#N/A</v>
      </c>
      <c r="E577" s="26" t="str">
        <f t="array" ref="E577">XLOOKUP($A577,Instagram_interactions_raw!$A$4:$A1000,Instagram_interactions_raw!$B$4:$B1000)</f>
        <v>#N/A</v>
      </c>
      <c r="F577" s="26" t="str">
        <f t="array" ref="F577">XLOOKUP($A577,Instagram_reach_raw!$A$4:$A1000,Instagram_reach_raw!$B$4:$B1000)</f>
        <v>#N/A</v>
      </c>
    </row>
    <row r="578">
      <c r="A578" s="30" t="str">
        <f>Instagram_reach_raw!$A580</f>
        <v/>
      </c>
      <c r="B578" s="29" t="str">
        <f>Instagram_interactions_raw!$A580</f>
        <v/>
      </c>
      <c r="C578" s="26" t="str">
        <f t="shared" si="1"/>
        <v/>
      </c>
      <c r="D578" s="26" t="str">
        <f t="array" ref="D578">XLOOKUP($A578,Instagram_follows_raw!$A$4:$A1000,Instagram_follows_raw!$B$4:$B1000)</f>
        <v>#N/A</v>
      </c>
      <c r="E578" s="26" t="str">
        <f t="array" ref="E578">XLOOKUP($A578,Instagram_interactions_raw!$A$4:$A1000,Instagram_interactions_raw!$B$4:$B1000)</f>
        <v>#N/A</v>
      </c>
      <c r="F578" s="26" t="str">
        <f t="array" ref="F578">XLOOKUP($A578,Instagram_reach_raw!$A$4:$A1000,Instagram_reach_raw!$B$4:$B1000)</f>
        <v>#N/A</v>
      </c>
    </row>
    <row r="579">
      <c r="A579" s="30" t="str">
        <f>Instagram_reach_raw!$A581</f>
        <v/>
      </c>
      <c r="B579" s="29" t="str">
        <f>Instagram_interactions_raw!$A581</f>
        <v/>
      </c>
      <c r="C579" s="26" t="str">
        <f t="shared" si="1"/>
        <v/>
      </c>
      <c r="D579" s="26" t="str">
        <f t="array" ref="D579">XLOOKUP($A579,Instagram_follows_raw!$A$4:$A1000,Instagram_follows_raw!$B$4:$B1000)</f>
        <v>#N/A</v>
      </c>
      <c r="E579" s="26" t="str">
        <f t="array" ref="E579">XLOOKUP($A579,Instagram_interactions_raw!$A$4:$A1000,Instagram_interactions_raw!$B$4:$B1000)</f>
        <v>#N/A</v>
      </c>
      <c r="F579" s="26" t="str">
        <f t="array" ref="F579">XLOOKUP($A579,Instagram_reach_raw!$A$4:$A1000,Instagram_reach_raw!$B$4:$B1000)</f>
        <v>#N/A</v>
      </c>
    </row>
    <row r="580">
      <c r="A580" s="30" t="str">
        <f>Instagram_reach_raw!$A582</f>
        <v/>
      </c>
      <c r="B580" s="29" t="str">
        <f>Instagram_interactions_raw!$A582</f>
        <v/>
      </c>
      <c r="C580" s="26" t="str">
        <f t="shared" si="1"/>
        <v/>
      </c>
      <c r="D580" s="26" t="str">
        <f t="array" ref="D580">XLOOKUP($A580,Instagram_follows_raw!$A$4:$A1000,Instagram_follows_raw!$B$4:$B1000)</f>
        <v>#N/A</v>
      </c>
      <c r="E580" s="26" t="str">
        <f t="array" ref="E580">XLOOKUP($A580,Instagram_interactions_raw!$A$4:$A1000,Instagram_interactions_raw!$B$4:$B1000)</f>
        <v>#N/A</v>
      </c>
      <c r="F580" s="26" t="str">
        <f t="array" ref="F580">XLOOKUP($A580,Instagram_reach_raw!$A$4:$A1000,Instagram_reach_raw!$B$4:$B1000)</f>
        <v>#N/A</v>
      </c>
    </row>
    <row r="581">
      <c r="A581" s="30" t="str">
        <f>Instagram_reach_raw!$A583</f>
        <v/>
      </c>
      <c r="B581" s="29" t="str">
        <f>Instagram_interactions_raw!$A583</f>
        <v/>
      </c>
      <c r="C581" s="26" t="str">
        <f t="shared" si="1"/>
        <v/>
      </c>
      <c r="D581" s="26" t="str">
        <f t="array" ref="D581">XLOOKUP($A581,Instagram_follows_raw!$A$4:$A1000,Instagram_follows_raw!$B$4:$B1000)</f>
        <v>#N/A</v>
      </c>
      <c r="E581" s="26" t="str">
        <f t="array" ref="E581">XLOOKUP($A581,Instagram_interactions_raw!$A$4:$A1000,Instagram_interactions_raw!$B$4:$B1000)</f>
        <v>#N/A</v>
      </c>
      <c r="F581" s="26" t="str">
        <f t="array" ref="F581">XLOOKUP($A581,Instagram_reach_raw!$A$4:$A1000,Instagram_reach_raw!$B$4:$B1000)</f>
        <v>#N/A</v>
      </c>
    </row>
    <row r="582">
      <c r="A582" s="30" t="str">
        <f>Instagram_reach_raw!$A584</f>
        <v/>
      </c>
      <c r="B582" s="29" t="str">
        <f>Instagram_interactions_raw!$A584</f>
        <v/>
      </c>
      <c r="C582" s="26" t="str">
        <f t="shared" si="1"/>
        <v/>
      </c>
      <c r="D582" s="26" t="str">
        <f t="array" ref="D582">XLOOKUP($A582,Instagram_follows_raw!$A$4:$A1000,Instagram_follows_raw!$B$4:$B1000)</f>
        <v>#N/A</v>
      </c>
      <c r="E582" s="26" t="str">
        <f t="array" ref="E582">XLOOKUP($A582,Instagram_interactions_raw!$A$4:$A1000,Instagram_interactions_raw!$B$4:$B1000)</f>
        <v>#N/A</v>
      </c>
      <c r="F582" s="26" t="str">
        <f t="array" ref="F582">XLOOKUP($A582,Instagram_reach_raw!$A$4:$A1000,Instagram_reach_raw!$B$4:$B1000)</f>
        <v>#N/A</v>
      </c>
    </row>
    <row r="583">
      <c r="A583" s="30" t="str">
        <f>Instagram_reach_raw!$A585</f>
        <v/>
      </c>
      <c r="B583" s="29" t="str">
        <f>Instagram_interactions_raw!$A585</f>
        <v/>
      </c>
      <c r="C583" s="26" t="str">
        <f t="shared" si="1"/>
        <v/>
      </c>
      <c r="D583" s="26" t="str">
        <f t="array" ref="D583">XLOOKUP($A583,Instagram_follows_raw!$A$4:$A1000,Instagram_follows_raw!$B$4:$B1000)</f>
        <v>#N/A</v>
      </c>
      <c r="E583" s="26" t="str">
        <f t="array" ref="E583">XLOOKUP($A583,Instagram_interactions_raw!$A$4:$A1000,Instagram_interactions_raw!$B$4:$B1000)</f>
        <v>#N/A</v>
      </c>
      <c r="F583" s="26" t="str">
        <f t="array" ref="F583">XLOOKUP($A583,Instagram_reach_raw!$A$4:$A1000,Instagram_reach_raw!$B$4:$B1000)</f>
        <v>#N/A</v>
      </c>
    </row>
    <row r="584">
      <c r="A584" s="30" t="str">
        <f>Instagram_reach_raw!$A586</f>
        <v/>
      </c>
      <c r="B584" s="29" t="str">
        <f>Instagram_interactions_raw!$A586</f>
        <v/>
      </c>
      <c r="C584" s="26" t="str">
        <f t="shared" si="1"/>
        <v/>
      </c>
      <c r="D584" s="26" t="str">
        <f t="array" ref="D584">XLOOKUP($A584,Instagram_follows_raw!$A$4:$A1000,Instagram_follows_raw!$B$4:$B1000)</f>
        <v>#N/A</v>
      </c>
      <c r="E584" s="26" t="str">
        <f t="array" ref="E584">XLOOKUP($A584,Instagram_interactions_raw!$A$4:$A1000,Instagram_interactions_raw!$B$4:$B1000)</f>
        <v>#N/A</v>
      </c>
      <c r="F584" s="26" t="str">
        <f t="array" ref="F584">XLOOKUP($A584,Instagram_reach_raw!$A$4:$A1000,Instagram_reach_raw!$B$4:$B1000)</f>
        <v>#N/A</v>
      </c>
    </row>
    <row r="585">
      <c r="A585" s="30" t="str">
        <f>Instagram_reach_raw!$A587</f>
        <v/>
      </c>
      <c r="B585" s="29" t="str">
        <f>Instagram_interactions_raw!$A587</f>
        <v/>
      </c>
      <c r="C585" s="26" t="str">
        <f t="shared" si="1"/>
        <v/>
      </c>
      <c r="D585" s="26" t="str">
        <f t="array" ref="D585">XLOOKUP($A585,Instagram_follows_raw!$A$4:$A1000,Instagram_follows_raw!$B$4:$B1000)</f>
        <v>#N/A</v>
      </c>
      <c r="E585" s="26" t="str">
        <f t="array" ref="E585">XLOOKUP($A585,Instagram_interactions_raw!$A$4:$A1000,Instagram_interactions_raw!$B$4:$B1000)</f>
        <v>#N/A</v>
      </c>
      <c r="F585" s="26" t="str">
        <f t="array" ref="F585">XLOOKUP($A585,Instagram_reach_raw!$A$4:$A1000,Instagram_reach_raw!$B$4:$B1000)</f>
        <v>#N/A</v>
      </c>
    </row>
    <row r="586">
      <c r="A586" s="30" t="str">
        <f>Instagram_reach_raw!$A588</f>
        <v/>
      </c>
      <c r="B586" s="29" t="str">
        <f>Instagram_interactions_raw!$A588</f>
        <v/>
      </c>
      <c r="C586" s="26" t="str">
        <f t="shared" si="1"/>
        <v/>
      </c>
      <c r="D586" s="26" t="str">
        <f t="array" ref="D586">XLOOKUP($A586,Instagram_follows_raw!$A$4:$A1000,Instagram_follows_raw!$B$4:$B1000)</f>
        <v>#N/A</v>
      </c>
      <c r="E586" s="26" t="str">
        <f t="array" ref="E586">XLOOKUP($A586,Instagram_interactions_raw!$A$4:$A1000,Instagram_interactions_raw!$B$4:$B1000)</f>
        <v>#N/A</v>
      </c>
      <c r="F586" s="26" t="str">
        <f t="array" ref="F586">XLOOKUP($A586,Instagram_reach_raw!$A$4:$A1000,Instagram_reach_raw!$B$4:$B1000)</f>
        <v>#N/A</v>
      </c>
    </row>
    <row r="587">
      <c r="A587" s="30" t="str">
        <f>Instagram_reach_raw!$A589</f>
        <v/>
      </c>
      <c r="B587" s="29" t="str">
        <f>Instagram_interactions_raw!$A589</f>
        <v/>
      </c>
      <c r="C587" s="26" t="str">
        <f t="shared" si="1"/>
        <v/>
      </c>
      <c r="D587" s="26" t="str">
        <f t="array" ref="D587">XLOOKUP($A587,Instagram_follows_raw!$A$4:$A1000,Instagram_follows_raw!$B$4:$B1000)</f>
        <v>#N/A</v>
      </c>
      <c r="E587" s="26" t="str">
        <f t="array" ref="E587">XLOOKUP($A587,Instagram_interactions_raw!$A$4:$A1000,Instagram_interactions_raw!$B$4:$B1000)</f>
        <v>#N/A</v>
      </c>
      <c r="F587" s="26" t="str">
        <f t="array" ref="F587">XLOOKUP($A587,Instagram_reach_raw!$A$4:$A1000,Instagram_reach_raw!$B$4:$B1000)</f>
        <v>#N/A</v>
      </c>
    </row>
    <row r="588">
      <c r="A588" s="30" t="str">
        <f>Instagram_reach_raw!$A590</f>
        <v/>
      </c>
      <c r="B588" s="29" t="str">
        <f>Instagram_interactions_raw!$A590</f>
        <v/>
      </c>
      <c r="C588" s="26" t="str">
        <f t="shared" si="1"/>
        <v/>
      </c>
      <c r="D588" s="26" t="str">
        <f t="array" ref="D588">XLOOKUP($A588,Instagram_follows_raw!$A$4:$A1000,Instagram_follows_raw!$B$4:$B1000)</f>
        <v>#N/A</v>
      </c>
      <c r="E588" s="26" t="str">
        <f t="array" ref="E588">XLOOKUP($A588,Instagram_interactions_raw!$A$4:$A1000,Instagram_interactions_raw!$B$4:$B1000)</f>
        <v>#N/A</v>
      </c>
      <c r="F588" s="26" t="str">
        <f t="array" ref="F588">XLOOKUP($A588,Instagram_reach_raw!$A$4:$A1000,Instagram_reach_raw!$B$4:$B1000)</f>
        <v>#N/A</v>
      </c>
    </row>
    <row r="589">
      <c r="A589" s="30" t="str">
        <f>Instagram_reach_raw!$A591</f>
        <v/>
      </c>
      <c r="B589" s="29" t="str">
        <f>Instagram_interactions_raw!$A591</f>
        <v/>
      </c>
      <c r="C589" s="26" t="str">
        <f t="shared" si="1"/>
        <v/>
      </c>
      <c r="D589" s="26" t="str">
        <f t="array" ref="D589">XLOOKUP($A589,Instagram_follows_raw!$A$4:$A1000,Instagram_follows_raw!$B$4:$B1000)</f>
        <v>#N/A</v>
      </c>
      <c r="E589" s="26" t="str">
        <f t="array" ref="E589">XLOOKUP($A589,Instagram_interactions_raw!$A$4:$A1000,Instagram_interactions_raw!$B$4:$B1000)</f>
        <v>#N/A</v>
      </c>
      <c r="F589" s="26" t="str">
        <f t="array" ref="F589">XLOOKUP($A589,Instagram_reach_raw!$A$4:$A1000,Instagram_reach_raw!$B$4:$B1000)</f>
        <v>#N/A</v>
      </c>
    </row>
    <row r="590">
      <c r="A590" s="30" t="str">
        <f>Instagram_reach_raw!$A592</f>
        <v/>
      </c>
      <c r="B590" s="29" t="str">
        <f>Instagram_interactions_raw!$A592</f>
        <v/>
      </c>
      <c r="C590" s="26" t="str">
        <f t="shared" si="1"/>
        <v/>
      </c>
      <c r="D590" s="26" t="str">
        <f t="array" ref="D590">XLOOKUP($A590,Instagram_follows_raw!$A$4:$A1000,Instagram_follows_raw!$B$4:$B1000)</f>
        <v>#N/A</v>
      </c>
      <c r="E590" s="26" t="str">
        <f t="array" ref="E590">XLOOKUP($A590,Instagram_interactions_raw!$A$4:$A1000,Instagram_interactions_raw!$B$4:$B1000)</f>
        <v>#N/A</v>
      </c>
      <c r="F590" s="26" t="str">
        <f t="array" ref="F590">XLOOKUP($A590,Instagram_reach_raw!$A$4:$A1000,Instagram_reach_raw!$B$4:$B1000)</f>
        <v>#N/A</v>
      </c>
    </row>
    <row r="591">
      <c r="A591" s="30" t="str">
        <f>Instagram_reach_raw!$A593</f>
        <v/>
      </c>
      <c r="B591" s="29" t="str">
        <f>Instagram_interactions_raw!$A593</f>
        <v/>
      </c>
      <c r="C591" s="26" t="str">
        <f t="shared" si="1"/>
        <v/>
      </c>
      <c r="D591" s="26" t="str">
        <f t="array" ref="D591">XLOOKUP($A591,Instagram_follows_raw!$A$4:$A1000,Instagram_follows_raw!$B$4:$B1000)</f>
        <v>#N/A</v>
      </c>
      <c r="E591" s="26" t="str">
        <f t="array" ref="E591">XLOOKUP($A591,Instagram_interactions_raw!$A$4:$A1000,Instagram_interactions_raw!$B$4:$B1000)</f>
        <v>#N/A</v>
      </c>
      <c r="F591" s="26" t="str">
        <f t="array" ref="F591">XLOOKUP($A591,Instagram_reach_raw!$A$4:$A1000,Instagram_reach_raw!$B$4:$B1000)</f>
        <v>#N/A</v>
      </c>
    </row>
    <row r="592">
      <c r="A592" s="30" t="str">
        <f>Instagram_reach_raw!$A594</f>
        <v/>
      </c>
      <c r="B592" s="29" t="str">
        <f>Instagram_interactions_raw!$A594</f>
        <v/>
      </c>
      <c r="C592" s="26" t="str">
        <f t="shared" si="1"/>
        <v/>
      </c>
      <c r="D592" s="26" t="str">
        <f t="array" ref="D592">XLOOKUP($A592,Instagram_follows_raw!$A$4:$A1000,Instagram_follows_raw!$B$4:$B1000)</f>
        <v>#N/A</v>
      </c>
      <c r="E592" s="26" t="str">
        <f t="array" ref="E592">XLOOKUP($A592,Instagram_interactions_raw!$A$4:$A1000,Instagram_interactions_raw!$B$4:$B1000)</f>
        <v>#N/A</v>
      </c>
      <c r="F592" s="26" t="str">
        <f t="array" ref="F592">XLOOKUP($A592,Instagram_reach_raw!$A$4:$A1000,Instagram_reach_raw!$B$4:$B1000)</f>
        <v>#N/A</v>
      </c>
    </row>
    <row r="593">
      <c r="A593" s="30" t="str">
        <f>Instagram_reach_raw!$A595</f>
        <v/>
      </c>
      <c r="B593" s="29" t="str">
        <f>Instagram_interactions_raw!$A595</f>
        <v/>
      </c>
      <c r="C593" s="26" t="str">
        <f t="shared" si="1"/>
        <v/>
      </c>
      <c r="D593" s="26" t="str">
        <f t="array" ref="D593">XLOOKUP($A593,Instagram_follows_raw!$A$4:$A1000,Instagram_follows_raw!$B$4:$B1000)</f>
        <v>#N/A</v>
      </c>
      <c r="E593" s="26" t="str">
        <f t="array" ref="E593">XLOOKUP($A593,Instagram_interactions_raw!$A$4:$A1000,Instagram_interactions_raw!$B$4:$B1000)</f>
        <v>#N/A</v>
      </c>
      <c r="F593" s="26" t="str">
        <f t="array" ref="F593">XLOOKUP($A593,Instagram_reach_raw!$A$4:$A1000,Instagram_reach_raw!$B$4:$B1000)</f>
        <v>#N/A</v>
      </c>
    </row>
    <row r="594">
      <c r="A594" s="30" t="str">
        <f>Instagram_reach_raw!$A596</f>
        <v/>
      </c>
      <c r="B594" s="29" t="str">
        <f>Instagram_interactions_raw!$A596</f>
        <v/>
      </c>
      <c r="C594" s="26" t="str">
        <f t="shared" si="1"/>
        <v/>
      </c>
      <c r="D594" s="26" t="str">
        <f t="array" ref="D594">XLOOKUP($A594,Instagram_follows_raw!$A$4:$A1000,Instagram_follows_raw!$B$4:$B1000)</f>
        <v>#N/A</v>
      </c>
      <c r="E594" s="26" t="str">
        <f t="array" ref="E594">XLOOKUP($A594,Instagram_interactions_raw!$A$4:$A1000,Instagram_interactions_raw!$B$4:$B1000)</f>
        <v>#N/A</v>
      </c>
      <c r="F594" s="26" t="str">
        <f t="array" ref="F594">XLOOKUP($A594,Instagram_reach_raw!$A$4:$A1000,Instagram_reach_raw!$B$4:$B1000)</f>
        <v>#N/A</v>
      </c>
    </row>
    <row r="595">
      <c r="A595" s="30" t="str">
        <f>Instagram_reach_raw!$A597</f>
        <v/>
      </c>
      <c r="B595" s="29" t="str">
        <f>Instagram_interactions_raw!$A597</f>
        <v/>
      </c>
      <c r="C595" s="26" t="str">
        <f t="shared" si="1"/>
        <v/>
      </c>
      <c r="D595" s="26" t="str">
        <f t="array" ref="D595">XLOOKUP($A595,Instagram_follows_raw!$A$4:$A1000,Instagram_follows_raw!$B$4:$B1000)</f>
        <v>#N/A</v>
      </c>
      <c r="E595" s="26" t="str">
        <f t="array" ref="E595">XLOOKUP($A595,Instagram_interactions_raw!$A$4:$A1000,Instagram_interactions_raw!$B$4:$B1000)</f>
        <v>#N/A</v>
      </c>
      <c r="F595" s="26" t="str">
        <f t="array" ref="F595">XLOOKUP($A595,Instagram_reach_raw!$A$4:$A1000,Instagram_reach_raw!$B$4:$B1000)</f>
        <v>#N/A</v>
      </c>
    </row>
    <row r="596">
      <c r="A596" s="30" t="str">
        <f>Instagram_reach_raw!$A598</f>
        <v/>
      </c>
      <c r="B596" s="29" t="str">
        <f>Instagram_interactions_raw!$A598</f>
        <v/>
      </c>
      <c r="C596" s="26" t="str">
        <f t="shared" si="1"/>
        <v/>
      </c>
      <c r="D596" s="26" t="str">
        <f t="array" ref="D596">XLOOKUP($A596,Instagram_follows_raw!$A$4:$A1000,Instagram_follows_raw!$B$4:$B1000)</f>
        <v>#N/A</v>
      </c>
      <c r="E596" s="26" t="str">
        <f t="array" ref="E596">XLOOKUP($A596,Instagram_interactions_raw!$A$4:$A1000,Instagram_interactions_raw!$B$4:$B1000)</f>
        <v>#N/A</v>
      </c>
      <c r="F596" s="26" t="str">
        <f t="array" ref="F596">XLOOKUP($A596,Instagram_reach_raw!$A$4:$A1000,Instagram_reach_raw!$B$4:$B1000)</f>
        <v>#N/A</v>
      </c>
    </row>
    <row r="597">
      <c r="A597" s="30" t="str">
        <f>Instagram_reach_raw!$A599</f>
        <v/>
      </c>
      <c r="B597" s="29" t="str">
        <f>Instagram_interactions_raw!$A599</f>
        <v/>
      </c>
      <c r="C597" s="26" t="str">
        <f t="shared" si="1"/>
        <v/>
      </c>
      <c r="D597" s="26" t="str">
        <f t="array" ref="D597">XLOOKUP($A597,Instagram_follows_raw!$A$4:$A1000,Instagram_follows_raw!$B$4:$B1000)</f>
        <v>#N/A</v>
      </c>
      <c r="E597" s="26" t="str">
        <f t="array" ref="E597">XLOOKUP($A597,Instagram_interactions_raw!$A$4:$A1000,Instagram_interactions_raw!$B$4:$B1000)</f>
        <v>#N/A</v>
      </c>
      <c r="F597" s="26" t="str">
        <f t="array" ref="F597">XLOOKUP($A597,Instagram_reach_raw!$A$4:$A1000,Instagram_reach_raw!$B$4:$B1000)</f>
        <v>#N/A</v>
      </c>
    </row>
    <row r="598">
      <c r="A598" s="30" t="str">
        <f>Instagram_reach_raw!$A600</f>
        <v/>
      </c>
      <c r="B598" s="29" t="str">
        <f>Instagram_interactions_raw!$A600</f>
        <v/>
      </c>
      <c r="C598" s="26" t="str">
        <f t="shared" si="1"/>
        <v/>
      </c>
      <c r="D598" s="26" t="str">
        <f t="array" ref="D598">XLOOKUP($A598,Instagram_follows_raw!$A$4:$A1000,Instagram_follows_raw!$B$4:$B1000)</f>
        <v>#N/A</v>
      </c>
      <c r="E598" s="26" t="str">
        <f t="array" ref="E598">XLOOKUP($A598,Instagram_interactions_raw!$A$4:$A1000,Instagram_interactions_raw!$B$4:$B1000)</f>
        <v>#N/A</v>
      </c>
      <c r="F598" s="26" t="str">
        <f t="array" ref="F598">XLOOKUP($A598,Instagram_reach_raw!$A$4:$A1000,Instagram_reach_raw!$B$4:$B1000)</f>
        <v>#N/A</v>
      </c>
    </row>
    <row r="599">
      <c r="A599" s="30" t="str">
        <f>Instagram_reach_raw!$A601</f>
        <v/>
      </c>
      <c r="B599" s="29" t="str">
        <f>Instagram_interactions_raw!$A601</f>
        <v/>
      </c>
      <c r="C599" s="26" t="str">
        <f t="shared" si="1"/>
        <v/>
      </c>
      <c r="D599" s="26" t="str">
        <f t="array" ref="D599">XLOOKUP($A599,Instagram_follows_raw!$A$4:$A1000,Instagram_follows_raw!$B$4:$B1000)</f>
        <v>#N/A</v>
      </c>
      <c r="E599" s="26" t="str">
        <f t="array" ref="E599">XLOOKUP($A599,Instagram_interactions_raw!$A$4:$A1000,Instagram_interactions_raw!$B$4:$B1000)</f>
        <v>#N/A</v>
      </c>
      <c r="F599" s="26" t="str">
        <f t="array" ref="F599">XLOOKUP($A599,Instagram_reach_raw!$A$4:$A1000,Instagram_reach_raw!$B$4:$B1000)</f>
        <v>#N/A</v>
      </c>
    </row>
    <row r="600">
      <c r="A600" s="30" t="str">
        <f>Instagram_reach_raw!$A602</f>
        <v/>
      </c>
      <c r="B600" s="29" t="str">
        <f>Instagram_interactions_raw!$A602</f>
        <v/>
      </c>
      <c r="C600" s="26" t="str">
        <f t="shared" si="1"/>
        <v/>
      </c>
      <c r="D600" s="26" t="str">
        <f t="array" ref="D600">XLOOKUP($A600,Instagram_follows_raw!$A$4:$A1000,Instagram_follows_raw!$B$4:$B1000)</f>
        <v>#N/A</v>
      </c>
      <c r="E600" s="26" t="str">
        <f t="array" ref="E600">XLOOKUP($A600,Instagram_interactions_raw!$A$4:$A1000,Instagram_interactions_raw!$B$4:$B1000)</f>
        <v>#N/A</v>
      </c>
      <c r="F600" s="26" t="str">
        <f t="array" ref="F600">XLOOKUP($A600,Instagram_reach_raw!$A$4:$A1000,Instagram_reach_raw!$B$4:$B1000)</f>
        <v>#N/A</v>
      </c>
    </row>
    <row r="601">
      <c r="A601" s="30" t="str">
        <f>Instagram_reach_raw!$A603</f>
        <v/>
      </c>
      <c r="B601" s="29" t="str">
        <f>Instagram_interactions_raw!$A603</f>
        <v/>
      </c>
      <c r="C601" s="26" t="str">
        <f t="shared" si="1"/>
        <v/>
      </c>
      <c r="D601" s="26" t="str">
        <f t="array" ref="D601">XLOOKUP($A601,Instagram_follows_raw!$A$4:$A1000,Instagram_follows_raw!$B$4:$B1000)</f>
        <v>#N/A</v>
      </c>
      <c r="E601" s="26" t="str">
        <f t="array" ref="E601">XLOOKUP($A601,Instagram_interactions_raw!$A$4:$A1000,Instagram_interactions_raw!$B$4:$B1000)</f>
        <v>#N/A</v>
      </c>
      <c r="F601" s="26" t="str">
        <f t="array" ref="F601">XLOOKUP($A601,Instagram_reach_raw!$A$4:$A1000,Instagram_reach_raw!$B$4:$B1000)</f>
        <v>#N/A</v>
      </c>
    </row>
    <row r="602">
      <c r="A602" s="30" t="str">
        <f>Instagram_reach_raw!$A604</f>
        <v/>
      </c>
      <c r="B602" s="29" t="str">
        <f>Instagram_interactions_raw!$A604</f>
        <v/>
      </c>
      <c r="C602" s="26" t="str">
        <f t="shared" si="1"/>
        <v/>
      </c>
      <c r="D602" s="26" t="str">
        <f t="array" ref="D602">XLOOKUP($A602,Instagram_follows_raw!$A$4:$A1000,Instagram_follows_raw!$B$4:$B1000)</f>
        <v>#N/A</v>
      </c>
      <c r="E602" s="26" t="str">
        <f t="array" ref="E602">XLOOKUP($A602,Instagram_interactions_raw!$A$4:$A1000,Instagram_interactions_raw!$B$4:$B1000)</f>
        <v>#N/A</v>
      </c>
      <c r="F602" s="26" t="str">
        <f t="array" ref="F602">XLOOKUP($A602,Instagram_reach_raw!$A$4:$A1000,Instagram_reach_raw!$B$4:$B1000)</f>
        <v>#N/A</v>
      </c>
    </row>
    <row r="603">
      <c r="A603" s="30" t="str">
        <f>Instagram_reach_raw!$A605</f>
        <v/>
      </c>
      <c r="B603" s="29" t="str">
        <f>Instagram_interactions_raw!$A605</f>
        <v/>
      </c>
      <c r="C603" s="26" t="str">
        <f t="shared" si="1"/>
        <v/>
      </c>
      <c r="D603" s="26" t="str">
        <f t="array" ref="D603">XLOOKUP($A603,Instagram_follows_raw!$A$4:$A1000,Instagram_follows_raw!$B$4:$B1000)</f>
        <v>#N/A</v>
      </c>
      <c r="E603" s="26" t="str">
        <f t="array" ref="E603">XLOOKUP($A603,Instagram_interactions_raw!$A$4:$A1000,Instagram_interactions_raw!$B$4:$B1000)</f>
        <v>#N/A</v>
      </c>
      <c r="F603" s="26" t="str">
        <f t="array" ref="F603">XLOOKUP($A603,Instagram_reach_raw!$A$4:$A1000,Instagram_reach_raw!$B$4:$B1000)</f>
        <v>#N/A</v>
      </c>
    </row>
    <row r="604">
      <c r="A604" s="30" t="str">
        <f>Instagram_reach_raw!$A606</f>
        <v/>
      </c>
      <c r="B604" s="29" t="str">
        <f>Instagram_interactions_raw!$A606</f>
        <v/>
      </c>
      <c r="C604" s="26" t="str">
        <f t="shared" si="1"/>
        <v/>
      </c>
      <c r="D604" s="26" t="str">
        <f t="array" ref="D604">XLOOKUP($A604,Instagram_follows_raw!$A$4:$A1000,Instagram_follows_raw!$B$4:$B1000)</f>
        <v>#N/A</v>
      </c>
      <c r="E604" s="26" t="str">
        <f t="array" ref="E604">XLOOKUP($A604,Instagram_interactions_raw!$A$4:$A1000,Instagram_interactions_raw!$B$4:$B1000)</f>
        <v>#N/A</v>
      </c>
      <c r="F604" s="26" t="str">
        <f t="array" ref="F604">XLOOKUP($A604,Instagram_reach_raw!$A$4:$A1000,Instagram_reach_raw!$B$4:$B1000)</f>
        <v>#N/A</v>
      </c>
    </row>
    <row r="605">
      <c r="A605" s="30" t="str">
        <f>Instagram_reach_raw!$A607</f>
        <v/>
      </c>
      <c r="B605" s="29" t="str">
        <f>Instagram_interactions_raw!$A607</f>
        <v/>
      </c>
      <c r="C605" s="26" t="str">
        <f t="shared" si="1"/>
        <v/>
      </c>
      <c r="D605" s="26" t="str">
        <f t="array" ref="D605">XLOOKUP($A605,Instagram_follows_raw!$A$4:$A1000,Instagram_follows_raw!$B$4:$B1000)</f>
        <v>#N/A</v>
      </c>
      <c r="E605" s="26" t="str">
        <f t="array" ref="E605">XLOOKUP($A605,Instagram_interactions_raw!$A$4:$A1000,Instagram_interactions_raw!$B$4:$B1000)</f>
        <v>#N/A</v>
      </c>
      <c r="F605" s="26" t="str">
        <f t="array" ref="F605">XLOOKUP($A605,Instagram_reach_raw!$A$4:$A1000,Instagram_reach_raw!$B$4:$B1000)</f>
        <v>#N/A</v>
      </c>
    </row>
    <row r="606">
      <c r="A606" s="30" t="str">
        <f>Instagram_reach_raw!$A608</f>
        <v/>
      </c>
      <c r="B606" s="29" t="str">
        <f>Instagram_interactions_raw!$A608</f>
        <v/>
      </c>
      <c r="C606" s="26" t="str">
        <f t="shared" si="1"/>
        <v/>
      </c>
      <c r="D606" s="26" t="str">
        <f t="array" ref="D606">XLOOKUP($A606,Instagram_follows_raw!$A$4:$A1000,Instagram_follows_raw!$B$4:$B1000)</f>
        <v>#N/A</v>
      </c>
      <c r="E606" s="26" t="str">
        <f t="array" ref="E606">XLOOKUP($A606,Instagram_interactions_raw!$A$4:$A1000,Instagram_interactions_raw!$B$4:$B1000)</f>
        <v>#N/A</v>
      </c>
      <c r="F606" s="26" t="str">
        <f t="array" ref="F606">XLOOKUP($A606,Instagram_reach_raw!$A$4:$A1000,Instagram_reach_raw!$B$4:$B1000)</f>
        <v>#N/A</v>
      </c>
    </row>
    <row r="607">
      <c r="A607" s="30" t="str">
        <f>Instagram_reach_raw!$A609</f>
        <v/>
      </c>
      <c r="B607" s="29" t="str">
        <f>Instagram_interactions_raw!$A609</f>
        <v/>
      </c>
      <c r="C607" s="26" t="str">
        <f t="shared" si="1"/>
        <v/>
      </c>
      <c r="D607" s="26" t="str">
        <f t="array" ref="D607">XLOOKUP($A607,Instagram_follows_raw!$A$4:$A1000,Instagram_follows_raw!$B$4:$B1000)</f>
        <v>#N/A</v>
      </c>
      <c r="E607" s="26" t="str">
        <f t="array" ref="E607">XLOOKUP($A607,Instagram_interactions_raw!$A$4:$A1000,Instagram_interactions_raw!$B$4:$B1000)</f>
        <v>#N/A</v>
      </c>
      <c r="F607" s="26" t="str">
        <f t="array" ref="F607">XLOOKUP($A607,Instagram_reach_raw!$A$4:$A1000,Instagram_reach_raw!$B$4:$B1000)</f>
        <v>#N/A</v>
      </c>
    </row>
    <row r="608">
      <c r="A608" s="30" t="str">
        <f>Instagram_reach_raw!$A610</f>
        <v/>
      </c>
      <c r="B608" s="29" t="str">
        <f>Instagram_interactions_raw!$A610</f>
        <v/>
      </c>
      <c r="C608" s="26" t="str">
        <f t="shared" si="1"/>
        <v/>
      </c>
      <c r="D608" s="26" t="str">
        <f t="array" ref="D608">XLOOKUP($A608,Instagram_follows_raw!$A$4:$A1000,Instagram_follows_raw!$B$4:$B1000)</f>
        <v>#N/A</v>
      </c>
      <c r="E608" s="26" t="str">
        <f t="array" ref="E608">XLOOKUP($A608,Instagram_interactions_raw!$A$4:$A1000,Instagram_interactions_raw!$B$4:$B1000)</f>
        <v>#N/A</v>
      </c>
      <c r="F608" s="26" t="str">
        <f t="array" ref="F608">XLOOKUP($A608,Instagram_reach_raw!$A$4:$A1000,Instagram_reach_raw!$B$4:$B1000)</f>
        <v>#N/A</v>
      </c>
    </row>
    <row r="609">
      <c r="A609" s="30" t="str">
        <f>Instagram_reach_raw!$A611</f>
        <v/>
      </c>
      <c r="B609" s="29" t="str">
        <f>Instagram_interactions_raw!$A611</f>
        <v/>
      </c>
      <c r="C609" s="26" t="str">
        <f t="shared" si="1"/>
        <v/>
      </c>
      <c r="D609" s="26" t="str">
        <f t="array" ref="D609">XLOOKUP($A609,Instagram_follows_raw!$A$4:$A1000,Instagram_follows_raw!$B$4:$B1000)</f>
        <v>#N/A</v>
      </c>
      <c r="E609" s="26" t="str">
        <f t="array" ref="E609">XLOOKUP($A609,Instagram_interactions_raw!$A$4:$A1000,Instagram_interactions_raw!$B$4:$B1000)</f>
        <v>#N/A</v>
      </c>
      <c r="F609" s="26" t="str">
        <f t="array" ref="F609">XLOOKUP($A609,Instagram_reach_raw!$A$4:$A1000,Instagram_reach_raw!$B$4:$B1000)</f>
        <v>#N/A</v>
      </c>
    </row>
    <row r="610">
      <c r="A610" s="30" t="str">
        <f>Instagram_reach_raw!$A612</f>
        <v/>
      </c>
      <c r="B610" s="29" t="str">
        <f>Instagram_interactions_raw!$A612</f>
        <v/>
      </c>
      <c r="C610" s="26" t="str">
        <f t="shared" si="1"/>
        <v/>
      </c>
      <c r="D610" s="26" t="str">
        <f t="array" ref="D610">XLOOKUP($A610,Instagram_follows_raw!$A$4:$A1000,Instagram_follows_raw!$B$4:$B1000)</f>
        <v>#N/A</v>
      </c>
      <c r="E610" s="26" t="str">
        <f t="array" ref="E610">XLOOKUP($A610,Instagram_interactions_raw!$A$4:$A1000,Instagram_interactions_raw!$B$4:$B1000)</f>
        <v>#N/A</v>
      </c>
      <c r="F610" s="26" t="str">
        <f t="array" ref="F610">XLOOKUP($A610,Instagram_reach_raw!$A$4:$A1000,Instagram_reach_raw!$B$4:$B1000)</f>
        <v>#N/A</v>
      </c>
    </row>
    <row r="611">
      <c r="A611" s="30" t="str">
        <f>Instagram_reach_raw!$A613</f>
        <v/>
      </c>
      <c r="B611" s="29" t="str">
        <f>Instagram_interactions_raw!$A613</f>
        <v/>
      </c>
      <c r="C611" s="26" t="str">
        <f t="shared" si="1"/>
        <v/>
      </c>
      <c r="D611" s="26" t="str">
        <f t="array" ref="D611">XLOOKUP($A611,Instagram_follows_raw!$A$4:$A1000,Instagram_follows_raw!$B$4:$B1000)</f>
        <v>#N/A</v>
      </c>
      <c r="E611" s="26" t="str">
        <f t="array" ref="E611">XLOOKUP($A611,Instagram_interactions_raw!$A$4:$A1000,Instagram_interactions_raw!$B$4:$B1000)</f>
        <v>#N/A</v>
      </c>
      <c r="F611" s="26" t="str">
        <f t="array" ref="F611">XLOOKUP($A611,Instagram_reach_raw!$A$4:$A1000,Instagram_reach_raw!$B$4:$B1000)</f>
        <v>#N/A</v>
      </c>
    </row>
    <row r="612">
      <c r="A612" s="30" t="str">
        <f>Instagram_reach_raw!$A614</f>
        <v/>
      </c>
      <c r="B612" s="29" t="str">
        <f>Instagram_interactions_raw!$A614</f>
        <v/>
      </c>
      <c r="C612" s="26" t="str">
        <f t="shared" si="1"/>
        <v/>
      </c>
      <c r="D612" s="26" t="str">
        <f t="array" ref="D612">XLOOKUP($A612,Instagram_follows_raw!$A$4:$A1000,Instagram_follows_raw!$B$4:$B1000)</f>
        <v>#N/A</v>
      </c>
      <c r="E612" s="26" t="str">
        <f t="array" ref="E612">XLOOKUP($A612,Instagram_interactions_raw!$A$4:$A1000,Instagram_interactions_raw!$B$4:$B1000)</f>
        <v>#N/A</v>
      </c>
      <c r="F612" s="26" t="str">
        <f t="array" ref="F612">XLOOKUP($A612,Instagram_reach_raw!$A$4:$A1000,Instagram_reach_raw!$B$4:$B1000)</f>
        <v>#N/A</v>
      </c>
    </row>
    <row r="613">
      <c r="A613" s="30" t="str">
        <f>Instagram_reach_raw!$A615</f>
        <v/>
      </c>
      <c r="B613" s="29" t="str">
        <f>Instagram_interactions_raw!$A615</f>
        <v/>
      </c>
      <c r="C613" s="26" t="str">
        <f t="shared" si="1"/>
        <v/>
      </c>
      <c r="D613" s="26" t="str">
        <f t="array" ref="D613">XLOOKUP($A613,Instagram_follows_raw!$A$4:$A1000,Instagram_follows_raw!$B$4:$B1000)</f>
        <v>#N/A</v>
      </c>
      <c r="E613" s="26" t="str">
        <f t="array" ref="E613">XLOOKUP($A613,Instagram_interactions_raw!$A$4:$A1000,Instagram_interactions_raw!$B$4:$B1000)</f>
        <v>#N/A</v>
      </c>
      <c r="F613" s="26" t="str">
        <f t="array" ref="F613">XLOOKUP($A613,Instagram_reach_raw!$A$4:$A1000,Instagram_reach_raw!$B$4:$B1000)</f>
        <v>#N/A</v>
      </c>
    </row>
    <row r="614">
      <c r="A614" s="30" t="str">
        <f>Instagram_reach_raw!$A616</f>
        <v/>
      </c>
      <c r="B614" s="29" t="str">
        <f>Instagram_interactions_raw!$A616</f>
        <v/>
      </c>
      <c r="C614" s="26" t="str">
        <f t="shared" si="1"/>
        <v/>
      </c>
      <c r="D614" s="26" t="str">
        <f t="array" ref="D614">XLOOKUP($A614,Instagram_follows_raw!$A$4:$A1000,Instagram_follows_raw!$B$4:$B1000)</f>
        <v>#N/A</v>
      </c>
      <c r="E614" s="26" t="str">
        <f t="array" ref="E614">XLOOKUP($A614,Instagram_interactions_raw!$A$4:$A1000,Instagram_interactions_raw!$B$4:$B1000)</f>
        <v>#N/A</v>
      </c>
      <c r="F614" s="26" t="str">
        <f t="array" ref="F614">XLOOKUP($A614,Instagram_reach_raw!$A$4:$A1000,Instagram_reach_raw!$B$4:$B1000)</f>
        <v>#N/A</v>
      </c>
    </row>
    <row r="615">
      <c r="A615" s="30" t="str">
        <f>Instagram_reach_raw!$A617</f>
        <v/>
      </c>
      <c r="B615" s="29" t="str">
        <f>Instagram_interactions_raw!$A617</f>
        <v/>
      </c>
      <c r="C615" s="26" t="str">
        <f t="shared" si="1"/>
        <v/>
      </c>
      <c r="D615" s="26" t="str">
        <f t="array" ref="D615">XLOOKUP($A615,Instagram_follows_raw!$A$4:$A1000,Instagram_follows_raw!$B$4:$B1000)</f>
        <v>#N/A</v>
      </c>
      <c r="E615" s="26" t="str">
        <f t="array" ref="E615">XLOOKUP($A615,Instagram_interactions_raw!$A$4:$A1000,Instagram_interactions_raw!$B$4:$B1000)</f>
        <v>#N/A</v>
      </c>
      <c r="F615" s="26" t="str">
        <f t="array" ref="F615">XLOOKUP($A615,Instagram_reach_raw!$A$4:$A1000,Instagram_reach_raw!$B$4:$B1000)</f>
        <v>#N/A</v>
      </c>
    </row>
    <row r="616">
      <c r="A616" s="30" t="str">
        <f>Instagram_reach_raw!$A618</f>
        <v/>
      </c>
      <c r="B616" s="29" t="str">
        <f>Instagram_interactions_raw!$A618</f>
        <v/>
      </c>
      <c r="C616" s="26" t="str">
        <f t="shared" si="1"/>
        <v/>
      </c>
      <c r="D616" s="26" t="str">
        <f t="array" ref="D616">XLOOKUP($A616,Instagram_follows_raw!$A$4:$A1000,Instagram_follows_raw!$B$4:$B1000)</f>
        <v>#N/A</v>
      </c>
      <c r="E616" s="26" t="str">
        <f t="array" ref="E616">XLOOKUP($A616,Instagram_interactions_raw!$A$4:$A1000,Instagram_interactions_raw!$B$4:$B1000)</f>
        <v>#N/A</v>
      </c>
      <c r="F616" s="26" t="str">
        <f t="array" ref="F616">XLOOKUP($A616,Instagram_reach_raw!$A$4:$A1000,Instagram_reach_raw!$B$4:$B1000)</f>
        <v>#N/A</v>
      </c>
    </row>
    <row r="617">
      <c r="A617" s="30" t="str">
        <f>Instagram_reach_raw!$A619</f>
        <v/>
      </c>
      <c r="B617" s="29" t="str">
        <f>Instagram_interactions_raw!$A619</f>
        <v/>
      </c>
      <c r="C617" s="26" t="str">
        <f t="shared" si="1"/>
        <v/>
      </c>
      <c r="D617" s="26" t="str">
        <f t="array" ref="D617">XLOOKUP($A617,Instagram_follows_raw!$A$4:$A1000,Instagram_follows_raw!$B$4:$B1000)</f>
        <v>#N/A</v>
      </c>
      <c r="E617" s="26" t="str">
        <f t="array" ref="E617">XLOOKUP($A617,Instagram_interactions_raw!$A$4:$A1000,Instagram_interactions_raw!$B$4:$B1000)</f>
        <v>#N/A</v>
      </c>
      <c r="F617" s="26" t="str">
        <f t="array" ref="F617">XLOOKUP($A617,Instagram_reach_raw!$A$4:$A1000,Instagram_reach_raw!$B$4:$B1000)</f>
        <v>#N/A</v>
      </c>
    </row>
    <row r="618">
      <c r="A618" s="30" t="str">
        <f>Instagram_reach_raw!$A620</f>
        <v/>
      </c>
      <c r="B618" s="29" t="str">
        <f>Instagram_interactions_raw!$A620</f>
        <v/>
      </c>
      <c r="C618" s="26" t="str">
        <f t="shared" si="1"/>
        <v/>
      </c>
      <c r="D618" s="26" t="str">
        <f t="array" ref="D618">XLOOKUP($A618,Instagram_follows_raw!$A$4:$A1000,Instagram_follows_raw!$B$4:$B1000)</f>
        <v>#N/A</v>
      </c>
      <c r="E618" s="26" t="str">
        <f t="array" ref="E618">XLOOKUP($A618,Instagram_interactions_raw!$A$4:$A1000,Instagram_interactions_raw!$B$4:$B1000)</f>
        <v>#N/A</v>
      </c>
      <c r="F618" s="26" t="str">
        <f t="array" ref="F618">XLOOKUP($A618,Instagram_reach_raw!$A$4:$A1000,Instagram_reach_raw!$B$4:$B1000)</f>
        <v>#N/A</v>
      </c>
    </row>
    <row r="619">
      <c r="A619" s="30" t="str">
        <f>Instagram_reach_raw!$A621</f>
        <v/>
      </c>
      <c r="B619" s="29" t="str">
        <f>Instagram_interactions_raw!$A621</f>
        <v/>
      </c>
      <c r="C619" s="26" t="str">
        <f t="shared" si="1"/>
        <v/>
      </c>
      <c r="D619" s="26" t="str">
        <f t="array" ref="D619">XLOOKUP($A619,Instagram_follows_raw!$A$4:$A1000,Instagram_follows_raw!$B$4:$B1000)</f>
        <v>#N/A</v>
      </c>
      <c r="E619" s="26" t="str">
        <f t="array" ref="E619">XLOOKUP($A619,Instagram_interactions_raw!$A$4:$A1000,Instagram_interactions_raw!$B$4:$B1000)</f>
        <v>#N/A</v>
      </c>
      <c r="F619" s="26" t="str">
        <f t="array" ref="F619">XLOOKUP($A619,Instagram_reach_raw!$A$4:$A1000,Instagram_reach_raw!$B$4:$B1000)</f>
        <v>#N/A</v>
      </c>
    </row>
    <row r="620">
      <c r="A620" s="30" t="str">
        <f>Instagram_reach_raw!$A622</f>
        <v/>
      </c>
      <c r="B620" s="29" t="str">
        <f>Instagram_interactions_raw!$A622</f>
        <v/>
      </c>
      <c r="C620" s="26" t="str">
        <f t="shared" si="1"/>
        <v/>
      </c>
      <c r="D620" s="26" t="str">
        <f t="array" ref="D620">XLOOKUP($A620,Instagram_follows_raw!$A$4:$A1000,Instagram_follows_raw!$B$4:$B1000)</f>
        <v>#N/A</v>
      </c>
      <c r="E620" s="26" t="str">
        <f t="array" ref="E620">XLOOKUP($A620,Instagram_interactions_raw!$A$4:$A1000,Instagram_interactions_raw!$B$4:$B1000)</f>
        <v>#N/A</v>
      </c>
      <c r="F620" s="26" t="str">
        <f t="array" ref="F620">XLOOKUP($A620,Instagram_reach_raw!$A$4:$A1000,Instagram_reach_raw!$B$4:$B1000)</f>
        <v>#N/A</v>
      </c>
    </row>
    <row r="621">
      <c r="A621" s="30" t="str">
        <f>Instagram_reach_raw!$A623</f>
        <v/>
      </c>
      <c r="B621" s="29" t="str">
        <f>Instagram_interactions_raw!$A623</f>
        <v/>
      </c>
      <c r="C621" s="26" t="str">
        <f t="shared" si="1"/>
        <v/>
      </c>
      <c r="D621" s="26" t="str">
        <f t="array" ref="D621">XLOOKUP($A621,Instagram_follows_raw!$A$4:$A1000,Instagram_follows_raw!$B$4:$B1000)</f>
        <v>#N/A</v>
      </c>
      <c r="E621" s="26" t="str">
        <f t="array" ref="E621">XLOOKUP($A621,Instagram_interactions_raw!$A$4:$A1000,Instagram_interactions_raw!$B$4:$B1000)</f>
        <v>#N/A</v>
      </c>
      <c r="F621" s="26" t="str">
        <f t="array" ref="F621">XLOOKUP($A621,Instagram_reach_raw!$A$4:$A1000,Instagram_reach_raw!$B$4:$B1000)</f>
        <v>#N/A</v>
      </c>
    </row>
    <row r="622">
      <c r="A622" s="30" t="str">
        <f>Instagram_reach_raw!$A624</f>
        <v/>
      </c>
      <c r="B622" s="29" t="str">
        <f>Instagram_interactions_raw!$A624</f>
        <v/>
      </c>
      <c r="C622" s="26" t="str">
        <f t="shared" si="1"/>
        <v/>
      </c>
      <c r="D622" s="26" t="str">
        <f t="array" ref="D622">XLOOKUP($A622,Instagram_follows_raw!$A$4:$A1000,Instagram_follows_raw!$B$4:$B1000)</f>
        <v>#N/A</v>
      </c>
      <c r="E622" s="26" t="str">
        <f t="array" ref="E622">XLOOKUP($A622,Instagram_interactions_raw!$A$4:$A1000,Instagram_interactions_raw!$B$4:$B1000)</f>
        <v>#N/A</v>
      </c>
      <c r="F622" s="26" t="str">
        <f t="array" ref="F622">XLOOKUP($A622,Instagram_reach_raw!$A$4:$A1000,Instagram_reach_raw!$B$4:$B1000)</f>
        <v>#N/A</v>
      </c>
    </row>
    <row r="623">
      <c r="A623" s="30" t="str">
        <f>Instagram_reach_raw!$A625</f>
        <v/>
      </c>
      <c r="B623" s="29" t="str">
        <f>Instagram_interactions_raw!$A625</f>
        <v/>
      </c>
      <c r="C623" s="26" t="str">
        <f t="shared" si="1"/>
        <v/>
      </c>
      <c r="D623" s="26" t="str">
        <f t="array" ref="D623">XLOOKUP($A623,Instagram_follows_raw!$A$4:$A1000,Instagram_follows_raw!$B$4:$B1000)</f>
        <v>#N/A</v>
      </c>
      <c r="E623" s="26" t="str">
        <f t="array" ref="E623">XLOOKUP($A623,Instagram_interactions_raw!$A$4:$A1000,Instagram_interactions_raw!$B$4:$B1000)</f>
        <v>#N/A</v>
      </c>
      <c r="F623" s="26" t="str">
        <f t="array" ref="F623">XLOOKUP($A623,Instagram_reach_raw!$A$4:$A1000,Instagram_reach_raw!$B$4:$B1000)</f>
        <v>#N/A</v>
      </c>
    </row>
    <row r="624">
      <c r="A624" s="30" t="str">
        <f>Instagram_reach_raw!$A626</f>
        <v/>
      </c>
      <c r="B624" s="29" t="str">
        <f>Instagram_interactions_raw!$A626</f>
        <v/>
      </c>
      <c r="C624" s="26" t="str">
        <f t="shared" si="1"/>
        <v/>
      </c>
      <c r="D624" s="26" t="str">
        <f t="array" ref="D624">XLOOKUP($A624,Instagram_follows_raw!$A$4:$A1000,Instagram_follows_raw!$B$4:$B1000)</f>
        <v>#N/A</v>
      </c>
      <c r="E624" s="26" t="str">
        <f t="array" ref="E624">XLOOKUP($A624,Instagram_interactions_raw!$A$4:$A1000,Instagram_interactions_raw!$B$4:$B1000)</f>
        <v>#N/A</v>
      </c>
      <c r="F624" s="26" t="str">
        <f t="array" ref="F624">XLOOKUP($A624,Instagram_reach_raw!$A$4:$A1000,Instagram_reach_raw!$B$4:$B1000)</f>
        <v>#N/A</v>
      </c>
    </row>
    <row r="625">
      <c r="A625" s="30" t="str">
        <f>Instagram_reach_raw!$A627</f>
        <v/>
      </c>
      <c r="B625" s="29" t="str">
        <f>Instagram_interactions_raw!$A627</f>
        <v/>
      </c>
      <c r="C625" s="26" t="str">
        <f t="shared" si="1"/>
        <v/>
      </c>
      <c r="D625" s="26" t="str">
        <f t="array" ref="D625">XLOOKUP($A625,Instagram_follows_raw!$A$4:$A1000,Instagram_follows_raw!$B$4:$B1000)</f>
        <v>#N/A</v>
      </c>
      <c r="E625" s="26" t="str">
        <f t="array" ref="E625">XLOOKUP($A625,Instagram_interactions_raw!$A$4:$A1000,Instagram_interactions_raw!$B$4:$B1000)</f>
        <v>#N/A</v>
      </c>
      <c r="F625" s="26" t="str">
        <f t="array" ref="F625">XLOOKUP($A625,Instagram_reach_raw!$A$4:$A1000,Instagram_reach_raw!$B$4:$B1000)</f>
        <v>#N/A</v>
      </c>
    </row>
    <row r="626">
      <c r="A626" s="30" t="str">
        <f>Instagram_reach_raw!$A628</f>
        <v/>
      </c>
      <c r="B626" s="29" t="str">
        <f>Instagram_interactions_raw!$A628</f>
        <v/>
      </c>
      <c r="C626" s="26" t="str">
        <f t="shared" si="1"/>
        <v/>
      </c>
      <c r="D626" s="26" t="str">
        <f t="array" ref="D626">XLOOKUP($A626,Instagram_follows_raw!$A$4:$A1000,Instagram_follows_raw!$B$4:$B1000)</f>
        <v>#N/A</v>
      </c>
      <c r="E626" s="26" t="str">
        <f t="array" ref="E626">XLOOKUP($A626,Instagram_interactions_raw!$A$4:$A1000,Instagram_interactions_raw!$B$4:$B1000)</f>
        <v>#N/A</v>
      </c>
      <c r="F626" s="26" t="str">
        <f t="array" ref="F626">XLOOKUP($A626,Instagram_reach_raw!$A$4:$A1000,Instagram_reach_raw!$B$4:$B1000)</f>
        <v>#N/A</v>
      </c>
    </row>
    <row r="627">
      <c r="A627" s="30" t="str">
        <f>Instagram_reach_raw!$A629</f>
        <v/>
      </c>
      <c r="B627" s="29" t="str">
        <f>Instagram_interactions_raw!$A629</f>
        <v/>
      </c>
      <c r="C627" s="26" t="str">
        <f t="shared" si="1"/>
        <v/>
      </c>
      <c r="D627" s="26" t="str">
        <f t="array" ref="D627">XLOOKUP($A627,Instagram_follows_raw!$A$4:$A1000,Instagram_follows_raw!$B$4:$B1000)</f>
        <v>#N/A</v>
      </c>
      <c r="E627" s="26" t="str">
        <f t="array" ref="E627">XLOOKUP($A627,Instagram_interactions_raw!$A$4:$A1000,Instagram_interactions_raw!$B$4:$B1000)</f>
        <v>#N/A</v>
      </c>
      <c r="F627" s="26" t="str">
        <f t="array" ref="F627">XLOOKUP($A627,Instagram_reach_raw!$A$4:$A1000,Instagram_reach_raw!$B$4:$B1000)</f>
        <v>#N/A</v>
      </c>
    </row>
    <row r="628">
      <c r="A628" s="30" t="str">
        <f>Instagram_reach_raw!$A630</f>
        <v/>
      </c>
      <c r="B628" s="29" t="str">
        <f>Instagram_interactions_raw!$A630</f>
        <v/>
      </c>
      <c r="C628" s="26" t="str">
        <f t="shared" si="1"/>
        <v/>
      </c>
      <c r="D628" s="26" t="str">
        <f t="array" ref="D628">XLOOKUP($A628,Instagram_follows_raw!$A$4:$A1000,Instagram_follows_raw!$B$4:$B1000)</f>
        <v>#N/A</v>
      </c>
      <c r="E628" s="26" t="str">
        <f t="array" ref="E628">XLOOKUP($A628,Instagram_interactions_raw!$A$4:$A1000,Instagram_interactions_raw!$B$4:$B1000)</f>
        <v>#N/A</v>
      </c>
      <c r="F628" s="26" t="str">
        <f t="array" ref="F628">XLOOKUP($A628,Instagram_reach_raw!$A$4:$A1000,Instagram_reach_raw!$B$4:$B1000)</f>
        <v>#N/A</v>
      </c>
    </row>
    <row r="629">
      <c r="A629" s="30" t="str">
        <f>Instagram_reach_raw!$A631</f>
        <v/>
      </c>
      <c r="B629" s="29" t="str">
        <f>Instagram_interactions_raw!$A631</f>
        <v/>
      </c>
      <c r="C629" s="26" t="str">
        <f t="shared" si="1"/>
        <v/>
      </c>
      <c r="D629" s="26" t="str">
        <f t="array" ref="D629">XLOOKUP($A629,Instagram_follows_raw!$A$4:$A1000,Instagram_follows_raw!$B$4:$B1000)</f>
        <v>#N/A</v>
      </c>
      <c r="E629" s="26" t="str">
        <f t="array" ref="E629">XLOOKUP($A629,Instagram_interactions_raw!$A$4:$A1000,Instagram_interactions_raw!$B$4:$B1000)</f>
        <v>#N/A</v>
      </c>
      <c r="F629" s="26" t="str">
        <f t="array" ref="F629">XLOOKUP($A629,Instagram_reach_raw!$A$4:$A1000,Instagram_reach_raw!$B$4:$B1000)</f>
        <v>#N/A</v>
      </c>
    </row>
    <row r="630">
      <c r="A630" s="30" t="str">
        <f>Instagram_reach_raw!$A632</f>
        <v/>
      </c>
      <c r="B630" s="29" t="str">
        <f>Instagram_interactions_raw!$A632</f>
        <v/>
      </c>
      <c r="C630" s="26" t="str">
        <f t="shared" si="1"/>
        <v/>
      </c>
      <c r="D630" s="26" t="str">
        <f t="array" ref="D630">XLOOKUP($A630,Instagram_follows_raw!$A$4:$A1000,Instagram_follows_raw!$B$4:$B1000)</f>
        <v>#N/A</v>
      </c>
      <c r="E630" s="26" t="str">
        <f t="array" ref="E630">XLOOKUP($A630,Instagram_interactions_raw!$A$4:$A1000,Instagram_interactions_raw!$B$4:$B1000)</f>
        <v>#N/A</v>
      </c>
      <c r="F630" s="26" t="str">
        <f t="array" ref="F630">XLOOKUP($A630,Instagram_reach_raw!$A$4:$A1000,Instagram_reach_raw!$B$4:$B1000)</f>
        <v>#N/A</v>
      </c>
    </row>
    <row r="631">
      <c r="A631" s="30" t="str">
        <f>Instagram_reach_raw!$A633</f>
        <v/>
      </c>
      <c r="B631" s="29" t="str">
        <f>Instagram_interactions_raw!$A633</f>
        <v/>
      </c>
      <c r="C631" s="26" t="str">
        <f t="shared" si="1"/>
        <v/>
      </c>
      <c r="D631" s="26" t="str">
        <f t="array" ref="D631">XLOOKUP($A631,Instagram_follows_raw!$A$4:$A1000,Instagram_follows_raw!$B$4:$B1000)</f>
        <v>#N/A</v>
      </c>
      <c r="E631" s="26" t="str">
        <f t="array" ref="E631">XLOOKUP($A631,Instagram_interactions_raw!$A$4:$A1000,Instagram_interactions_raw!$B$4:$B1000)</f>
        <v>#N/A</v>
      </c>
      <c r="F631" s="26" t="str">
        <f t="array" ref="F631">XLOOKUP($A631,Instagram_reach_raw!$A$4:$A1000,Instagram_reach_raw!$B$4:$B1000)</f>
        <v>#N/A</v>
      </c>
    </row>
    <row r="632">
      <c r="A632" s="30" t="str">
        <f>Instagram_reach_raw!$A634</f>
        <v/>
      </c>
      <c r="B632" s="29" t="str">
        <f>Instagram_interactions_raw!$A634</f>
        <v/>
      </c>
      <c r="C632" s="26" t="str">
        <f t="shared" si="1"/>
        <v/>
      </c>
      <c r="D632" s="26" t="str">
        <f t="array" ref="D632">XLOOKUP($A632,Instagram_follows_raw!$A$4:$A1000,Instagram_follows_raw!$B$4:$B1000)</f>
        <v>#N/A</v>
      </c>
      <c r="E632" s="26" t="str">
        <f t="array" ref="E632">XLOOKUP($A632,Instagram_interactions_raw!$A$4:$A1000,Instagram_interactions_raw!$B$4:$B1000)</f>
        <v>#N/A</v>
      </c>
      <c r="F632" s="26" t="str">
        <f t="array" ref="F632">XLOOKUP($A632,Instagram_reach_raw!$A$4:$A1000,Instagram_reach_raw!$B$4:$B1000)</f>
        <v>#N/A</v>
      </c>
    </row>
    <row r="633">
      <c r="A633" s="30" t="str">
        <f>Instagram_reach_raw!$A635</f>
        <v/>
      </c>
      <c r="B633" s="29" t="str">
        <f>Instagram_interactions_raw!$A635</f>
        <v/>
      </c>
      <c r="C633" s="26" t="str">
        <f t="shared" si="1"/>
        <v/>
      </c>
      <c r="D633" s="26" t="str">
        <f t="array" ref="D633">XLOOKUP($A633,Instagram_follows_raw!$A$4:$A1000,Instagram_follows_raw!$B$4:$B1000)</f>
        <v>#N/A</v>
      </c>
      <c r="E633" s="26" t="str">
        <f t="array" ref="E633">XLOOKUP($A633,Instagram_interactions_raw!$A$4:$A1000,Instagram_interactions_raw!$B$4:$B1000)</f>
        <v>#N/A</v>
      </c>
      <c r="F633" s="26" t="str">
        <f t="array" ref="F633">XLOOKUP($A633,Instagram_reach_raw!$A$4:$A1000,Instagram_reach_raw!$B$4:$B1000)</f>
        <v>#N/A</v>
      </c>
    </row>
    <row r="634">
      <c r="A634" s="30" t="str">
        <f>Instagram_reach_raw!$A636</f>
        <v/>
      </c>
      <c r="B634" s="29" t="str">
        <f>Instagram_interactions_raw!$A636</f>
        <v/>
      </c>
      <c r="C634" s="26" t="str">
        <f t="shared" si="1"/>
        <v/>
      </c>
      <c r="D634" s="26" t="str">
        <f t="array" ref="D634">XLOOKUP($A634,Instagram_follows_raw!$A$4:$A1000,Instagram_follows_raw!$B$4:$B1000)</f>
        <v>#N/A</v>
      </c>
      <c r="E634" s="26" t="str">
        <f t="array" ref="E634">XLOOKUP($A634,Instagram_interactions_raw!$A$4:$A1000,Instagram_interactions_raw!$B$4:$B1000)</f>
        <v>#N/A</v>
      </c>
      <c r="F634" s="26" t="str">
        <f t="array" ref="F634">XLOOKUP($A634,Instagram_reach_raw!$A$4:$A1000,Instagram_reach_raw!$B$4:$B1000)</f>
        <v>#N/A</v>
      </c>
    </row>
    <row r="635">
      <c r="A635" s="30" t="str">
        <f>Instagram_reach_raw!$A637</f>
        <v/>
      </c>
      <c r="B635" s="29" t="str">
        <f>Instagram_interactions_raw!$A637</f>
        <v/>
      </c>
      <c r="C635" s="26" t="str">
        <f t="shared" si="1"/>
        <v/>
      </c>
      <c r="D635" s="26" t="str">
        <f t="array" ref="D635">XLOOKUP($A635,Instagram_follows_raw!$A$4:$A1000,Instagram_follows_raw!$B$4:$B1000)</f>
        <v>#N/A</v>
      </c>
      <c r="E635" s="26" t="str">
        <f t="array" ref="E635">XLOOKUP($A635,Instagram_interactions_raw!$A$4:$A1000,Instagram_interactions_raw!$B$4:$B1000)</f>
        <v>#N/A</v>
      </c>
      <c r="F635" s="26" t="str">
        <f t="array" ref="F635">XLOOKUP($A635,Instagram_reach_raw!$A$4:$A1000,Instagram_reach_raw!$B$4:$B1000)</f>
        <v>#N/A</v>
      </c>
    </row>
    <row r="636">
      <c r="A636" s="30" t="str">
        <f>Instagram_reach_raw!$A638</f>
        <v/>
      </c>
      <c r="B636" s="29" t="str">
        <f>Instagram_interactions_raw!$A638</f>
        <v/>
      </c>
      <c r="C636" s="26" t="str">
        <f t="shared" si="1"/>
        <v/>
      </c>
      <c r="D636" s="26" t="str">
        <f t="array" ref="D636">XLOOKUP($A636,Instagram_follows_raw!$A$4:$A1000,Instagram_follows_raw!$B$4:$B1000)</f>
        <v>#N/A</v>
      </c>
      <c r="E636" s="26" t="str">
        <f t="array" ref="E636">XLOOKUP($A636,Instagram_interactions_raw!$A$4:$A1000,Instagram_interactions_raw!$B$4:$B1000)</f>
        <v>#N/A</v>
      </c>
      <c r="F636" s="26" t="str">
        <f t="array" ref="F636">XLOOKUP($A636,Instagram_reach_raw!$A$4:$A1000,Instagram_reach_raw!$B$4:$B1000)</f>
        <v>#N/A</v>
      </c>
    </row>
    <row r="637">
      <c r="A637" s="30" t="str">
        <f>Instagram_reach_raw!$A639</f>
        <v/>
      </c>
      <c r="B637" s="29" t="str">
        <f>Instagram_interactions_raw!$A639</f>
        <v/>
      </c>
      <c r="C637" s="26" t="str">
        <f t="shared" si="1"/>
        <v/>
      </c>
      <c r="D637" s="26" t="str">
        <f t="array" ref="D637">XLOOKUP($A637,Instagram_follows_raw!$A$4:$A1000,Instagram_follows_raw!$B$4:$B1000)</f>
        <v>#N/A</v>
      </c>
      <c r="E637" s="26" t="str">
        <f t="array" ref="E637">XLOOKUP($A637,Instagram_interactions_raw!$A$4:$A1000,Instagram_interactions_raw!$B$4:$B1000)</f>
        <v>#N/A</v>
      </c>
      <c r="F637" s="26" t="str">
        <f t="array" ref="F637">XLOOKUP($A637,Instagram_reach_raw!$A$4:$A1000,Instagram_reach_raw!$B$4:$B1000)</f>
        <v>#N/A</v>
      </c>
    </row>
    <row r="638">
      <c r="A638" s="30" t="str">
        <f>Instagram_reach_raw!$A640</f>
        <v/>
      </c>
      <c r="B638" s="29" t="str">
        <f>Instagram_interactions_raw!$A640</f>
        <v/>
      </c>
      <c r="C638" s="26" t="str">
        <f t="shared" si="1"/>
        <v/>
      </c>
      <c r="D638" s="26" t="str">
        <f t="array" ref="D638">XLOOKUP($A638,Instagram_follows_raw!$A$4:$A1000,Instagram_follows_raw!$B$4:$B1000)</f>
        <v>#N/A</v>
      </c>
      <c r="E638" s="26" t="str">
        <f t="array" ref="E638">XLOOKUP($A638,Instagram_interactions_raw!$A$4:$A1000,Instagram_interactions_raw!$B$4:$B1000)</f>
        <v>#N/A</v>
      </c>
      <c r="F638" s="26" t="str">
        <f t="array" ref="F638">XLOOKUP($A638,Instagram_reach_raw!$A$4:$A1000,Instagram_reach_raw!$B$4:$B1000)</f>
        <v>#N/A</v>
      </c>
    </row>
    <row r="639">
      <c r="A639" s="30" t="str">
        <f>Instagram_reach_raw!$A641</f>
        <v/>
      </c>
      <c r="B639" s="29" t="str">
        <f>Instagram_interactions_raw!$A641</f>
        <v/>
      </c>
      <c r="C639" s="26" t="str">
        <f t="shared" si="1"/>
        <v/>
      </c>
      <c r="D639" s="26" t="str">
        <f t="array" ref="D639">XLOOKUP($A639,Instagram_follows_raw!$A$4:$A1000,Instagram_follows_raw!$B$4:$B1000)</f>
        <v>#N/A</v>
      </c>
      <c r="E639" s="26" t="str">
        <f t="array" ref="E639">XLOOKUP($A639,Instagram_interactions_raw!$A$4:$A1000,Instagram_interactions_raw!$B$4:$B1000)</f>
        <v>#N/A</v>
      </c>
      <c r="F639" s="26" t="str">
        <f t="array" ref="F639">XLOOKUP($A639,Instagram_reach_raw!$A$4:$A1000,Instagram_reach_raw!$B$4:$B1000)</f>
        <v>#N/A</v>
      </c>
    </row>
    <row r="640">
      <c r="A640" s="30" t="str">
        <f>Instagram_reach_raw!$A642</f>
        <v/>
      </c>
      <c r="B640" s="29" t="str">
        <f>Instagram_interactions_raw!$A642</f>
        <v/>
      </c>
      <c r="C640" s="26" t="str">
        <f t="shared" si="1"/>
        <v/>
      </c>
      <c r="D640" s="26" t="str">
        <f t="array" ref="D640">XLOOKUP($A640,Instagram_follows_raw!$A$4:$A1000,Instagram_follows_raw!$B$4:$B1000)</f>
        <v>#N/A</v>
      </c>
      <c r="E640" s="26" t="str">
        <f t="array" ref="E640">XLOOKUP($A640,Instagram_interactions_raw!$A$4:$A1000,Instagram_interactions_raw!$B$4:$B1000)</f>
        <v>#N/A</v>
      </c>
      <c r="F640" s="26" t="str">
        <f t="array" ref="F640">XLOOKUP($A640,Instagram_reach_raw!$A$4:$A1000,Instagram_reach_raw!$B$4:$B1000)</f>
        <v>#N/A</v>
      </c>
    </row>
    <row r="641">
      <c r="A641" s="30" t="str">
        <f>Instagram_reach_raw!$A643</f>
        <v/>
      </c>
      <c r="B641" s="29" t="str">
        <f>Instagram_interactions_raw!$A643</f>
        <v/>
      </c>
      <c r="C641" s="26" t="str">
        <f t="shared" si="1"/>
        <v/>
      </c>
      <c r="D641" s="26" t="str">
        <f t="array" ref="D641">XLOOKUP($A641,Instagram_follows_raw!$A$4:$A1000,Instagram_follows_raw!$B$4:$B1000)</f>
        <v>#N/A</v>
      </c>
      <c r="E641" s="26" t="str">
        <f t="array" ref="E641">XLOOKUP($A641,Instagram_interactions_raw!$A$4:$A1000,Instagram_interactions_raw!$B$4:$B1000)</f>
        <v>#N/A</v>
      </c>
      <c r="F641" s="26" t="str">
        <f t="array" ref="F641">XLOOKUP($A641,Instagram_reach_raw!$A$4:$A1000,Instagram_reach_raw!$B$4:$B1000)</f>
        <v>#N/A</v>
      </c>
    </row>
    <row r="642">
      <c r="A642" s="30" t="str">
        <f>Instagram_reach_raw!$A644</f>
        <v/>
      </c>
      <c r="B642" s="29" t="str">
        <f>Instagram_interactions_raw!$A644</f>
        <v/>
      </c>
      <c r="C642" s="26" t="str">
        <f t="shared" si="1"/>
        <v/>
      </c>
      <c r="D642" s="26" t="str">
        <f t="array" ref="D642">XLOOKUP($A642,Instagram_follows_raw!$A$4:$A1000,Instagram_follows_raw!$B$4:$B1000)</f>
        <v>#N/A</v>
      </c>
      <c r="E642" s="26" t="str">
        <f t="array" ref="E642">XLOOKUP($A642,Instagram_interactions_raw!$A$4:$A1000,Instagram_interactions_raw!$B$4:$B1000)</f>
        <v>#N/A</v>
      </c>
      <c r="F642" s="26" t="str">
        <f t="array" ref="F642">XLOOKUP($A642,Instagram_reach_raw!$A$4:$A1000,Instagram_reach_raw!$B$4:$B1000)</f>
        <v>#N/A</v>
      </c>
    </row>
    <row r="643">
      <c r="A643" s="30" t="str">
        <f>Instagram_reach_raw!$A645</f>
        <v/>
      </c>
      <c r="B643" s="29" t="str">
        <f>Instagram_interactions_raw!$A645</f>
        <v/>
      </c>
      <c r="C643" s="26" t="str">
        <f t="shared" si="1"/>
        <v/>
      </c>
      <c r="D643" s="26" t="str">
        <f t="array" ref="D643">XLOOKUP($A643,Instagram_follows_raw!$A$4:$A1000,Instagram_follows_raw!$B$4:$B1000)</f>
        <v>#N/A</v>
      </c>
      <c r="E643" s="26" t="str">
        <f t="array" ref="E643">XLOOKUP($A643,Instagram_interactions_raw!$A$4:$A1000,Instagram_interactions_raw!$B$4:$B1000)</f>
        <v>#N/A</v>
      </c>
      <c r="F643" s="26" t="str">
        <f t="array" ref="F643">XLOOKUP($A643,Instagram_reach_raw!$A$4:$A1000,Instagram_reach_raw!$B$4:$B1000)</f>
        <v>#N/A</v>
      </c>
    </row>
    <row r="644">
      <c r="A644" s="30" t="str">
        <f>Instagram_reach_raw!$A646</f>
        <v/>
      </c>
      <c r="B644" s="29" t="str">
        <f>Instagram_interactions_raw!$A646</f>
        <v/>
      </c>
      <c r="C644" s="26" t="str">
        <f t="shared" si="1"/>
        <v/>
      </c>
      <c r="D644" s="26" t="str">
        <f t="array" ref="D644">XLOOKUP($A644,Instagram_follows_raw!$A$4:$A1000,Instagram_follows_raw!$B$4:$B1000)</f>
        <v>#N/A</v>
      </c>
      <c r="E644" s="26" t="str">
        <f t="array" ref="E644">XLOOKUP($A644,Instagram_interactions_raw!$A$4:$A1000,Instagram_interactions_raw!$B$4:$B1000)</f>
        <v>#N/A</v>
      </c>
      <c r="F644" s="26" t="str">
        <f t="array" ref="F644">XLOOKUP($A644,Instagram_reach_raw!$A$4:$A1000,Instagram_reach_raw!$B$4:$B1000)</f>
        <v>#N/A</v>
      </c>
    </row>
    <row r="645">
      <c r="A645" s="30" t="str">
        <f>Instagram_reach_raw!$A647</f>
        <v/>
      </c>
      <c r="B645" s="29" t="str">
        <f>Instagram_interactions_raw!$A647</f>
        <v/>
      </c>
      <c r="C645" s="26" t="str">
        <f t="shared" si="1"/>
        <v/>
      </c>
      <c r="D645" s="26" t="str">
        <f t="array" ref="D645">XLOOKUP($A645,Instagram_follows_raw!$A$4:$A1000,Instagram_follows_raw!$B$4:$B1000)</f>
        <v>#N/A</v>
      </c>
      <c r="E645" s="26" t="str">
        <f t="array" ref="E645">XLOOKUP($A645,Instagram_interactions_raw!$A$4:$A1000,Instagram_interactions_raw!$B$4:$B1000)</f>
        <v>#N/A</v>
      </c>
      <c r="F645" s="26" t="str">
        <f t="array" ref="F645">XLOOKUP($A645,Instagram_reach_raw!$A$4:$A1000,Instagram_reach_raw!$B$4:$B1000)</f>
        <v>#N/A</v>
      </c>
    </row>
    <row r="646">
      <c r="A646" s="30" t="str">
        <f>Instagram_reach_raw!$A648</f>
        <v/>
      </c>
      <c r="B646" s="29" t="str">
        <f>Instagram_interactions_raw!$A648</f>
        <v/>
      </c>
      <c r="C646" s="26" t="str">
        <f t="shared" si="1"/>
        <v/>
      </c>
      <c r="D646" s="26" t="str">
        <f t="array" ref="D646">XLOOKUP($A646,Instagram_follows_raw!$A$4:$A1000,Instagram_follows_raw!$B$4:$B1000)</f>
        <v>#N/A</v>
      </c>
      <c r="E646" s="26" t="str">
        <f t="array" ref="E646">XLOOKUP($A646,Instagram_interactions_raw!$A$4:$A1000,Instagram_interactions_raw!$B$4:$B1000)</f>
        <v>#N/A</v>
      </c>
      <c r="F646" s="26" t="str">
        <f t="array" ref="F646">XLOOKUP($A646,Instagram_reach_raw!$A$4:$A1000,Instagram_reach_raw!$B$4:$B1000)</f>
        <v>#N/A</v>
      </c>
    </row>
    <row r="647">
      <c r="A647" s="30" t="str">
        <f>Instagram_reach_raw!$A649</f>
        <v/>
      </c>
      <c r="B647" s="29" t="str">
        <f>Instagram_interactions_raw!$A649</f>
        <v/>
      </c>
      <c r="C647" s="26" t="str">
        <f t="shared" si="1"/>
        <v/>
      </c>
      <c r="D647" s="26" t="str">
        <f t="array" ref="D647">XLOOKUP($A647,Instagram_follows_raw!$A$4:$A1000,Instagram_follows_raw!$B$4:$B1000)</f>
        <v>#N/A</v>
      </c>
      <c r="E647" s="26" t="str">
        <f t="array" ref="E647">XLOOKUP($A647,Instagram_interactions_raw!$A$4:$A1000,Instagram_interactions_raw!$B$4:$B1000)</f>
        <v>#N/A</v>
      </c>
      <c r="F647" s="26" t="str">
        <f t="array" ref="F647">XLOOKUP($A647,Instagram_reach_raw!$A$4:$A1000,Instagram_reach_raw!$B$4:$B1000)</f>
        <v>#N/A</v>
      </c>
    </row>
    <row r="648">
      <c r="A648" s="30" t="str">
        <f>Instagram_reach_raw!$A650</f>
        <v/>
      </c>
      <c r="B648" s="29" t="str">
        <f>Instagram_interactions_raw!$A650</f>
        <v/>
      </c>
      <c r="C648" s="26" t="str">
        <f t="shared" si="1"/>
        <v/>
      </c>
      <c r="D648" s="26" t="str">
        <f t="array" ref="D648">XLOOKUP($A648,Instagram_follows_raw!$A$4:$A1000,Instagram_follows_raw!$B$4:$B1000)</f>
        <v>#N/A</v>
      </c>
      <c r="E648" s="26" t="str">
        <f t="array" ref="E648">XLOOKUP($A648,Instagram_interactions_raw!$A$4:$A1000,Instagram_interactions_raw!$B$4:$B1000)</f>
        <v>#N/A</v>
      </c>
      <c r="F648" s="26" t="str">
        <f t="array" ref="F648">XLOOKUP($A648,Instagram_reach_raw!$A$4:$A1000,Instagram_reach_raw!$B$4:$B1000)</f>
        <v>#N/A</v>
      </c>
    </row>
    <row r="649">
      <c r="A649" s="30" t="str">
        <f>Instagram_reach_raw!$A651</f>
        <v/>
      </c>
      <c r="B649" s="29" t="str">
        <f>Instagram_interactions_raw!$A651</f>
        <v/>
      </c>
      <c r="C649" s="26" t="str">
        <f t="shared" si="1"/>
        <v/>
      </c>
      <c r="D649" s="26" t="str">
        <f t="array" ref="D649">XLOOKUP($A649,Instagram_follows_raw!$A$4:$A1000,Instagram_follows_raw!$B$4:$B1000)</f>
        <v>#N/A</v>
      </c>
      <c r="E649" s="26" t="str">
        <f t="array" ref="E649">XLOOKUP($A649,Instagram_interactions_raw!$A$4:$A1000,Instagram_interactions_raw!$B$4:$B1000)</f>
        <v>#N/A</v>
      </c>
      <c r="F649" s="26" t="str">
        <f t="array" ref="F649">XLOOKUP($A649,Instagram_reach_raw!$A$4:$A1000,Instagram_reach_raw!$B$4:$B1000)</f>
        <v>#N/A</v>
      </c>
    </row>
    <row r="650">
      <c r="A650" s="30" t="str">
        <f>Instagram_reach_raw!$A652</f>
        <v/>
      </c>
      <c r="B650" s="29" t="str">
        <f>Instagram_interactions_raw!$A652</f>
        <v/>
      </c>
      <c r="C650" s="26" t="str">
        <f t="shared" si="1"/>
        <v/>
      </c>
      <c r="D650" s="26" t="str">
        <f t="array" ref="D650">XLOOKUP($A650,Instagram_follows_raw!$A$4:$A1000,Instagram_follows_raw!$B$4:$B1000)</f>
        <v>#N/A</v>
      </c>
      <c r="E650" s="26" t="str">
        <f t="array" ref="E650">XLOOKUP($A650,Instagram_interactions_raw!$A$4:$A1000,Instagram_interactions_raw!$B$4:$B1000)</f>
        <v>#N/A</v>
      </c>
      <c r="F650" s="26" t="str">
        <f t="array" ref="F650">XLOOKUP($A650,Instagram_reach_raw!$A$4:$A1000,Instagram_reach_raw!$B$4:$B1000)</f>
        <v>#N/A</v>
      </c>
    </row>
    <row r="651">
      <c r="A651" s="30" t="str">
        <f>Instagram_reach_raw!$A653</f>
        <v/>
      </c>
      <c r="B651" s="29" t="str">
        <f>Instagram_interactions_raw!$A653</f>
        <v/>
      </c>
      <c r="C651" s="26" t="str">
        <f t="shared" si="1"/>
        <v/>
      </c>
      <c r="D651" s="26" t="str">
        <f t="array" ref="D651">XLOOKUP($A651,Instagram_follows_raw!$A$4:$A1000,Instagram_follows_raw!$B$4:$B1000)</f>
        <v>#N/A</v>
      </c>
      <c r="E651" s="26" t="str">
        <f t="array" ref="E651">XLOOKUP($A651,Instagram_interactions_raw!$A$4:$A1000,Instagram_interactions_raw!$B$4:$B1000)</f>
        <v>#N/A</v>
      </c>
      <c r="F651" s="26" t="str">
        <f t="array" ref="F651">XLOOKUP($A651,Instagram_reach_raw!$A$4:$A1000,Instagram_reach_raw!$B$4:$B1000)</f>
        <v>#N/A</v>
      </c>
    </row>
    <row r="652">
      <c r="A652" s="30" t="str">
        <f>Instagram_reach_raw!$A654</f>
        <v/>
      </c>
      <c r="B652" s="29" t="str">
        <f>Instagram_interactions_raw!$A654</f>
        <v/>
      </c>
      <c r="C652" s="26" t="str">
        <f t="shared" si="1"/>
        <v/>
      </c>
      <c r="D652" s="26" t="str">
        <f t="array" ref="D652">XLOOKUP($A652,Instagram_follows_raw!$A$4:$A1000,Instagram_follows_raw!$B$4:$B1000)</f>
        <v>#N/A</v>
      </c>
      <c r="E652" s="26" t="str">
        <f t="array" ref="E652">XLOOKUP($A652,Instagram_interactions_raw!$A$4:$A1000,Instagram_interactions_raw!$B$4:$B1000)</f>
        <v>#N/A</v>
      </c>
      <c r="F652" s="26" t="str">
        <f t="array" ref="F652">XLOOKUP($A652,Instagram_reach_raw!$A$4:$A1000,Instagram_reach_raw!$B$4:$B1000)</f>
        <v>#N/A</v>
      </c>
    </row>
    <row r="653">
      <c r="A653" s="30" t="str">
        <f>Instagram_reach_raw!$A655</f>
        <v/>
      </c>
      <c r="B653" s="29" t="str">
        <f>Instagram_interactions_raw!$A655</f>
        <v/>
      </c>
      <c r="C653" s="26" t="str">
        <f t="shared" si="1"/>
        <v/>
      </c>
      <c r="D653" s="26" t="str">
        <f t="array" ref="D653">XLOOKUP($A653,Instagram_follows_raw!$A$4:$A1000,Instagram_follows_raw!$B$4:$B1000)</f>
        <v>#N/A</v>
      </c>
      <c r="E653" s="26" t="str">
        <f t="array" ref="E653">XLOOKUP($A653,Instagram_interactions_raw!$A$4:$A1000,Instagram_interactions_raw!$B$4:$B1000)</f>
        <v>#N/A</v>
      </c>
      <c r="F653" s="26" t="str">
        <f t="array" ref="F653">XLOOKUP($A653,Instagram_reach_raw!$A$4:$A1000,Instagram_reach_raw!$B$4:$B1000)</f>
        <v>#N/A</v>
      </c>
    </row>
    <row r="654">
      <c r="A654" s="30" t="str">
        <f>Instagram_reach_raw!$A656</f>
        <v/>
      </c>
      <c r="B654" s="29" t="str">
        <f>Instagram_interactions_raw!$A656</f>
        <v/>
      </c>
      <c r="C654" s="26" t="str">
        <f t="shared" si="1"/>
        <v/>
      </c>
      <c r="D654" s="26" t="str">
        <f t="array" ref="D654">XLOOKUP($A654,Instagram_follows_raw!$A$4:$A1000,Instagram_follows_raw!$B$4:$B1000)</f>
        <v>#N/A</v>
      </c>
      <c r="E654" s="26" t="str">
        <f t="array" ref="E654">XLOOKUP($A654,Instagram_interactions_raw!$A$4:$A1000,Instagram_interactions_raw!$B$4:$B1000)</f>
        <v>#N/A</v>
      </c>
      <c r="F654" s="26" t="str">
        <f t="array" ref="F654">XLOOKUP($A654,Instagram_reach_raw!$A$4:$A1000,Instagram_reach_raw!$B$4:$B1000)</f>
        <v>#N/A</v>
      </c>
    </row>
    <row r="655">
      <c r="A655" s="30" t="str">
        <f>Instagram_reach_raw!$A657</f>
        <v/>
      </c>
      <c r="B655" s="29" t="str">
        <f>Instagram_interactions_raw!$A657</f>
        <v/>
      </c>
      <c r="C655" s="26" t="str">
        <f t="shared" si="1"/>
        <v/>
      </c>
      <c r="D655" s="26" t="str">
        <f t="array" ref="D655">XLOOKUP($A655,Instagram_follows_raw!$A$4:$A1000,Instagram_follows_raw!$B$4:$B1000)</f>
        <v>#N/A</v>
      </c>
      <c r="E655" s="26" t="str">
        <f t="array" ref="E655">XLOOKUP($A655,Instagram_interactions_raw!$A$4:$A1000,Instagram_interactions_raw!$B$4:$B1000)</f>
        <v>#N/A</v>
      </c>
      <c r="F655" s="26" t="str">
        <f t="array" ref="F655">XLOOKUP($A655,Instagram_reach_raw!$A$4:$A1000,Instagram_reach_raw!$B$4:$B1000)</f>
        <v>#N/A</v>
      </c>
    </row>
    <row r="656">
      <c r="A656" s="30" t="str">
        <f>Instagram_reach_raw!$A658</f>
        <v/>
      </c>
      <c r="B656" s="29" t="str">
        <f>Instagram_interactions_raw!$A658</f>
        <v/>
      </c>
      <c r="C656" s="26" t="str">
        <f t="shared" si="1"/>
        <v/>
      </c>
      <c r="D656" s="26" t="str">
        <f t="array" ref="D656">XLOOKUP($A656,Instagram_follows_raw!$A$4:$A1000,Instagram_follows_raw!$B$4:$B1000)</f>
        <v>#N/A</v>
      </c>
      <c r="E656" s="26" t="str">
        <f t="array" ref="E656">XLOOKUP($A656,Instagram_interactions_raw!$A$4:$A1000,Instagram_interactions_raw!$B$4:$B1000)</f>
        <v>#N/A</v>
      </c>
      <c r="F656" s="26" t="str">
        <f t="array" ref="F656">XLOOKUP($A656,Instagram_reach_raw!$A$4:$A1000,Instagram_reach_raw!$B$4:$B1000)</f>
        <v>#N/A</v>
      </c>
    </row>
    <row r="657">
      <c r="A657" s="30" t="str">
        <f>Instagram_reach_raw!$A659</f>
        <v/>
      </c>
      <c r="B657" s="29" t="str">
        <f>Instagram_interactions_raw!$A659</f>
        <v/>
      </c>
      <c r="C657" s="26" t="str">
        <f t="shared" si="1"/>
        <v/>
      </c>
      <c r="D657" s="26" t="str">
        <f t="array" ref="D657">XLOOKUP($A657,Instagram_follows_raw!$A$4:$A1000,Instagram_follows_raw!$B$4:$B1000)</f>
        <v>#N/A</v>
      </c>
      <c r="E657" s="26" t="str">
        <f t="array" ref="E657">XLOOKUP($A657,Instagram_interactions_raw!$A$4:$A1000,Instagram_interactions_raw!$B$4:$B1000)</f>
        <v>#N/A</v>
      </c>
      <c r="F657" s="26" t="str">
        <f t="array" ref="F657">XLOOKUP($A657,Instagram_reach_raw!$A$4:$A1000,Instagram_reach_raw!$B$4:$B1000)</f>
        <v>#N/A</v>
      </c>
    </row>
    <row r="658">
      <c r="A658" s="30" t="str">
        <f>Instagram_reach_raw!$A660</f>
        <v/>
      </c>
      <c r="B658" s="29" t="str">
        <f>Instagram_interactions_raw!$A660</f>
        <v/>
      </c>
      <c r="C658" s="26" t="str">
        <f t="shared" si="1"/>
        <v/>
      </c>
      <c r="D658" s="26" t="str">
        <f t="array" ref="D658">XLOOKUP($A658,Instagram_follows_raw!$A$4:$A1000,Instagram_follows_raw!$B$4:$B1000)</f>
        <v>#N/A</v>
      </c>
      <c r="E658" s="26" t="str">
        <f t="array" ref="E658">XLOOKUP($A658,Instagram_interactions_raw!$A$4:$A1000,Instagram_interactions_raw!$B$4:$B1000)</f>
        <v>#N/A</v>
      </c>
      <c r="F658" s="26" t="str">
        <f t="array" ref="F658">XLOOKUP($A658,Instagram_reach_raw!$A$4:$A1000,Instagram_reach_raw!$B$4:$B1000)</f>
        <v>#N/A</v>
      </c>
    </row>
    <row r="659">
      <c r="A659" s="30" t="str">
        <f>Instagram_reach_raw!$A661</f>
        <v/>
      </c>
      <c r="B659" s="29" t="str">
        <f>Instagram_interactions_raw!$A661</f>
        <v/>
      </c>
      <c r="C659" s="26" t="str">
        <f t="shared" si="1"/>
        <v/>
      </c>
      <c r="D659" s="26" t="str">
        <f t="array" ref="D659">XLOOKUP($A659,Instagram_follows_raw!$A$4:$A1000,Instagram_follows_raw!$B$4:$B1000)</f>
        <v>#N/A</v>
      </c>
      <c r="E659" s="26" t="str">
        <f t="array" ref="E659">XLOOKUP($A659,Instagram_interactions_raw!$A$4:$A1000,Instagram_interactions_raw!$B$4:$B1000)</f>
        <v>#N/A</v>
      </c>
      <c r="F659" s="26" t="str">
        <f t="array" ref="F659">XLOOKUP($A659,Instagram_reach_raw!$A$4:$A1000,Instagram_reach_raw!$B$4:$B1000)</f>
        <v>#N/A</v>
      </c>
    </row>
    <row r="660">
      <c r="A660" s="30" t="str">
        <f>Instagram_reach_raw!$A662</f>
        <v/>
      </c>
      <c r="B660" s="29" t="str">
        <f>Instagram_interactions_raw!$A662</f>
        <v/>
      </c>
      <c r="C660" s="26" t="str">
        <f t="shared" si="1"/>
        <v/>
      </c>
      <c r="D660" s="26" t="str">
        <f t="array" ref="D660">XLOOKUP($A660,Instagram_follows_raw!$A$4:$A1000,Instagram_follows_raw!$B$4:$B1000)</f>
        <v>#N/A</v>
      </c>
      <c r="E660" s="26" t="str">
        <f t="array" ref="E660">XLOOKUP($A660,Instagram_interactions_raw!$A$4:$A1000,Instagram_interactions_raw!$B$4:$B1000)</f>
        <v>#N/A</v>
      </c>
      <c r="F660" s="26" t="str">
        <f t="array" ref="F660">XLOOKUP($A660,Instagram_reach_raw!$A$4:$A1000,Instagram_reach_raw!$B$4:$B1000)</f>
        <v>#N/A</v>
      </c>
    </row>
    <row r="661">
      <c r="A661" s="30" t="str">
        <f>Instagram_reach_raw!$A663</f>
        <v/>
      </c>
      <c r="B661" s="29" t="str">
        <f>Instagram_interactions_raw!$A663</f>
        <v/>
      </c>
      <c r="C661" s="26" t="str">
        <f t="shared" si="1"/>
        <v/>
      </c>
      <c r="D661" s="26" t="str">
        <f t="array" ref="D661">XLOOKUP($A661,Instagram_follows_raw!$A$4:$A1000,Instagram_follows_raw!$B$4:$B1000)</f>
        <v>#N/A</v>
      </c>
      <c r="E661" s="26" t="str">
        <f t="array" ref="E661">XLOOKUP($A661,Instagram_interactions_raw!$A$4:$A1000,Instagram_interactions_raw!$B$4:$B1000)</f>
        <v>#N/A</v>
      </c>
      <c r="F661" s="26" t="str">
        <f t="array" ref="F661">XLOOKUP($A661,Instagram_reach_raw!$A$4:$A1000,Instagram_reach_raw!$B$4:$B1000)</f>
        <v>#N/A</v>
      </c>
    </row>
    <row r="662">
      <c r="A662" s="30" t="str">
        <f>Instagram_reach_raw!$A664</f>
        <v/>
      </c>
      <c r="B662" s="29" t="str">
        <f>Instagram_interactions_raw!$A664</f>
        <v/>
      </c>
      <c r="C662" s="26" t="str">
        <f t="shared" si="1"/>
        <v/>
      </c>
      <c r="D662" s="26" t="str">
        <f t="array" ref="D662">XLOOKUP($A662,Instagram_follows_raw!$A$4:$A1000,Instagram_follows_raw!$B$4:$B1000)</f>
        <v>#N/A</v>
      </c>
      <c r="E662" s="26" t="str">
        <f t="array" ref="E662">XLOOKUP($A662,Instagram_interactions_raw!$A$4:$A1000,Instagram_interactions_raw!$B$4:$B1000)</f>
        <v>#N/A</v>
      </c>
      <c r="F662" s="26" t="str">
        <f t="array" ref="F662">XLOOKUP($A662,Instagram_reach_raw!$A$4:$A1000,Instagram_reach_raw!$B$4:$B1000)</f>
        <v>#N/A</v>
      </c>
    </row>
    <row r="663">
      <c r="A663" s="30" t="str">
        <f>Instagram_reach_raw!$A665</f>
        <v/>
      </c>
      <c r="B663" s="29" t="str">
        <f>Instagram_interactions_raw!$A665</f>
        <v/>
      </c>
      <c r="C663" s="26" t="str">
        <f t="shared" si="1"/>
        <v/>
      </c>
      <c r="D663" s="26" t="str">
        <f t="array" ref="D663">XLOOKUP($A663,Instagram_follows_raw!$A$4:$A1000,Instagram_follows_raw!$B$4:$B1000)</f>
        <v>#N/A</v>
      </c>
      <c r="E663" s="26" t="str">
        <f t="array" ref="E663">XLOOKUP($A663,Instagram_interactions_raw!$A$4:$A1000,Instagram_interactions_raw!$B$4:$B1000)</f>
        <v>#N/A</v>
      </c>
      <c r="F663" s="26" t="str">
        <f t="array" ref="F663">XLOOKUP($A663,Instagram_reach_raw!$A$4:$A1000,Instagram_reach_raw!$B$4:$B1000)</f>
        <v>#N/A</v>
      </c>
    </row>
    <row r="664">
      <c r="A664" s="30" t="str">
        <f>Instagram_reach_raw!$A666</f>
        <v/>
      </c>
      <c r="B664" s="29" t="str">
        <f>Instagram_interactions_raw!$A666</f>
        <v/>
      </c>
      <c r="C664" s="26" t="str">
        <f t="shared" si="1"/>
        <v/>
      </c>
      <c r="D664" s="26" t="str">
        <f t="array" ref="D664">XLOOKUP($A664,Instagram_follows_raw!$A$4:$A1000,Instagram_follows_raw!$B$4:$B1000)</f>
        <v>#N/A</v>
      </c>
      <c r="E664" s="26" t="str">
        <f t="array" ref="E664">XLOOKUP($A664,Instagram_interactions_raw!$A$4:$A1000,Instagram_interactions_raw!$B$4:$B1000)</f>
        <v>#N/A</v>
      </c>
      <c r="F664" s="26" t="str">
        <f t="array" ref="F664">XLOOKUP($A664,Instagram_reach_raw!$A$4:$A1000,Instagram_reach_raw!$B$4:$B1000)</f>
        <v>#N/A</v>
      </c>
    </row>
    <row r="665">
      <c r="A665" s="30" t="str">
        <f>Instagram_reach_raw!$A667</f>
        <v/>
      </c>
      <c r="B665" s="29" t="str">
        <f>Instagram_interactions_raw!$A667</f>
        <v/>
      </c>
      <c r="C665" s="26" t="str">
        <f t="shared" si="1"/>
        <v/>
      </c>
      <c r="D665" s="26" t="str">
        <f t="array" ref="D665">XLOOKUP($A665,Instagram_follows_raw!$A$4:$A1000,Instagram_follows_raw!$B$4:$B1000)</f>
        <v>#N/A</v>
      </c>
      <c r="E665" s="26" t="str">
        <f t="array" ref="E665">XLOOKUP($A665,Instagram_interactions_raw!$A$4:$A1000,Instagram_interactions_raw!$B$4:$B1000)</f>
        <v>#N/A</v>
      </c>
      <c r="F665" s="26" t="str">
        <f t="array" ref="F665">XLOOKUP($A665,Instagram_reach_raw!$A$4:$A1000,Instagram_reach_raw!$B$4:$B1000)</f>
        <v>#N/A</v>
      </c>
    </row>
    <row r="666">
      <c r="A666" s="30" t="str">
        <f>Instagram_reach_raw!$A668</f>
        <v/>
      </c>
      <c r="B666" s="29" t="str">
        <f>Instagram_interactions_raw!$A668</f>
        <v/>
      </c>
      <c r="C666" s="26" t="str">
        <f t="shared" si="1"/>
        <v/>
      </c>
      <c r="D666" s="26" t="str">
        <f t="array" ref="D666">XLOOKUP($A666,Instagram_follows_raw!$A$4:$A1000,Instagram_follows_raw!$B$4:$B1000)</f>
        <v>#N/A</v>
      </c>
      <c r="E666" s="26" t="str">
        <f t="array" ref="E666">XLOOKUP($A666,Instagram_interactions_raw!$A$4:$A1000,Instagram_interactions_raw!$B$4:$B1000)</f>
        <v>#N/A</v>
      </c>
      <c r="F666" s="26" t="str">
        <f t="array" ref="F666">XLOOKUP($A666,Instagram_reach_raw!$A$4:$A1000,Instagram_reach_raw!$B$4:$B1000)</f>
        <v>#N/A</v>
      </c>
    </row>
    <row r="667">
      <c r="A667" s="30" t="str">
        <f>Instagram_reach_raw!$A669</f>
        <v/>
      </c>
      <c r="B667" s="29" t="str">
        <f>Instagram_interactions_raw!$A669</f>
        <v/>
      </c>
      <c r="C667" s="26" t="str">
        <f t="shared" si="1"/>
        <v/>
      </c>
      <c r="D667" s="26" t="str">
        <f t="array" ref="D667">XLOOKUP($A667,Instagram_follows_raw!$A$4:$A1000,Instagram_follows_raw!$B$4:$B1000)</f>
        <v>#N/A</v>
      </c>
      <c r="E667" s="26" t="str">
        <f t="array" ref="E667">XLOOKUP($A667,Instagram_interactions_raw!$A$4:$A1000,Instagram_interactions_raw!$B$4:$B1000)</f>
        <v>#N/A</v>
      </c>
      <c r="F667" s="26" t="str">
        <f t="array" ref="F667">XLOOKUP($A667,Instagram_reach_raw!$A$4:$A1000,Instagram_reach_raw!$B$4:$B1000)</f>
        <v>#N/A</v>
      </c>
    </row>
    <row r="668">
      <c r="A668" s="30" t="str">
        <f>Instagram_reach_raw!$A670</f>
        <v/>
      </c>
      <c r="B668" s="29" t="str">
        <f>Instagram_interactions_raw!$A670</f>
        <v/>
      </c>
      <c r="C668" s="26" t="str">
        <f t="shared" si="1"/>
        <v/>
      </c>
      <c r="D668" s="26" t="str">
        <f t="array" ref="D668">XLOOKUP($A668,Instagram_follows_raw!$A$4:$A1000,Instagram_follows_raw!$B$4:$B1000)</f>
        <v>#N/A</v>
      </c>
      <c r="E668" s="26" t="str">
        <f t="array" ref="E668">XLOOKUP($A668,Instagram_interactions_raw!$A$4:$A1000,Instagram_interactions_raw!$B$4:$B1000)</f>
        <v>#N/A</v>
      </c>
      <c r="F668" s="26" t="str">
        <f t="array" ref="F668">XLOOKUP($A668,Instagram_reach_raw!$A$4:$A1000,Instagram_reach_raw!$B$4:$B1000)</f>
        <v>#N/A</v>
      </c>
    </row>
    <row r="669">
      <c r="A669" s="30" t="str">
        <f>Instagram_reach_raw!$A671</f>
        <v/>
      </c>
      <c r="B669" s="29" t="str">
        <f>Instagram_interactions_raw!$A671</f>
        <v/>
      </c>
      <c r="C669" s="26" t="str">
        <f t="shared" si="1"/>
        <v/>
      </c>
      <c r="D669" s="26" t="str">
        <f t="array" ref="D669">XLOOKUP($A669,Instagram_follows_raw!$A$4:$A1000,Instagram_follows_raw!$B$4:$B1000)</f>
        <v>#N/A</v>
      </c>
      <c r="E669" s="26" t="str">
        <f t="array" ref="E669">XLOOKUP($A669,Instagram_interactions_raw!$A$4:$A1000,Instagram_interactions_raw!$B$4:$B1000)</f>
        <v>#N/A</v>
      </c>
      <c r="F669" s="26" t="str">
        <f t="array" ref="F669">XLOOKUP($A669,Instagram_reach_raw!$A$4:$A1000,Instagram_reach_raw!$B$4:$B1000)</f>
        <v>#N/A</v>
      </c>
    </row>
    <row r="670">
      <c r="A670" s="30" t="str">
        <f>Instagram_reach_raw!$A672</f>
        <v/>
      </c>
      <c r="B670" s="29" t="str">
        <f>Instagram_interactions_raw!$A672</f>
        <v/>
      </c>
      <c r="C670" s="26" t="str">
        <f t="shared" si="1"/>
        <v/>
      </c>
      <c r="D670" s="26" t="str">
        <f t="array" ref="D670">XLOOKUP($A670,Instagram_follows_raw!$A$4:$A1000,Instagram_follows_raw!$B$4:$B1000)</f>
        <v>#N/A</v>
      </c>
      <c r="E670" s="26" t="str">
        <f t="array" ref="E670">XLOOKUP($A670,Instagram_interactions_raw!$A$4:$A1000,Instagram_interactions_raw!$B$4:$B1000)</f>
        <v>#N/A</v>
      </c>
      <c r="F670" s="26" t="str">
        <f t="array" ref="F670">XLOOKUP($A670,Instagram_reach_raw!$A$4:$A1000,Instagram_reach_raw!$B$4:$B1000)</f>
        <v>#N/A</v>
      </c>
    </row>
    <row r="671">
      <c r="A671" s="30" t="str">
        <f>Instagram_reach_raw!$A673</f>
        <v/>
      </c>
      <c r="B671" s="29" t="str">
        <f>Instagram_interactions_raw!$A673</f>
        <v/>
      </c>
      <c r="C671" s="26" t="str">
        <f t="shared" si="1"/>
        <v/>
      </c>
      <c r="D671" s="26" t="str">
        <f t="array" ref="D671">XLOOKUP($A671,Instagram_follows_raw!$A$4:$A1000,Instagram_follows_raw!$B$4:$B1000)</f>
        <v>#N/A</v>
      </c>
      <c r="E671" s="26" t="str">
        <f t="array" ref="E671">XLOOKUP($A671,Instagram_interactions_raw!$A$4:$A1000,Instagram_interactions_raw!$B$4:$B1000)</f>
        <v>#N/A</v>
      </c>
      <c r="F671" s="26" t="str">
        <f t="array" ref="F671">XLOOKUP($A671,Instagram_reach_raw!$A$4:$A1000,Instagram_reach_raw!$B$4:$B1000)</f>
        <v>#N/A</v>
      </c>
    </row>
    <row r="672">
      <c r="A672" s="30" t="str">
        <f>Instagram_reach_raw!$A674</f>
        <v/>
      </c>
      <c r="B672" s="29" t="str">
        <f>Instagram_interactions_raw!$A674</f>
        <v/>
      </c>
      <c r="C672" s="26" t="str">
        <f t="shared" si="1"/>
        <v/>
      </c>
      <c r="D672" s="26" t="str">
        <f t="array" ref="D672">XLOOKUP($A672,Instagram_follows_raw!$A$4:$A1000,Instagram_follows_raw!$B$4:$B1000)</f>
        <v>#N/A</v>
      </c>
      <c r="E672" s="26" t="str">
        <f t="array" ref="E672">XLOOKUP($A672,Instagram_interactions_raw!$A$4:$A1000,Instagram_interactions_raw!$B$4:$B1000)</f>
        <v>#N/A</v>
      </c>
      <c r="F672" s="26" t="str">
        <f t="array" ref="F672">XLOOKUP($A672,Instagram_reach_raw!$A$4:$A1000,Instagram_reach_raw!$B$4:$B1000)</f>
        <v>#N/A</v>
      </c>
    </row>
    <row r="673">
      <c r="A673" s="30" t="str">
        <f>Instagram_reach_raw!$A675</f>
        <v/>
      </c>
      <c r="B673" s="29" t="str">
        <f>Instagram_interactions_raw!$A675</f>
        <v/>
      </c>
      <c r="C673" s="26" t="str">
        <f t="shared" si="1"/>
        <v/>
      </c>
      <c r="D673" s="26" t="str">
        <f t="array" ref="D673">XLOOKUP($A673,Instagram_follows_raw!$A$4:$A1000,Instagram_follows_raw!$B$4:$B1000)</f>
        <v>#N/A</v>
      </c>
      <c r="E673" s="26" t="str">
        <f t="array" ref="E673">XLOOKUP($A673,Instagram_interactions_raw!$A$4:$A1000,Instagram_interactions_raw!$B$4:$B1000)</f>
        <v>#N/A</v>
      </c>
      <c r="F673" s="26" t="str">
        <f t="array" ref="F673">XLOOKUP($A673,Instagram_reach_raw!$A$4:$A1000,Instagram_reach_raw!$B$4:$B1000)</f>
        <v>#N/A</v>
      </c>
    </row>
    <row r="674">
      <c r="A674" s="30" t="str">
        <f>Instagram_reach_raw!$A676</f>
        <v/>
      </c>
      <c r="B674" s="29" t="str">
        <f>Instagram_interactions_raw!$A676</f>
        <v/>
      </c>
      <c r="C674" s="26" t="str">
        <f t="shared" si="1"/>
        <v/>
      </c>
      <c r="D674" s="26" t="str">
        <f t="array" ref="D674">XLOOKUP($A674,Instagram_follows_raw!$A$4:$A1000,Instagram_follows_raw!$B$4:$B1000)</f>
        <v>#N/A</v>
      </c>
      <c r="E674" s="26" t="str">
        <f t="array" ref="E674">XLOOKUP($A674,Instagram_interactions_raw!$A$4:$A1000,Instagram_interactions_raw!$B$4:$B1000)</f>
        <v>#N/A</v>
      </c>
      <c r="F674" s="26" t="str">
        <f t="array" ref="F674">XLOOKUP($A674,Instagram_reach_raw!$A$4:$A1000,Instagram_reach_raw!$B$4:$B1000)</f>
        <v>#N/A</v>
      </c>
    </row>
    <row r="675">
      <c r="A675" s="30" t="str">
        <f>Instagram_reach_raw!$A677</f>
        <v/>
      </c>
      <c r="B675" s="29" t="str">
        <f>Instagram_interactions_raw!$A677</f>
        <v/>
      </c>
      <c r="C675" s="26" t="str">
        <f t="shared" si="1"/>
        <v/>
      </c>
      <c r="D675" s="26" t="str">
        <f t="array" ref="D675">XLOOKUP($A675,Instagram_follows_raw!$A$4:$A1000,Instagram_follows_raw!$B$4:$B1000)</f>
        <v>#N/A</v>
      </c>
      <c r="E675" s="26" t="str">
        <f t="array" ref="E675">XLOOKUP($A675,Instagram_interactions_raw!$A$4:$A1000,Instagram_interactions_raw!$B$4:$B1000)</f>
        <v>#N/A</v>
      </c>
      <c r="F675" s="26" t="str">
        <f t="array" ref="F675">XLOOKUP($A675,Instagram_reach_raw!$A$4:$A1000,Instagram_reach_raw!$B$4:$B1000)</f>
        <v>#N/A</v>
      </c>
    </row>
    <row r="676">
      <c r="A676" s="30" t="str">
        <f>Instagram_reach_raw!$A678</f>
        <v/>
      </c>
      <c r="B676" s="29" t="str">
        <f>Instagram_interactions_raw!$A678</f>
        <v/>
      </c>
      <c r="C676" s="26" t="str">
        <f t="shared" si="1"/>
        <v/>
      </c>
      <c r="D676" s="26" t="str">
        <f t="array" ref="D676">XLOOKUP($A676,Instagram_follows_raw!$A$4:$A1000,Instagram_follows_raw!$B$4:$B1000)</f>
        <v>#N/A</v>
      </c>
      <c r="E676" s="26" t="str">
        <f t="array" ref="E676">XLOOKUP($A676,Instagram_interactions_raw!$A$4:$A1000,Instagram_interactions_raw!$B$4:$B1000)</f>
        <v>#N/A</v>
      </c>
      <c r="F676" s="26" t="str">
        <f t="array" ref="F676">XLOOKUP($A676,Instagram_reach_raw!$A$4:$A1000,Instagram_reach_raw!$B$4:$B1000)</f>
        <v>#N/A</v>
      </c>
    </row>
    <row r="677">
      <c r="A677" s="30" t="str">
        <f>Instagram_reach_raw!$A679</f>
        <v/>
      </c>
      <c r="B677" s="29" t="str">
        <f>Instagram_interactions_raw!$A679</f>
        <v/>
      </c>
      <c r="C677" s="26" t="str">
        <f t="shared" si="1"/>
        <v/>
      </c>
      <c r="D677" s="26" t="str">
        <f t="array" ref="D677">XLOOKUP($A677,Instagram_follows_raw!$A$4:$A1000,Instagram_follows_raw!$B$4:$B1000)</f>
        <v>#N/A</v>
      </c>
      <c r="E677" s="26" t="str">
        <f t="array" ref="E677">XLOOKUP($A677,Instagram_interactions_raw!$A$4:$A1000,Instagram_interactions_raw!$B$4:$B1000)</f>
        <v>#N/A</v>
      </c>
      <c r="F677" s="26" t="str">
        <f t="array" ref="F677">XLOOKUP($A677,Instagram_reach_raw!$A$4:$A1000,Instagram_reach_raw!$B$4:$B1000)</f>
        <v>#N/A</v>
      </c>
    </row>
    <row r="678">
      <c r="A678" s="30" t="str">
        <f>Instagram_reach_raw!$A680</f>
        <v/>
      </c>
      <c r="B678" s="29" t="str">
        <f>Instagram_interactions_raw!$A680</f>
        <v/>
      </c>
      <c r="C678" s="26" t="str">
        <f t="shared" si="1"/>
        <v/>
      </c>
      <c r="D678" s="26" t="str">
        <f t="array" ref="D678">XLOOKUP($A678,Instagram_follows_raw!$A$4:$A1000,Instagram_follows_raw!$B$4:$B1000)</f>
        <v>#N/A</v>
      </c>
      <c r="E678" s="26" t="str">
        <f t="array" ref="E678">XLOOKUP($A678,Instagram_interactions_raw!$A$4:$A1000,Instagram_interactions_raw!$B$4:$B1000)</f>
        <v>#N/A</v>
      </c>
      <c r="F678" s="26" t="str">
        <f t="array" ref="F678">XLOOKUP($A678,Instagram_reach_raw!$A$4:$A1000,Instagram_reach_raw!$B$4:$B1000)</f>
        <v>#N/A</v>
      </c>
    </row>
    <row r="679">
      <c r="A679" s="30" t="str">
        <f>Instagram_reach_raw!$A681</f>
        <v/>
      </c>
      <c r="B679" s="29" t="str">
        <f>Instagram_interactions_raw!$A681</f>
        <v/>
      </c>
      <c r="C679" s="26" t="str">
        <f t="shared" si="1"/>
        <v/>
      </c>
      <c r="D679" s="26" t="str">
        <f t="array" ref="D679">XLOOKUP($A679,Instagram_follows_raw!$A$4:$A1000,Instagram_follows_raw!$B$4:$B1000)</f>
        <v>#N/A</v>
      </c>
      <c r="E679" s="26" t="str">
        <f t="array" ref="E679">XLOOKUP($A679,Instagram_interactions_raw!$A$4:$A1000,Instagram_interactions_raw!$B$4:$B1000)</f>
        <v>#N/A</v>
      </c>
      <c r="F679" s="26" t="str">
        <f t="array" ref="F679">XLOOKUP($A679,Instagram_reach_raw!$A$4:$A1000,Instagram_reach_raw!$B$4:$B1000)</f>
        <v>#N/A</v>
      </c>
    </row>
    <row r="680">
      <c r="A680" s="30" t="str">
        <f>Instagram_reach_raw!$A682</f>
        <v/>
      </c>
      <c r="B680" s="29" t="str">
        <f>Instagram_interactions_raw!$A682</f>
        <v/>
      </c>
      <c r="C680" s="26" t="str">
        <f t="shared" si="1"/>
        <v/>
      </c>
      <c r="D680" s="26" t="str">
        <f t="array" ref="D680">XLOOKUP($A680,Instagram_follows_raw!$A$4:$A1000,Instagram_follows_raw!$B$4:$B1000)</f>
        <v>#N/A</v>
      </c>
      <c r="E680" s="26" t="str">
        <f t="array" ref="E680">XLOOKUP($A680,Instagram_interactions_raw!$A$4:$A1000,Instagram_interactions_raw!$B$4:$B1000)</f>
        <v>#N/A</v>
      </c>
      <c r="F680" s="26" t="str">
        <f t="array" ref="F680">XLOOKUP($A680,Instagram_reach_raw!$A$4:$A1000,Instagram_reach_raw!$B$4:$B1000)</f>
        <v>#N/A</v>
      </c>
    </row>
    <row r="681">
      <c r="A681" s="30" t="str">
        <f>Instagram_reach_raw!$A683</f>
        <v/>
      </c>
      <c r="B681" s="29" t="str">
        <f>Instagram_interactions_raw!$A683</f>
        <v/>
      </c>
      <c r="C681" s="26" t="str">
        <f t="shared" si="1"/>
        <v/>
      </c>
      <c r="D681" s="26" t="str">
        <f t="array" ref="D681">XLOOKUP($A681,Instagram_follows_raw!$A$4:$A1000,Instagram_follows_raw!$B$4:$B1000)</f>
        <v>#N/A</v>
      </c>
      <c r="E681" s="26" t="str">
        <f t="array" ref="E681">XLOOKUP($A681,Instagram_interactions_raw!$A$4:$A1000,Instagram_interactions_raw!$B$4:$B1000)</f>
        <v>#N/A</v>
      </c>
      <c r="F681" s="26" t="str">
        <f t="array" ref="F681">XLOOKUP($A681,Instagram_reach_raw!$A$4:$A1000,Instagram_reach_raw!$B$4:$B1000)</f>
        <v>#N/A</v>
      </c>
    </row>
    <row r="682">
      <c r="A682" s="30" t="str">
        <f>Instagram_reach_raw!$A684</f>
        <v/>
      </c>
      <c r="B682" s="29" t="str">
        <f>Instagram_interactions_raw!$A684</f>
        <v/>
      </c>
      <c r="C682" s="26" t="str">
        <f t="shared" si="1"/>
        <v/>
      </c>
      <c r="D682" s="26" t="str">
        <f t="array" ref="D682">XLOOKUP($A682,Instagram_follows_raw!$A$4:$A1000,Instagram_follows_raw!$B$4:$B1000)</f>
        <v>#N/A</v>
      </c>
      <c r="E682" s="26" t="str">
        <f t="array" ref="E682">XLOOKUP($A682,Instagram_interactions_raw!$A$4:$A1000,Instagram_interactions_raw!$B$4:$B1000)</f>
        <v>#N/A</v>
      </c>
      <c r="F682" s="26" t="str">
        <f t="array" ref="F682">XLOOKUP($A682,Instagram_reach_raw!$A$4:$A1000,Instagram_reach_raw!$B$4:$B1000)</f>
        <v>#N/A</v>
      </c>
    </row>
    <row r="683">
      <c r="A683" s="30" t="str">
        <f>Instagram_reach_raw!$A685</f>
        <v/>
      </c>
      <c r="B683" s="29" t="str">
        <f>Instagram_interactions_raw!$A685</f>
        <v/>
      </c>
      <c r="C683" s="26" t="str">
        <f t="shared" si="1"/>
        <v/>
      </c>
      <c r="D683" s="26" t="str">
        <f t="array" ref="D683">XLOOKUP($A683,Instagram_follows_raw!$A$4:$A1000,Instagram_follows_raw!$B$4:$B1000)</f>
        <v>#N/A</v>
      </c>
      <c r="E683" s="26" t="str">
        <f t="array" ref="E683">XLOOKUP($A683,Instagram_interactions_raw!$A$4:$A1000,Instagram_interactions_raw!$B$4:$B1000)</f>
        <v>#N/A</v>
      </c>
      <c r="F683" s="26" t="str">
        <f t="array" ref="F683">XLOOKUP($A683,Instagram_reach_raw!$A$4:$A1000,Instagram_reach_raw!$B$4:$B1000)</f>
        <v>#N/A</v>
      </c>
    </row>
    <row r="684">
      <c r="A684" s="30" t="str">
        <f>Instagram_reach_raw!$A686</f>
        <v/>
      </c>
      <c r="B684" s="29" t="str">
        <f>Instagram_interactions_raw!$A686</f>
        <v/>
      </c>
      <c r="C684" s="26" t="str">
        <f t="shared" si="1"/>
        <v/>
      </c>
      <c r="D684" s="26" t="str">
        <f t="array" ref="D684">XLOOKUP($A684,Instagram_follows_raw!$A$4:$A1000,Instagram_follows_raw!$B$4:$B1000)</f>
        <v>#N/A</v>
      </c>
      <c r="E684" s="26" t="str">
        <f t="array" ref="E684">XLOOKUP($A684,Instagram_interactions_raw!$A$4:$A1000,Instagram_interactions_raw!$B$4:$B1000)</f>
        <v>#N/A</v>
      </c>
      <c r="F684" s="26" t="str">
        <f t="array" ref="F684">XLOOKUP($A684,Instagram_reach_raw!$A$4:$A1000,Instagram_reach_raw!$B$4:$B1000)</f>
        <v>#N/A</v>
      </c>
    </row>
    <row r="685">
      <c r="A685" s="30" t="str">
        <f>Instagram_reach_raw!$A687</f>
        <v/>
      </c>
      <c r="B685" s="29" t="str">
        <f>Instagram_interactions_raw!$A687</f>
        <v/>
      </c>
      <c r="C685" s="26" t="str">
        <f t="shared" si="1"/>
        <v/>
      </c>
      <c r="D685" s="26" t="str">
        <f t="array" ref="D685">XLOOKUP($A685,Instagram_follows_raw!$A$4:$A1000,Instagram_follows_raw!$B$4:$B1000)</f>
        <v>#N/A</v>
      </c>
      <c r="E685" s="26" t="str">
        <f t="array" ref="E685">XLOOKUP($A685,Instagram_interactions_raw!$A$4:$A1000,Instagram_interactions_raw!$B$4:$B1000)</f>
        <v>#N/A</v>
      </c>
      <c r="F685" s="26" t="str">
        <f t="array" ref="F685">XLOOKUP($A685,Instagram_reach_raw!$A$4:$A1000,Instagram_reach_raw!$B$4:$B1000)</f>
        <v>#N/A</v>
      </c>
    </row>
    <row r="686">
      <c r="A686" s="30" t="str">
        <f>Instagram_reach_raw!$A688</f>
        <v/>
      </c>
      <c r="B686" s="29" t="str">
        <f>Instagram_interactions_raw!$A688</f>
        <v/>
      </c>
      <c r="C686" s="26" t="str">
        <f t="shared" si="1"/>
        <v/>
      </c>
      <c r="D686" s="26" t="str">
        <f t="array" ref="D686">XLOOKUP($A686,Instagram_follows_raw!$A$4:$A1000,Instagram_follows_raw!$B$4:$B1000)</f>
        <v>#N/A</v>
      </c>
      <c r="E686" s="26" t="str">
        <f t="array" ref="E686">XLOOKUP($A686,Instagram_interactions_raw!$A$4:$A1000,Instagram_interactions_raw!$B$4:$B1000)</f>
        <v>#N/A</v>
      </c>
      <c r="F686" s="26" t="str">
        <f t="array" ref="F686">XLOOKUP($A686,Instagram_reach_raw!$A$4:$A1000,Instagram_reach_raw!$B$4:$B1000)</f>
        <v>#N/A</v>
      </c>
    </row>
    <row r="687">
      <c r="A687" s="30" t="str">
        <f>Instagram_reach_raw!$A689</f>
        <v/>
      </c>
      <c r="B687" s="29" t="str">
        <f>Instagram_interactions_raw!$A689</f>
        <v/>
      </c>
      <c r="C687" s="26" t="str">
        <f t="shared" si="1"/>
        <v/>
      </c>
      <c r="D687" s="26" t="str">
        <f t="array" ref="D687">XLOOKUP($A687,Instagram_follows_raw!$A$4:$A1000,Instagram_follows_raw!$B$4:$B1000)</f>
        <v>#N/A</v>
      </c>
      <c r="E687" s="26" t="str">
        <f t="array" ref="E687">XLOOKUP($A687,Instagram_interactions_raw!$A$4:$A1000,Instagram_interactions_raw!$B$4:$B1000)</f>
        <v>#N/A</v>
      </c>
      <c r="F687" s="26" t="str">
        <f t="array" ref="F687">XLOOKUP($A687,Instagram_reach_raw!$A$4:$A1000,Instagram_reach_raw!$B$4:$B1000)</f>
        <v>#N/A</v>
      </c>
    </row>
    <row r="688">
      <c r="A688" s="30" t="str">
        <f>Instagram_reach_raw!$A690</f>
        <v/>
      </c>
      <c r="B688" s="29" t="str">
        <f>Instagram_interactions_raw!$A690</f>
        <v/>
      </c>
      <c r="C688" s="26" t="str">
        <f t="shared" si="1"/>
        <v/>
      </c>
      <c r="D688" s="26" t="str">
        <f t="array" ref="D688">XLOOKUP($A688,Instagram_follows_raw!$A$4:$A1000,Instagram_follows_raw!$B$4:$B1000)</f>
        <v>#N/A</v>
      </c>
      <c r="E688" s="26" t="str">
        <f t="array" ref="E688">XLOOKUP($A688,Instagram_interactions_raw!$A$4:$A1000,Instagram_interactions_raw!$B$4:$B1000)</f>
        <v>#N/A</v>
      </c>
      <c r="F688" s="26" t="str">
        <f t="array" ref="F688">XLOOKUP($A688,Instagram_reach_raw!$A$4:$A1000,Instagram_reach_raw!$B$4:$B1000)</f>
        <v>#N/A</v>
      </c>
    </row>
    <row r="689">
      <c r="A689" s="30" t="str">
        <f>Instagram_reach_raw!$A691</f>
        <v/>
      </c>
      <c r="B689" s="29" t="str">
        <f>Instagram_interactions_raw!$A691</f>
        <v/>
      </c>
      <c r="C689" s="26" t="str">
        <f t="shared" si="1"/>
        <v/>
      </c>
      <c r="D689" s="26" t="str">
        <f t="array" ref="D689">XLOOKUP($A689,Instagram_follows_raw!$A$4:$A1000,Instagram_follows_raw!$B$4:$B1000)</f>
        <v>#N/A</v>
      </c>
      <c r="E689" s="26" t="str">
        <f t="array" ref="E689">XLOOKUP($A689,Instagram_interactions_raw!$A$4:$A1000,Instagram_interactions_raw!$B$4:$B1000)</f>
        <v>#N/A</v>
      </c>
      <c r="F689" s="26" t="str">
        <f t="array" ref="F689">XLOOKUP($A689,Instagram_reach_raw!$A$4:$A1000,Instagram_reach_raw!$B$4:$B1000)</f>
        <v>#N/A</v>
      </c>
    </row>
    <row r="690">
      <c r="A690" s="30" t="str">
        <f>Instagram_reach_raw!$A692</f>
        <v/>
      </c>
      <c r="B690" s="29" t="str">
        <f>Instagram_interactions_raw!$A692</f>
        <v/>
      </c>
      <c r="C690" s="26" t="str">
        <f t="shared" si="1"/>
        <v/>
      </c>
      <c r="D690" s="26" t="str">
        <f t="array" ref="D690">XLOOKUP($A690,Instagram_follows_raw!$A$4:$A1000,Instagram_follows_raw!$B$4:$B1000)</f>
        <v>#N/A</v>
      </c>
      <c r="E690" s="26" t="str">
        <f t="array" ref="E690">XLOOKUP($A690,Instagram_interactions_raw!$A$4:$A1000,Instagram_interactions_raw!$B$4:$B1000)</f>
        <v>#N/A</v>
      </c>
      <c r="F690" s="26" t="str">
        <f t="array" ref="F690">XLOOKUP($A690,Instagram_reach_raw!$A$4:$A1000,Instagram_reach_raw!$B$4:$B1000)</f>
        <v>#N/A</v>
      </c>
    </row>
    <row r="691">
      <c r="A691" s="30" t="str">
        <f>Instagram_reach_raw!$A693</f>
        <v/>
      </c>
      <c r="B691" s="29" t="str">
        <f>Instagram_interactions_raw!$A693</f>
        <v/>
      </c>
      <c r="C691" s="26" t="str">
        <f t="shared" si="1"/>
        <v/>
      </c>
      <c r="D691" s="26" t="str">
        <f t="array" ref="D691">XLOOKUP($A691,Instagram_follows_raw!$A$4:$A1000,Instagram_follows_raw!$B$4:$B1000)</f>
        <v>#N/A</v>
      </c>
      <c r="E691" s="26" t="str">
        <f t="array" ref="E691">XLOOKUP($A691,Instagram_interactions_raw!$A$4:$A1000,Instagram_interactions_raw!$B$4:$B1000)</f>
        <v>#N/A</v>
      </c>
      <c r="F691" s="26" t="str">
        <f t="array" ref="F691">XLOOKUP($A691,Instagram_reach_raw!$A$4:$A1000,Instagram_reach_raw!$B$4:$B1000)</f>
        <v>#N/A</v>
      </c>
    </row>
    <row r="692">
      <c r="A692" s="30" t="str">
        <f>Instagram_reach_raw!$A694</f>
        <v/>
      </c>
      <c r="B692" s="29" t="str">
        <f>Instagram_interactions_raw!$A694</f>
        <v/>
      </c>
      <c r="C692" s="26" t="str">
        <f t="shared" si="1"/>
        <v/>
      </c>
      <c r="D692" s="26" t="str">
        <f t="array" ref="D692">XLOOKUP($A692,Instagram_follows_raw!$A$4:$A1000,Instagram_follows_raw!$B$4:$B1000)</f>
        <v>#N/A</v>
      </c>
      <c r="E692" s="26" t="str">
        <f t="array" ref="E692">XLOOKUP($A692,Instagram_interactions_raw!$A$4:$A1000,Instagram_interactions_raw!$B$4:$B1000)</f>
        <v>#N/A</v>
      </c>
      <c r="F692" s="26" t="str">
        <f t="array" ref="F692">XLOOKUP($A692,Instagram_reach_raw!$A$4:$A1000,Instagram_reach_raw!$B$4:$B1000)</f>
        <v>#N/A</v>
      </c>
    </row>
    <row r="693">
      <c r="A693" s="30" t="str">
        <f>Instagram_reach_raw!$A695</f>
        <v/>
      </c>
      <c r="B693" s="29" t="str">
        <f>Instagram_interactions_raw!$A695</f>
        <v/>
      </c>
      <c r="C693" s="26" t="str">
        <f t="shared" si="1"/>
        <v/>
      </c>
      <c r="D693" s="26" t="str">
        <f t="array" ref="D693">XLOOKUP($A693,Instagram_follows_raw!$A$4:$A1000,Instagram_follows_raw!$B$4:$B1000)</f>
        <v>#N/A</v>
      </c>
      <c r="E693" s="26" t="str">
        <f t="array" ref="E693">XLOOKUP($A693,Instagram_interactions_raw!$A$4:$A1000,Instagram_interactions_raw!$B$4:$B1000)</f>
        <v>#N/A</v>
      </c>
      <c r="F693" s="26" t="str">
        <f t="array" ref="F693">XLOOKUP($A693,Instagram_reach_raw!$A$4:$A1000,Instagram_reach_raw!$B$4:$B1000)</f>
        <v>#N/A</v>
      </c>
    </row>
    <row r="694">
      <c r="A694" s="30" t="str">
        <f>Instagram_reach_raw!$A696</f>
        <v/>
      </c>
      <c r="B694" s="29" t="str">
        <f>Instagram_interactions_raw!$A696</f>
        <v/>
      </c>
      <c r="C694" s="26" t="str">
        <f t="shared" si="1"/>
        <v/>
      </c>
      <c r="D694" s="26" t="str">
        <f t="array" ref="D694">XLOOKUP($A694,Instagram_follows_raw!$A$4:$A1000,Instagram_follows_raw!$B$4:$B1000)</f>
        <v>#N/A</v>
      </c>
      <c r="E694" s="26" t="str">
        <f t="array" ref="E694">XLOOKUP($A694,Instagram_interactions_raw!$A$4:$A1000,Instagram_interactions_raw!$B$4:$B1000)</f>
        <v>#N/A</v>
      </c>
      <c r="F694" s="26" t="str">
        <f t="array" ref="F694">XLOOKUP($A694,Instagram_reach_raw!$A$4:$A1000,Instagram_reach_raw!$B$4:$B1000)</f>
        <v>#N/A</v>
      </c>
    </row>
    <row r="695">
      <c r="A695" s="30" t="str">
        <f>Instagram_reach_raw!$A697</f>
        <v/>
      </c>
      <c r="B695" s="29" t="str">
        <f>Instagram_interactions_raw!$A697</f>
        <v/>
      </c>
      <c r="C695" s="26" t="str">
        <f t="shared" si="1"/>
        <v/>
      </c>
      <c r="D695" s="26" t="str">
        <f t="array" ref="D695">XLOOKUP($A695,Instagram_follows_raw!$A$4:$A1000,Instagram_follows_raw!$B$4:$B1000)</f>
        <v>#N/A</v>
      </c>
      <c r="E695" s="26" t="str">
        <f t="array" ref="E695">XLOOKUP($A695,Instagram_interactions_raw!$A$4:$A1000,Instagram_interactions_raw!$B$4:$B1000)</f>
        <v>#N/A</v>
      </c>
      <c r="F695" s="26" t="str">
        <f t="array" ref="F695">XLOOKUP($A695,Instagram_reach_raw!$A$4:$A1000,Instagram_reach_raw!$B$4:$B1000)</f>
        <v>#N/A</v>
      </c>
    </row>
    <row r="696">
      <c r="A696" s="30" t="str">
        <f>Instagram_reach_raw!$A698</f>
        <v/>
      </c>
      <c r="B696" s="29" t="str">
        <f>Instagram_interactions_raw!$A698</f>
        <v/>
      </c>
      <c r="C696" s="26" t="str">
        <f t="shared" si="1"/>
        <v/>
      </c>
      <c r="D696" s="26" t="str">
        <f t="array" ref="D696">XLOOKUP($A696,Instagram_follows_raw!$A$4:$A1000,Instagram_follows_raw!$B$4:$B1000)</f>
        <v>#N/A</v>
      </c>
      <c r="E696" s="26" t="str">
        <f t="array" ref="E696">XLOOKUP($A696,Instagram_interactions_raw!$A$4:$A1000,Instagram_interactions_raw!$B$4:$B1000)</f>
        <v>#N/A</v>
      </c>
      <c r="F696" s="26" t="str">
        <f t="array" ref="F696">XLOOKUP($A696,Instagram_reach_raw!$A$4:$A1000,Instagram_reach_raw!$B$4:$B1000)</f>
        <v>#N/A</v>
      </c>
    </row>
    <row r="697">
      <c r="A697" s="30" t="str">
        <f>Instagram_reach_raw!$A699</f>
        <v/>
      </c>
      <c r="B697" s="29" t="str">
        <f>Instagram_interactions_raw!$A699</f>
        <v/>
      </c>
      <c r="C697" s="26" t="str">
        <f t="shared" si="1"/>
        <v/>
      </c>
      <c r="D697" s="26" t="str">
        <f t="array" ref="D697">XLOOKUP($A697,Instagram_follows_raw!$A$4:$A1000,Instagram_follows_raw!$B$4:$B1000)</f>
        <v>#N/A</v>
      </c>
      <c r="E697" s="26" t="str">
        <f t="array" ref="E697">XLOOKUP($A697,Instagram_interactions_raw!$A$4:$A1000,Instagram_interactions_raw!$B$4:$B1000)</f>
        <v>#N/A</v>
      </c>
      <c r="F697" s="26" t="str">
        <f t="array" ref="F697">XLOOKUP($A697,Instagram_reach_raw!$A$4:$A1000,Instagram_reach_raw!$B$4:$B1000)</f>
        <v>#N/A</v>
      </c>
    </row>
    <row r="698">
      <c r="A698" s="30" t="str">
        <f>Instagram_reach_raw!$A700</f>
        <v/>
      </c>
      <c r="B698" s="29" t="str">
        <f>Instagram_interactions_raw!$A700</f>
        <v/>
      </c>
      <c r="C698" s="26" t="str">
        <f t="shared" si="1"/>
        <v/>
      </c>
      <c r="D698" s="26" t="str">
        <f t="array" ref="D698">XLOOKUP($A698,Instagram_follows_raw!$A$4:$A1000,Instagram_follows_raw!$B$4:$B1000)</f>
        <v>#N/A</v>
      </c>
      <c r="E698" s="26" t="str">
        <f t="array" ref="E698">XLOOKUP($A698,Instagram_interactions_raw!$A$4:$A1000,Instagram_interactions_raw!$B$4:$B1000)</f>
        <v>#N/A</v>
      </c>
      <c r="F698" s="26" t="str">
        <f t="array" ref="F698">XLOOKUP($A698,Instagram_reach_raw!$A$4:$A1000,Instagram_reach_raw!$B$4:$B1000)</f>
        <v>#N/A</v>
      </c>
    </row>
    <row r="699">
      <c r="A699" s="30" t="str">
        <f>Instagram_reach_raw!$A701</f>
        <v/>
      </c>
      <c r="B699" s="29" t="str">
        <f>Instagram_interactions_raw!$A701</f>
        <v/>
      </c>
      <c r="C699" s="26" t="str">
        <f t="shared" si="1"/>
        <v/>
      </c>
      <c r="D699" s="26" t="str">
        <f t="array" ref="D699">XLOOKUP($A699,Instagram_follows_raw!$A$4:$A1000,Instagram_follows_raw!$B$4:$B1000)</f>
        <v>#N/A</v>
      </c>
      <c r="E699" s="26" t="str">
        <f t="array" ref="E699">XLOOKUP($A699,Instagram_interactions_raw!$A$4:$A1000,Instagram_interactions_raw!$B$4:$B1000)</f>
        <v>#N/A</v>
      </c>
      <c r="F699" s="26" t="str">
        <f t="array" ref="F699">XLOOKUP($A699,Instagram_reach_raw!$A$4:$A1000,Instagram_reach_raw!$B$4:$B1000)</f>
        <v>#N/A</v>
      </c>
    </row>
    <row r="700">
      <c r="A700" s="30" t="str">
        <f>Instagram_reach_raw!$A702</f>
        <v/>
      </c>
      <c r="B700" s="29" t="str">
        <f>Instagram_interactions_raw!$A702</f>
        <v/>
      </c>
      <c r="C700" s="26" t="str">
        <f t="shared" si="1"/>
        <v/>
      </c>
      <c r="D700" s="26" t="str">
        <f t="array" ref="D700">XLOOKUP($A700,Instagram_follows_raw!$A$4:$A1000,Instagram_follows_raw!$B$4:$B1000)</f>
        <v>#N/A</v>
      </c>
      <c r="E700" s="26" t="str">
        <f t="array" ref="E700">XLOOKUP($A700,Instagram_interactions_raw!$A$4:$A1000,Instagram_interactions_raw!$B$4:$B1000)</f>
        <v>#N/A</v>
      </c>
      <c r="F700" s="26" t="str">
        <f t="array" ref="F700">XLOOKUP($A700,Instagram_reach_raw!$A$4:$A1000,Instagram_reach_raw!$B$4:$B1000)</f>
        <v>#N/A</v>
      </c>
    </row>
    <row r="701">
      <c r="A701" s="30" t="str">
        <f>Instagram_reach_raw!$A703</f>
        <v/>
      </c>
      <c r="B701" s="29" t="str">
        <f>Instagram_interactions_raw!$A703</f>
        <v/>
      </c>
      <c r="C701" s="26" t="str">
        <f t="shared" si="1"/>
        <v/>
      </c>
      <c r="D701" s="26" t="str">
        <f t="array" ref="D701">XLOOKUP($A701,Instagram_follows_raw!$A$4:$A1000,Instagram_follows_raw!$B$4:$B1000)</f>
        <v>#N/A</v>
      </c>
      <c r="E701" s="26" t="str">
        <f t="array" ref="E701">XLOOKUP($A701,Instagram_interactions_raw!$A$4:$A1000,Instagram_interactions_raw!$B$4:$B1000)</f>
        <v>#N/A</v>
      </c>
      <c r="F701" s="26" t="str">
        <f t="array" ref="F701">XLOOKUP($A701,Instagram_reach_raw!$A$4:$A1000,Instagram_reach_raw!$B$4:$B1000)</f>
        <v>#N/A</v>
      </c>
    </row>
    <row r="702">
      <c r="A702" s="30" t="str">
        <f>Instagram_reach_raw!$A704</f>
        <v/>
      </c>
      <c r="B702" s="29" t="str">
        <f>Instagram_interactions_raw!$A704</f>
        <v/>
      </c>
      <c r="C702" s="26" t="str">
        <f t="shared" si="1"/>
        <v/>
      </c>
      <c r="D702" s="26" t="str">
        <f t="array" ref="D702">XLOOKUP($A702,Instagram_follows_raw!$A$4:$A1000,Instagram_follows_raw!$B$4:$B1000)</f>
        <v>#N/A</v>
      </c>
      <c r="E702" s="26" t="str">
        <f t="array" ref="E702">XLOOKUP($A702,Instagram_interactions_raw!$A$4:$A1000,Instagram_interactions_raw!$B$4:$B1000)</f>
        <v>#N/A</v>
      </c>
      <c r="F702" s="26" t="str">
        <f t="array" ref="F702">XLOOKUP($A702,Instagram_reach_raw!$A$4:$A1000,Instagram_reach_raw!$B$4:$B1000)</f>
        <v>#N/A</v>
      </c>
    </row>
    <row r="703">
      <c r="A703" s="30" t="str">
        <f>Instagram_reach_raw!$A705</f>
        <v/>
      </c>
      <c r="B703" s="29" t="str">
        <f>Instagram_interactions_raw!$A705</f>
        <v/>
      </c>
      <c r="C703" s="26" t="str">
        <f t="shared" si="1"/>
        <v/>
      </c>
      <c r="D703" s="26" t="str">
        <f t="array" ref="D703">XLOOKUP($A703,Instagram_follows_raw!$A$4:$A1000,Instagram_follows_raw!$B$4:$B1000)</f>
        <v>#N/A</v>
      </c>
      <c r="E703" s="26" t="str">
        <f t="array" ref="E703">XLOOKUP($A703,Instagram_interactions_raw!$A$4:$A1000,Instagram_interactions_raw!$B$4:$B1000)</f>
        <v>#N/A</v>
      </c>
      <c r="F703" s="26" t="str">
        <f t="array" ref="F703">XLOOKUP($A703,Instagram_reach_raw!$A$4:$A1000,Instagram_reach_raw!$B$4:$B1000)</f>
        <v>#N/A</v>
      </c>
    </row>
    <row r="704">
      <c r="A704" s="30" t="str">
        <f>Instagram_reach_raw!$A706</f>
        <v/>
      </c>
      <c r="B704" s="29" t="str">
        <f>Instagram_interactions_raw!$A706</f>
        <v/>
      </c>
      <c r="C704" s="26" t="str">
        <f t="shared" si="1"/>
        <v/>
      </c>
      <c r="D704" s="26" t="str">
        <f t="array" ref="D704">XLOOKUP($A704,Instagram_follows_raw!$A$4:$A1000,Instagram_follows_raw!$B$4:$B1000)</f>
        <v>#N/A</v>
      </c>
      <c r="E704" s="26" t="str">
        <f t="array" ref="E704">XLOOKUP($A704,Instagram_interactions_raw!$A$4:$A1000,Instagram_interactions_raw!$B$4:$B1000)</f>
        <v>#N/A</v>
      </c>
      <c r="F704" s="26" t="str">
        <f t="array" ref="F704">XLOOKUP($A704,Instagram_reach_raw!$A$4:$A1000,Instagram_reach_raw!$B$4:$B1000)</f>
        <v>#N/A</v>
      </c>
    </row>
    <row r="705">
      <c r="A705" s="30" t="str">
        <f>Instagram_reach_raw!$A707</f>
        <v/>
      </c>
      <c r="B705" s="29" t="str">
        <f>Instagram_interactions_raw!$A707</f>
        <v/>
      </c>
      <c r="C705" s="26" t="str">
        <f t="shared" si="1"/>
        <v/>
      </c>
      <c r="D705" s="26" t="str">
        <f t="array" ref="D705">XLOOKUP($A705,Instagram_follows_raw!$A$4:$A1000,Instagram_follows_raw!$B$4:$B1000)</f>
        <v>#N/A</v>
      </c>
      <c r="E705" s="26" t="str">
        <f t="array" ref="E705">XLOOKUP($A705,Instagram_interactions_raw!$A$4:$A1000,Instagram_interactions_raw!$B$4:$B1000)</f>
        <v>#N/A</v>
      </c>
      <c r="F705" s="26" t="str">
        <f t="array" ref="F705">XLOOKUP($A705,Instagram_reach_raw!$A$4:$A1000,Instagram_reach_raw!$B$4:$B1000)</f>
        <v>#N/A</v>
      </c>
    </row>
    <row r="706">
      <c r="A706" s="30" t="str">
        <f>Instagram_reach_raw!$A708</f>
        <v/>
      </c>
      <c r="B706" s="29" t="str">
        <f>Instagram_interactions_raw!$A708</f>
        <v/>
      </c>
      <c r="C706" s="26" t="str">
        <f t="shared" si="1"/>
        <v/>
      </c>
      <c r="D706" s="26" t="str">
        <f t="array" ref="D706">XLOOKUP($A706,Instagram_follows_raw!$A$4:$A1000,Instagram_follows_raw!$B$4:$B1000)</f>
        <v>#N/A</v>
      </c>
      <c r="E706" s="26" t="str">
        <f t="array" ref="E706">XLOOKUP($A706,Instagram_interactions_raw!$A$4:$A1000,Instagram_interactions_raw!$B$4:$B1000)</f>
        <v>#N/A</v>
      </c>
      <c r="F706" s="26" t="str">
        <f t="array" ref="F706">XLOOKUP($A706,Instagram_reach_raw!$A$4:$A1000,Instagram_reach_raw!$B$4:$B1000)</f>
        <v>#N/A</v>
      </c>
    </row>
    <row r="707">
      <c r="A707" s="30" t="str">
        <f>Instagram_reach_raw!$A709</f>
        <v/>
      </c>
      <c r="B707" s="29" t="str">
        <f>Instagram_interactions_raw!$A709</f>
        <v/>
      </c>
      <c r="C707" s="26" t="str">
        <f t="shared" si="1"/>
        <v/>
      </c>
      <c r="D707" s="26" t="str">
        <f t="array" ref="D707">XLOOKUP($A707,Instagram_follows_raw!$A$4:$A1000,Instagram_follows_raw!$B$4:$B1000)</f>
        <v>#N/A</v>
      </c>
      <c r="E707" s="26" t="str">
        <f t="array" ref="E707">XLOOKUP($A707,Instagram_interactions_raw!$A$4:$A1000,Instagram_interactions_raw!$B$4:$B1000)</f>
        <v>#N/A</v>
      </c>
      <c r="F707" s="26" t="str">
        <f t="array" ref="F707">XLOOKUP($A707,Instagram_reach_raw!$A$4:$A1000,Instagram_reach_raw!$B$4:$B1000)</f>
        <v>#N/A</v>
      </c>
    </row>
    <row r="708">
      <c r="A708" s="30" t="str">
        <f>Instagram_reach_raw!$A710</f>
        <v/>
      </c>
      <c r="B708" s="29" t="str">
        <f>Instagram_interactions_raw!$A710</f>
        <v/>
      </c>
      <c r="C708" s="26" t="str">
        <f t="shared" si="1"/>
        <v/>
      </c>
      <c r="D708" s="26" t="str">
        <f t="array" ref="D708">XLOOKUP($A708,Instagram_follows_raw!$A$4:$A1000,Instagram_follows_raw!$B$4:$B1000)</f>
        <v>#N/A</v>
      </c>
      <c r="E708" s="26" t="str">
        <f t="array" ref="E708">XLOOKUP($A708,Instagram_interactions_raw!$A$4:$A1000,Instagram_interactions_raw!$B$4:$B1000)</f>
        <v>#N/A</v>
      </c>
      <c r="F708" s="26" t="str">
        <f t="array" ref="F708">XLOOKUP($A708,Instagram_reach_raw!$A$4:$A1000,Instagram_reach_raw!$B$4:$B1000)</f>
        <v>#N/A</v>
      </c>
    </row>
    <row r="709">
      <c r="A709" s="30" t="str">
        <f>Instagram_reach_raw!$A711</f>
        <v/>
      </c>
      <c r="B709" s="29" t="str">
        <f>Instagram_interactions_raw!$A711</f>
        <v/>
      </c>
      <c r="C709" s="26" t="str">
        <f t="shared" si="1"/>
        <v/>
      </c>
      <c r="D709" s="26" t="str">
        <f t="array" ref="D709">XLOOKUP($A709,Instagram_follows_raw!$A$4:$A1000,Instagram_follows_raw!$B$4:$B1000)</f>
        <v>#N/A</v>
      </c>
      <c r="E709" s="26" t="str">
        <f t="array" ref="E709">XLOOKUP($A709,Instagram_interactions_raw!$A$4:$A1000,Instagram_interactions_raw!$B$4:$B1000)</f>
        <v>#N/A</v>
      </c>
      <c r="F709" s="26" t="str">
        <f t="array" ref="F709">XLOOKUP($A709,Instagram_reach_raw!$A$4:$A1000,Instagram_reach_raw!$B$4:$B1000)</f>
        <v>#N/A</v>
      </c>
    </row>
    <row r="710">
      <c r="A710" s="30" t="str">
        <f>Instagram_reach_raw!$A712</f>
        <v/>
      </c>
      <c r="B710" s="29" t="str">
        <f>Instagram_interactions_raw!$A712</f>
        <v/>
      </c>
      <c r="C710" s="26" t="str">
        <f t="shared" si="1"/>
        <v/>
      </c>
      <c r="D710" s="26" t="str">
        <f t="array" ref="D710">XLOOKUP($A710,Instagram_follows_raw!$A$4:$A1000,Instagram_follows_raw!$B$4:$B1000)</f>
        <v>#N/A</v>
      </c>
      <c r="E710" s="26" t="str">
        <f t="array" ref="E710">XLOOKUP($A710,Instagram_interactions_raw!$A$4:$A1000,Instagram_interactions_raw!$B$4:$B1000)</f>
        <v>#N/A</v>
      </c>
      <c r="F710" s="26" t="str">
        <f t="array" ref="F710">XLOOKUP($A710,Instagram_reach_raw!$A$4:$A1000,Instagram_reach_raw!$B$4:$B1000)</f>
        <v>#N/A</v>
      </c>
    </row>
    <row r="711">
      <c r="A711" s="30" t="str">
        <f>Instagram_reach_raw!$A713</f>
        <v/>
      </c>
      <c r="B711" s="29" t="str">
        <f>Instagram_interactions_raw!$A713</f>
        <v/>
      </c>
      <c r="C711" s="26" t="str">
        <f t="shared" si="1"/>
        <v/>
      </c>
      <c r="D711" s="26" t="str">
        <f t="array" ref="D711">XLOOKUP($A711,Instagram_follows_raw!$A$4:$A1000,Instagram_follows_raw!$B$4:$B1000)</f>
        <v>#N/A</v>
      </c>
      <c r="E711" s="26" t="str">
        <f t="array" ref="E711">XLOOKUP($A711,Instagram_interactions_raw!$A$4:$A1000,Instagram_interactions_raw!$B$4:$B1000)</f>
        <v>#N/A</v>
      </c>
      <c r="F711" s="26" t="str">
        <f t="array" ref="F711">XLOOKUP($A711,Instagram_reach_raw!$A$4:$A1000,Instagram_reach_raw!$B$4:$B1000)</f>
        <v>#N/A</v>
      </c>
    </row>
    <row r="712">
      <c r="A712" s="30" t="str">
        <f>Instagram_reach_raw!$A714</f>
        <v/>
      </c>
      <c r="B712" s="29" t="str">
        <f>Instagram_interactions_raw!$A714</f>
        <v/>
      </c>
      <c r="C712" s="26" t="str">
        <f t="shared" si="1"/>
        <v/>
      </c>
      <c r="D712" s="26" t="str">
        <f t="array" ref="D712">XLOOKUP($A712,Instagram_follows_raw!$A$4:$A1000,Instagram_follows_raw!$B$4:$B1000)</f>
        <v>#N/A</v>
      </c>
      <c r="E712" s="26" t="str">
        <f t="array" ref="E712">XLOOKUP($A712,Instagram_interactions_raw!$A$4:$A1000,Instagram_interactions_raw!$B$4:$B1000)</f>
        <v>#N/A</v>
      </c>
      <c r="F712" s="26" t="str">
        <f t="array" ref="F712">XLOOKUP($A712,Instagram_reach_raw!$A$4:$A1000,Instagram_reach_raw!$B$4:$B1000)</f>
        <v>#N/A</v>
      </c>
    </row>
    <row r="713">
      <c r="A713" s="30" t="str">
        <f>Instagram_reach_raw!$A715</f>
        <v/>
      </c>
      <c r="B713" s="29" t="str">
        <f>Instagram_interactions_raw!$A715</f>
        <v/>
      </c>
      <c r="C713" s="26" t="str">
        <f t="shared" si="1"/>
        <v/>
      </c>
      <c r="D713" s="26" t="str">
        <f t="array" ref="D713">XLOOKUP($A713,Instagram_follows_raw!$A$4:$A1000,Instagram_follows_raw!$B$4:$B1000)</f>
        <v>#N/A</v>
      </c>
      <c r="E713" s="26" t="str">
        <f t="array" ref="E713">XLOOKUP($A713,Instagram_interactions_raw!$A$4:$A1000,Instagram_interactions_raw!$B$4:$B1000)</f>
        <v>#N/A</v>
      </c>
      <c r="F713" s="26" t="str">
        <f t="array" ref="F713">XLOOKUP($A713,Instagram_reach_raw!$A$4:$A1000,Instagram_reach_raw!$B$4:$B1000)</f>
        <v>#N/A</v>
      </c>
    </row>
    <row r="714">
      <c r="A714" s="30" t="str">
        <f>Instagram_reach_raw!$A716</f>
        <v/>
      </c>
      <c r="B714" s="29" t="str">
        <f>Instagram_interactions_raw!$A716</f>
        <v/>
      </c>
      <c r="C714" s="26" t="str">
        <f t="shared" si="1"/>
        <v/>
      </c>
      <c r="D714" s="26" t="str">
        <f t="array" ref="D714">XLOOKUP($A714,Instagram_follows_raw!$A$4:$A1000,Instagram_follows_raw!$B$4:$B1000)</f>
        <v>#N/A</v>
      </c>
      <c r="E714" s="26" t="str">
        <f t="array" ref="E714">XLOOKUP($A714,Instagram_interactions_raw!$A$4:$A1000,Instagram_interactions_raw!$B$4:$B1000)</f>
        <v>#N/A</v>
      </c>
      <c r="F714" s="26" t="str">
        <f t="array" ref="F714">XLOOKUP($A714,Instagram_reach_raw!$A$4:$A1000,Instagram_reach_raw!$B$4:$B1000)</f>
        <v>#N/A</v>
      </c>
    </row>
    <row r="715">
      <c r="A715" s="30" t="str">
        <f>Instagram_reach_raw!$A717</f>
        <v/>
      </c>
      <c r="B715" s="29" t="str">
        <f>Instagram_interactions_raw!$A717</f>
        <v/>
      </c>
      <c r="C715" s="26" t="str">
        <f t="shared" si="1"/>
        <v/>
      </c>
      <c r="D715" s="26" t="str">
        <f t="array" ref="D715">XLOOKUP($A715,Instagram_follows_raw!$A$4:$A1000,Instagram_follows_raw!$B$4:$B1000)</f>
        <v>#N/A</v>
      </c>
      <c r="E715" s="26" t="str">
        <f t="array" ref="E715">XLOOKUP($A715,Instagram_interactions_raw!$A$4:$A1000,Instagram_interactions_raw!$B$4:$B1000)</f>
        <v>#N/A</v>
      </c>
      <c r="F715" s="26" t="str">
        <f t="array" ref="F715">XLOOKUP($A715,Instagram_reach_raw!$A$4:$A1000,Instagram_reach_raw!$B$4:$B1000)</f>
        <v>#N/A</v>
      </c>
    </row>
    <row r="716">
      <c r="A716" s="30" t="str">
        <f>Instagram_reach_raw!$A718</f>
        <v/>
      </c>
      <c r="B716" s="29" t="str">
        <f>Instagram_interactions_raw!$A718</f>
        <v/>
      </c>
      <c r="C716" s="26" t="str">
        <f t="shared" si="1"/>
        <v/>
      </c>
      <c r="D716" s="26" t="str">
        <f t="array" ref="D716">XLOOKUP($A716,Instagram_follows_raw!$A$4:$A1000,Instagram_follows_raw!$B$4:$B1000)</f>
        <v>#N/A</v>
      </c>
      <c r="E716" s="26" t="str">
        <f t="array" ref="E716">XLOOKUP($A716,Instagram_interactions_raw!$A$4:$A1000,Instagram_interactions_raw!$B$4:$B1000)</f>
        <v>#N/A</v>
      </c>
      <c r="F716" s="26" t="str">
        <f t="array" ref="F716">XLOOKUP($A716,Instagram_reach_raw!$A$4:$A1000,Instagram_reach_raw!$B$4:$B1000)</f>
        <v>#N/A</v>
      </c>
    </row>
    <row r="717">
      <c r="A717" s="30" t="str">
        <f>Instagram_reach_raw!$A719</f>
        <v/>
      </c>
      <c r="B717" s="29" t="str">
        <f>Instagram_interactions_raw!$A719</f>
        <v/>
      </c>
      <c r="C717" s="26" t="str">
        <f t="shared" si="1"/>
        <v/>
      </c>
      <c r="D717" s="26" t="str">
        <f t="array" ref="D717">XLOOKUP($A717,Instagram_follows_raw!$A$4:$A1000,Instagram_follows_raw!$B$4:$B1000)</f>
        <v>#N/A</v>
      </c>
      <c r="E717" s="26" t="str">
        <f t="array" ref="E717">XLOOKUP($A717,Instagram_interactions_raw!$A$4:$A1000,Instagram_interactions_raw!$B$4:$B1000)</f>
        <v>#N/A</v>
      </c>
      <c r="F717" s="26" t="str">
        <f t="array" ref="F717">XLOOKUP($A717,Instagram_reach_raw!$A$4:$A1000,Instagram_reach_raw!$B$4:$B1000)</f>
        <v>#N/A</v>
      </c>
    </row>
    <row r="718">
      <c r="A718" s="30" t="str">
        <f>Instagram_reach_raw!$A720</f>
        <v/>
      </c>
      <c r="B718" s="29" t="str">
        <f>Instagram_interactions_raw!$A720</f>
        <v/>
      </c>
      <c r="C718" s="26" t="str">
        <f t="shared" si="1"/>
        <v/>
      </c>
      <c r="D718" s="26" t="str">
        <f t="array" ref="D718">XLOOKUP($A718,Instagram_follows_raw!$A$4:$A1000,Instagram_follows_raw!$B$4:$B1000)</f>
        <v>#N/A</v>
      </c>
      <c r="E718" s="26" t="str">
        <f t="array" ref="E718">XLOOKUP($A718,Instagram_interactions_raw!$A$4:$A1000,Instagram_interactions_raw!$B$4:$B1000)</f>
        <v>#N/A</v>
      </c>
      <c r="F718" s="26" t="str">
        <f t="array" ref="F718">XLOOKUP($A718,Instagram_reach_raw!$A$4:$A1000,Instagram_reach_raw!$B$4:$B1000)</f>
        <v>#N/A</v>
      </c>
    </row>
    <row r="719">
      <c r="A719" s="30" t="str">
        <f>Instagram_reach_raw!$A721</f>
        <v/>
      </c>
      <c r="B719" s="29" t="str">
        <f>Instagram_interactions_raw!$A721</f>
        <v/>
      </c>
      <c r="C719" s="26" t="str">
        <f t="shared" si="1"/>
        <v/>
      </c>
      <c r="D719" s="26" t="str">
        <f t="array" ref="D719">XLOOKUP($A719,Instagram_follows_raw!$A$4:$A1000,Instagram_follows_raw!$B$4:$B1000)</f>
        <v>#N/A</v>
      </c>
      <c r="E719" s="26" t="str">
        <f t="array" ref="E719">XLOOKUP($A719,Instagram_interactions_raw!$A$4:$A1000,Instagram_interactions_raw!$B$4:$B1000)</f>
        <v>#N/A</v>
      </c>
      <c r="F719" s="26" t="str">
        <f t="array" ref="F719">XLOOKUP($A719,Instagram_reach_raw!$A$4:$A1000,Instagram_reach_raw!$B$4:$B1000)</f>
        <v>#N/A</v>
      </c>
    </row>
    <row r="720">
      <c r="A720" s="30" t="str">
        <f>Instagram_reach_raw!$A722</f>
        <v/>
      </c>
      <c r="B720" s="29" t="str">
        <f>Instagram_interactions_raw!$A722</f>
        <v/>
      </c>
      <c r="C720" s="26" t="str">
        <f t="shared" si="1"/>
        <v/>
      </c>
      <c r="D720" s="26" t="str">
        <f t="array" ref="D720">XLOOKUP($A720,Instagram_follows_raw!$A$4:$A1000,Instagram_follows_raw!$B$4:$B1000)</f>
        <v>#N/A</v>
      </c>
      <c r="E720" s="26" t="str">
        <f t="array" ref="E720">XLOOKUP($A720,Instagram_interactions_raw!$A$4:$A1000,Instagram_interactions_raw!$B$4:$B1000)</f>
        <v>#N/A</v>
      </c>
      <c r="F720" s="26" t="str">
        <f t="array" ref="F720">XLOOKUP($A720,Instagram_reach_raw!$A$4:$A1000,Instagram_reach_raw!$B$4:$B1000)</f>
        <v>#N/A</v>
      </c>
    </row>
    <row r="721">
      <c r="A721" s="30" t="str">
        <f>Instagram_reach_raw!$A723</f>
        <v/>
      </c>
      <c r="B721" s="29" t="str">
        <f>Instagram_interactions_raw!$A723</f>
        <v/>
      </c>
      <c r="C721" s="26" t="str">
        <f t="shared" si="1"/>
        <v/>
      </c>
      <c r="D721" s="26" t="str">
        <f t="array" ref="D721">XLOOKUP($A721,Instagram_follows_raw!$A$4:$A1000,Instagram_follows_raw!$B$4:$B1000)</f>
        <v>#N/A</v>
      </c>
      <c r="E721" s="26" t="str">
        <f t="array" ref="E721">XLOOKUP($A721,Instagram_interactions_raw!$A$4:$A1000,Instagram_interactions_raw!$B$4:$B1000)</f>
        <v>#N/A</v>
      </c>
      <c r="F721" s="26" t="str">
        <f t="array" ref="F721">XLOOKUP($A721,Instagram_reach_raw!$A$4:$A1000,Instagram_reach_raw!$B$4:$B1000)</f>
        <v>#N/A</v>
      </c>
    </row>
    <row r="722">
      <c r="A722" s="30" t="str">
        <f>Instagram_reach_raw!$A724</f>
        <v/>
      </c>
      <c r="B722" s="29" t="str">
        <f>Instagram_interactions_raw!$A724</f>
        <v/>
      </c>
      <c r="C722" s="26" t="str">
        <f t="shared" si="1"/>
        <v/>
      </c>
      <c r="D722" s="26" t="str">
        <f t="array" ref="D722">XLOOKUP($A722,Instagram_follows_raw!$A$4:$A1000,Instagram_follows_raw!$B$4:$B1000)</f>
        <v>#N/A</v>
      </c>
      <c r="E722" s="26" t="str">
        <f t="array" ref="E722">XLOOKUP($A722,Instagram_interactions_raw!$A$4:$A1000,Instagram_interactions_raw!$B$4:$B1000)</f>
        <v>#N/A</v>
      </c>
      <c r="F722" s="26" t="str">
        <f t="array" ref="F722">XLOOKUP($A722,Instagram_reach_raw!$A$4:$A1000,Instagram_reach_raw!$B$4:$B1000)</f>
        <v>#N/A</v>
      </c>
    </row>
    <row r="723">
      <c r="A723" s="30" t="str">
        <f>Instagram_reach_raw!$A725</f>
        <v/>
      </c>
      <c r="B723" s="29" t="str">
        <f>Instagram_interactions_raw!$A725</f>
        <v/>
      </c>
      <c r="C723" s="26" t="str">
        <f t="shared" si="1"/>
        <v/>
      </c>
      <c r="D723" s="26" t="str">
        <f t="array" ref="D723">XLOOKUP($A723,Instagram_follows_raw!$A$4:$A1000,Instagram_follows_raw!$B$4:$B1000)</f>
        <v>#N/A</v>
      </c>
      <c r="E723" s="26" t="str">
        <f t="array" ref="E723">XLOOKUP($A723,Instagram_interactions_raw!$A$4:$A1000,Instagram_interactions_raw!$B$4:$B1000)</f>
        <v>#N/A</v>
      </c>
      <c r="F723" s="26" t="str">
        <f t="array" ref="F723">XLOOKUP($A723,Instagram_reach_raw!$A$4:$A1000,Instagram_reach_raw!$B$4:$B1000)</f>
        <v>#N/A</v>
      </c>
    </row>
    <row r="724">
      <c r="A724" s="30" t="str">
        <f>Instagram_reach_raw!$A726</f>
        <v/>
      </c>
      <c r="B724" s="29" t="str">
        <f>Instagram_interactions_raw!$A726</f>
        <v/>
      </c>
      <c r="C724" s="26" t="str">
        <f t="shared" si="1"/>
        <v/>
      </c>
      <c r="D724" s="26" t="str">
        <f t="array" ref="D724">XLOOKUP($A724,Instagram_follows_raw!$A$4:$A1000,Instagram_follows_raw!$B$4:$B1000)</f>
        <v>#N/A</v>
      </c>
      <c r="E724" s="26" t="str">
        <f t="array" ref="E724">XLOOKUP($A724,Instagram_interactions_raw!$A$4:$A1000,Instagram_interactions_raw!$B$4:$B1000)</f>
        <v>#N/A</v>
      </c>
      <c r="F724" s="26" t="str">
        <f t="array" ref="F724">XLOOKUP($A724,Instagram_reach_raw!$A$4:$A1000,Instagram_reach_raw!$B$4:$B1000)</f>
        <v>#N/A</v>
      </c>
    </row>
    <row r="725">
      <c r="A725" s="30" t="str">
        <f>Instagram_reach_raw!$A727</f>
        <v/>
      </c>
      <c r="B725" s="29" t="str">
        <f>Instagram_interactions_raw!$A727</f>
        <v/>
      </c>
      <c r="C725" s="26" t="str">
        <f t="shared" si="1"/>
        <v/>
      </c>
      <c r="D725" s="26" t="str">
        <f t="array" ref="D725">XLOOKUP($A725,Instagram_follows_raw!$A$4:$A1000,Instagram_follows_raw!$B$4:$B1000)</f>
        <v>#N/A</v>
      </c>
      <c r="E725" s="26" t="str">
        <f t="array" ref="E725">XLOOKUP($A725,Instagram_interactions_raw!$A$4:$A1000,Instagram_interactions_raw!$B$4:$B1000)</f>
        <v>#N/A</v>
      </c>
      <c r="F725" s="26" t="str">
        <f t="array" ref="F725">XLOOKUP($A725,Instagram_reach_raw!$A$4:$A1000,Instagram_reach_raw!$B$4:$B1000)</f>
        <v>#N/A</v>
      </c>
    </row>
    <row r="726">
      <c r="A726" s="30" t="str">
        <f>Instagram_reach_raw!$A728</f>
        <v/>
      </c>
      <c r="B726" s="29" t="str">
        <f>Instagram_interactions_raw!$A728</f>
        <v/>
      </c>
      <c r="C726" s="26" t="str">
        <f t="shared" si="1"/>
        <v/>
      </c>
      <c r="D726" s="26" t="str">
        <f t="array" ref="D726">XLOOKUP($A726,Instagram_follows_raw!$A$4:$A1000,Instagram_follows_raw!$B$4:$B1000)</f>
        <v>#N/A</v>
      </c>
      <c r="E726" s="26" t="str">
        <f t="array" ref="E726">XLOOKUP($A726,Instagram_interactions_raw!$A$4:$A1000,Instagram_interactions_raw!$B$4:$B1000)</f>
        <v>#N/A</v>
      </c>
      <c r="F726" s="26" t="str">
        <f t="array" ref="F726">XLOOKUP($A726,Instagram_reach_raw!$A$4:$A1000,Instagram_reach_raw!$B$4:$B1000)</f>
        <v>#N/A</v>
      </c>
    </row>
    <row r="727">
      <c r="A727" s="30" t="str">
        <f>Instagram_reach_raw!$A729</f>
        <v/>
      </c>
      <c r="B727" s="29" t="str">
        <f>Instagram_interactions_raw!$A729</f>
        <v/>
      </c>
      <c r="C727" s="26" t="str">
        <f t="shared" si="1"/>
        <v/>
      </c>
      <c r="D727" s="26" t="str">
        <f t="array" ref="D727">XLOOKUP($A727,Instagram_follows_raw!$A$4:$A1000,Instagram_follows_raw!$B$4:$B1000)</f>
        <v>#N/A</v>
      </c>
      <c r="E727" s="26" t="str">
        <f t="array" ref="E727">XLOOKUP($A727,Instagram_interactions_raw!$A$4:$A1000,Instagram_interactions_raw!$B$4:$B1000)</f>
        <v>#N/A</v>
      </c>
      <c r="F727" s="26" t="str">
        <f t="array" ref="F727">XLOOKUP($A727,Instagram_reach_raw!$A$4:$A1000,Instagram_reach_raw!$B$4:$B1000)</f>
        <v>#N/A</v>
      </c>
    </row>
    <row r="728">
      <c r="A728" s="30" t="str">
        <f>Instagram_reach_raw!$A730</f>
        <v/>
      </c>
      <c r="B728" s="29" t="str">
        <f>Instagram_interactions_raw!$A730</f>
        <v/>
      </c>
      <c r="C728" s="26" t="str">
        <f t="shared" si="1"/>
        <v/>
      </c>
      <c r="D728" s="26" t="str">
        <f t="array" ref="D728">XLOOKUP($A728,Instagram_follows_raw!$A$4:$A1000,Instagram_follows_raw!$B$4:$B1000)</f>
        <v>#N/A</v>
      </c>
      <c r="E728" s="26" t="str">
        <f t="array" ref="E728">XLOOKUP($A728,Instagram_interactions_raw!$A$4:$A1000,Instagram_interactions_raw!$B$4:$B1000)</f>
        <v>#N/A</v>
      </c>
      <c r="F728" s="26" t="str">
        <f t="array" ref="F728">XLOOKUP($A728,Instagram_reach_raw!$A$4:$A1000,Instagram_reach_raw!$B$4:$B1000)</f>
        <v>#N/A</v>
      </c>
    </row>
    <row r="729">
      <c r="A729" s="30" t="str">
        <f>Instagram_reach_raw!$A731</f>
        <v/>
      </c>
      <c r="B729" s="29" t="str">
        <f>Instagram_interactions_raw!$A731</f>
        <v/>
      </c>
      <c r="C729" s="26" t="str">
        <f t="shared" si="1"/>
        <v/>
      </c>
      <c r="D729" s="26" t="str">
        <f t="array" ref="D729">XLOOKUP($A729,Instagram_follows_raw!$A$4:$A1000,Instagram_follows_raw!$B$4:$B1000)</f>
        <v>#N/A</v>
      </c>
      <c r="E729" s="26" t="str">
        <f t="array" ref="E729">XLOOKUP($A729,Instagram_interactions_raw!$A$4:$A1000,Instagram_interactions_raw!$B$4:$B1000)</f>
        <v>#N/A</v>
      </c>
      <c r="F729" s="26" t="str">
        <f t="array" ref="F729">XLOOKUP($A729,Instagram_reach_raw!$A$4:$A1000,Instagram_reach_raw!$B$4:$B1000)</f>
        <v>#N/A</v>
      </c>
    </row>
    <row r="730">
      <c r="A730" s="30" t="str">
        <f>Instagram_reach_raw!$A732</f>
        <v/>
      </c>
      <c r="B730" s="29" t="str">
        <f>Instagram_interactions_raw!$A732</f>
        <v/>
      </c>
      <c r="C730" s="26" t="str">
        <f t="shared" si="1"/>
        <v/>
      </c>
      <c r="D730" s="26" t="str">
        <f t="array" ref="D730">XLOOKUP($A730,Instagram_follows_raw!$A$4:$A1000,Instagram_follows_raw!$B$4:$B1000)</f>
        <v>#N/A</v>
      </c>
      <c r="E730" s="26" t="str">
        <f t="array" ref="E730">XLOOKUP($A730,Instagram_interactions_raw!$A$4:$A1000,Instagram_interactions_raw!$B$4:$B1000)</f>
        <v>#N/A</v>
      </c>
      <c r="F730" s="26" t="str">
        <f t="array" ref="F730">XLOOKUP($A730,Instagram_reach_raw!$A$4:$A1000,Instagram_reach_raw!$B$4:$B1000)</f>
        <v>#N/A</v>
      </c>
    </row>
    <row r="731">
      <c r="A731" s="30" t="str">
        <f>Instagram_reach_raw!$A733</f>
        <v/>
      </c>
      <c r="B731" s="29" t="str">
        <f>Instagram_interactions_raw!$A733</f>
        <v/>
      </c>
      <c r="C731" s="26" t="str">
        <f t="shared" si="1"/>
        <v/>
      </c>
      <c r="D731" s="26" t="str">
        <f t="array" ref="D731">XLOOKUP($A731,Instagram_follows_raw!$A$4:$A1000,Instagram_follows_raw!$B$4:$B1000)</f>
        <v>#N/A</v>
      </c>
      <c r="E731" s="26" t="str">
        <f t="array" ref="E731">XLOOKUP($A731,Instagram_interactions_raw!$A$4:$A1000,Instagram_interactions_raw!$B$4:$B1000)</f>
        <v>#N/A</v>
      </c>
      <c r="F731" s="26" t="str">
        <f t="array" ref="F731">XLOOKUP($A731,Instagram_reach_raw!$A$4:$A1000,Instagram_reach_raw!$B$4:$B1000)</f>
        <v>#N/A</v>
      </c>
    </row>
    <row r="732">
      <c r="A732" s="30" t="str">
        <f>Instagram_reach_raw!$A734</f>
        <v/>
      </c>
      <c r="B732" s="29" t="str">
        <f>Instagram_interactions_raw!$A734</f>
        <v/>
      </c>
      <c r="C732" s="26" t="str">
        <f t="shared" si="1"/>
        <v/>
      </c>
      <c r="D732" s="26" t="str">
        <f t="array" ref="D732">XLOOKUP($A732,Instagram_follows_raw!$A$4:$A1000,Instagram_follows_raw!$B$4:$B1000)</f>
        <v>#N/A</v>
      </c>
      <c r="E732" s="26" t="str">
        <f t="array" ref="E732">XLOOKUP($A732,Instagram_interactions_raw!$A$4:$A1000,Instagram_interactions_raw!$B$4:$B1000)</f>
        <v>#N/A</v>
      </c>
      <c r="F732" s="26" t="str">
        <f t="array" ref="F732">XLOOKUP($A732,Instagram_reach_raw!$A$4:$A1000,Instagram_reach_raw!$B$4:$B1000)</f>
        <v>#N/A</v>
      </c>
    </row>
    <row r="733">
      <c r="A733" s="30" t="str">
        <f>Instagram_reach_raw!$A735</f>
        <v/>
      </c>
      <c r="B733" s="29" t="str">
        <f>Instagram_interactions_raw!$A735</f>
        <v/>
      </c>
      <c r="C733" s="26" t="str">
        <f t="shared" si="1"/>
        <v/>
      </c>
      <c r="D733" s="26" t="str">
        <f t="array" ref="D733">XLOOKUP($A733,Instagram_follows_raw!$A$4:$A1000,Instagram_follows_raw!$B$4:$B1000)</f>
        <v>#N/A</v>
      </c>
      <c r="E733" s="26" t="str">
        <f t="array" ref="E733">XLOOKUP($A733,Instagram_interactions_raw!$A$4:$A1000,Instagram_interactions_raw!$B$4:$B1000)</f>
        <v>#N/A</v>
      </c>
      <c r="F733" s="26" t="str">
        <f t="array" ref="F733">XLOOKUP($A733,Instagram_reach_raw!$A$4:$A1000,Instagram_reach_raw!$B$4:$B1000)</f>
        <v>#N/A</v>
      </c>
    </row>
    <row r="734">
      <c r="A734" s="30" t="str">
        <f>Instagram_reach_raw!$A736</f>
        <v/>
      </c>
      <c r="B734" s="29" t="str">
        <f>Instagram_interactions_raw!$A736</f>
        <v/>
      </c>
      <c r="C734" s="26" t="str">
        <f t="shared" si="1"/>
        <v/>
      </c>
      <c r="D734" s="26" t="str">
        <f t="array" ref="D734">XLOOKUP($A734,Instagram_follows_raw!$A$4:$A1000,Instagram_follows_raw!$B$4:$B1000)</f>
        <v>#N/A</v>
      </c>
      <c r="E734" s="26" t="str">
        <f t="array" ref="E734">XLOOKUP($A734,Instagram_interactions_raw!$A$4:$A1000,Instagram_interactions_raw!$B$4:$B1000)</f>
        <v>#N/A</v>
      </c>
      <c r="F734" s="26" t="str">
        <f t="array" ref="F734">XLOOKUP($A734,Instagram_reach_raw!$A$4:$A1000,Instagram_reach_raw!$B$4:$B1000)</f>
        <v>#N/A</v>
      </c>
    </row>
    <row r="735">
      <c r="A735" s="30" t="str">
        <f>Instagram_reach_raw!$A737</f>
        <v/>
      </c>
      <c r="B735" s="29" t="str">
        <f>Instagram_interactions_raw!$A737</f>
        <v/>
      </c>
      <c r="C735" s="26" t="str">
        <f t="shared" si="1"/>
        <v/>
      </c>
      <c r="D735" s="26" t="str">
        <f t="array" ref="D735">XLOOKUP($A735,Instagram_follows_raw!$A$4:$A1000,Instagram_follows_raw!$B$4:$B1000)</f>
        <v>#N/A</v>
      </c>
      <c r="E735" s="26" t="str">
        <f t="array" ref="E735">XLOOKUP($A735,Instagram_interactions_raw!$A$4:$A1000,Instagram_interactions_raw!$B$4:$B1000)</f>
        <v>#N/A</v>
      </c>
      <c r="F735" s="26" t="str">
        <f t="array" ref="F735">XLOOKUP($A735,Instagram_reach_raw!$A$4:$A1000,Instagram_reach_raw!$B$4:$B1000)</f>
        <v>#N/A</v>
      </c>
    </row>
    <row r="736">
      <c r="A736" s="30" t="str">
        <f>Instagram_reach_raw!$A738</f>
        <v/>
      </c>
      <c r="B736" s="29" t="str">
        <f>Instagram_interactions_raw!$A738</f>
        <v/>
      </c>
      <c r="C736" s="26" t="str">
        <f t="shared" si="1"/>
        <v/>
      </c>
      <c r="D736" s="26" t="str">
        <f t="array" ref="D736">XLOOKUP($A736,Instagram_follows_raw!$A$4:$A1000,Instagram_follows_raw!$B$4:$B1000)</f>
        <v>#N/A</v>
      </c>
      <c r="E736" s="26" t="str">
        <f t="array" ref="E736">XLOOKUP($A736,Instagram_interactions_raw!$A$4:$A1000,Instagram_interactions_raw!$B$4:$B1000)</f>
        <v>#N/A</v>
      </c>
      <c r="F736" s="26" t="str">
        <f t="array" ref="F736">XLOOKUP($A736,Instagram_reach_raw!$A$4:$A1000,Instagram_reach_raw!$B$4:$B1000)</f>
        <v>#N/A</v>
      </c>
    </row>
    <row r="737">
      <c r="A737" s="30" t="str">
        <f>Instagram_reach_raw!$A739</f>
        <v/>
      </c>
      <c r="B737" s="29" t="str">
        <f>Instagram_interactions_raw!$A739</f>
        <v/>
      </c>
      <c r="C737" s="26" t="str">
        <f t="shared" si="1"/>
        <v/>
      </c>
      <c r="D737" s="26" t="str">
        <f t="array" ref="D737">XLOOKUP($A737,Instagram_follows_raw!$A$4:$A1000,Instagram_follows_raw!$B$4:$B1000)</f>
        <v>#N/A</v>
      </c>
      <c r="E737" s="26" t="str">
        <f t="array" ref="E737">XLOOKUP($A737,Instagram_interactions_raw!$A$4:$A1000,Instagram_interactions_raw!$B$4:$B1000)</f>
        <v>#N/A</v>
      </c>
      <c r="F737" s="26" t="str">
        <f t="array" ref="F737">XLOOKUP($A737,Instagram_reach_raw!$A$4:$A1000,Instagram_reach_raw!$B$4:$B1000)</f>
        <v>#N/A</v>
      </c>
    </row>
    <row r="738">
      <c r="A738" s="30" t="str">
        <f>Instagram_reach_raw!$A740</f>
        <v/>
      </c>
      <c r="B738" s="29" t="str">
        <f>Instagram_interactions_raw!$A740</f>
        <v/>
      </c>
      <c r="C738" s="26" t="str">
        <f t="shared" si="1"/>
        <v/>
      </c>
      <c r="D738" s="26" t="str">
        <f t="array" ref="D738">XLOOKUP($A738,Instagram_follows_raw!$A$4:$A1000,Instagram_follows_raw!$B$4:$B1000)</f>
        <v>#N/A</v>
      </c>
      <c r="E738" s="26" t="str">
        <f t="array" ref="E738">XLOOKUP($A738,Instagram_interactions_raw!$A$4:$A1000,Instagram_interactions_raw!$B$4:$B1000)</f>
        <v>#N/A</v>
      </c>
      <c r="F738" s="26" t="str">
        <f t="array" ref="F738">XLOOKUP($A738,Instagram_reach_raw!$A$4:$A1000,Instagram_reach_raw!$B$4:$B1000)</f>
        <v>#N/A</v>
      </c>
    </row>
    <row r="739">
      <c r="A739" s="30" t="str">
        <f>Instagram_reach_raw!$A741</f>
        <v/>
      </c>
      <c r="B739" s="29" t="str">
        <f>Instagram_interactions_raw!$A741</f>
        <v/>
      </c>
      <c r="C739" s="26" t="str">
        <f t="shared" si="1"/>
        <v/>
      </c>
      <c r="D739" s="26" t="str">
        <f t="array" ref="D739">XLOOKUP($A739,Instagram_follows_raw!$A$4:$A1000,Instagram_follows_raw!$B$4:$B1000)</f>
        <v>#N/A</v>
      </c>
      <c r="E739" s="26" t="str">
        <f t="array" ref="E739">XLOOKUP($A739,Instagram_interactions_raw!$A$4:$A1000,Instagram_interactions_raw!$B$4:$B1000)</f>
        <v>#N/A</v>
      </c>
      <c r="F739" s="26" t="str">
        <f t="array" ref="F739">XLOOKUP($A739,Instagram_reach_raw!$A$4:$A1000,Instagram_reach_raw!$B$4:$B1000)</f>
        <v>#N/A</v>
      </c>
    </row>
    <row r="740">
      <c r="A740" s="30" t="str">
        <f>Instagram_reach_raw!$A742</f>
        <v/>
      </c>
      <c r="B740" s="29" t="str">
        <f>Instagram_interactions_raw!$A742</f>
        <v/>
      </c>
      <c r="C740" s="26" t="str">
        <f t="shared" si="1"/>
        <v/>
      </c>
      <c r="D740" s="26" t="str">
        <f t="array" ref="D740">XLOOKUP($A740,Instagram_follows_raw!$A$4:$A1000,Instagram_follows_raw!$B$4:$B1000)</f>
        <v>#N/A</v>
      </c>
      <c r="E740" s="26" t="str">
        <f t="array" ref="E740">XLOOKUP($A740,Instagram_interactions_raw!$A$4:$A1000,Instagram_interactions_raw!$B$4:$B1000)</f>
        <v>#N/A</v>
      </c>
      <c r="F740" s="26" t="str">
        <f t="array" ref="F740">XLOOKUP($A740,Instagram_reach_raw!$A$4:$A1000,Instagram_reach_raw!$B$4:$B1000)</f>
        <v>#N/A</v>
      </c>
    </row>
    <row r="741">
      <c r="A741" s="30" t="str">
        <f>Instagram_reach_raw!$A743</f>
        <v/>
      </c>
      <c r="B741" s="29" t="str">
        <f>Instagram_interactions_raw!$A743</f>
        <v/>
      </c>
      <c r="C741" s="26" t="str">
        <f t="shared" si="1"/>
        <v/>
      </c>
      <c r="D741" s="26" t="str">
        <f t="array" ref="D741">XLOOKUP($A741,Instagram_follows_raw!$A$4:$A1000,Instagram_follows_raw!$B$4:$B1000)</f>
        <v>#N/A</v>
      </c>
      <c r="E741" s="26" t="str">
        <f t="array" ref="E741">XLOOKUP($A741,Instagram_interactions_raw!$A$4:$A1000,Instagram_interactions_raw!$B$4:$B1000)</f>
        <v>#N/A</v>
      </c>
      <c r="F741" s="26" t="str">
        <f t="array" ref="F741">XLOOKUP($A741,Instagram_reach_raw!$A$4:$A1000,Instagram_reach_raw!$B$4:$B1000)</f>
        <v>#N/A</v>
      </c>
    </row>
    <row r="742">
      <c r="A742" s="30" t="str">
        <f>Instagram_reach_raw!$A744</f>
        <v/>
      </c>
      <c r="B742" s="29" t="str">
        <f>Instagram_interactions_raw!$A744</f>
        <v/>
      </c>
      <c r="C742" s="26" t="str">
        <f t="shared" si="1"/>
        <v/>
      </c>
      <c r="D742" s="26" t="str">
        <f t="array" ref="D742">XLOOKUP($A742,Instagram_follows_raw!$A$4:$A1000,Instagram_follows_raw!$B$4:$B1000)</f>
        <v>#N/A</v>
      </c>
      <c r="E742" s="26" t="str">
        <f t="array" ref="E742">XLOOKUP($A742,Instagram_interactions_raw!$A$4:$A1000,Instagram_interactions_raw!$B$4:$B1000)</f>
        <v>#N/A</v>
      </c>
      <c r="F742" s="26" t="str">
        <f t="array" ref="F742">XLOOKUP($A742,Instagram_reach_raw!$A$4:$A1000,Instagram_reach_raw!$B$4:$B1000)</f>
        <v>#N/A</v>
      </c>
    </row>
    <row r="743">
      <c r="A743" s="30" t="str">
        <f>Instagram_reach_raw!$A745</f>
        <v/>
      </c>
      <c r="B743" s="29" t="str">
        <f>Instagram_interactions_raw!$A745</f>
        <v/>
      </c>
      <c r="C743" s="26" t="str">
        <f t="shared" si="1"/>
        <v/>
      </c>
      <c r="D743" s="26" t="str">
        <f t="array" ref="D743">XLOOKUP($A743,Instagram_follows_raw!$A$4:$A1000,Instagram_follows_raw!$B$4:$B1000)</f>
        <v>#N/A</v>
      </c>
      <c r="E743" s="26" t="str">
        <f t="array" ref="E743">XLOOKUP($A743,Instagram_interactions_raw!$A$4:$A1000,Instagram_interactions_raw!$B$4:$B1000)</f>
        <v>#N/A</v>
      </c>
      <c r="F743" s="26" t="str">
        <f t="array" ref="F743">XLOOKUP($A743,Instagram_reach_raw!$A$4:$A1000,Instagram_reach_raw!$B$4:$B1000)</f>
        <v>#N/A</v>
      </c>
    </row>
    <row r="744">
      <c r="A744" s="30" t="str">
        <f>Instagram_reach_raw!$A746</f>
        <v/>
      </c>
      <c r="B744" s="29" t="str">
        <f>Instagram_interactions_raw!$A746</f>
        <v/>
      </c>
      <c r="C744" s="26" t="str">
        <f t="shared" si="1"/>
        <v/>
      </c>
      <c r="D744" s="26" t="str">
        <f t="array" ref="D744">XLOOKUP($A744,Instagram_follows_raw!$A$4:$A1000,Instagram_follows_raw!$B$4:$B1000)</f>
        <v>#N/A</v>
      </c>
      <c r="E744" s="26" t="str">
        <f t="array" ref="E744">XLOOKUP($A744,Instagram_interactions_raw!$A$4:$A1000,Instagram_interactions_raw!$B$4:$B1000)</f>
        <v>#N/A</v>
      </c>
      <c r="F744" s="26" t="str">
        <f t="array" ref="F744">XLOOKUP($A744,Instagram_reach_raw!$A$4:$A1000,Instagram_reach_raw!$B$4:$B1000)</f>
        <v>#N/A</v>
      </c>
    </row>
    <row r="745">
      <c r="A745" s="30" t="str">
        <f>Instagram_reach_raw!$A747</f>
        <v/>
      </c>
      <c r="B745" s="29" t="str">
        <f>Instagram_interactions_raw!$A747</f>
        <v/>
      </c>
      <c r="C745" s="26" t="str">
        <f t="shared" si="1"/>
        <v/>
      </c>
      <c r="D745" s="26" t="str">
        <f t="array" ref="D745">XLOOKUP($A745,Instagram_follows_raw!$A$4:$A1000,Instagram_follows_raw!$B$4:$B1000)</f>
        <v>#N/A</v>
      </c>
      <c r="E745" s="26" t="str">
        <f t="array" ref="E745">XLOOKUP($A745,Instagram_interactions_raw!$A$4:$A1000,Instagram_interactions_raw!$B$4:$B1000)</f>
        <v>#N/A</v>
      </c>
      <c r="F745" s="26" t="str">
        <f t="array" ref="F745">XLOOKUP($A745,Instagram_reach_raw!$A$4:$A1000,Instagram_reach_raw!$B$4:$B1000)</f>
        <v>#N/A</v>
      </c>
    </row>
    <row r="746">
      <c r="A746" s="30" t="str">
        <f>Instagram_reach_raw!$A748</f>
        <v/>
      </c>
      <c r="B746" s="29" t="str">
        <f>Instagram_interactions_raw!$A748</f>
        <v/>
      </c>
      <c r="C746" s="26" t="str">
        <f t="shared" si="1"/>
        <v/>
      </c>
      <c r="D746" s="26" t="str">
        <f t="array" ref="D746">XLOOKUP($A746,Instagram_follows_raw!$A$4:$A1000,Instagram_follows_raw!$B$4:$B1000)</f>
        <v>#N/A</v>
      </c>
      <c r="E746" s="26" t="str">
        <f t="array" ref="E746">XLOOKUP($A746,Instagram_interactions_raw!$A$4:$A1000,Instagram_interactions_raw!$B$4:$B1000)</f>
        <v>#N/A</v>
      </c>
      <c r="F746" s="26" t="str">
        <f t="array" ref="F746">XLOOKUP($A746,Instagram_reach_raw!$A$4:$A1000,Instagram_reach_raw!$B$4:$B1000)</f>
        <v>#N/A</v>
      </c>
    </row>
    <row r="747">
      <c r="A747" s="30" t="str">
        <f>Instagram_reach_raw!$A749</f>
        <v/>
      </c>
      <c r="B747" s="29" t="str">
        <f>Instagram_interactions_raw!$A749</f>
        <v/>
      </c>
      <c r="C747" s="26" t="str">
        <f t="shared" si="1"/>
        <v/>
      </c>
      <c r="D747" s="26" t="str">
        <f t="array" ref="D747">XLOOKUP($A747,Instagram_follows_raw!$A$4:$A1000,Instagram_follows_raw!$B$4:$B1000)</f>
        <v>#N/A</v>
      </c>
      <c r="E747" s="26" t="str">
        <f t="array" ref="E747">XLOOKUP($A747,Instagram_interactions_raw!$A$4:$A1000,Instagram_interactions_raw!$B$4:$B1000)</f>
        <v>#N/A</v>
      </c>
      <c r="F747" s="26" t="str">
        <f t="array" ref="F747">XLOOKUP($A747,Instagram_reach_raw!$A$4:$A1000,Instagram_reach_raw!$B$4:$B1000)</f>
        <v>#N/A</v>
      </c>
    </row>
    <row r="748">
      <c r="A748" s="30" t="str">
        <f>Instagram_reach_raw!$A750</f>
        <v/>
      </c>
      <c r="B748" s="29" t="str">
        <f>Instagram_interactions_raw!$A750</f>
        <v/>
      </c>
      <c r="C748" s="26" t="str">
        <f t="shared" si="1"/>
        <v/>
      </c>
      <c r="D748" s="26" t="str">
        <f t="array" ref="D748">XLOOKUP($A748,Instagram_follows_raw!$A$4:$A1000,Instagram_follows_raw!$B$4:$B1000)</f>
        <v>#N/A</v>
      </c>
      <c r="E748" s="26" t="str">
        <f t="array" ref="E748">XLOOKUP($A748,Instagram_interactions_raw!$A$4:$A1000,Instagram_interactions_raw!$B$4:$B1000)</f>
        <v>#N/A</v>
      </c>
      <c r="F748" s="26" t="str">
        <f t="array" ref="F748">XLOOKUP($A748,Instagram_reach_raw!$A$4:$A1000,Instagram_reach_raw!$B$4:$B1000)</f>
        <v>#N/A</v>
      </c>
    </row>
    <row r="749">
      <c r="A749" s="30" t="str">
        <f>Instagram_reach_raw!$A751</f>
        <v/>
      </c>
      <c r="B749" s="29" t="str">
        <f>Instagram_interactions_raw!$A751</f>
        <v/>
      </c>
      <c r="C749" s="26" t="str">
        <f t="shared" si="1"/>
        <v/>
      </c>
      <c r="D749" s="26" t="str">
        <f t="array" ref="D749">XLOOKUP($A749,Instagram_follows_raw!$A$4:$A1000,Instagram_follows_raw!$B$4:$B1000)</f>
        <v>#N/A</v>
      </c>
      <c r="E749" s="26" t="str">
        <f t="array" ref="E749">XLOOKUP($A749,Instagram_interactions_raw!$A$4:$A1000,Instagram_interactions_raw!$B$4:$B1000)</f>
        <v>#N/A</v>
      </c>
      <c r="F749" s="26" t="str">
        <f t="array" ref="F749">XLOOKUP($A749,Instagram_reach_raw!$A$4:$A1000,Instagram_reach_raw!$B$4:$B1000)</f>
        <v>#N/A</v>
      </c>
    </row>
    <row r="750">
      <c r="A750" s="30" t="str">
        <f>Instagram_reach_raw!$A752</f>
        <v/>
      </c>
      <c r="B750" s="29" t="str">
        <f>Instagram_interactions_raw!$A752</f>
        <v/>
      </c>
      <c r="C750" s="26" t="str">
        <f t="shared" si="1"/>
        <v/>
      </c>
      <c r="D750" s="26" t="str">
        <f t="array" ref="D750">XLOOKUP($A750,Instagram_follows_raw!$A$4:$A1000,Instagram_follows_raw!$B$4:$B1000)</f>
        <v>#N/A</v>
      </c>
      <c r="E750" s="26" t="str">
        <f t="array" ref="E750">XLOOKUP($A750,Instagram_interactions_raw!$A$4:$A1000,Instagram_interactions_raw!$B$4:$B1000)</f>
        <v>#N/A</v>
      </c>
      <c r="F750" s="26" t="str">
        <f t="array" ref="F750">XLOOKUP($A750,Instagram_reach_raw!$A$4:$A1000,Instagram_reach_raw!$B$4:$B1000)</f>
        <v>#N/A</v>
      </c>
    </row>
    <row r="751">
      <c r="A751" s="30" t="str">
        <f>Instagram_reach_raw!$A753</f>
        <v/>
      </c>
      <c r="B751" s="29" t="str">
        <f>Instagram_interactions_raw!$A753</f>
        <v/>
      </c>
      <c r="C751" s="26" t="str">
        <f t="shared" si="1"/>
        <v/>
      </c>
      <c r="D751" s="26" t="str">
        <f t="array" ref="D751">XLOOKUP($A751,Instagram_follows_raw!$A$4:$A1000,Instagram_follows_raw!$B$4:$B1000)</f>
        <v>#N/A</v>
      </c>
      <c r="E751" s="26" t="str">
        <f t="array" ref="E751">XLOOKUP($A751,Instagram_interactions_raw!$A$4:$A1000,Instagram_interactions_raw!$B$4:$B1000)</f>
        <v>#N/A</v>
      </c>
      <c r="F751" s="26" t="str">
        <f t="array" ref="F751">XLOOKUP($A751,Instagram_reach_raw!$A$4:$A1000,Instagram_reach_raw!$B$4:$B1000)</f>
        <v>#N/A</v>
      </c>
    </row>
    <row r="752">
      <c r="A752" s="30" t="str">
        <f>Instagram_reach_raw!$A754</f>
        <v/>
      </c>
      <c r="B752" s="29" t="str">
        <f>Instagram_interactions_raw!$A754</f>
        <v/>
      </c>
      <c r="C752" s="26" t="str">
        <f t="shared" si="1"/>
        <v/>
      </c>
      <c r="D752" s="26" t="str">
        <f t="array" ref="D752">XLOOKUP($A752,Instagram_follows_raw!$A$4:$A1000,Instagram_follows_raw!$B$4:$B1000)</f>
        <v>#N/A</v>
      </c>
      <c r="E752" s="26" t="str">
        <f t="array" ref="E752">XLOOKUP($A752,Instagram_interactions_raw!$A$4:$A1000,Instagram_interactions_raw!$B$4:$B1000)</f>
        <v>#N/A</v>
      </c>
      <c r="F752" s="26" t="str">
        <f t="array" ref="F752">XLOOKUP($A752,Instagram_reach_raw!$A$4:$A1000,Instagram_reach_raw!$B$4:$B1000)</f>
        <v>#N/A</v>
      </c>
    </row>
    <row r="753">
      <c r="A753" s="30" t="str">
        <f>Instagram_reach_raw!$A755</f>
        <v/>
      </c>
      <c r="B753" s="29" t="str">
        <f>Instagram_interactions_raw!$A755</f>
        <v/>
      </c>
      <c r="C753" s="26" t="str">
        <f t="shared" si="1"/>
        <v/>
      </c>
      <c r="D753" s="26" t="str">
        <f t="array" ref="D753">XLOOKUP($A753,Instagram_follows_raw!$A$4:$A1000,Instagram_follows_raw!$B$4:$B1000)</f>
        <v>#N/A</v>
      </c>
      <c r="E753" s="26" t="str">
        <f t="array" ref="E753">XLOOKUP($A753,Instagram_interactions_raw!$A$4:$A1000,Instagram_interactions_raw!$B$4:$B1000)</f>
        <v>#N/A</v>
      </c>
      <c r="F753" s="26" t="str">
        <f t="array" ref="F753">XLOOKUP($A753,Instagram_reach_raw!$A$4:$A1000,Instagram_reach_raw!$B$4:$B1000)</f>
        <v>#N/A</v>
      </c>
    </row>
    <row r="754">
      <c r="A754" s="30" t="str">
        <f>Instagram_reach_raw!$A756</f>
        <v/>
      </c>
      <c r="B754" s="29" t="str">
        <f>Instagram_interactions_raw!$A756</f>
        <v/>
      </c>
      <c r="C754" s="26" t="str">
        <f t="shared" si="1"/>
        <v/>
      </c>
      <c r="D754" s="26" t="str">
        <f t="array" ref="D754">XLOOKUP($A754,Instagram_follows_raw!$A$4:$A1000,Instagram_follows_raw!$B$4:$B1000)</f>
        <v>#N/A</v>
      </c>
      <c r="E754" s="26" t="str">
        <f t="array" ref="E754">XLOOKUP($A754,Instagram_interactions_raw!$A$4:$A1000,Instagram_interactions_raw!$B$4:$B1000)</f>
        <v>#N/A</v>
      </c>
      <c r="F754" s="26" t="str">
        <f t="array" ref="F754">XLOOKUP($A754,Instagram_reach_raw!$A$4:$A1000,Instagram_reach_raw!$B$4:$B1000)</f>
        <v>#N/A</v>
      </c>
    </row>
    <row r="755">
      <c r="A755" s="30" t="str">
        <f>Instagram_reach_raw!$A757</f>
        <v/>
      </c>
      <c r="B755" s="29" t="str">
        <f>Instagram_interactions_raw!$A757</f>
        <v/>
      </c>
      <c r="C755" s="26" t="str">
        <f t="shared" si="1"/>
        <v/>
      </c>
      <c r="D755" s="26" t="str">
        <f t="array" ref="D755">XLOOKUP($A755,Instagram_follows_raw!$A$4:$A1000,Instagram_follows_raw!$B$4:$B1000)</f>
        <v>#N/A</v>
      </c>
      <c r="E755" s="26" t="str">
        <f t="array" ref="E755">XLOOKUP($A755,Instagram_interactions_raw!$A$4:$A1000,Instagram_interactions_raw!$B$4:$B1000)</f>
        <v>#N/A</v>
      </c>
      <c r="F755" s="26" t="str">
        <f t="array" ref="F755">XLOOKUP($A755,Instagram_reach_raw!$A$4:$A1000,Instagram_reach_raw!$B$4:$B1000)</f>
        <v>#N/A</v>
      </c>
    </row>
    <row r="756">
      <c r="A756" s="30" t="str">
        <f>Instagram_reach_raw!$A758</f>
        <v/>
      </c>
      <c r="B756" s="29" t="str">
        <f>Instagram_interactions_raw!$A758</f>
        <v/>
      </c>
      <c r="C756" s="26" t="str">
        <f t="shared" si="1"/>
        <v/>
      </c>
      <c r="D756" s="26" t="str">
        <f t="array" ref="D756">XLOOKUP($A756,Instagram_follows_raw!$A$4:$A1000,Instagram_follows_raw!$B$4:$B1000)</f>
        <v>#N/A</v>
      </c>
      <c r="E756" s="26" t="str">
        <f t="array" ref="E756">XLOOKUP($A756,Instagram_interactions_raw!$A$4:$A1000,Instagram_interactions_raw!$B$4:$B1000)</f>
        <v>#N/A</v>
      </c>
      <c r="F756" s="26" t="str">
        <f t="array" ref="F756">XLOOKUP($A756,Instagram_reach_raw!$A$4:$A1000,Instagram_reach_raw!$B$4:$B1000)</f>
        <v>#N/A</v>
      </c>
    </row>
    <row r="757">
      <c r="A757" s="30" t="str">
        <f>Instagram_reach_raw!$A759</f>
        <v/>
      </c>
      <c r="B757" s="29" t="str">
        <f>Instagram_interactions_raw!$A759</f>
        <v/>
      </c>
      <c r="C757" s="26" t="str">
        <f t="shared" si="1"/>
        <v/>
      </c>
      <c r="D757" s="26" t="str">
        <f t="array" ref="D757">XLOOKUP($A757,Instagram_follows_raw!$A$4:$A1000,Instagram_follows_raw!$B$4:$B1000)</f>
        <v>#N/A</v>
      </c>
      <c r="E757" s="26" t="str">
        <f t="array" ref="E757">XLOOKUP($A757,Instagram_interactions_raw!$A$4:$A1000,Instagram_interactions_raw!$B$4:$B1000)</f>
        <v>#N/A</v>
      </c>
      <c r="F757" s="26" t="str">
        <f t="array" ref="F757">XLOOKUP($A757,Instagram_reach_raw!$A$4:$A1000,Instagram_reach_raw!$B$4:$B1000)</f>
        <v>#N/A</v>
      </c>
    </row>
    <row r="758">
      <c r="A758" s="30" t="str">
        <f>Instagram_reach_raw!$A760</f>
        <v/>
      </c>
      <c r="B758" s="29" t="str">
        <f>Instagram_interactions_raw!$A760</f>
        <v/>
      </c>
      <c r="C758" s="26" t="str">
        <f t="shared" si="1"/>
        <v/>
      </c>
      <c r="D758" s="26" t="str">
        <f t="array" ref="D758">XLOOKUP($A758,Instagram_follows_raw!$A$4:$A1000,Instagram_follows_raw!$B$4:$B1000)</f>
        <v>#N/A</v>
      </c>
      <c r="E758" s="26" t="str">
        <f t="array" ref="E758">XLOOKUP($A758,Instagram_interactions_raw!$A$4:$A1000,Instagram_interactions_raw!$B$4:$B1000)</f>
        <v>#N/A</v>
      </c>
      <c r="F758" s="26" t="str">
        <f t="array" ref="F758">XLOOKUP($A758,Instagram_reach_raw!$A$4:$A1000,Instagram_reach_raw!$B$4:$B1000)</f>
        <v>#N/A</v>
      </c>
    </row>
    <row r="759">
      <c r="A759" s="30" t="str">
        <f>Instagram_reach_raw!$A761</f>
        <v/>
      </c>
      <c r="B759" s="29" t="str">
        <f>Instagram_interactions_raw!$A761</f>
        <v/>
      </c>
      <c r="C759" s="26" t="str">
        <f t="shared" si="1"/>
        <v/>
      </c>
      <c r="D759" s="26" t="str">
        <f t="array" ref="D759">XLOOKUP($A759,Instagram_follows_raw!$A$4:$A1000,Instagram_follows_raw!$B$4:$B1000)</f>
        <v>#N/A</v>
      </c>
      <c r="E759" s="26" t="str">
        <f t="array" ref="E759">XLOOKUP($A759,Instagram_interactions_raw!$A$4:$A1000,Instagram_interactions_raw!$B$4:$B1000)</f>
        <v>#N/A</v>
      </c>
      <c r="F759" s="26" t="str">
        <f t="array" ref="F759">XLOOKUP($A759,Instagram_reach_raw!$A$4:$A1000,Instagram_reach_raw!$B$4:$B1000)</f>
        <v>#N/A</v>
      </c>
    </row>
    <row r="760">
      <c r="A760" s="30" t="str">
        <f>Instagram_reach_raw!$A762</f>
        <v/>
      </c>
      <c r="B760" s="29" t="str">
        <f>Instagram_interactions_raw!$A762</f>
        <v/>
      </c>
      <c r="C760" s="26" t="str">
        <f t="shared" si="1"/>
        <v/>
      </c>
      <c r="D760" s="26" t="str">
        <f t="array" ref="D760">XLOOKUP($A760,Instagram_follows_raw!$A$4:$A1000,Instagram_follows_raw!$B$4:$B1000)</f>
        <v>#N/A</v>
      </c>
      <c r="E760" s="26" t="str">
        <f t="array" ref="E760">XLOOKUP($A760,Instagram_interactions_raw!$A$4:$A1000,Instagram_interactions_raw!$B$4:$B1000)</f>
        <v>#N/A</v>
      </c>
      <c r="F760" s="26" t="str">
        <f t="array" ref="F760">XLOOKUP($A760,Instagram_reach_raw!$A$4:$A1000,Instagram_reach_raw!$B$4:$B1000)</f>
        <v>#N/A</v>
      </c>
    </row>
    <row r="761">
      <c r="A761" s="30" t="str">
        <f>Instagram_reach_raw!$A763</f>
        <v/>
      </c>
      <c r="B761" s="29" t="str">
        <f>Instagram_interactions_raw!$A763</f>
        <v/>
      </c>
      <c r="C761" s="26" t="str">
        <f t="shared" si="1"/>
        <v/>
      </c>
      <c r="D761" s="26" t="str">
        <f t="array" ref="D761">XLOOKUP($A761,Instagram_follows_raw!$A$4:$A1000,Instagram_follows_raw!$B$4:$B1000)</f>
        <v>#N/A</v>
      </c>
      <c r="E761" s="26" t="str">
        <f t="array" ref="E761">XLOOKUP($A761,Instagram_interactions_raw!$A$4:$A1000,Instagram_interactions_raw!$B$4:$B1000)</f>
        <v>#N/A</v>
      </c>
      <c r="F761" s="26" t="str">
        <f t="array" ref="F761">XLOOKUP($A761,Instagram_reach_raw!$A$4:$A1000,Instagram_reach_raw!$B$4:$B1000)</f>
        <v>#N/A</v>
      </c>
    </row>
    <row r="762">
      <c r="A762" s="30" t="str">
        <f>Instagram_reach_raw!$A764</f>
        <v/>
      </c>
      <c r="B762" s="29" t="str">
        <f>Instagram_interactions_raw!$A764</f>
        <v/>
      </c>
      <c r="C762" s="26" t="str">
        <f t="shared" si="1"/>
        <v/>
      </c>
      <c r="D762" s="26" t="str">
        <f t="array" ref="D762">XLOOKUP($A762,Instagram_follows_raw!$A$4:$A1000,Instagram_follows_raw!$B$4:$B1000)</f>
        <v>#N/A</v>
      </c>
      <c r="E762" s="26" t="str">
        <f t="array" ref="E762">XLOOKUP($A762,Instagram_interactions_raw!$A$4:$A1000,Instagram_interactions_raw!$B$4:$B1000)</f>
        <v>#N/A</v>
      </c>
      <c r="F762" s="26" t="str">
        <f t="array" ref="F762">XLOOKUP($A762,Instagram_reach_raw!$A$4:$A1000,Instagram_reach_raw!$B$4:$B1000)</f>
        <v>#N/A</v>
      </c>
    </row>
    <row r="763">
      <c r="A763" s="30" t="str">
        <f>Instagram_reach_raw!$A765</f>
        <v/>
      </c>
      <c r="B763" s="29" t="str">
        <f>Instagram_interactions_raw!$A765</f>
        <v/>
      </c>
      <c r="C763" s="26" t="str">
        <f t="shared" si="1"/>
        <v/>
      </c>
      <c r="D763" s="26" t="str">
        <f t="array" ref="D763">XLOOKUP($A763,Instagram_follows_raw!$A$4:$A1000,Instagram_follows_raw!$B$4:$B1000)</f>
        <v>#N/A</v>
      </c>
      <c r="E763" s="26" t="str">
        <f t="array" ref="E763">XLOOKUP($A763,Instagram_interactions_raw!$A$4:$A1000,Instagram_interactions_raw!$B$4:$B1000)</f>
        <v>#N/A</v>
      </c>
      <c r="F763" s="26" t="str">
        <f t="array" ref="F763">XLOOKUP($A763,Instagram_reach_raw!$A$4:$A1000,Instagram_reach_raw!$B$4:$B1000)</f>
        <v>#N/A</v>
      </c>
    </row>
    <row r="764">
      <c r="A764" s="30" t="str">
        <f>Instagram_reach_raw!$A766</f>
        <v/>
      </c>
      <c r="B764" s="29" t="str">
        <f>Instagram_interactions_raw!$A766</f>
        <v/>
      </c>
      <c r="C764" s="26" t="str">
        <f t="shared" si="1"/>
        <v/>
      </c>
      <c r="D764" s="26" t="str">
        <f t="array" ref="D764">XLOOKUP($A764,Instagram_follows_raw!$A$4:$A1000,Instagram_follows_raw!$B$4:$B1000)</f>
        <v>#N/A</v>
      </c>
      <c r="E764" s="26" t="str">
        <f t="array" ref="E764">XLOOKUP($A764,Instagram_interactions_raw!$A$4:$A1000,Instagram_interactions_raw!$B$4:$B1000)</f>
        <v>#N/A</v>
      </c>
      <c r="F764" s="26" t="str">
        <f t="array" ref="F764">XLOOKUP($A764,Instagram_reach_raw!$A$4:$A1000,Instagram_reach_raw!$B$4:$B1000)</f>
        <v>#N/A</v>
      </c>
    </row>
    <row r="765">
      <c r="A765" s="30" t="str">
        <f>Instagram_reach_raw!$A767</f>
        <v/>
      </c>
      <c r="B765" s="29" t="str">
        <f>Instagram_interactions_raw!$A767</f>
        <v/>
      </c>
      <c r="C765" s="26" t="str">
        <f t="shared" si="1"/>
        <v/>
      </c>
      <c r="D765" s="26" t="str">
        <f t="array" ref="D765">XLOOKUP($A765,Instagram_follows_raw!$A$4:$A1000,Instagram_follows_raw!$B$4:$B1000)</f>
        <v>#N/A</v>
      </c>
      <c r="E765" s="26" t="str">
        <f t="array" ref="E765">XLOOKUP($A765,Instagram_interactions_raw!$A$4:$A1000,Instagram_interactions_raw!$B$4:$B1000)</f>
        <v>#N/A</v>
      </c>
      <c r="F765" s="26" t="str">
        <f t="array" ref="F765">XLOOKUP($A765,Instagram_reach_raw!$A$4:$A1000,Instagram_reach_raw!$B$4:$B1000)</f>
        <v>#N/A</v>
      </c>
    </row>
    <row r="766">
      <c r="A766" s="30" t="str">
        <f>Instagram_reach_raw!$A768</f>
        <v/>
      </c>
      <c r="B766" s="29" t="str">
        <f>Instagram_interactions_raw!$A768</f>
        <v/>
      </c>
      <c r="C766" s="26" t="str">
        <f t="shared" si="1"/>
        <v/>
      </c>
      <c r="D766" s="26" t="str">
        <f t="array" ref="D766">XLOOKUP($A766,Instagram_follows_raw!$A$4:$A1000,Instagram_follows_raw!$B$4:$B1000)</f>
        <v>#N/A</v>
      </c>
      <c r="E766" s="26" t="str">
        <f t="array" ref="E766">XLOOKUP($A766,Instagram_interactions_raw!$A$4:$A1000,Instagram_interactions_raw!$B$4:$B1000)</f>
        <v>#N/A</v>
      </c>
      <c r="F766" s="26" t="str">
        <f t="array" ref="F766">XLOOKUP($A766,Instagram_reach_raw!$A$4:$A1000,Instagram_reach_raw!$B$4:$B1000)</f>
        <v>#N/A</v>
      </c>
    </row>
    <row r="767">
      <c r="A767" s="30" t="str">
        <f>Instagram_reach_raw!$A769</f>
        <v/>
      </c>
      <c r="B767" s="29" t="str">
        <f>Instagram_interactions_raw!$A769</f>
        <v/>
      </c>
      <c r="C767" s="26" t="str">
        <f t="shared" si="1"/>
        <v/>
      </c>
      <c r="D767" s="26" t="str">
        <f t="array" ref="D767">XLOOKUP($A767,Instagram_follows_raw!$A$4:$A1000,Instagram_follows_raw!$B$4:$B1000)</f>
        <v>#N/A</v>
      </c>
      <c r="E767" s="26" t="str">
        <f t="array" ref="E767">XLOOKUP($A767,Instagram_interactions_raw!$A$4:$A1000,Instagram_interactions_raw!$B$4:$B1000)</f>
        <v>#N/A</v>
      </c>
      <c r="F767" s="26" t="str">
        <f t="array" ref="F767">XLOOKUP($A767,Instagram_reach_raw!$A$4:$A1000,Instagram_reach_raw!$B$4:$B1000)</f>
        <v>#N/A</v>
      </c>
    </row>
    <row r="768">
      <c r="A768" s="30" t="str">
        <f>Instagram_reach_raw!$A770</f>
        <v/>
      </c>
      <c r="B768" s="29" t="str">
        <f>Instagram_interactions_raw!$A770</f>
        <v/>
      </c>
      <c r="C768" s="26" t="str">
        <f t="shared" si="1"/>
        <v/>
      </c>
      <c r="D768" s="26" t="str">
        <f t="array" ref="D768">XLOOKUP($A768,Instagram_follows_raw!$A$4:$A1000,Instagram_follows_raw!$B$4:$B1000)</f>
        <v>#N/A</v>
      </c>
      <c r="E768" s="26" t="str">
        <f t="array" ref="E768">XLOOKUP($A768,Instagram_interactions_raw!$A$4:$A1000,Instagram_interactions_raw!$B$4:$B1000)</f>
        <v>#N/A</v>
      </c>
      <c r="F768" s="26" t="str">
        <f t="array" ref="F768">XLOOKUP($A768,Instagram_reach_raw!$A$4:$A1000,Instagram_reach_raw!$B$4:$B1000)</f>
        <v>#N/A</v>
      </c>
    </row>
    <row r="769">
      <c r="A769" s="30" t="str">
        <f>Instagram_reach_raw!$A771</f>
        <v/>
      </c>
      <c r="B769" s="29" t="str">
        <f>Instagram_interactions_raw!$A771</f>
        <v/>
      </c>
      <c r="C769" s="26" t="str">
        <f t="shared" si="1"/>
        <v/>
      </c>
      <c r="D769" s="26" t="str">
        <f t="array" ref="D769">XLOOKUP($A769,Instagram_follows_raw!$A$4:$A1000,Instagram_follows_raw!$B$4:$B1000)</f>
        <v>#N/A</v>
      </c>
      <c r="E769" s="26" t="str">
        <f t="array" ref="E769">XLOOKUP($A769,Instagram_interactions_raw!$A$4:$A1000,Instagram_interactions_raw!$B$4:$B1000)</f>
        <v>#N/A</v>
      </c>
      <c r="F769" s="26" t="str">
        <f t="array" ref="F769">XLOOKUP($A769,Instagram_reach_raw!$A$4:$A1000,Instagram_reach_raw!$B$4:$B1000)</f>
        <v>#N/A</v>
      </c>
    </row>
    <row r="770">
      <c r="A770" s="30" t="str">
        <f>Instagram_reach_raw!$A772</f>
        <v/>
      </c>
      <c r="B770" s="29" t="str">
        <f>Instagram_interactions_raw!$A772</f>
        <v/>
      </c>
      <c r="C770" s="26" t="str">
        <f t="shared" si="1"/>
        <v/>
      </c>
      <c r="D770" s="26" t="str">
        <f t="array" ref="D770">XLOOKUP($A770,Instagram_follows_raw!$A$4:$A1000,Instagram_follows_raw!$B$4:$B1000)</f>
        <v>#N/A</v>
      </c>
      <c r="E770" s="26" t="str">
        <f t="array" ref="E770">XLOOKUP($A770,Instagram_interactions_raw!$A$4:$A1000,Instagram_interactions_raw!$B$4:$B1000)</f>
        <v>#N/A</v>
      </c>
      <c r="F770" s="26" t="str">
        <f t="array" ref="F770">XLOOKUP($A770,Instagram_reach_raw!$A$4:$A1000,Instagram_reach_raw!$B$4:$B1000)</f>
        <v>#N/A</v>
      </c>
    </row>
    <row r="771">
      <c r="A771" s="30" t="str">
        <f>Instagram_reach_raw!$A773</f>
        <v/>
      </c>
      <c r="B771" s="29" t="str">
        <f>Instagram_interactions_raw!$A773</f>
        <v/>
      </c>
      <c r="C771" s="26" t="str">
        <f t="shared" si="1"/>
        <v/>
      </c>
      <c r="D771" s="26" t="str">
        <f t="array" ref="D771">XLOOKUP($A771,Instagram_follows_raw!$A$4:$A1000,Instagram_follows_raw!$B$4:$B1000)</f>
        <v>#N/A</v>
      </c>
      <c r="E771" s="26" t="str">
        <f t="array" ref="E771">XLOOKUP($A771,Instagram_interactions_raw!$A$4:$A1000,Instagram_interactions_raw!$B$4:$B1000)</f>
        <v>#N/A</v>
      </c>
      <c r="F771" s="26" t="str">
        <f t="array" ref="F771">XLOOKUP($A771,Instagram_reach_raw!$A$4:$A1000,Instagram_reach_raw!$B$4:$B1000)</f>
        <v>#N/A</v>
      </c>
    </row>
    <row r="772">
      <c r="A772" s="30" t="str">
        <f>Instagram_reach_raw!$A774</f>
        <v/>
      </c>
      <c r="B772" s="29" t="str">
        <f>Instagram_interactions_raw!$A774</f>
        <v/>
      </c>
      <c r="C772" s="26" t="str">
        <f t="shared" si="1"/>
        <v/>
      </c>
      <c r="D772" s="26" t="str">
        <f t="array" ref="D772">XLOOKUP($A772,Instagram_follows_raw!$A$4:$A1000,Instagram_follows_raw!$B$4:$B1000)</f>
        <v>#N/A</v>
      </c>
      <c r="E772" s="26" t="str">
        <f t="array" ref="E772">XLOOKUP($A772,Instagram_interactions_raw!$A$4:$A1000,Instagram_interactions_raw!$B$4:$B1000)</f>
        <v>#N/A</v>
      </c>
      <c r="F772" s="26" t="str">
        <f t="array" ref="F772">XLOOKUP($A772,Instagram_reach_raw!$A$4:$A1000,Instagram_reach_raw!$B$4:$B1000)</f>
        <v>#N/A</v>
      </c>
    </row>
    <row r="773">
      <c r="A773" s="30" t="str">
        <f>Instagram_reach_raw!$A775</f>
        <v/>
      </c>
      <c r="B773" s="29" t="str">
        <f>Instagram_interactions_raw!$A775</f>
        <v/>
      </c>
      <c r="C773" s="26" t="str">
        <f t="shared" si="1"/>
        <v/>
      </c>
      <c r="D773" s="26" t="str">
        <f t="array" ref="D773">XLOOKUP($A773,Instagram_follows_raw!$A$4:$A1000,Instagram_follows_raw!$B$4:$B1000)</f>
        <v>#N/A</v>
      </c>
      <c r="E773" s="26" t="str">
        <f t="array" ref="E773">XLOOKUP($A773,Instagram_interactions_raw!$A$4:$A1000,Instagram_interactions_raw!$B$4:$B1000)</f>
        <v>#N/A</v>
      </c>
      <c r="F773" s="26" t="str">
        <f t="array" ref="F773">XLOOKUP($A773,Instagram_reach_raw!$A$4:$A1000,Instagram_reach_raw!$B$4:$B1000)</f>
        <v>#N/A</v>
      </c>
    </row>
    <row r="774">
      <c r="A774" s="30" t="str">
        <f>Instagram_reach_raw!$A776</f>
        <v/>
      </c>
      <c r="B774" s="29" t="str">
        <f>Instagram_interactions_raw!$A776</f>
        <v/>
      </c>
      <c r="C774" s="26" t="str">
        <f t="shared" si="1"/>
        <v/>
      </c>
      <c r="D774" s="26" t="str">
        <f t="array" ref="D774">XLOOKUP($A774,Instagram_follows_raw!$A$4:$A1000,Instagram_follows_raw!$B$4:$B1000)</f>
        <v>#N/A</v>
      </c>
      <c r="E774" s="26" t="str">
        <f t="array" ref="E774">XLOOKUP($A774,Instagram_interactions_raw!$A$4:$A1000,Instagram_interactions_raw!$B$4:$B1000)</f>
        <v>#N/A</v>
      </c>
      <c r="F774" s="26" t="str">
        <f t="array" ref="F774">XLOOKUP($A774,Instagram_reach_raw!$A$4:$A1000,Instagram_reach_raw!$B$4:$B1000)</f>
        <v>#N/A</v>
      </c>
    </row>
    <row r="775">
      <c r="A775" s="30" t="str">
        <f>Instagram_reach_raw!$A777</f>
        <v/>
      </c>
      <c r="B775" s="29" t="str">
        <f>Instagram_interactions_raw!$A777</f>
        <v/>
      </c>
      <c r="C775" s="26" t="str">
        <f t="shared" si="1"/>
        <v/>
      </c>
      <c r="D775" s="26" t="str">
        <f t="array" ref="D775">XLOOKUP($A775,Instagram_follows_raw!$A$4:$A1000,Instagram_follows_raw!$B$4:$B1000)</f>
        <v>#N/A</v>
      </c>
      <c r="E775" s="26" t="str">
        <f t="array" ref="E775">XLOOKUP($A775,Instagram_interactions_raw!$A$4:$A1000,Instagram_interactions_raw!$B$4:$B1000)</f>
        <v>#N/A</v>
      </c>
      <c r="F775" s="26" t="str">
        <f t="array" ref="F775">XLOOKUP($A775,Instagram_reach_raw!$A$4:$A1000,Instagram_reach_raw!$B$4:$B1000)</f>
        <v>#N/A</v>
      </c>
    </row>
    <row r="776">
      <c r="A776" s="30" t="str">
        <f>Instagram_reach_raw!$A778</f>
        <v/>
      </c>
      <c r="B776" s="29" t="str">
        <f>Instagram_interactions_raw!$A778</f>
        <v/>
      </c>
      <c r="C776" s="26" t="str">
        <f t="shared" si="1"/>
        <v/>
      </c>
      <c r="D776" s="26" t="str">
        <f t="array" ref="D776">XLOOKUP($A776,Instagram_follows_raw!$A$4:$A1000,Instagram_follows_raw!$B$4:$B1000)</f>
        <v>#N/A</v>
      </c>
      <c r="E776" s="26" t="str">
        <f t="array" ref="E776">XLOOKUP($A776,Instagram_interactions_raw!$A$4:$A1000,Instagram_interactions_raw!$B$4:$B1000)</f>
        <v>#N/A</v>
      </c>
      <c r="F776" s="26" t="str">
        <f t="array" ref="F776">XLOOKUP($A776,Instagram_reach_raw!$A$4:$A1000,Instagram_reach_raw!$B$4:$B1000)</f>
        <v>#N/A</v>
      </c>
    </row>
    <row r="777">
      <c r="A777" s="30" t="str">
        <f>Instagram_reach_raw!$A779</f>
        <v/>
      </c>
      <c r="B777" s="29" t="str">
        <f>Instagram_interactions_raw!$A779</f>
        <v/>
      </c>
      <c r="C777" s="26" t="str">
        <f t="shared" si="1"/>
        <v/>
      </c>
      <c r="D777" s="26" t="str">
        <f t="array" ref="D777">XLOOKUP($A777,Instagram_follows_raw!$A$4:$A1000,Instagram_follows_raw!$B$4:$B1000)</f>
        <v>#N/A</v>
      </c>
      <c r="E777" s="26" t="str">
        <f t="array" ref="E777">XLOOKUP($A777,Instagram_interactions_raw!$A$4:$A1000,Instagram_interactions_raw!$B$4:$B1000)</f>
        <v>#N/A</v>
      </c>
      <c r="F777" s="26" t="str">
        <f t="array" ref="F777">XLOOKUP($A777,Instagram_reach_raw!$A$4:$A1000,Instagram_reach_raw!$B$4:$B1000)</f>
        <v>#N/A</v>
      </c>
    </row>
    <row r="778">
      <c r="A778" s="30" t="str">
        <f>Instagram_reach_raw!$A780</f>
        <v/>
      </c>
      <c r="B778" s="29" t="str">
        <f>Instagram_interactions_raw!$A780</f>
        <v/>
      </c>
      <c r="C778" s="26" t="str">
        <f t="shared" si="1"/>
        <v/>
      </c>
      <c r="D778" s="26" t="str">
        <f t="array" ref="D778">XLOOKUP($A778,Instagram_follows_raw!$A$4:$A1000,Instagram_follows_raw!$B$4:$B1000)</f>
        <v>#N/A</v>
      </c>
      <c r="E778" s="26" t="str">
        <f t="array" ref="E778">XLOOKUP($A778,Instagram_interactions_raw!$A$4:$A1000,Instagram_interactions_raw!$B$4:$B1000)</f>
        <v>#N/A</v>
      </c>
      <c r="F778" s="26" t="str">
        <f t="array" ref="F778">XLOOKUP($A778,Instagram_reach_raw!$A$4:$A1000,Instagram_reach_raw!$B$4:$B1000)</f>
        <v>#N/A</v>
      </c>
    </row>
    <row r="779">
      <c r="A779" s="30" t="str">
        <f>Instagram_reach_raw!$A781</f>
        <v/>
      </c>
      <c r="B779" s="29" t="str">
        <f>Instagram_interactions_raw!$A781</f>
        <v/>
      </c>
      <c r="C779" s="26" t="str">
        <f t="shared" si="1"/>
        <v/>
      </c>
      <c r="D779" s="26" t="str">
        <f t="array" ref="D779">XLOOKUP($A779,Instagram_follows_raw!$A$4:$A1000,Instagram_follows_raw!$B$4:$B1000)</f>
        <v>#N/A</v>
      </c>
      <c r="E779" s="26" t="str">
        <f t="array" ref="E779">XLOOKUP($A779,Instagram_interactions_raw!$A$4:$A1000,Instagram_interactions_raw!$B$4:$B1000)</f>
        <v>#N/A</v>
      </c>
      <c r="F779" s="26" t="str">
        <f t="array" ref="F779">XLOOKUP($A779,Instagram_reach_raw!$A$4:$A1000,Instagram_reach_raw!$B$4:$B1000)</f>
        <v>#N/A</v>
      </c>
    </row>
    <row r="780">
      <c r="A780" s="30" t="str">
        <f>Instagram_reach_raw!$A782</f>
        <v/>
      </c>
      <c r="B780" s="29" t="str">
        <f>Instagram_interactions_raw!$A782</f>
        <v/>
      </c>
      <c r="C780" s="26" t="str">
        <f t="shared" si="1"/>
        <v/>
      </c>
      <c r="D780" s="26" t="str">
        <f t="array" ref="D780">XLOOKUP($A780,Instagram_follows_raw!$A$4:$A1000,Instagram_follows_raw!$B$4:$B1000)</f>
        <v>#N/A</v>
      </c>
      <c r="E780" s="26" t="str">
        <f t="array" ref="E780">XLOOKUP($A780,Instagram_interactions_raw!$A$4:$A1000,Instagram_interactions_raw!$B$4:$B1000)</f>
        <v>#N/A</v>
      </c>
      <c r="F780" s="26" t="str">
        <f t="array" ref="F780">XLOOKUP($A780,Instagram_reach_raw!$A$4:$A1000,Instagram_reach_raw!$B$4:$B1000)</f>
        <v>#N/A</v>
      </c>
    </row>
    <row r="781">
      <c r="A781" s="30" t="str">
        <f>Instagram_reach_raw!$A783</f>
        <v/>
      </c>
      <c r="B781" s="29" t="str">
        <f>Instagram_interactions_raw!$A783</f>
        <v/>
      </c>
      <c r="C781" s="26" t="str">
        <f t="shared" si="1"/>
        <v/>
      </c>
      <c r="D781" s="26" t="str">
        <f t="array" ref="D781">XLOOKUP($A781,Instagram_follows_raw!$A$4:$A1000,Instagram_follows_raw!$B$4:$B1000)</f>
        <v>#N/A</v>
      </c>
      <c r="E781" s="26" t="str">
        <f t="array" ref="E781">XLOOKUP($A781,Instagram_interactions_raw!$A$4:$A1000,Instagram_interactions_raw!$B$4:$B1000)</f>
        <v>#N/A</v>
      </c>
      <c r="F781" s="26" t="str">
        <f t="array" ref="F781">XLOOKUP($A781,Instagram_reach_raw!$A$4:$A1000,Instagram_reach_raw!$B$4:$B1000)</f>
        <v>#N/A</v>
      </c>
    </row>
    <row r="782">
      <c r="A782" s="30" t="str">
        <f>Instagram_reach_raw!$A784</f>
        <v/>
      </c>
      <c r="B782" s="29" t="str">
        <f>Instagram_interactions_raw!$A784</f>
        <v/>
      </c>
      <c r="C782" s="26" t="str">
        <f t="shared" si="1"/>
        <v/>
      </c>
      <c r="D782" s="26" t="str">
        <f t="array" ref="D782">XLOOKUP($A782,Instagram_follows_raw!$A$4:$A1000,Instagram_follows_raw!$B$4:$B1000)</f>
        <v>#N/A</v>
      </c>
      <c r="E782" s="26" t="str">
        <f t="array" ref="E782">XLOOKUP($A782,Instagram_interactions_raw!$A$4:$A1000,Instagram_interactions_raw!$B$4:$B1000)</f>
        <v>#N/A</v>
      </c>
      <c r="F782" s="26" t="str">
        <f t="array" ref="F782">XLOOKUP($A782,Instagram_reach_raw!$A$4:$A1000,Instagram_reach_raw!$B$4:$B1000)</f>
        <v>#N/A</v>
      </c>
    </row>
    <row r="783">
      <c r="A783" s="30" t="str">
        <f>Instagram_reach_raw!$A785</f>
        <v/>
      </c>
      <c r="B783" s="29" t="str">
        <f>Instagram_interactions_raw!$A785</f>
        <v/>
      </c>
      <c r="C783" s="26" t="str">
        <f t="shared" si="1"/>
        <v/>
      </c>
      <c r="D783" s="26" t="str">
        <f t="array" ref="D783">XLOOKUP($A783,Instagram_follows_raw!$A$4:$A1000,Instagram_follows_raw!$B$4:$B1000)</f>
        <v>#N/A</v>
      </c>
      <c r="E783" s="26" t="str">
        <f t="array" ref="E783">XLOOKUP($A783,Instagram_interactions_raw!$A$4:$A1000,Instagram_interactions_raw!$B$4:$B1000)</f>
        <v>#N/A</v>
      </c>
      <c r="F783" s="26" t="str">
        <f t="array" ref="F783">XLOOKUP($A783,Instagram_reach_raw!$A$4:$A1000,Instagram_reach_raw!$B$4:$B1000)</f>
        <v>#N/A</v>
      </c>
    </row>
    <row r="784">
      <c r="A784" s="30" t="str">
        <f>Instagram_reach_raw!$A786</f>
        <v/>
      </c>
      <c r="B784" s="29" t="str">
        <f>Instagram_interactions_raw!$A786</f>
        <v/>
      </c>
      <c r="C784" s="26" t="str">
        <f t="shared" si="1"/>
        <v/>
      </c>
      <c r="D784" s="26" t="str">
        <f t="array" ref="D784">XLOOKUP($A784,Instagram_follows_raw!$A$4:$A1000,Instagram_follows_raw!$B$4:$B1000)</f>
        <v>#N/A</v>
      </c>
      <c r="E784" s="26" t="str">
        <f t="array" ref="E784">XLOOKUP($A784,Instagram_interactions_raw!$A$4:$A1000,Instagram_interactions_raw!$B$4:$B1000)</f>
        <v>#N/A</v>
      </c>
      <c r="F784" s="26" t="str">
        <f t="array" ref="F784">XLOOKUP($A784,Instagram_reach_raw!$A$4:$A1000,Instagram_reach_raw!$B$4:$B1000)</f>
        <v>#N/A</v>
      </c>
    </row>
    <row r="785">
      <c r="A785" s="30" t="str">
        <f>Instagram_reach_raw!$A787</f>
        <v/>
      </c>
      <c r="B785" s="29" t="str">
        <f>Instagram_interactions_raw!$A787</f>
        <v/>
      </c>
      <c r="C785" s="26" t="str">
        <f t="shared" si="1"/>
        <v/>
      </c>
      <c r="D785" s="26" t="str">
        <f t="array" ref="D785">XLOOKUP($A785,Instagram_follows_raw!$A$4:$A1000,Instagram_follows_raw!$B$4:$B1000)</f>
        <v>#N/A</v>
      </c>
      <c r="E785" s="26" t="str">
        <f t="array" ref="E785">XLOOKUP($A785,Instagram_interactions_raw!$A$4:$A1000,Instagram_interactions_raw!$B$4:$B1000)</f>
        <v>#N/A</v>
      </c>
      <c r="F785" s="26" t="str">
        <f t="array" ref="F785">XLOOKUP($A785,Instagram_reach_raw!$A$4:$A1000,Instagram_reach_raw!$B$4:$B1000)</f>
        <v>#N/A</v>
      </c>
    </row>
    <row r="786">
      <c r="A786" s="30" t="str">
        <f>Instagram_reach_raw!$A788</f>
        <v/>
      </c>
      <c r="B786" s="29" t="str">
        <f>Instagram_interactions_raw!$A788</f>
        <v/>
      </c>
      <c r="C786" s="26" t="str">
        <f t="shared" si="1"/>
        <v/>
      </c>
      <c r="D786" s="26" t="str">
        <f t="array" ref="D786">XLOOKUP($A786,Instagram_follows_raw!$A$4:$A1000,Instagram_follows_raw!$B$4:$B1000)</f>
        <v>#N/A</v>
      </c>
      <c r="E786" s="26" t="str">
        <f t="array" ref="E786">XLOOKUP($A786,Instagram_interactions_raw!$A$4:$A1000,Instagram_interactions_raw!$B$4:$B1000)</f>
        <v>#N/A</v>
      </c>
      <c r="F786" s="26" t="str">
        <f t="array" ref="F786">XLOOKUP($A786,Instagram_reach_raw!$A$4:$A1000,Instagram_reach_raw!$B$4:$B1000)</f>
        <v>#N/A</v>
      </c>
    </row>
    <row r="787">
      <c r="A787" s="30" t="str">
        <f>Instagram_reach_raw!$A789</f>
        <v/>
      </c>
      <c r="B787" s="29" t="str">
        <f>Instagram_interactions_raw!$A789</f>
        <v/>
      </c>
      <c r="C787" s="26" t="str">
        <f t="shared" si="1"/>
        <v/>
      </c>
      <c r="D787" s="26" t="str">
        <f t="array" ref="D787">XLOOKUP($A787,Instagram_follows_raw!$A$4:$A1000,Instagram_follows_raw!$B$4:$B1000)</f>
        <v>#N/A</v>
      </c>
      <c r="E787" s="26" t="str">
        <f t="array" ref="E787">XLOOKUP($A787,Instagram_interactions_raw!$A$4:$A1000,Instagram_interactions_raw!$B$4:$B1000)</f>
        <v>#N/A</v>
      </c>
      <c r="F787" s="26" t="str">
        <f t="array" ref="F787">XLOOKUP($A787,Instagram_reach_raw!$A$4:$A1000,Instagram_reach_raw!$B$4:$B1000)</f>
        <v>#N/A</v>
      </c>
    </row>
    <row r="788">
      <c r="A788" s="30" t="str">
        <f>Instagram_reach_raw!$A790</f>
        <v/>
      </c>
      <c r="B788" s="29" t="str">
        <f>Instagram_interactions_raw!$A790</f>
        <v/>
      </c>
      <c r="C788" s="26" t="str">
        <f t="shared" si="1"/>
        <v/>
      </c>
      <c r="D788" s="26" t="str">
        <f t="array" ref="D788">XLOOKUP($A788,Instagram_follows_raw!$A$4:$A1000,Instagram_follows_raw!$B$4:$B1000)</f>
        <v>#N/A</v>
      </c>
      <c r="E788" s="26" t="str">
        <f t="array" ref="E788">XLOOKUP($A788,Instagram_interactions_raw!$A$4:$A1000,Instagram_interactions_raw!$B$4:$B1000)</f>
        <v>#N/A</v>
      </c>
      <c r="F788" s="26" t="str">
        <f t="array" ref="F788">XLOOKUP($A788,Instagram_reach_raw!$A$4:$A1000,Instagram_reach_raw!$B$4:$B1000)</f>
        <v>#N/A</v>
      </c>
    </row>
    <row r="789">
      <c r="A789" s="30" t="str">
        <f>Instagram_reach_raw!$A791</f>
        <v/>
      </c>
      <c r="B789" s="29" t="str">
        <f>Instagram_interactions_raw!$A791</f>
        <v/>
      </c>
      <c r="C789" s="26" t="str">
        <f t="shared" si="1"/>
        <v/>
      </c>
      <c r="D789" s="26" t="str">
        <f t="array" ref="D789">XLOOKUP($A789,Instagram_follows_raw!$A$4:$A1000,Instagram_follows_raw!$B$4:$B1000)</f>
        <v>#N/A</v>
      </c>
      <c r="E789" s="26" t="str">
        <f t="array" ref="E789">XLOOKUP($A789,Instagram_interactions_raw!$A$4:$A1000,Instagram_interactions_raw!$B$4:$B1000)</f>
        <v>#N/A</v>
      </c>
      <c r="F789" s="26" t="str">
        <f t="array" ref="F789">XLOOKUP($A789,Instagram_reach_raw!$A$4:$A1000,Instagram_reach_raw!$B$4:$B1000)</f>
        <v>#N/A</v>
      </c>
    </row>
    <row r="790">
      <c r="A790" s="30" t="str">
        <f>Instagram_reach_raw!$A792</f>
        <v/>
      </c>
      <c r="B790" s="29" t="str">
        <f>Instagram_interactions_raw!$A792</f>
        <v/>
      </c>
      <c r="C790" s="26" t="str">
        <f t="shared" si="1"/>
        <v/>
      </c>
      <c r="D790" s="26" t="str">
        <f t="array" ref="D790">XLOOKUP($A790,Instagram_follows_raw!$A$4:$A1000,Instagram_follows_raw!$B$4:$B1000)</f>
        <v>#N/A</v>
      </c>
      <c r="E790" s="26" t="str">
        <f t="array" ref="E790">XLOOKUP($A790,Instagram_interactions_raw!$A$4:$A1000,Instagram_interactions_raw!$B$4:$B1000)</f>
        <v>#N/A</v>
      </c>
      <c r="F790" s="26" t="str">
        <f t="array" ref="F790">XLOOKUP($A790,Instagram_reach_raw!$A$4:$A1000,Instagram_reach_raw!$B$4:$B1000)</f>
        <v>#N/A</v>
      </c>
    </row>
    <row r="791">
      <c r="A791" s="30" t="str">
        <f>Instagram_reach_raw!$A793</f>
        <v/>
      </c>
      <c r="B791" s="29" t="str">
        <f>Instagram_interactions_raw!$A793</f>
        <v/>
      </c>
      <c r="C791" s="26" t="str">
        <f t="shared" si="1"/>
        <v/>
      </c>
      <c r="D791" s="26" t="str">
        <f t="array" ref="D791">XLOOKUP($A791,Instagram_follows_raw!$A$4:$A1000,Instagram_follows_raw!$B$4:$B1000)</f>
        <v>#N/A</v>
      </c>
      <c r="E791" s="26" t="str">
        <f t="array" ref="E791">XLOOKUP($A791,Instagram_interactions_raw!$A$4:$A1000,Instagram_interactions_raw!$B$4:$B1000)</f>
        <v>#N/A</v>
      </c>
      <c r="F791" s="26" t="str">
        <f t="array" ref="F791">XLOOKUP($A791,Instagram_reach_raw!$A$4:$A1000,Instagram_reach_raw!$B$4:$B1000)</f>
        <v>#N/A</v>
      </c>
    </row>
    <row r="792">
      <c r="A792" s="30" t="str">
        <f>Instagram_reach_raw!$A794</f>
        <v/>
      </c>
      <c r="B792" s="29" t="str">
        <f>Instagram_interactions_raw!$A794</f>
        <v/>
      </c>
      <c r="C792" s="26" t="str">
        <f t="shared" si="1"/>
        <v/>
      </c>
      <c r="D792" s="26" t="str">
        <f t="array" ref="D792">XLOOKUP($A792,Instagram_follows_raw!$A$4:$A1000,Instagram_follows_raw!$B$4:$B1000)</f>
        <v>#N/A</v>
      </c>
      <c r="E792" s="26" t="str">
        <f t="array" ref="E792">XLOOKUP($A792,Instagram_interactions_raw!$A$4:$A1000,Instagram_interactions_raw!$B$4:$B1000)</f>
        <v>#N/A</v>
      </c>
      <c r="F792" s="26" t="str">
        <f t="array" ref="F792">XLOOKUP($A792,Instagram_reach_raw!$A$4:$A1000,Instagram_reach_raw!$B$4:$B1000)</f>
        <v>#N/A</v>
      </c>
    </row>
    <row r="793">
      <c r="A793" s="30" t="str">
        <f>Instagram_reach_raw!$A795</f>
        <v/>
      </c>
      <c r="B793" s="29" t="str">
        <f>Instagram_interactions_raw!$A795</f>
        <v/>
      </c>
      <c r="C793" s="26" t="str">
        <f t="shared" si="1"/>
        <v/>
      </c>
      <c r="D793" s="26" t="str">
        <f t="array" ref="D793">XLOOKUP($A793,Instagram_follows_raw!$A$4:$A1000,Instagram_follows_raw!$B$4:$B1000)</f>
        <v>#N/A</v>
      </c>
      <c r="E793" s="26" t="str">
        <f t="array" ref="E793">XLOOKUP($A793,Instagram_interactions_raw!$A$4:$A1000,Instagram_interactions_raw!$B$4:$B1000)</f>
        <v>#N/A</v>
      </c>
      <c r="F793" s="26" t="str">
        <f t="array" ref="F793">XLOOKUP($A793,Instagram_reach_raw!$A$4:$A1000,Instagram_reach_raw!$B$4:$B1000)</f>
        <v>#N/A</v>
      </c>
    </row>
    <row r="794">
      <c r="A794" s="30" t="str">
        <f>Instagram_reach_raw!$A796</f>
        <v/>
      </c>
      <c r="B794" s="29" t="str">
        <f>Instagram_interactions_raw!$A796</f>
        <v/>
      </c>
      <c r="C794" s="26" t="str">
        <f t="shared" si="1"/>
        <v/>
      </c>
      <c r="D794" s="26" t="str">
        <f t="array" ref="D794">XLOOKUP($A794,Instagram_follows_raw!$A$4:$A1000,Instagram_follows_raw!$B$4:$B1000)</f>
        <v>#N/A</v>
      </c>
      <c r="E794" s="26" t="str">
        <f t="array" ref="E794">XLOOKUP($A794,Instagram_interactions_raw!$A$4:$A1000,Instagram_interactions_raw!$B$4:$B1000)</f>
        <v>#N/A</v>
      </c>
      <c r="F794" s="26" t="str">
        <f t="array" ref="F794">XLOOKUP($A794,Instagram_reach_raw!$A$4:$A1000,Instagram_reach_raw!$B$4:$B1000)</f>
        <v>#N/A</v>
      </c>
    </row>
    <row r="795">
      <c r="A795" s="30" t="str">
        <f>Instagram_reach_raw!$A797</f>
        <v/>
      </c>
      <c r="B795" s="29" t="str">
        <f>Instagram_interactions_raw!$A797</f>
        <v/>
      </c>
      <c r="C795" s="26" t="str">
        <f t="shared" si="1"/>
        <v/>
      </c>
      <c r="D795" s="26" t="str">
        <f t="array" ref="D795">XLOOKUP($A795,Instagram_follows_raw!$A$4:$A1000,Instagram_follows_raw!$B$4:$B1000)</f>
        <v>#N/A</v>
      </c>
      <c r="E795" s="26" t="str">
        <f t="array" ref="E795">XLOOKUP($A795,Instagram_interactions_raw!$A$4:$A1000,Instagram_interactions_raw!$B$4:$B1000)</f>
        <v>#N/A</v>
      </c>
      <c r="F795" s="26" t="str">
        <f t="array" ref="F795">XLOOKUP($A795,Instagram_reach_raw!$A$4:$A1000,Instagram_reach_raw!$B$4:$B1000)</f>
        <v>#N/A</v>
      </c>
    </row>
    <row r="796">
      <c r="A796" s="30" t="str">
        <f>Instagram_reach_raw!$A798</f>
        <v/>
      </c>
      <c r="B796" s="29" t="str">
        <f>Instagram_interactions_raw!$A798</f>
        <v/>
      </c>
      <c r="C796" s="26" t="str">
        <f t="shared" si="1"/>
        <v/>
      </c>
      <c r="D796" s="26" t="str">
        <f t="array" ref="D796">XLOOKUP($A796,Instagram_follows_raw!$A$4:$A1000,Instagram_follows_raw!$B$4:$B1000)</f>
        <v>#N/A</v>
      </c>
      <c r="E796" s="26" t="str">
        <f t="array" ref="E796">XLOOKUP($A796,Instagram_interactions_raw!$A$4:$A1000,Instagram_interactions_raw!$B$4:$B1000)</f>
        <v>#N/A</v>
      </c>
      <c r="F796" s="26" t="str">
        <f t="array" ref="F796">XLOOKUP($A796,Instagram_reach_raw!$A$4:$A1000,Instagram_reach_raw!$B$4:$B1000)</f>
        <v>#N/A</v>
      </c>
    </row>
    <row r="797">
      <c r="A797" s="30" t="str">
        <f>Instagram_reach_raw!$A799</f>
        <v/>
      </c>
      <c r="B797" s="29" t="str">
        <f>Instagram_interactions_raw!$A799</f>
        <v/>
      </c>
      <c r="C797" s="26" t="str">
        <f t="shared" si="1"/>
        <v/>
      </c>
      <c r="D797" s="26" t="str">
        <f t="array" ref="D797">XLOOKUP($A797,Instagram_follows_raw!$A$4:$A1000,Instagram_follows_raw!$B$4:$B1000)</f>
        <v>#N/A</v>
      </c>
      <c r="E797" s="26" t="str">
        <f t="array" ref="E797">XLOOKUP($A797,Instagram_interactions_raw!$A$4:$A1000,Instagram_interactions_raw!$B$4:$B1000)</f>
        <v>#N/A</v>
      </c>
      <c r="F797" s="26" t="str">
        <f t="array" ref="F797">XLOOKUP($A797,Instagram_reach_raw!$A$4:$A1000,Instagram_reach_raw!$B$4:$B1000)</f>
        <v>#N/A</v>
      </c>
    </row>
    <row r="798">
      <c r="A798" s="30" t="str">
        <f>Instagram_reach_raw!$A800</f>
        <v/>
      </c>
      <c r="B798" s="29" t="str">
        <f>Instagram_interactions_raw!$A800</f>
        <v/>
      </c>
      <c r="C798" s="26" t="str">
        <f t="shared" si="1"/>
        <v/>
      </c>
      <c r="D798" s="26" t="str">
        <f t="array" ref="D798">XLOOKUP($A798,Instagram_follows_raw!$A$4:$A1000,Instagram_follows_raw!$B$4:$B1000)</f>
        <v>#N/A</v>
      </c>
      <c r="E798" s="26" t="str">
        <f t="array" ref="E798">XLOOKUP($A798,Instagram_interactions_raw!$A$4:$A1000,Instagram_interactions_raw!$B$4:$B1000)</f>
        <v>#N/A</v>
      </c>
      <c r="F798" s="26" t="str">
        <f t="array" ref="F798">XLOOKUP($A798,Instagram_reach_raw!$A$4:$A1000,Instagram_reach_raw!$B$4:$B1000)</f>
        <v>#N/A</v>
      </c>
    </row>
    <row r="799">
      <c r="A799" s="30" t="str">
        <f>Instagram_reach_raw!$A801</f>
        <v/>
      </c>
      <c r="B799" s="29" t="str">
        <f>Instagram_interactions_raw!$A801</f>
        <v/>
      </c>
      <c r="C799" s="26" t="str">
        <f t="shared" si="1"/>
        <v/>
      </c>
      <c r="D799" s="26" t="str">
        <f t="array" ref="D799">XLOOKUP($A799,Instagram_follows_raw!$A$4:$A1000,Instagram_follows_raw!$B$4:$B1000)</f>
        <v>#N/A</v>
      </c>
      <c r="E799" s="26" t="str">
        <f t="array" ref="E799">XLOOKUP($A799,Instagram_interactions_raw!$A$4:$A1000,Instagram_interactions_raw!$B$4:$B1000)</f>
        <v>#N/A</v>
      </c>
      <c r="F799" s="26" t="str">
        <f t="array" ref="F799">XLOOKUP($A799,Instagram_reach_raw!$A$4:$A1000,Instagram_reach_raw!$B$4:$B1000)</f>
        <v>#N/A</v>
      </c>
    </row>
    <row r="800">
      <c r="A800" s="30" t="str">
        <f>Instagram_reach_raw!$A802</f>
        <v/>
      </c>
      <c r="B800" s="29" t="str">
        <f>Instagram_interactions_raw!$A802</f>
        <v/>
      </c>
      <c r="C800" s="26" t="str">
        <f t="shared" si="1"/>
        <v/>
      </c>
      <c r="D800" s="26" t="str">
        <f t="array" ref="D800">XLOOKUP($A800,Instagram_follows_raw!$A$4:$A1000,Instagram_follows_raw!$B$4:$B1000)</f>
        <v>#N/A</v>
      </c>
      <c r="E800" s="26" t="str">
        <f t="array" ref="E800">XLOOKUP($A800,Instagram_interactions_raw!$A$4:$A1000,Instagram_interactions_raw!$B$4:$B1000)</f>
        <v>#N/A</v>
      </c>
      <c r="F800" s="26" t="str">
        <f t="array" ref="F800">XLOOKUP($A800,Instagram_reach_raw!$A$4:$A1000,Instagram_reach_raw!$B$4:$B1000)</f>
        <v>#N/A</v>
      </c>
    </row>
    <row r="801">
      <c r="A801" s="30" t="str">
        <f>Instagram_reach_raw!$A803</f>
        <v/>
      </c>
      <c r="B801" s="29" t="str">
        <f>Instagram_interactions_raw!$A803</f>
        <v/>
      </c>
      <c r="C801" s="26" t="str">
        <f t="shared" si="1"/>
        <v/>
      </c>
      <c r="D801" s="26" t="str">
        <f t="array" ref="D801">XLOOKUP($A801,Instagram_follows_raw!$A$4:$A1000,Instagram_follows_raw!$B$4:$B1000)</f>
        <v>#N/A</v>
      </c>
      <c r="E801" s="26" t="str">
        <f t="array" ref="E801">XLOOKUP($A801,Instagram_interactions_raw!$A$4:$A1000,Instagram_interactions_raw!$B$4:$B1000)</f>
        <v>#N/A</v>
      </c>
      <c r="F801" s="26" t="str">
        <f t="array" ref="F801">XLOOKUP($A801,Instagram_reach_raw!$A$4:$A1000,Instagram_reach_raw!$B$4:$B1000)</f>
        <v>#N/A</v>
      </c>
    </row>
    <row r="802">
      <c r="A802" s="30" t="str">
        <f>Instagram_reach_raw!$A804</f>
        <v/>
      </c>
      <c r="B802" s="29" t="str">
        <f>Instagram_interactions_raw!$A804</f>
        <v/>
      </c>
      <c r="C802" s="26" t="str">
        <f t="shared" si="1"/>
        <v/>
      </c>
      <c r="D802" s="26" t="str">
        <f t="array" ref="D802">XLOOKUP($A802,Instagram_follows_raw!$A$4:$A1000,Instagram_follows_raw!$B$4:$B1000)</f>
        <v>#N/A</v>
      </c>
      <c r="E802" s="26" t="str">
        <f t="array" ref="E802">XLOOKUP($A802,Instagram_interactions_raw!$A$4:$A1000,Instagram_interactions_raw!$B$4:$B1000)</f>
        <v>#N/A</v>
      </c>
      <c r="F802" s="26" t="str">
        <f t="array" ref="F802">XLOOKUP($A802,Instagram_reach_raw!$A$4:$A1000,Instagram_reach_raw!$B$4:$B1000)</f>
        <v>#N/A</v>
      </c>
    </row>
    <row r="803">
      <c r="A803" s="30" t="str">
        <f>Instagram_reach_raw!$A805</f>
        <v/>
      </c>
      <c r="B803" s="29" t="str">
        <f>Instagram_interactions_raw!$A805</f>
        <v/>
      </c>
      <c r="C803" s="26" t="str">
        <f t="shared" si="1"/>
        <v/>
      </c>
      <c r="D803" s="26" t="str">
        <f t="array" ref="D803">XLOOKUP($A803,Instagram_follows_raw!$A$4:$A1000,Instagram_follows_raw!$B$4:$B1000)</f>
        <v>#N/A</v>
      </c>
      <c r="E803" s="26" t="str">
        <f t="array" ref="E803">XLOOKUP($A803,Instagram_interactions_raw!$A$4:$A1000,Instagram_interactions_raw!$B$4:$B1000)</f>
        <v>#N/A</v>
      </c>
      <c r="F803" s="26" t="str">
        <f t="array" ref="F803">XLOOKUP($A803,Instagram_reach_raw!$A$4:$A1000,Instagram_reach_raw!$B$4:$B1000)</f>
        <v>#N/A</v>
      </c>
    </row>
    <row r="804">
      <c r="A804" s="30" t="str">
        <f>Instagram_reach_raw!$A806</f>
        <v/>
      </c>
      <c r="B804" s="29" t="str">
        <f>Instagram_interactions_raw!$A806</f>
        <v/>
      </c>
      <c r="C804" s="26" t="str">
        <f t="shared" si="1"/>
        <v/>
      </c>
      <c r="D804" s="26" t="str">
        <f t="array" ref="D804">XLOOKUP($A804,Instagram_follows_raw!$A$4:$A1000,Instagram_follows_raw!$B$4:$B1000)</f>
        <v>#N/A</v>
      </c>
      <c r="E804" s="26" t="str">
        <f t="array" ref="E804">XLOOKUP($A804,Instagram_interactions_raw!$A$4:$A1000,Instagram_interactions_raw!$B$4:$B1000)</f>
        <v>#N/A</v>
      </c>
      <c r="F804" s="26" t="str">
        <f t="array" ref="F804">XLOOKUP($A804,Instagram_reach_raw!$A$4:$A1000,Instagram_reach_raw!$B$4:$B1000)</f>
        <v>#N/A</v>
      </c>
    </row>
    <row r="805">
      <c r="A805" s="30" t="str">
        <f>Instagram_reach_raw!$A807</f>
        <v/>
      </c>
      <c r="B805" s="29" t="str">
        <f>Instagram_interactions_raw!$A807</f>
        <v/>
      </c>
      <c r="C805" s="26" t="str">
        <f t="shared" si="1"/>
        <v/>
      </c>
      <c r="D805" s="26" t="str">
        <f t="array" ref="D805">XLOOKUP($A805,Instagram_follows_raw!$A$4:$A1000,Instagram_follows_raw!$B$4:$B1000)</f>
        <v>#N/A</v>
      </c>
      <c r="E805" s="26" t="str">
        <f t="array" ref="E805">XLOOKUP($A805,Instagram_interactions_raw!$A$4:$A1000,Instagram_interactions_raw!$B$4:$B1000)</f>
        <v>#N/A</v>
      </c>
      <c r="F805" s="26" t="str">
        <f t="array" ref="F805">XLOOKUP($A805,Instagram_reach_raw!$A$4:$A1000,Instagram_reach_raw!$B$4:$B1000)</f>
        <v>#N/A</v>
      </c>
    </row>
    <row r="806">
      <c r="A806" s="30" t="str">
        <f>Instagram_reach_raw!$A808</f>
        <v/>
      </c>
      <c r="B806" s="29" t="str">
        <f>Instagram_interactions_raw!$A808</f>
        <v/>
      </c>
      <c r="C806" s="26" t="str">
        <f t="shared" si="1"/>
        <v/>
      </c>
      <c r="D806" s="26" t="str">
        <f t="array" ref="D806">XLOOKUP($A806,Instagram_follows_raw!$A$4:$A1000,Instagram_follows_raw!$B$4:$B1000)</f>
        <v>#N/A</v>
      </c>
      <c r="E806" s="26" t="str">
        <f t="array" ref="E806">XLOOKUP($A806,Instagram_interactions_raw!$A$4:$A1000,Instagram_interactions_raw!$B$4:$B1000)</f>
        <v>#N/A</v>
      </c>
      <c r="F806" s="26" t="str">
        <f t="array" ref="F806">XLOOKUP($A806,Instagram_reach_raw!$A$4:$A1000,Instagram_reach_raw!$B$4:$B1000)</f>
        <v>#N/A</v>
      </c>
    </row>
    <row r="807">
      <c r="A807" s="30" t="str">
        <f>Instagram_reach_raw!$A809</f>
        <v/>
      </c>
      <c r="B807" s="29" t="str">
        <f>Instagram_interactions_raw!$A809</f>
        <v/>
      </c>
      <c r="C807" s="26" t="str">
        <f t="shared" si="1"/>
        <v/>
      </c>
      <c r="D807" s="26" t="str">
        <f t="array" ref="D807">XLOOKUP($A807,Instagram_follows_raw!$A$4:$A1000,Instagram_follows_raw!$B$4:$B1000)</f>
        <v>#N/A</v>
      </c>
      <c r="E807" s="26" t="str">
        <f t="array" ref="E807">XLOOKUP($A807,Instagram_interactions_raw!$A$4:$A1000,Instagram_interactions_raw!$B$4:$B1000)</f>
        <v>#N/A</v>
      </c>
      <c r="F807" s="26" t="str">
        <f t="array" ref="F807">XLOOKUP($A807,Instagram_reach_raw!$A$4:$A1000,Instagram_reach_raw!$B$4:$B1000)</f>
        <v>#N/A</v>
      </c>
    </row>
    <row r="808">
      <c r="A808" s="30" t="str">
        <f>Instagram_reach_raw!$A810</f>
        <v/>
      </c>
      <c r="B808" s="29" t="str">
        <f>Instagram_interactions_raw!$A810</f>
        <v/>
      </c>
      <c r="C808" s="26" t="str">
        <f t="shared" si="1"/>
        <v/>
      </c>
      <c r="D808" s="26" t="str">
        <f t="array" ref="D808">XLOOKUP($A808,Instagram_follows_raw!$A$4:$A1000,Instagram_follows_raw!$B$4:$B1000)</f>
        <v>#N/A</v>
      </c>
      <c r="E808" s="26" t="str">
        <f t="array" ref="E808">XLOOKUP($A808,Instagram_interactions_raw!$A$4:$A1000,Instagram_interactions_raw!$B$4:$B1000)</f>
        <v>#N/A</v>
      </c>
      <c r="F808" s="26" t="str">
        <f t="array" ref="F808">XLOOKUP($A808,Instagram_reach_raw!$A$4:$A1000,Instagram_reach_raw!$B$4:$B1000)</f>
        <v>#N/A</v>
      </c>
    </row>
    <row r="809">
      <c r="A809" s="30" t="str">
        <f>Instagram_reach_raw!$A811</f>
        <v/>
      </c>
      <c r="B809" s="29" t="str">
        <f>Instagram_interactions_raw!$A811</f>
        <v/>
      </c>
      <c r="C809" s="26" t="str">
        <f t="shared" si="1"/>
        <v/>
      </c>
      <c r="D809" s="26" t="str">
        <f t="array" ref="D809">XLOOKUP($A809,Instagram_follows_raw!$A$4:$A1000,Instagram_follows_raw!$B$4:$B1000)</f>
        <v>#N/A</v>
      </c>
      <c r="E809" s="26" t="str">
        <f t="array" ref="E809">XLOOKUP($A809,Instagram_interactions_raw!$A$4:$A1000,Instagram_interactions_raw!$B$4:$B1000)</f>
        <v>#N/A</v>
      </c>
      <c r="F809" s="26" t="str">
        <f t="array" ref="F809">XLOOKUP($A809,Instagram_reach_raw!$A$4:$A1000,Instagram_reach_raw!$B$4:$B1000)</f>
        <v>#N/A</v>
      </c>
    </row>
    <row r="810">
      <c r="A810" s="30" t="str">
        <f>Instagram_reach_raw!$A812</f>
        <v/>
      </c>
      <c r="B810" s="29" t="str">
        <f>Instagram_interactions_raw!$A812</f>
        <v/>
      </c>
      <c r="C810" s="26" t="str">
        <f t="shared" si="1"/>
        <v/>
      </c>
      <c r="D810" s="26" t="str">
        <f t="array" ref="D810">XLOOKUP($A810,Instagram_follows_raw!$A$4:$A1000,Instagram_follows_raw!$B$4:$B1000)</f>
        <v>#N/A</v>
      </c>
      <c r="E810" s="26" t="str">
        <f t="array" ref="E810">XLOOKUP($A810,Instagram_interactions_raw!$A$4:$A1000,Instagram_interactions_raw!$B$4:$B1000)</f>
        <v>#N/A</v>
      </c>
      <c r="F810" s="26" t="str">
        <f t="array" ref="F810">XLOOKUP($A810,Instagram_reach_raw!$A$4:$A1000,Instagram_reach_raw!$B$4:$B1000)</f>
        <v>#N/A</v>
      </c>
    </row>
    <row r="811">
      <c r="A811" s="30" t="str">
        <f>Instagram_reach_raw!$A813</f>
        <v/>
      </c>
      <c r="B811" s="29" t="str">
        <f>Instagram_interactions_raw!$A813</f>
        <v/>
      </c>
      <c r="C811" s="26" t="str">
        <f t="shared" si="1"/>
        <v/>
      </c>
      <c r="D811" s="26" t="str">
        <f t="array" ref="D811">XLOOKUP($A811,Instagram_follows_raw!$A$4:$A1000,Instagram_follows_raw!$B$4:$B1000)</f>
        <v>#N/A</v>
      </c>
      <c r="E811" s="26" t="str">
        <f t="array" ref="E811">XLOOKUP($A811,Instagram_interactions_raw!$A$4:$A1000,Instagram_interactions_raw!$B$4:$B1000)</f>
        <v>#N/A</v>
      </c>
      <c r="F811" s="26" t="str">
        <f t="array" ref="F811">XLOOKUP($A811,Instagram_reach_raw!$A$4:$A1000,Instagram_reach_raw!$B$4:$B1000)</f>
        <v>#N/A</v>
      </c>
    </row>
    <row r="812">
      <c r="A812" s="30" t="str">
        <f>Instagram_reach_raw!$A814</f>
        <v/>
      </c>
      <c r="B812" s="29" t="str">
        <f>Instagram_interactions_raw!$A814</f>
        <v/>
      </c>
      <c r="C812" s="26" t="str">
        <f t="shared" si="1"/>
        <v/>
      </c>
      <c r="D812" s="26" t="str">
        <f t="array" ref="D812">XLOOKUP($A812,Instagram_follows_raw!$A$4:$A1000,Instagram_follows_raw!$B$4:$B1000)</f>
        <v>#N/A</v>
      </c>
      <c r="E812" s="26" t="str">
        <f t="array" ref="E812">XLOOKUP($A812,Instagram_interactions_raw!$A$4:$A1000,Instagram_interactions_raw!$B$4:$B1000)</f>
        <v>#N/A</v>
      </c>
      <c r="F812" s="26" t="str">
        <f t="array" ref="F812">XLOOKUP($A812,Instagram_reach_raw!$A$4:$A1000,Instagram_reach_raw!$B$4:$B1000)</f>
        <v>#N/A</v>
      </c>
    </row>
    <row r="813">
      <c r="A813" s="30" t="str">
        <f>Instagram_reach_raw!$A815</f>
        <v/>
      </c>
      <c r="B813" s="29" t="str">
        <f>Instagram_interactions_raw!$A815</f>
        <v/>
      </c>
      <c r="C813" s="26" t="str">
        <f t="shared" si="1"/>
        <v/>
      </c>
      <c r="D813" s="26" t="str">
        <f t="array" ref="D813">XLOOKUP($A813,Instagram_follows_raw!$A$4:$A1000,Instagram_follows_raw!$B$4:$B1000)</f>
        <v>#N/A</v>
      </c>
      <c r="E813" s="26" t="str">
        <f t="array" ref="E813">XLOOKUP($A813,Instagram_interactions_raw!$A$4:$A1000,Instagram_interactions_raw!$B$4:$B1000)</f>
        <v>#N/A</v>
      </c>
      <c r="F813" s="26" t="str">
        <f t="array" ref="F813">XLOOKUP($A813,Instagram_reach_raw!$A$4:$A1000,Instagram_reach_raw!$B$4:$B1000)</f>
        <v>#N/A</v>
      </c>
    </row>
    <row r="814">
      <c r="A814" s="30" t="str">
        <f>Instagram_reach_raw!$A816</f>
        <v/>
      </c>
      <c r="B814" s="29" t="str">
        <f>Instagram_interactions_raw!$A816</f>
        <v/>
      </c>
      <c r="C814" s="26" t="str">
        <f t="shared" si="1"/>
        <v/>
      </c>
      <c r="D814" s="26" t="str">
        <f t="array" ref="D814">XLOOKUP($A814,Instagram_follows_raw!$A$4:$A1000,Instagram_follows_raw!$B$4:$B1000)</f>
        <v>#N/A</v>
      </c>
      <c r="E814" s="26" t="str">
        <f t="array" ref="E814">XLOOKUP($A814,Instagram_interactions_raw!$A$4:$A1000,Instagram_interactions_raw!$B$4:$B1000)</f>
        <v>#N/A</v>
      </c>
      <c r="F814" s="26" t="str">
        <f t="array" ref="F814">XLOOKUP($A814,Instagram_reach_raw!$A$4:$A1000,Instagram_reach_raw!$B$4:$B1000)</f>
        <v>#N/A</v>
      </c>
    </row>
    <row r="815">
      <c r="A815" s="30" t="str">
        <f>Instagram_reach_raw!$A817</f>
        <v/>
      </c>
      <c r="B815" s="29" t="str">
        <f>Instagram_interactions_raw!$A817</f>
        <v/>
      </c>
      <c r="C815" s="26" t="str">
        <f t="shared" si="1"/>
        <v/>
      </c>
      <c r="D815" s="26" t="str">
        <f t="array" ref="D815">XLOOKUP($A815,Instagram_follows_raw!$A$4:$A1000,Instagram_follows_raw!$B$4:$B1000)</f>
        <v>#N/A</v>
      </c>
      <c r="E815" s="26" t="str">
        <f t="array" ref="E815">XLOOKUP($A815,Instagram_interactions_raw!$A$4:$A1000,Instagram_interactions_raw!$B$4:$B1000)</f>
        <v>#N/A</v>
      </c>
      <c r="F815" s="26" t="str">
        <f t="array" ref="F815">XLOOKUP($A815,Instagram_reach_raw!$A$4:$A1000,Instagram_reach_raw!$B$4:$B1000)</f>
        <v>#N/A</v>
      </c>
    </row>
    <row r="816">
      <c r="A816" s="30" t="str">
        <f>Instagram_reach_raw!$A818</f>
        <v/>
      </c>
      <c r="B816" s="29" t="str">
        <f>Instagram_interactions_raw!$A818</f>
        <v/>
      </c>
      <c r="C816" s="26" t="str">
        <f t="shared" si="1"/>
        <v/>
      </c>
      <c r="D816" s="26" t="str">
        <f t="array" ref="D816">XLOOKUP($A816,Instagram_follows_raw!$A$4:$A1000,Instagram_follows_raw!$B$4:$B1000)</f>
        <v>#N/A</v>
      </c>
      <c r="E816" s="26" t="str">
        <f t="array" ref="E816">XLOOKUP($A816,Instagram_interactions_raw!$A$4:$A1000,Instagram_interactions_raw!$B$4:$B1000)</f>
        <v>#N/A</v>
      </c>
      <c r="F816" s="26" t="str">
        <f t="array" ref="F816">XLOOKUP($A816,Instagram_reach_raw!$A$4:$A1000,Instagram_reach_raw!$B$4:$B1000)</f>
        <v>#N/A</v>
      </c>
    </row>
    <row r="817">
      <c r="A817" s="30" t="str">
        <f>Instagram_reach_raw!$A819</f>
        <v/>
      </c>
      <c r="B817" s="29" t="str">
        <f>Instagram_interactions_raw!$A819</f>
        <v/>
      </c>
      <c r="C817" s="26" t="str">
        <f t="shared" si="1"/>
        <v/>
      </c>
      <c r="D817" s="26" t="str">
        <f t="array" ref="D817">XLOOKUP($A817,Instagram_follows_raw!$A$4:$A1000,Instagram_follows_raw!$B$4:$B1000)</f>
        <v>#N/A</v>
      </c>
      <c r="E817" s="26" t="str">
        <f t="array" ref="E817">XLOOKUP($A817,Instagram_interactions_raw!$A$4:$A1000,Instagram_interactions_raw!$B$4:$B1000)</f>
        <v>#N/A</v>
      </c>
      <c r="F817" s="26" t="str">
        <f t="array" ref="F817">XLOOKUP($A817,Instagram_reach_raw!$A$4:$A1000,Instagram_reach_raw!$B$4:$B1000)</f>
        <v>#N/A</v>
      </c>
    </row>
    <row r="818">
      <c r="A818" s="30" t="str">
        <f>Instagram_reach_raw!$A820</f>
        <v/>
      </c>
      <c r="B818" s="29" t="str">
        <f>Instagram_interactions_raw!$A820</f>
        <v/>
      </c>
      <c r="C818" s="26" t="str">
        <f t="shared" si="1"/>
        <v/>
      </c>
      <c r="D818" s="26" t="str">
        <f t="array" ref="D818">XLOOKUP($A818,Instagram_follows_raw!$A$4:$A1000,Instagram_follows_raw!$B$4:$B1000)</f>
        <v>#N/A</v>
      </c>
      <c r="E818" s="26" t="str">
        <f t="array" ref="E818">XLOOKUP($A818,Instagram_interactions_raw!$A$4:$A1000,Instagram_interactions_raw!$B$4:$B1000)</f>
        <v>#N/A</v>
      </c>
      <c r="F818" s="26" t="str">
        <f t="array" ref="F818">XLOOKUP($A818,Instagram_reach_raw!$A$4:$A1000,Instagram_reach_raw!$B$4:$B1000)</f>
        <v>#N/A</v>
      </c>
    </row>
    <row r="819">
      <c r="A819" s="30" t="str">
        <f>Instagram_reach_raw!$A821</f>
        <v/>
      </c>
      <c r="B819" s="29" t="str">
        <f>Instagram_interactions_raw!$A821</f>
        <v/>
      </c>
      <c r="C819" s="26" t="str">
        <f t="shared" si="1"/>
        <v/>
      </c>
      <c r="D819" s="26" t="str">
        <f t="array" ref="D819">XLOOKUP($A819,Instagram_follows_raw!$A$4:$A1000,Instagram_follows_raw!$B$4:$B1000)</f>
        <v>#N/A</v>
      </c>
      <c r="E819" s="26" t="str">
        <f t="array" ref="E819">XLOOKUP($A819,Instagram_interactions_raw!$A$4:$A1000,Instagram_interactions_raw!$B$4:$B1000)</f>
        <v>#N/A</v>
      </c>
      <c r="F819" s="26" t="str">
        <f t="array" ref="F819">XLOOKUP($A819,Instagram_reach_raw!$A$4:$A1000,Instagram_reach_raw!$B$4:$B1000)</f>
        <v>#N/A</v>
      </c>
    </row>
    <row r="820">
      <c r="A820" s="30" t="str">
        <f>Instagram_reach_raw!$A822</f>
        <v/>
      </c>
      <c r="B820" s="29" t="str">
        <f>Instagram_interactions_raw!$A822</f>
        <v/>
      </c>
      <c r="C820" s="26" t="str">
        <f t="shared" si="1"/>
        <v/>
      </c>
      <c r="D820" s="26" t="str">
        <f t="array" ref="D820">XLOOKUP($A820,Instagram_follows_raw!$A$4:$A1000,Instagram_follows_raw!$B$4:$B1000)</f>
        <v>#N/A</v>
      </c>
      <c r="E820" s="26" t="str">
        <f t="array" ref="E820">XLOOKUP($A820,Instagram_interactions_raw!$A$4:$A1000,Instagram_interactions_raw!$B$4:$B1000)</f>
        <v>#N/A</v>
      </c>
      <c r="F820" s="26" t="str">
        <f t="array" ref="F820">XLOOKUP($A820,Instagram_reach_raw!$A$4:$A1000,Instagram_reach_raw!$B$4:$B1000)</f>
        <v>#N/A</v>
      </c>
    </row>
    <row r="821">
      <c r="A821" s="30" t="str">
        <f>Instagram_reach_raw!$A823</f>
        <v/>
      </c>
      <c r="B821" s="29" t="str">
        <f>Instagram_interactions_raw!$A823</f>
        <v/>
      </c>
      <c r="C821" s="26" t="str">
        <f t="shared" si="1"/>
        <v/>
      </c>
      <c r="D821" s="26" t="str">
        <f t="array" ref="D821">XLOOKUP($A821,Instagram_follows_raw!$A$4:$A1000,Instagram_follows_raw!$B$4:$B1000)</f>
        <v>#N/A</v>
      </c>
      <c r="E821" s="26" t="str">
        <f t="array" ref="E821">XLOOKUP($A821,Instagram_interactions_raw!$A$4:$A1000,Instagram_interactions_raw!$B$4:$B1000)</f>
        <v>#N/A</v>
      </c>
      <c r="F821" s="26" t="str">
        <f t="array" ref="F821">XLOOKUP($A821,Instagram_reach_raw!$A$4:$A1000,Instagram_reach_raw!$B$4:$B1000)</f>
        <v>#N/A</v>
      </c>
    </row>
    <row r="822">
      <c r="A822" s="30" t="str">
        <f>Instagram_reach_raw!$A824</f>
        <v/>
      </c>
      <c r="B822" s="29" t="str">
        <f>Instagram_interactions_raw!$A824</f>
        <v/>
      </c>
      <c r="C822" s="26" t="str">
        <f t="shared" si="1"/>
        <v/>
      </c>
      <c r="D822" s="26" t="str">
        <f t="array" ref="D822">XLOOKUP($A822,Instagram_follows_raw!$A$4:$A1000,Instagram_follows_raw!$B$4:$B1000)</f>
        <v>#N/A</v>
      </c>
      <c r="E822" s="26" t="str">
        <f t="array" ref="E822">XLOOKUP($A822,Instagram_interactions_raw!$A$4:$A1000,Instagram_interactions_raw!$B$4:$B1000)</f>
        <v>#N/A</v>
      </c>
      <c r="F822" s="26" t="str">
        <f t="array" ref="F822">XLOOKUP($A822,Instagram_reach_raw!$A$4:$A1000,Instagram_reach_raw!$B$4:$B1000)</f>
        <v>#N/A</v>
      </c>
    </row>
    <row r="823">
      <c r="A823" s="30" t="str">
        <f>Instagram_reach_raw!$A825</f>
        <v/>
      </c>
      <c r="B823" s="29" t="str">
        <f>Instagram_interactions_raw!$A825</f>
        <v/>
      </c>
      <c r="C823" s="26" t="str">
        <f t="shared" si="1"/>
        <v/>
      </c>
      <c r="D823" s="26" t="str">
        <f t="array" ref="D823">XLOOKUP($A823,Instagram_follows_raw!$A$4:$A1000,Instagram_follows_raw!$B$4:$B1000)</f>
        <v>#N/A</v>
      </c>
      <c r="E823" s="26" t="str">
        <f t="array" ref="E823">XLOOKUP($A823,Instagram_interactions_raw!$A$4:$A1000,Instagram_interactions_raw!$B$4:$B1000)</f>
        <v>#N/A</v>
      </c>
      <c r="F823" s="26" t="str">
        <f t="array" ref="F823">XLOOKUP($A823,Instagram_reach_raw!$A$4:$A1000,Instagram_reach_raw!$B$4:$B1000)</f>
        <v>#N/A</v>
      </c>
    </row>
    <row r="824">
      <c r="A824" s="30" t="str">
        <f>Instagram_reach_raw!$A826</f>
        <v/>
      </c>
      <c r="B824" s="29" t="str">
        <f>Instagram_interactions_raw!$A826</f>
        <v/>
      </c>
      <c r="C824" s="26" t="str">
        <f t="shared" si="1"/>
        <v/>
      </c>
      <c r="D824" s="26" t="str">
        <f t="array" ref="D824">XLOOKUP($A824,Instagram_follows_raw!$A$4:$A1000,Instagram_follows_raw!$B$4:$B1000)</f>
        <v>#N/A</v>
      </c>
      <c r="E824" s="26" t="str">
        <f t="array" ref="E824">XLOOKUP($A824,Instagram_interactions_raw!$A$4:$A1000,Instagram_interactions_raw!$B$4:$B1000)</f>
        <v>#N/A</v>
      </c>
      <c r="F824" s="26" t="str">
        <f t="array" ref="F824">XLOOKUP($A824,Instagram_reach_raw!$A$4:$A1000,Instagram_reach_raw!$B$4:$B1000)</f>
        <v>#N/A</v>
      </c>
    </row>
    <row r="825">
      <c r="A825" s="30" t="str">
        <f>Instagram_reach_raw!$A827</f>
        <v/>
      </c>
      <c r="B825" s="29" t="str">
        <f>Instagram_interactions_raw!$A827</f>
        <v/>
      </c>
      <c r="C825" s="26" t="str">
        <f t="shared" si="1"/>
        <v/>
      </c>
      <c r="D825" s="26" t="str">
        <f t="array" ref="D825">XLOOKUP($A825,Instagram_follows_raw!$A$4:$A1000,Instagram_follows_raw!$B$4:$B1000)</f>
        <v>#N/A</v>
      </c>
      <c r="E825" s="26" t="str">
        <f t="array" ref="E825">XLOOKUP($A825,Instagram_interactions_raw!$A$4:$A1000,Instagram_interactions_raw!$B$4:$B1000)</f>
        <v>#N/A</v>
      </c>
      <c r="F825" s="26" t="str">
        <f t="array" ref="F825">XLOOKUP($A825,Instagram_reach_raw!$A$4:$A1000,Instagram_reach_raw!$B$4:$B1000)</f>
        <v>#N/A</v>
      </c>
    </row>
    <row r="826">
      <c r="A826" s="30" t="str">
        <f>Instagram_reach_raw!$A828</f>
        <v/>
      </c>
      <c r="B826" s="29" t="str">
        <f>Instagram_interactions_raw!$A828</f>
        <v/>
      </c>
      <c r="C826" s="26" t="str">
        <f t="shared" si="1"/>
        <v/>
      </c>
      <c r="D826" s="26" t="str">
        <f t="array" ref="D826">XLOOKUP($A826,Instagram_follows_raw!$A$4:$A1000,Instagram_follows_raw!$B$4:$B1000)</f>
        <v>#N/A</v>
      </c>
      <c r="E826" s="26" t="str">
        <f t="array" ref="E826">XLOOKUP($A826,Instagram_interactions_raw!$A$4:$A1000,Instagram_interactions_raw!$B$4:$B1000)</f>
        <v>#N/A</v>
      </c>
      <c r="F826" s="26" t="str">
        <f t="array" ref="F826">XLOOKUP($A826,Instagram_reach_raw!$A$4:$A1000,Instagram_reach_raw!$B$4:$B1000)</f>
        <v>#N/A</v>
      </c>
    </row>
    <row r="827">
      <c r="A827" s="30" t="str">
        <f>Instagram_reach_raw!$A829</f>
        <v/>
      </c>
      <c r="B827" s="29" t="str">
        <f>Instagram_interactions_raw!$A829</f>
        <v/>
      </c>
      <c r="C827" s="26" t="str">
        <f t="shared" si="1"/>
        <v/>
      </c>
      <c r="D827" s="26" t="str">
        <f t="array" ref="D827">XLOOKUP($A827,Instagram_follows_raw!$A$4:$A1000,Instagram_follows_raw!$B$4:$B1000)</f>
        <v>#N/A</v>
      </c>
      <c r="E827" s="26" t="str">
        <f t="array" ref="E827">XLOOKUP($A827,Instagram_interactions_raw!$A$4:$A1000,Instagram_interactions_raw!$B$4:$B1000)</f>
        <v>#N/A</v>
      </c>
      <c r="F827" s="26" t="str">
        <f t="array" ref="F827">XLOOKUP($A827,Instagram_reach_raw!$A$4:$A1000,Instagram_reach_raw!$B$4:$B1000)</f>
        <v>#N/A</v>
      </c>
    </row>
    <row r="828">
      <c r="A828" s="30" t="str">
        <f>Instagram_reach_raw!$A830</f>
        <v/>
      </c>
      <c r="B828" s="29" t="str">
        <f>Instagram_interactions_raw!$A830</f>
        <v/>
      </c>
      <c r="C828" s="26" t="str">
        <f t="shared" si="1"/>
        <v/>
      </c>
      <c r="D828" s="26" t="str">
        <f t="array" ref="D828">XLOOKUP($A828,Instagram_follows_raw!$A$4:$A1000,Instagram_follows_raw!$B$4:$B1000)</f>
        <v>#N/A</v>
      </c>
      <c r="E828" s="26" t="str">
        <f t="array" ref="E828">XLOOKUP($A828,Instagram_interactions_raw!$A$4:$A1000,Instagram_interactions_raw!$B$4:$B1000)</f>
        <v>#N/A</v>
      </c>
      <c r="F828" s="26" t="str">
        <f t="array" ref="F828">XLOOKUP($A828,Instagram_reach_raw!$A$4:$A1000,Instagram_reach_raw!$B$4:$B1000)</f>
        <v>#N/A</v>
      </c>
    </row>
    <row r="829">
      <c r="A829" s="30" t="str">
        <f>Instagram_reach_raw!$A831</f>
        <v/>
      </c>
      <c r="B829" s="29" t="str">
        <f>Instagram_interactions_raw!$A831</f>
        <v/>
      </c>
      <c r="C829" s="26" t="str">
        <f t="shared" si="1"/>
        <v/>
      </c>
      <c r="D829" s="26" t="str">
        <f t="array" ref="D829">XLOOKUP($A829,Instagram_follows_raw!$A$4:$A1000,Instagram_follows_raw!$B$4:$B1000)</f>
        <v>#N/A</v>
      </c>
      <c r="E829" s="26" t="str">
        <f t="array" ref="E829">XLOOKUP($A829,Instagram_interactions_raw!$A$4:$A1000,Instagram_interactions_raw!$B$4:$B1000)</f>
        <v>#N/A</v>
      </c>
      <c r="F829" s="26" t="str">
        <f t="array" ref="F829">XLOOKUP($A829,Instagram_reach_raw!$A$4:$A1000,Instagram_reach_raw!$B$4:$B1000)</f>
        <v>#N/A</v>
      </c>
    </row>
    <row r="830">
      <c r="A830" s="30" t="str">
        <f>Instagram_reach_raw!$A832</f>
        <v/>
      </c>
      <c r="B830" s="29" t="str">
        <f>Instagram_interactions_raw!$A832</f>
        <v/>
      </c>
      <c r="C830" s="26" t="str">
        <f t="shared" si="1"/>
        <v/>
      </c>
      <c r="D830" s="26" t="str">
        <f t="array" ref="D830">XLOOKUP($A830,Instagram_follows_raw!$A$4:$A1000,Instagram_follows_raw!$B$4:$B1000)</f>
        <v>#N/A</v>
      </c>
      <c r="E830" s="26" t="str">
        <f t="array" ref="E830">XLOOKUP($A830,Instagram_interactions_raw!$A$4:$A1000,Instagram_interactions_raw!$B$4:$B1000)</f>
        <v>#N/A</v>
      </c>
      <c r="F830" s="26" t="str">
        <f t="array" ref="F830">XLOOKUP($A830,Instagram_reach_raw!$A$4:$A1000,Instagram_reach_raw!$B$4:$B1000)</f>
        <v>#N/A</v>
      </c>
    </row>
    <row r="831">
      <c r="A831" s="30" t="str">
        <f>Instagram_reach_raw!$A833</f>
        <v/>
      </c>
      <c r="B831" s="29" t="str">
        <f>Instagram_interactions_raw!$A833</f>
        <v/>
      </c>
      <c r="C831" s="26" t="str">
        <f t="shared" si="1"/>
        <v/>
      </c>
      <c r="D831" s="26" t="str">
        <f t="array" ref="D831">XLOOKUP($A831,Instagram_follows_raw!$A$4:$A1000,Instagram_follows_raw!$B$4:$B1000)</f>
        <v>#N/A</v>
      </c>
      <c r="E831" s="26" t="str">
        <f t="array" ref="E831">XLOOKUP($A831,Instagram_interactions_raw!$A$4:$A1000,Instagram_interactions_raw!$B$4:$B1000)</f>
        <v>#N/A</v>
      </c>
      <c r="F831" s="26" t="str">
        <f t="array" ref="F831">XLOOKUP($A831,Instagram_reach_raw!$A$4:$A1000,Instagram_reach_raw!$B$4:$B1000)</f>
        <v>#N/A</v>
      </c>
    </row>
    <row r="832">
      <c r="A832" s="30" t="str">
        <f>Instagram_reach_raw!$A834</f>
        <v/>
      </c>
      <c r="B832" s="29" t="str">
        <f>Instagram_interactions_raw!$A834</f>
        <v/>
      </c>
      <c r="C832" s="26" t="str">
        <f t="shared" si="1"/>
        <v/>
      </c>
      <c r="D832" s="26" t="str">
        <f t="array" ref="D832">XLOOKUP($A832,Instagram_follows_raw!$A$4:$A1000,Instagram_follows_raw!$B$4:$B1000)</f>
        <v>#N/A</v>
      </c>
      <c r="E832" s="26" t="str">
        <f t="array" ref="E832">XLOOKUP($A832,Instagram_interactions_raw!$A$4:$A1000,Instagram_interactions_raw!$B$4:$B1000)</f>
        <v>#N/A</v>
      </c>
      <c r="F832" s="26" t="str">
        <f t="array" ref="F832">XLOOKUP($A832,Instagram_reach_raw!$A$4:$A1000,Instagram_reach_raw!$B$4:$B1000)</f>
        <v>#N/A</v>
      </c>
    </row>
    <row r="833">
      <c r="A833" s="30" t="str">
        <f>Instagram_reach_raw!$A835</f>
        <v/>
      </c>
      <c r="B833" s="29" t="str">
        <f>Instagram_interactions_raw!$A835</f>
        <v/>
      </c>
      <c r="C833" s="26" t="str">
        <f t="shared" si="1"/>
        <v/>
      </c>
      <c r="D833" s="26" t="str">
        <f t="array" ref="D833">XLOOKUP($A833,Instagram_follows_raw!$A$4:$A1000,Instagram_follows_raw!$B$4:$B1000)</f>
        <v>#N/A</v>
      </c>
      <c r="E833" s="26" t="str">
        <f t="array" ref="E833">XLOOKUP($A833,Instagram_interactions_raw!$A$4:$A1000,Instagram_interactions_raw!$B$4:$B1000)</f>
        <v>#N/A</v>
      </c>
      <c r="F833" s="26" t="str">
        <f t="array" ref="F833">XLOOKUP($A833,Instagram_reach_raw!$A$4:$A1000,Instagram_reach_raw!$B$4:$B1000)</f>
        <v>#N/A</v>
      </c>
    </row>
    <row r="834">
      <c r="A834" s="30" t="str">
        <f>Instagram_reach_raw!$A836</f>
        <v/>
      </c>
      <c r="B834" s="29" t="str">
        <f>Instagram_interactions_raw!$A836</f>
        <v/>
      </c>
      <c r="C834" s="26" t="str">
        <f t="shared" si="1"/>
        <v/>
      </c>
      <c r="D834" s="26" t="str">
        <f t="array" ref="D834">XLOOKUP($A834,Instagram_follows_raw!$A$4:$A1000,Instagram_follows_raw!$B$4:$B1000)</f>
        <v>#N/A</v>
      </c>
      <c r="E834" s="26" t="str">
        <f t="array" ref="E834">XLOOKUP($A834,Instagram_interactions_raw!$A$4:$A1000,Instagram_interactions_raw!$B$4:$B1000)</f>
        <v>#N/A</v>
      </c>
      <c r="F834" s="26" t="str">
        <f t="array" ref="F834">XLOOKUP($A834,Instagram_reach_raw!$A$4:$A1000,Instagram_reach_raw!$B$4:$B1000)</f>
        <v>#N/A</v>
      </c>
    </row>
    <row r="835">
      <c r="A835" s="30" t="str">
        <f>Instagram_reach_raw!$A837</f>
        <v/>
      </c>
      <c r="B835" s="29" t="str">
        <f>Instagram_interactions_raw!$A837</f>
        <v/>
      </c>
      <c r="C835" s="26" t="str">
        <f t="shared" si="1"/>
        <v/>
      </c>
      <c r="D835" s="26" t="str">
        <f t="array" ref="D835">XLOOKUP($A835,Instagram_follows_raw!$A$4:$A1000,Instagram_follows_raw!$B$4:$B1000)</f>
        <v>#N/A</v>
      </c>
      <c r="E835" s="26" t="str">
        <f t="array" ref="E835">XLOOKUP($A835,Instagram_interactions_raw!$A$4:$A1000,Instagram_interactions_raw!$B$4:$B1000)</f>
        <v>#N/A</v>
      </c>
      <c r="F835" s="26" t="str">
        <f t="array" ref="F835">XLOOKUP($A835,Instagram_reach_raw!$A$4:$A1000,Instagram_reach_raw!$B$4:$B1000)</f>
        <v>#N/A</v>
      </c>
    </row>
    <row r="836">
      <c r="A836" s="30" t="str">
        <f>Instagram_reach_raw!$A838</f>
        <v/>
      </c>
      <c r="B836" s="29" t="str">
        <f>Instagram_interactions_raw!$A838</f>
        <v/>
      </c>
      <c r="C836" s="26" t="str">
        <f t="shared" si="1"/>
        <v/>
      </c>
      <c r="D836" s="26" t="str">
        <f t="array" ref="D836">XLOOKUP($A836,Instagram_follows_raw!$A$4:$A1000,Instagram_follows_raw!$B$4:$B1000)</f>
        <v>#N/A</v>
      </c>
      <c r="E836" s="26" t="str">
        <f t="array" ref="E836">XLOOKUP($A836,Instagram_interactions_raw!$A$4:$A1000,Instagram_interactions_raw!$B$4:$B1000)</f>
        <v>#N/A</v>
      </c>
      <c r="F836" s="26" t="str">
        <f t="array" ref="F836">XLOOKUP($A836,Instagram_reach_raw!$A$4:$A1000,Instagram_reach_raw!$B$4:$B1000)</f>
        <v>#N/A</v>
      </c>
    </row>
    <row r="837">
      <c r="A837" s="30" t="str">
        <f>Instagram_reach_raw!$A839</f>
        <v/>
      </c>
      <c r="B837" s="29" t="str">
        <f>Instagram_interactions_raw!$A839</f>
        <v/>
      </c>
      <c r="C837" s="26" t="str">
        <f t="shared" si="1"/>
        <v/>
      </c>
      <c r="D837" s="26" t="str">
        <f t="array" ref="D837">XLOOKUP($A837,Instagram_follows_raw!$A$4:$A1000,Instagram_follows_raw!$B$4:$B1000)</f>
        <v>#N/A</v>
      </c>
      <c r="E837" s="26" t="str">
        <f t="array" ref="E837">XLOOKUP($A837,Instagram_interactions_raw!$A$4:$A1000,Instagram_interactions_raw!$B$4:$B1000)</f>
        <v>#N/A</v>
      </c>
      <c r="F837" s="26" t="str">
        <f t="array" ref="F837">XLOOKUP($A837,Instagram_reach_raw!$A$4:$A1000,Instagram_reach_raw!$B$4:$B1000)</f>
        <v>#N/A</v>
      </c>
    </row>
    <row r="838">
      <c r="A838" s="30" t="str">
        <f>Instagram_reach_raw!$A840</f>
        <v/>
      </c>
      <c r="B838" s="29" t="str">
        <f>Instagram_interactions_raw!$A840</f>
        <v/>
      </c>
      <c r="C838" s="26" t="str">
        <f t="shared" si="1"/>
        <v/>
      </c>
      <c r="D838" s="26" t="str">
        <f t="array" ref="D838">XLOOKUP($A838,Instagram_follows_raw!$A$4:$A1000,Instagram_follows_raw!$B$4:$B1000)</f>
        <v>#N/A</v>
      </c>
      <c r="E838" s="26" t="str">
        <f t="array" ref="E838">XLOOKUP($A838,Instagram_interactions_raw!$A$4:$A1000,Instagram_interactions_raw!$B$4:$B1000)</f>
        <v>#N/A</v>
      </c>
      <c r="F838" s="26" t="str">
        <f t="array" ref="F838">XLOOKUP($A838,Instagram_reach_raw!$A$4:$A1000,Instagram_reach_raw!$B$4:$B1000)</f>
        <v>#N/A</v>
      </c>
    </row>
    <row r="839">
      <c r="A839" s="30" t="str">
        <f>Instagram_reach_raw!$A841</f>
        <v/>
      </c>
      <c r="B839" s="29" t="str">
        <f>Instagram_interactions_raw!$A841</f>
        <v/>
      </c>
      <c r="C839" s="26" t="str">
        <f t="shared" si="1"/>
        <v/>
      </c>
      <c r="D839" s="26" t="str">
        <f t="array" ref="D839">XLOOKUP($A839,Instagram_follows_raw!$A$4:$A1000,Instagram_follows_raw!$B$4:$B1000)</f>
        <v>#N/A</v>
      </c>
      <c r="E839" s="26" t="str">
        <f t="array" ref="E839">XLOOKUP($A839,Instagram_interactions_raw!$A$4:$A1000,Instagram_interactions_raw!$B$4:$B1000)</f>
        <v>#N/A</v>
      </c>
      <c r="F839" s="26" t="str">
        <f t="array" ref="F839">XLOOKUP($A839,Instagram_reach_raw!$A$4:$A1000,Instagram_reach_raw!$B$4:$B1000)</f>
        <v>#N/A</v>
      </c>
    </row>
    <row r="840">
      <c r="A840" s="30" t="str">
        <f>Instagram_reach_raw!$A842</f>
        <v/>
      </c>
      <c r="B840" s="29" t="str">
        <f>Instagram_interactions_raw!$A842</f>
        <v/>
      </c>
      <c r="C840" s="26" t="str">
        <f t="shared" si="1"/>
        <v/>
      </c>
      <c r="D840" s="26" t="str">
        <f t="array" ref="D840">XLOOKUP($A840,Instagram_follows_raw!$A$4:$A1000,Instagram_follows_raw!$B$4:$B1000)</f>
        <v>#N/A</v>
      </c>
      <c r="E840" s="26" t="str">
        <f t="array" ref="E840">XLOOKUP($A840,Instagram_interactions_raw!$A$4:$A1000,Instagram_interactions_raw!$B$4:$B1000)</f>
        <v>#N/A</v>
      </c>
      <c r="F840" s="26" t="str">
        <f t="array" ref="F840">XLOOKUP($A840,Instagram_reach_raw!$A$4:$A1000,Instagram_reach_raw!$B$4:$B1000)</f>
        <v>#N/A</v>
      </c>
    </row>
    <row r="841">
      <c r="A841" s="30" t="str">
        <f>Instagram_reach_raw!$A843</f>
        <v/>
      </c>
      <c r="B841" s="29" t="str">
        <f>Instagram_interactions_raw!$A843</f>
        <v/>
      </c>
      <c r="C841" s="26" t="str">
        <f t="shared" si="1"/>
        <v/>
      </c>
      <c r="D841" s="26" t="str">
        <f t="array" ref="D841">XLOOKUP($A841,Instagram_follows_raw!$A$4:$A1000,Instagram_follows_raw!$B$4:$B1000)</f>
        <v>#N/A</v>
      </c>
      <c r="E841" s="26" t="str">
        <f t="array" ref="E841">XLOOKUP($A841,Instagram_interactions_raw!$A$4:$A1000,Instagram_interactions_raw!$B$4:$B1000)</f>
        <v>#N/A</v>
      </c>
      <c r="F841" s="26" t="str">
        <f t="array" ref="F841">XLOOKUP($A841,Instagram_reach_raw!$A$4:$A1000,Instagram_reach_raw!$B$4:$B1000)</f>
        <v>#N/A</v>
      </c>
    </row>
    <row r="842">
      <c r="A842" s="30" t="str">
        <f>Instagram_reach_raw!$A844</f>
        <v/>
      </c>
      <c r="B842" s="29" t="str">
        <f>Instagram_interactions_raw!$A844</f>
        <v/>
      </c>
      <c r="C842" s="26" t="str">
        <f t="shared" si="1"/>
        <v/>
      </c>
      <c r="D842" s="26" t="str">
        <f t="array" ref="D842">XLOOKUP($A842,Instagram_follows_raw!$A$4:$A1000,Instagram_follows_raw!$B$4:$B1000)</f>
        <v>#N/A</v>
      </c>
      <c r="E842" s="26" t="str">
        <f t="array" ref="E842">XLOOKUP($A842,Instagram_interactions_raw!$A$4:$A1000,Instagram_interactions_raw!$B$4:$B1000)</f>
        <v>#N/A</v>
      </c>
      <c r="F842" s="26" t="str">
        <f t="array" ref="F842">XLOOKUP($A842,Instagram_reach_raw!$A$4:$A1000,Instagram_reach_raw!$B$4:$B1000)</f>
        <v>#N/A</v>
      </c>
    </row>
    <row r="843">
      <c r="A843" s="30" t="str">
        <f>Instagram_reach_raw!$A845</f>
        <v/>
      </c>
      <c r="B843" s="29" t="str">
        <f>Instagram_interactions_raw!$A845</f>
        <v/>
      </c>
      <c r="C843" s="26" t="str">
        <f t="shared" si="1"/>
        <v/>
      </c>
      <c r="D843" s="26" t="str">
        <f t="array" ref="D843">XLOOKUP($A843,Instagram_follows_raw!$A$4:$A1000,Instagram_follows_raw!$B$4:$B1000)</f>
        <v>#N/A</v>
      </c>
      <c r="E843" s="26" t="str">
        <f t="array" ref="E843">XLOOKUP($A843,Instagram_interactions_raw!$A$4:$A1000,Instagram_interactions_raw!$B$4:$B1000)</f>
        <v>#N/A</v>
      </c>
      <c r="F843" s="26" t="str">
        <f t="array" ref="F843">XLOOKUP($A843,Instagram_reach_raw!$A$4:$A1000,Instagram_reach_raw!$B$4:$B1000)</f>
        <v>#N/A</v>
      </c>
    </row>
    <row r="844">
      <c r="A844" s="30" t="str">
        <f>Instagram_reach_raw!$A846</f>
        <v/>
      </c>
      <c r="B844" s="29" t="str">
        <f>Instagram_interactions_raw!$A846</f>
        <v/>
      </c>
      <c r="C844" s="26" t="str">
        <f t="shared" si="1"/>
        <v/>
      </c>
      <c r="D844" s="26" t="str">
        <f t="array" ref="D844">XLOOKUP($A844,Instagram_follows_raw!$A$4:$A1000,Instagram_follows_raw!$B$4:$B1000)</f>
        <v>#N/A</v>
      </c>
      <c r="E844" s="26" t="str">
        <f t="array" ref="E844">XLOOKUP($A844,Instagram_interactions_raw!$A$4:$A1000,Instagram_interactions_raw!$B$4:$B1000)</f>
        <v>#N/A</v>
      </c>
      <c r="F844" s="26" t="str">
        <f t="array" ref="F844">XLOOKUP($A844,Instagram_reach_raw!$A$4:$A1000,Instagram_reach_raw!$B$4:$B1000)</f>
        <v>#N/A</v>
      </c>
    </row>
    <row r="845">
      <c r="A845" s="30" t="str">
        <f>Instagram_reach_raw!$A847</f>
        <v/>
      </c>
      <c r="B845" s="29" t="str">
        <f>Instagram_interactions_raw!$A847</f>
        <v/>
      </c>
      <c r="C845" s="26" t="str">
        <f t="shared" si="1"/>
        <v/>
      </c>
      <c r="D845" s="26" t="str">
        <f t="array" ref="D845">XLOOKUP($A845,Instagram_follows_raw!$A$4:$A1000,Instagram_follows_raw!$B$4:$B1000)</f>
        <v>#N/A</v>
      </c>
      <c r="E845" s="26" t="str">
        <f t="array" ref="E845">XLOOKUP($A845,Instagram_interactions_raw!$A$4:$A1000,Instagram_interactions_raw!$B$4:$B1000)</f>
        <v>#N/A</v>
      </c>
      <c r="F845" s="26" t="str">
        <f t="array" ref="F845">XLOOKUP($A845,Instagram_reach_raw!$A$4:$A1000,Instagram_reach_raw!$B$4:$B1000)</f>
        <v>#N/A</v>
      </c>
    </row>
    <row r="846">
      <c r="A846" s="30" t="str">
        <f>Instagram_reach_raw!$A848</f>
        <v/>
      </c>
      <c r="B846" s="29" t="str">
        <f>Instagram_interactions_raw!$A848</f>
        <v/>
      </c>
      <c r="C846" s="26" t="str">
        <f t="shared" si="1"/>
        <v/>
      </c>
      <c r="D846" s="26" t="str">
        <f t="array" ref="D846">XLOOKUP($A846,Instagram_follows_raw!$A$4:$A1000,Instagram_follows_raw!$B$4:$B1000)</f>
        <v>#N/A</v>
      </c>
      <c r="E846" s="26" t="str">
        <f t="array" ref="E846">XLOOKUP($A846,Instagram_interactions_raw!$A$4:$A1000,Instagram_interactions_raw!$B$4:$B1000)</f>
        <v>#N/A</v>
      </c>
      <c r="F846" s="26" t="str">
        <f t="array" ref="F846">XLOOKUP($A846,Instagram_reach_raw!$A$4:$A1000,Instagram_reach_raw!$B$4:$B1000)</f>
        <v>#N/A</v>
      </c>
    </row>
    <row r="847">
      <c r="A847" s="30" t="str">
        <f>Instagram_reach_raw!$A849</f>
        <v/>
      </c>
      <c r="B847" s="29" t="str">
        <f>Instagram_interactions_raw!$A849</f>
        <v/>
      </c>
      <c r="C847" s="26" t="str">
        <f t="shared" si="1"/>
        <v/>
      </c>
      <c r="D847" s="26" t="str">
        <f t="array" ref="D847">XLOOKUP($A847,Instagram_follows_raw!$A$4:$A1000,Instagram_follows_raw!$B$4:$B1000)</f>
        <v>#N/A</v>
      </c>
      <c r="E847" s="26" t="str">
        <f t="array" ref="E847">XLOOKUP($A847,Instagram_interactions_raw!$A$4:$A1000,Instagram_interactions_raw!$B$4:$B1000)</f>
        <v>#N/A</v>
      </c>
      <c r="F847" s="26" t="str">
        <f t="array" ref="F847">XLOOKUP($A847,Instagram_reach_raw!$A$4:$A1000,Instagram_reach_raw!$B$4:$B1000)</f>
        <v>#N/A</v>
      </c>
    </row>
    <row r="848">
      <c r="A848" s="30" t="str">
        <f>Instagram_reach_raw!$A850</f>
        <v/>
      </c>
      <c r="B848" s="29" t="str">
        <f>Instagram_interactions_raw!$A850</f>
        <v/>
      </c>
      <c r="C848" s="26" t="str">
        <f t="shared" si="1"/>
        <v/>
      </c>
      <c r="D848" s="26" t="str">
        <f t="array" ref="D848">XLOOKUP($A848,Instagram_follows_raw!$A$4:$A1000,Instagram_follows_raw!$B$4:$B1000)</f>
        <v>#N/A</v>
      </c>
      <c r="E848" s="26" t="str">
        <f t="array" ref="E848">XLOOKUP($A848,Instagram_interactions_raw!$A$4:$A1000,Instagram_interactions_raw!$B$4:$B1000)</f>
        <v>#N/A</v>
      </c>
      <c r="F848" s="26" t="str">
        <f t="array" ref="F848">XLOOKUP($A848,Instagram_reach_raw!$A$4:$A1000,Instagram_reach_raw!$B$4:$B1000)</f>
        <v>#N/A</v>
      </c>
    </row>
    <row r="849">
      <c r="A849" s="30" t="str">
        <f>Instagram_reach_raw!$A851</f>
        <v/>
      </c>
      <c r="B849" s="29" t="str">
        <f>Instagram_interactions_raw!$A851</f>
        <v/>
      </c>
      <c r="C849" s="26" t="str">
        <f t="shared" si="1"/>
        <v/>
      </c>
      <c r="D849" s="26" t="str">
        <f t="array" ref="D849">XLOOKUP($A849,Instagram_follows_raw!$A$4:$A1000,Instagram_follows_raw!$B$4:$B1000)</f>
        <v>#N/A</v>
      </c>
      <c r="E849" s="26" t="str">
        <f t="array" ref="E849">XLOOKUP($A849,Instagram_interactions_raw!$A$4:$A1000,Instagram_interactions_raw!$B$4:$B1000)</f>
        <v>#N/A</v>
      </c>
      <c r="F849" s="26" t="str">
        <f t="array" ref="F849">XLOOKUP($A849,Instagram_reach_raw!$A$4:$A1000,Instagram_reach_raw!$B$4:$B1000)</f>
        <v>#N/A</v>
      </c>
    </row>
    <row r="850">
      <c r="A850" s="30" t="str">
        <f>Instagram_reach_raw!$A852</f>
        <v/>
      </c>
      <c r="B850" s="29" t="str">
        <f>Instagram_interactions_raw!$A852</f>
        <v/>
      </c>
      <c r="C850" s="26" t="str">
        <f t="shared" si="1"/>
        <v/>
      </c>
      <c r="D850" s="26" t="str">
        <f t="array" ref="D850">XLOOKUP($A850,Instagram_follows_raw!$A$4:$A1000,Instagram_follows_raw!$B$4:$B1000)</f>
        <v>#N/A</v>
      </c>
      <c r="E850" s="26" t="str">
        <f t="array" ref="E850">XLOOKUP($A850,Instagram_interactions_raw!$A$4:$A1000,Instagram_interactions_raw!$B$4:$B1000)</f>
        <v>#N/A</v>
      </c>
      <c r="F850" s="26" t="str">
        <f t="array" ref="F850">XLOOKUP($A850,Instagram_reach_raw!$A$4:$A1000,Instagram_reach_raw!$B$4:$B1000)</f>
        <v>#N/A</v>
      </c>
    </row>
    <row r="851">
      <c r="A851" s="30" t="str">
        <f>Instagram_reach_raw!$A853</f>
        <v/>
      </c>
      <c r="B851" s="29" t="str">
        <f>Instagram_interactions_raw!$A853</f>
        <v/>
      </c>
      <c r="C851" s="26" t="str">
        <f t="shared" si="1"/>
        <v/>
      </c>
      <c r="D851" s="26" t="str">
        <f t="array" ref="D851">XLOOKUP($A851,Instagram_follows_raw!$A$4:$A1000,Instagram_follows_raw!$B$4:$B1000)</f>
        <v>#N/A</v>
      </c>
      <c r="E851" s="26" t="str">
        <f t="array" ref="E851">XLOOKUP($A851,Instagram_interactions_raw!$A$4:$A1000,Instagram_interactions_raw!$B$4:$B1000)</f>
        <v>#N/A</v>
      </c>
      <c r="F851" s="26" t="str">
        <f t="array" ref="F851">XLOOKUP($A851,Instagram_reach_raw!$A$4:$A1000,Instagram_reach_raw!$B$4:$B1000)</f>
        <v>#N/A</v>
      </c>
    </row>
    <row r="852">
      <c r="A852" s="30" t="str">
        <f>Instagram_reach_raw!$A854</f>
        <v/>
      </c>
      <c r="B852" s="29" t="str">
        <f>Instagram_interactions_raw!$A854</f>
        <v/>
      </c>
      <c r="C852" s="26" t="str">
        <f t="shared" si="1"/>
        <v/>
      </c>
      <c r="D852" s="26" t="str">
        <f t="array" ref="D852">XLOOKUP($A852,Instagram_follows_raw!$A$4:$A1000,Instagram_follows_raw!$B$4:$B1000)</f>
        <v>#N/A</v>
      </c>
      <c r="E852" s="26" t="str">
        <f t="array" ref="E852">XLOOKUP($A852,Instagram_interactions_raw!$A$4:$A1000,Instagram_interactions_raw!$B$4:$B1000)</f>
        <v>#N/A</v>
      </c>
      <c r="F852" s="26" t="str">
        <f t="array" ref="F852">XLOOKUP($A852,Instagram_reach_raw!$A$4:$A1000,Instagram_reach_raw!$B$4:$B1000)</f>
        <v>#N/A</v>
      </c>
    </row>
    <row r="853">
      <c r="A853" s="30" t="str">
        <f>Instagram_reach_raw!$A855</f>
        <v/>
      </c>
      <c r="B853" s="29" t="str">
        <f>Instagram_interactions_raw!$A855</f>
        <v/>
      </c>
      <c r="C853" s="26" t="str">
        <f t="shared" si="1"/>
        <v/>
      </c>
      <c r="D853" s="26" t="str">
        <f t="array" ref="D853">XLOOKUP($A853,Instagram_follows_raw!$A$4:$A1000,Instagram_follows_raw!$B$4:$B1000)</f>
        <v>#N/A</v>
      </c>
      <c r="E853" s="26" t="str">
        <f t="array" ref="E853">XLOOKUP($A853,Instagram_interactions_raw!$A$4:$A1000,Instagram_interactions_raw!$B$4:$B1000)</f>
        <v>#N/A</v>
      </c>
      <c r="F853" s="26" t="str">
        <f t="array" ref="F853">XLOOKUP($A853,Instagram_reach_raw!$A$4:$A1000,Instagram_reach_raw!$B$4:$B1000)</f>
        <v>#N/A</v>
      </c>
    </row>
    <row r="854">
      <c r="A854" s="30" t="str">
        <f>Instagram_reach_raw!$A856</f>
        <v/>
      </c>
      <c r="B854" s="29" t="str">
        <f>Instagram_interactions_raw!$A856</f>
        <v/>
      </c>
      <c r="C854" s="26" t="str">
        <f t="shared" si="1"/>
        <v/>
      </c>
      <c r="D854" s="26" t="str">
        <f t="array" ref="D854">XLOOKUP($A854,Instagram_follows_raw!$A$4:$A1000,Instagram_follows_raw!$B$4:$B1000)</f>
        <v>#N/A</v>
      </c>
      <c r="E854" s="26" t="str">
        <f t="array" ref="E854">XLOOKUP($A854,Instagram_interactions_raw!$A$4:$A1000,Instagram_interactions_raw!$B$4:$B1000)</f>
        <v>#N/A</v>
      </c>
      <c r="F854" s="26" t="str">
        <f t="array" ref="F854">XLOOKUP($A854,Instagram_reach_raw!$A$4:$A1000,Instagram_reach_raw!$B$4:$B1000)</f>
        <v>#N/A</v>
      </c>
    </row>
    <row r="855">
      <c r="A855" s="30" t="str">
        <f>Instagram_reach_raw!$A857</f>
        <v/>
      </c>
      <c r="B855" s="29" t="str">
        <f>Instagram_interactions_raw!$A857</f>
        <v/>
      </c>
      <c r="C855" s="26" t="str">
        <f t="shared" si="1"/>
        <v/>
      </c>
      <c r="D855" s="26" t="str">
        <f t="array" ref="D855">XLOOKUP($A855,Instagram_follows_raw!$A$4:$A1000,Instagram_follows_raw!$B$4:$B1000)</f>
        <v>#N/A</v>
      </c>
      <c r="E855" s="26" t="str">
        <f t="array" ref="E855">XLOOKUP($A855,Instagram_interactions_raw!$A$4:$A1000,Instagram_interactions_raw!$B$4:$B1000)</f>
        <v>#N/A</v>
      </c>
      <c r="F855" s="26" t="str">
        <f t="array" ref="F855">XLOOKUP($A855,Instagram_reach_raw!$A$4:$A1000,Instagram_reach_raw!$B$4:$B1000)</f>
        <v>#N/A</v>
      </c>
    </row>
    <row r="856">
      <c r="A856" s="30" t="str">
        <f>Instagram_reach_raw!$A858</f>
        <v/>
      </c>
      <c r="B856" s="29" t="str">
        <f>Instagram_interactions_raw!$A858</f>
        <v/>
      </c>
      <c r="C856" s="26" t="str">
        <f t="shared" si="1"/>
        <v/>
      </c>
      <c r="D856" s="26" t="str">
        <f t="array" ref="D856">XLOOKUP($A856,Instagram_follows_raw!$A$4:$A1000,Instagram_follows_raw!$B$4:$B1000)</f>
        <v>#N/A</v>
      </c>
      <c r="E856" s="26" t="str">
        <f t="array" ref="E856">XLOOKUP($A856,Instagram_interactions_raw!$A$4:$A1000,Instagram_interactions_raw!$B$4:$B1000)</f>
        <v>#N/A</v>
      </c>
      <c r="F856" s="26" t="str">
        <f t="array" ref="F856">XLOOKUP($A856,Instagram_reach_raw!$A$4:$A1000,Instagram_reach_raw!$B$4:$B1000)</f>
        <v>#N/A</v>
      </c>
    </row>
    <row r="857">
      <c r="A857" s="30" t="str">
        <f>Instagram_reach_raw!$A859</f>
        <v/>
      </c>
      <c r="B857" s="29" t="str">
        <f>Instagram_interactions_raw!$A859</f>
        <v/>
      </c>
      <c r="C857" s="26" t="str">
        <f t="shared" si="1"/>
        <v/>
      </c>
      <c r="D857" s="26" t="str">
        <f t="array" ref="D857">XLOOKUP($A857,Instagram_follows_raw!$A$4:$A1000,Instagram_follows_raw!$B$4:$B1000)</f>
        <v>#N/A</v>
      </c>
      <c r="E857" s="26" t="str">
        <f t="array" ref="E857">XLOOKUP($A857,Instagram_interactions_raw!$A$4:$A1000,Instagram_interactions_raw!$B$4:$B1000)</f>
        <v>#N/A</v>
      </c>
      <c r="F857" s="26" t="str">
        <f t="array" ref="F857">XLOOKUP($A857,Instagram_reach_raw!$A$4:$A1000,Instagram_reach_raw!$B$4:$B1000)</f>
        <v>#N/A</v>
      </c>
    </row>
    <row r="858">
      <c r="A858" s="30" t="str">
        <f>Instagram_reach_raw!$A860</f>
        <v/>
      </c>
      <c r="B858" s="29" t="str">
        <f>Instagram_interactions_raw!$A860</f>
        <v/>
      </c>
      <c r="C858" s="26" t="str">
        <f t="shared" si="1"/>
        <v/>
      </c>
      <c r="D858" s="26" t="str">
        <f t="array" ref="D858">XLOOKUP($A858,Instagram_follows_raw!$A$4:$A1000,Instagram_follows_raw!$B$4:$B1000)</f>
        <v>#N/A</v>
      </c>
      <c r="E858" s="26" t="str">
        <f t="array" ref="E858">XLOOKUP($A858,Instagram_interactions_raw!$A$4:$A1000,Instagram_interactions_raw!$B$4:$B1000)</f>
        <v>#N/A</v>
      </c>
      <c r="F858" s="26" t="str">
        <f t="array" ref="F858">XLOOKUP($A858,Instagram_reach_raw!$A$4:$A1000,Instagram_reach_raw!$B$4:$B1000)</f>
        <v>#N/A</v>
      </c>
    </row>
    <row r="859">
      <c r="A859" s="30" t="str">
        <f>Instagram_reach_raw!$A861</f>
        <v/>
      </c>
      <c r="B859" s="29" t="str">
        <f>Instagram_interactions_raw!$A861</f>
        <v/>
      </c>
      <c r="C859" s="26" t="str">
        <f t="shared" si="1"/>
        <v/>
      </c>
      <c r="D859" s="26" t="str">
        <f t="array" ref="D859">XLOOKUP($A859,Instagram_follows_raw!$A$4:$A1000,Instagram_follows_raw!$B$4:$B1000)</f>
        <v>#N/A</v>
      </c>
      <c r="E859" s="26" t="str">
        <f t="array" ref="E859">XLOOKUP($A859,Instagram_interactions_raw!$A$4:$A1000,Instagram_interactions_raw!$B$4:$B1000)</f>
        <v>#N/A</v>
      </c>
      <c r="F859" s="26" t="str">
        <f t="array" ref="F859">XLOOKUP($A859,Instagram_reach_raw!$A$4:$A1000,Instagram_reach_raw!$B$4:$B1000)</f>
        <v>#N/A</v>
      </c>
    </row>
    <row r="860">
      <c r="A860" s="30" t="str">
        <f>Instagram_reach_raw!$A862</f>
        <v/>
      </c>
      <c r="B860" s="29" t="str">
        <f>Instagram_interactions_raw!$A862</f>
        <v/>
      </c>
      <c r="C860" s="26" t="str">
        <f t="shared" si="1"/>
        <v/>
      </c>
      <c r="D860" s="26" t="str">
        <f t="array" ref="D860">XLOOKUP($A860,Instagram_follows_raw!$A$4:$A1000,Instagram_follows_raw!$B$4:$B1000)</f>
        <v>#N/A</v>
      </c>
      <c r="E860" s="26" t="str">
        <f t="array" ref="E860">XLOOKUP($A860,Instagram_interactions_raw!$A$4:$A1000,Instagram_interactions_raw!$B$4:$B1000)</f>
        <v>#N/A</v>
      </c>
      <c r="F860" s="26" t="str">
        <f t="array" ref="F860">XLOOKUP($A860,Instagram_reach_raw!$A$4:$A1000,Instagram_reach_raw!$B$4:$B1000)</f>
        <v>#N/A</v>
      </c>
    </row>
    <row r="861">
      <c r="A861" s="30" t="str">
        <f>Instagram_reach_raw!$A863</f>
        <v/>
      </c>
      <c r="B861" s="29" t="str">
        <f>Instagram_interactions_raw!$A863</f>
        <v/>
      </c>
      <c r="C861" s="26" t="str">
        <f t="shared" si="1"/>
        <v/>
      </c>
      <c r="D861" s="26" t="str">
        <f t="array" ref="D861">XLOOKUP($A861,Instagram_follows_raw!$A$4:$A1000,Instagram_follows_raw!$B$4:$B1000)</f>
        <v>#N/A</v>
      </c>
      <c r="E861" s="26" t="str">
        <f t="array" ref="E861">XLOOKUP($A861,Instagram_interactions_raw!$A$4:$A1000,Instagram_interactions_raw!$B$4:$B1000)</f>
        <v>#N/A</v>
      </c>
      <c r="F861" s="26" t="str">
        <f t="array" ref="F861">XLOOKUP($A861,Instagram_reach_raw!$A$4:$A1000,Instagram_reach_raw!$B$4:$B1000)</f>
        <v>#N/A</v>
      </c>
    </row>
    <row r="862">
      <c r="A862" s="30" t="str">
        <f>Instagram_reach_raw!$A864</f>
        <v/>
      </c>
      <c r="B862" s="29" t="str">
        <f>Instagram_interactions_raw!$A864</f>
        <v/>
      </c>
      <c r="C862" s="26" t="str">
        <f t="shared" si="1"/>
        <v/>
      </c>
      <c r="D862" s="26" t="str">
        <f t="array" ref="D862">XLOOKUP($A862,Instagram_follows_raw!$A$4:$A1000,Instagram_follows_raw!$B$4:$B1000)</f>
        <v>#N/A</v>
      </c>
      <c r="E862" s="26" t="str">
        <f t="array" ref="E862">XLOOKUP($A862,Instagram_interactions_raw!$A$4:$A1000,Instagram_interactions_raw!$B$4:$B1000)</f>
        <v>#N/A</v>
      </c>
      <c r="F862" s="26" t="str">
        <f t="array" ref="F862">XLOOKUP($A862,Instagram_reach_raw!$A$4:$A1000,Instagram_reach_raw!$B$4:$B1000)</f>
        <v>#N/A</v>
      </c>
    </row>
    <row r="863">
      <c r="A863" s="30" t="str">
        <f>Instagram_reach_raw!$A865</f>
        <v/>
      </c>
      <c r="B863" s="29" t="str">
        <f>Instagram_interactions_raw!$A865</f>
        <v/>
      </c>
      <c r="C863" s="26" t="str">
        <f t="shared" si="1"/>
        <v/>
      </c>
      <c r="D863" s="26" t="str">
        <f t="array" ref="D863">XLOOKUP($A863,Instagram_follows_raw!$A$4:$A1000,Instagram_follows_raw!$B$4:$B1000)</f>
        <v>#N/A</v>
      </c>
      <c r="E863" s="26" t="str">
        <f t="array" ref="E863">XLOOKUP($A863,Instagram_interactions_raw!$A$4:$A1000,Instagram_interactions_raw!$B$4:$B1000)</f>
        <v>#N/A</v>
      </c>
      <c r="F863" s="26" t="str">
        <f t="array" ref="F863">XLOOKUP($A863,Instagram_reach_raw!$A$4:$A1000,Instagram_reach_raw!$B$4:$B1000)</f>
        <v>#N/A</v>
      </c>
    </row>
    <row r="864">
      <c r="A864" s="30" t="str">
        <f>Instagram_reach_raw!$A866</f>
        <v/>
      </c>
      <c r="B864" s="29" t="str">
        <f>Instagram_interactions_raw!$A866</f>
        <v/>
      </c>
      <c r="C864" s="26" t="str">
        <f t="shared" si="1"/>
        <v/>
      </c>
      <c r="D864" s="26" t="str">
        <f t="array" ref="D864">XLOOKUP($A864,Instagram_follows_raw!$A$4:$A1000,Instagram_follows_raw!$B$4:$B1000)</f>
        <v>#N/A</v>
      </c>
      <c r="E864" s="26" t="str">
        <f t="array" ref="E864">XLOOKUP($A864,Instagram_interactions_raw!$A$4:$A1000,Instagram_interactions_raw!$B$4:$B1000)</f>
        <v>#N/A</v>
      </c>
      <c r="F864" s="26" t="str">
        <f t="array" ref="F864">XLOOKUP($A864,Instagram_reach_raw!$A$4:$A1000,Instagram_reach_raw!$B$4:$B1000)</f>
        <v>#N/A</v>
      </c>
    </row>
    <row r="865">
      <c r="A865" s="30" t="str">
        <f>Instagram_reach_raw!$A867</f>
        <v/>
      </c>
      <c r="B865" s="29" t="str">
        <f>Instagram_interactions_raw!$A867</f>
        <v/>
      </c>
      <c r="C865" s="26" t="str">
        <f t="shared" si="1"/>
        <v/>
      </c>
      <c r="D865" s="26" t="str">
        <f t="array" ref="D865">XLOOKUP($A865,Instagram_follows_raw!$A$4:$A1000,Instagram_follows_raw!$B$4:$B1000)</f>
        <v>#N/A</v>
      </c>
      <c r="E865" s="26" t="str">
        <f t="array" ref="E865">XLOOKUP($A865,Instagram_interactions_raw!$A$4:$A1000,Instagram_interactions_raw!$B$4:$B1000)</f>
        <v>#N/A</v>
      </c>
      <c r="F865" s="26" t="str">
        <f t="array" ref="F865">XLOOKUP($A865,Instagram_reach_raw!$A$4:$A1000,Instagram_reach_raw!$B$4:$B1000)</f>
        <v>#N/A</v>
      </c>
    </row>
    <row r="866">
      <c r="A866" s="30" t="str">
        <f>Instagram_reach_raw!$A868</f>
        <v/>
      </c>
      <c r="B866" s="29" t="str">
        <f>Instagram_interactions_raw!$A868</f>
        <v/>
      </c>
      <c r="C866" s="26" t="str">
        <f t="shared" si="1"/>
        <v/>
      </c>
      <c r="D866" s="26" t="str">
        <f t="array" ref="D866">XLOOKUP($A866,Instagram_follows_raw!$A$4:$A1000,Instagram_follows_raw!$B$4:$B1000)</f>
        <v>#N/A</v>
      </c>
      <c r="E866" s="26" t="str">
        <f t="array" ref="E866">XLOOKUP($A866,Instagram_interactions_raw!$A$4:$A1000,Instagram_interactions_raw!$B$4:$B1000)</f>
        <v>#N/A</v>
      </c>
      <c r="F866" s="26" t="str">
        <f t="array" ref="F866">XLOOKUP($A866,Instagram_reach_raw!$A$4:$A1000,Instagram_reach_raw!$B$4:$B1000)</f>
        <v>#N/A</v>
      </c>
    </row>
    <row r="867">
      <c r="A867" s="30" t="str">
        <f>Instagram_reach_raw!$A869</f>
        <v/>
      </c>
      <c r="B867" s="29" t="str">
        <f>Instagram_interactions_raw!$A869</f>
        <v/>
      </c>
      <c r="C867" s="26" t="str">
        <f t="shared" si="1"/>
        <v/>
      </c>
      <c r="D867" s="26" t="str">
        <f t="array" ref="D867">XLOOKUP($A867,Instagram_follows_raw!$A$4:$A1000,Instagram_follows_raw!$B$4:$B1000)</f>
        <v>#N/A</v>
      </c>
      <c r="E867" s="26" t="str">
        <f t="array" ref="E867">XLOOKUP($A867,Instagram_interactions_raw!$A$4:$A1000,Instagram_interactions_raw!$B$4:$B1000)</f>
        <v>#N/A</v>
      </c>
      <c r="F867" s="26" t="str">
        <f t="array" ref="F867">XLOOKUP($A867,Instagram_reach_raw!$A$4:$A1000,Instagram_reach_raw!$B$4:$B1000)</f>
        <v>#N/A</v>
      </c>
    </row>
    <row r="868">
      <c r="A868" s="30" t="str">
        <f>Instagram_reach_raw!$A870</f>
        <v/>
      </c>
      <c r="B868" s="29" t="str">
        <f>Instagram_interactions_raw!$A870</f>
        <v/>
      </c>
      <c r="C868" s="26" t="str">
        <f t="shared" si="1"/>
        <v/>
      </c>
      <c r="D868" s="26" t="str">
        <f t="array" ref="D868">XLOOKUP($A868,Instagram_follows_raw!$A$4:$A1000,Instagram_follows_raw!$B$4:$B1000)</f>
        <v>#N/A</v>
      </c>
      <c r="E868" s="26" t="str">
        <f t="array" ref="E868">XLOOKUP($A868,Instagram_interactions_raw!$A$4:$A1000,Instagram_interactions_raw!$B$4:$B1000)</f>
        <v>#N/A</v>
      </c>
      <c r="F868" s="26" t="str">
        <f t="array" ref="F868">XLOOKUP($A868,Instagram_reach_raw!$A$4:$A1000,Instagram_reach_raw!$B$4:$B1000)</f>
        <v>#N/A</v>
      </c>
    </row>
    <row r="869">
      <c r="A869" s="30" t="str">
        <f>Instagram_reach_raw!$A871</f>
        <v/>
      </c>
      <c r="B869" s="29" t="str">
        <f>Instagram_interactions_raw!$A871</f>
        <v/>
      </c>
      <c r="C869" s="26" t="str">
        <f t="shared" si="1"/>
        <v/>
      </c>
      <c r="D869" s="26" t="str">
        <f t="array" ref="D869">XLOOKUP($A869,Instagram_follows_raw!$A$4:$A1000,Instagram_follows_raw!$B$4:$B1000)</f>
        <v>#N/A</v>
      </c>
      <c r="E869" s="26" t="str">
        <f t="array" ref="E869">XLOOKUP($A869,Instagram_interactions_raw!$A$4:$A1000,Instagram_interactions_raw!$B$4:$B1000)</f>
        <v>#N/A</v>
      </c>
      <c r="F869" s="26" t="str">
        <f t="array" ref="F869">XLOOKUP($A869,Instagram_reach_raw!$A$4:$A1000,Instagram_reach_raw!$B$4:$B1000)</f>
        <v>#N/A</v>
      </c>
    </row>
    <row r="870">
      <c r="A870" s="30" t="str">
        <f>Instagram_reach_raw!$A872</f>
        <v/>
      </c>
      <c r="B870" s="29" t="str">
        <f>Instagram_interactions_raw!$A872</f>
        <v/>
      </c>
      <c r="C870" s="26" t="str">
        <f t="shared" si="1"/>
        <v/>
      </c>
      <c r="D870" s="26" t="str">
        <f t="array" ref="D870">XLOOKUP($A870,Instagram_follows_raw!$A$4:$A1000,Instagram_follows_raw!$B$4:$B1000)</f>
        <v>#N/A</v>
      </c>
      <c r="E870" s="26" t="str">
        <f t="array" ref="E870">XLOOKUP($A870,Instagram_interactions_raw!$A$4:$A1000,Instagram_interactions_raw!$B$4:$B1000)</f>
        <v>#N/A</v>
      </c>
      <c r="F870" s="26" t="str">
        <f t="array" ref="F870">XLOOKUP($A870,Instagram_reach_raw!$A$4:$A1000,Instagram_reach_raw!$B$4:$B1000)</f>
        <v>#N/A</v>
      </c>
    </row>
    <row r="871">
      <c r="A871" s="30" t="str">
        <f>Instagram_reach_raw!$A873</f>
        <v/>
      </c>
      <c r="B871" s="29" t="str">
        <f>Instagram_interactions_raw!$A873</f>
        <v/>
      </c>
      <c r="C871" s="26" t="str">
        <f t="shared" si="1"/>
        <v/>
      </c>
      <c r="D871" s="26" t="str">
        <f t="array" ref="D871">XLOOKUP($A871,Instagram_follows_raw!$A$4:$A1000,Instagram_follows_raw!$B$4:$B1000)</f>
        <v>#N/A</v>
      </c>
      <c r="E871" s="26" t="str">
        <f t="array" ref="E871">XLOOKUP($A871,Instagram_interactions_raw!$A$4:$A1000,Instagram_interactions_raw!$B$4:$B1000)</f>
        <v>#N/A</v>
      </c>
      <c r="F871" s="26" t="str">
        <f t="array" ref="F871">XLOOKUP($A871,Instagram_reach_raw!$A$4:$A1000,Instagram_reach_raw!$B$4:$B1000)</f>
        <v>#N/A</v>
      </c>
    </row>
    <row r="872">
      <c r="A872" s="30" t="str">
        <f>Instagram_reach_raw!$A874</f>
        <v/>
      </c>
      <c r="B872" s="29" t="str">
        <f>Instagram_interactions_raw!$A874</f>
        <v/>
      </c>
      <c r="C872" s="26" t="str">
        <f t="shared" si="1"/>
        <v/>
      </c>
      <c r="D872" s="26" t="str">
        <f t="array" ref="D872">XLOOKUP($A872,Instagram_follows_raw!$A$4:$A1000,Instagram_follows_raw!$B$4:$B1000)</f>
        <v>#N/A</v>
      </c>
      <c r="E872" s="26" t="str">
        <f t="array" ref="E872">XLOOKUP($A872,Instagram_interactions_raw!$A$4:$A1000,Instagram_interactions_raw!$B$4:$B1000)</f>
        <v>#N/A</v>
      </c>
      <c r="F872" s="26" t="str">
        <f t="array" ref="F872">XLOOKUP($A872,Instagram_reach_raw!$A$4:$A1000,Instagram_reach_raw!$B$4:$B1000)</f>
        <v>#N/A</v>
      </c>
    </row>
    <row r="873">
      <c r="A873" s="30" t="str">
        <f>Instagram_reach_raw!$A875</f>
        <v/>
      </c>
      <c r="B873" s="29" t="str">
        <f>Instagram_interactions_raw!$A875</f>
        <v/>
      </c>
      <c r="C873" s="26" t="str">
        <f t="shared" si="1"/>
        <v/>
      </c>
      <c r="D873" s="26" t="str">
        <f t="array" ref="D873">XLOOKUP($A873,Instagram_follows_raw!$A$4:$A1000,Instagram_follows_raw!$B$4:$B1000)</f>
        <v>#N/A</v>
      </c>
      <c r="E873" s="26" t="str">
        <f t="array" ref="E873">XLOOKUP($A873,Instagram_interactions_raw!$A$4:$A1000,Instagram_interactions_raw!$B$4:$B1000)</f>
        <v>#N/A</v>
      </c>
      <c r="F873" s="26" t="str">
        <f t="array" ref="F873">XLOOKUP($A873,Instagram_reach_raw!$A$4:$A1000,Instagram_reach_raw!$B$4:$B1000)</f>
        <v>#N/A</v>
      </c>
    </row>
    <row r="874">
      <c r="A874" s="30" t="str">
        <f>Instagram_reach_raw!$A876</f>
        <v/>
      </c>
      <c r="B874" s="29" t="str">
        <f>Instagram_interactions_raw!$A876</f>
        <v/>
      </c>
      <c r="C874" s="26" t="str">
        <f t="shared" si="1"/>
        <v/>
      </c>
      <c r="D874" s="26" t="str">
        <f t="array" ref="D874">XLOOKUP($A874,Instagram_follows_raw!$A$4:$A1000,Instagram_follows_raw!$B$4:$B1000)</f>
        <v>#N/A</v>
      </c>
      <c r="E874" s="26" t="str">
        <f t="array" ref="E874">XLOOKUP($A874,Instagram_interactions_raw!$A$4:$A1000,Instagram_interactions_raw!$B$4:$B1000)</f>
        <v>#N/A</v>
      </c>
      <c r="F874" s="26" t="str">
        <f t="array" ref="F874">XLOOKUP($A874,Instagram_reach_raw!$A$4:$A1000,Instagram_reach_raw!$B$4:$B1000)</f>
        <v>#N/A</v>
      </c>
    </row>
    <row r="875">
      <c r="A875" s="30" t="str">
        <f>Instagram_reach_raw!$A877</f>
        <v/>
      </c>
      <c r="B875" s="29" t="str">
        <f>Instagram_interactions_raw!$A877</f>
        <v/>
      </c>
      <c r="C875" s="26" t="str">
        <f t="shared" si="1"/>
        <v/>
      </c>
      <c r="D875" s="26" t="str">
        <f t="array" ref="D875">XLOOKUP($A875,Instagram_follows_raw!$A$4:$A1000,Instagram_follows_raw!$B$4:$B1000)</f>
        <v>#N/A</v>
      </c>
      <c r="E875" s="26" t="str">
        <f t="array" ref="E875">XLOOKUP($A875,Instagram_interactions_raw!$A$4:$A1000,Instagram_interactions_raw!$B$4:$B1000)</f>
        <v>#N/A</v>
      </c>
      <c r="F875" s="26" t="str">
        <f t="array" ref="F875">XLOOKUP($A875,Instagram_reach_raw!$A$4:$A1000,Instagram_reach_raw!$B$4:$B1000)</f>
        <v>#N/A</v>
      </c>
    </row>
    <row r="876">
      <c r="A876" s="30" t="str">
        <f>Instagram_reach_raw!$A878</f>
        <v/>
      </c>
      <c r="B876" s="29" t="str">
        <f>Instagram_interactions_raw!$A878</f>
        <v/>
      </c>
      <c r="C876" s="26" t="str">
        <f t="shared" si="1"/>
        <v/>
      </c>
      <c r="D876" s="26" t="str">
        <f t="array" ref="D876">XLOOKUP($A876,Instagram_follows_raw!$A$4:$A1000,Instagram_follows_raw!$B$4:$B1000)</f>
        <v>#N/A</v>
      </c>
      <c r="E876" s="26" t="str">
        <f t="array" ref="E876">XLOOKUP($A876,Instagram_interactions_raw!$A$4:$A1000,Instagram_interactions_raw!$B$4:$B1000)</f>
        <v>#N/A</v>
      </c>
      <c r="F876" s="26" t="str">
        <f t="array" ref="F876">XLOOKUP($A876,Instagram_reach_raw!$A$4:$A1000,Instagram_reach_raw!$B$4:$B1000)</f>
        <v>#N/A</v>
      </c>
    </row>
    <row r="877">
      <c r="A877" s="30" t="str">
        <f>Instagram_reach_raw!$A879</f>
        <v/>
      </c>
      <c r="B877" s="29" t="str">
        <f>Instagram_interactions_raw!$A879</f>
        <v/>
      </c>
      <c r="C877" s="26" t="str">
        <f t="shared" si="1"/>
        <v/>
      </c>
      <c r="D877" s="26" t="str">
        <f t="array" ref="D877">XLOOKUP($A877,Instagram_follows_raw!$A$4:$A1000,Instagram_follows_raw!$B$4:$B1000)</f>
        <v>#N/A</v>
      </c>
      <c r="E877" s="26" t="str">
        <f t="array" ref="E877">XLOOKUP($A877,Instagram_interactions_raw!$A$4:$A1000,Instagram_interactions_raw!$B$4:$B1000)</f>
        <v>#N/A</v>
      </c>
      <c r="F877" s="26" t="str">
        <f t="array" ref="F877">XLOOKUP($A877,Instagram_reach_raw!$A$4:$A1000,Instagram_reach_raw!$B$4:$B1000)</f>
        <v>#N/A</v>
      </c>
    </row>
    <row r="878">
      <c r="A878" s="30" t="str">
        <f>Instagram_reach_raw!$A880</f>
        <v/>
      </c>
      <c r="B878" s="29" t="str">
        <f>Instagram_interactions_raw!$A880</f>
        <v/>
      </c>
      <c r="C878" s="26" t="str">
        <f t="shared" si="1"/>
        <v/>
      </c>
      <c r="D878" s="26" t="str">
        <f t="array" ref="D878">XLOOKUP($A878,Instagram_follows_raw!$A$4:$A1000,Instagram_follows_raw!$B$4:$B1000)</f>
        <v>#N/A</v>
      </c>
      <c r="E878" s="26" t="str">
        <f t="array" ref="E878">XLOOKUP($A878,Instagram_interactions_raw!$A$4:$A1000,Instagram_interactions_raw!$B$4:$B1000)</f>
        <v>#N/A</v>
      </c>
      <c r="F878" s="26" t="str">
        <f t="array" ref="F878">XLOOKUP($A878,Instagram_reach_raw!$A$4:$A1000,Instagram_reach_raw!$B$4:$B1000)</f>
        <v>#N/A</v>
      </c>
    </row>
    <row r="879">
      <c r="A879" s="30" t="str">
        <f>Instagram_reach_raw!$A881</f>
        <v/>
      </c>
      <c r="B879" s="29" t="str">
        <f>Instagram_interactions_raw!$A881</f>
        <v/>
      </c>
      <c r="C879" s="26" t="str">
        <f t="shared" si="1"/>
        <v/>
      </c>
      <c r="D879" s="26" t="str">
        <f t="array" ref="D879">XLOOKUP($A879,Instagram_follows_raw!$A$4:$A1000,Instagram_follows_raw!$B$4:$B1000)</f>
        <v>#N/A</v>
      </c>
      <c r="E879" s="26" t="str">
        <f t="array" ref="E879">XLOOKUP($A879,Instagram_interactions_raw!$A$4:$A1000,Instagram_interactions_raw!$B$4:$B1000)</f>
        <v>#N/A</v>
      </c>
      <c r="F879" s="26" t="str">
        <f t="array" ref="F879">XLOOKUP($A879,Instagram_reach_raw!$A$4:$A1000,Instagram_reach_raw!$B$4:$B1000)</f>
        <v>#N/A</v>
      </c>
    </row>
    <row r="880">
      <c r="A880" s="30" t="str">
        <f>Instagram_reach_raw!$A882</f>
        <v/>
      </c>
      <c r="B880" s="29" t="str">
        <f>Instagram_interactions_raw!$A882</f>
        <v/>
      </c>
      <c r="C880" s="26" t="str">
        <f t="shared" si="1"/>
        <v/>
      </c>
      <c r="D880" s="26" t="str">
        <f t="array" ref="D880">XLOOKUP($A880,Instagram_follows_raw!$A$4:$A1000,Instagram_follows_raw!$B$4:$B1000)</f>
        <v>#N/A</v>
      </c>
      <c r="E880" s="26" t="str">
        <f t="array" ref="E880">XLOOKUP($A880,Instagram_interactions_raw!$A$4:$A1000,Instagram_interactions_raw!$B$4:$B1000)</f>
        <v>#N/A</v>
      </c>
      <c r="F880" s="26" t="str">
        <f t="array" ref="F880">XLOOKUP($A880,Instagram_reach_raw!$A$4:$A1000,Instagram_reach_raw!$B$4:$B1000)</f>
        <v>#N/A</v>
      </c>
    </row>
    <row r="881">
      <c r="A881" s="30" t="str">
        <f>Instagram_reach_raw!$A883</f>
        <v/>
      </c>
      <c r="B881" s="29" t="str">
        <f>Instagram_interactions_raw!$A883</f>
        <v/>
      </c>
      <c r="C881" s="26" t="str">
        <f t="shared" si="1"/>
        <v/>
      </c>
      <c r="D881" s="26" t="str">
        <f t="array" ref="D881">XLOOKUP($A881,Instagram_follows_raw!$A$4:$A1000,Instagram_follows_raw!$B$4:$B1000)</f>
        <v>#N/A</v>
      </c>
      <c r="E881" s="26" t="str">
        <f t="array" ref="E881">XLOOKUP($A881,Instagram_interactions_raw!$A$4:$A1000,Instagram_interactions_raw!$B$4:$B1000)</f>
        <v>#N/A</v>
      </c>
      <c r="F881" s="26" t="str">
        <f t="array" ref="F881">XLOOKUP($A881,Instagram_reach_raw!$A$4:$A1000,Instagram_reach_raw!$B$4:$B1000)</f>
        <v>#N/A</v>
      </c>
    </row>
    <row r="882">
      <c r="A882" s="30" t="str">
        <f>Instagram_reach_raw!$A884</f>
        <v/>
      </c>
      <c r="B882" s="29" t="str">
        <f>Instagram_interactions_raw!$A884</f>
        <v/>
      </c>
      <c r="C882" s="26" t="str">
        <f t="shared" si="1"/>
        <v/>
      </c>
      <c r="D882" s="26" t="str">
        <f t="array" ref="D882">XLOOKUP($A882,Instagram_follows_raw!$A$4:$A1000,Instagram_follows_raw!$B$4:$B1000)</f>
        <v>#N/A</v>
      </c>
      <c r="E882" s="26" t="str">
        <f t="array" ref="E882">XLOOKUP($A882,Instagram_interactions_raw!$A$4:$A1000,Instagram_interactions_raw!$B$4:$B1000)</f>
        <v>#N/A</v>
      </c>
      <c r="F882" s="26" t="str">
        <f t="array" ref="F882">XLOOKUP($A882,Instagram_reach_raw!$A$4:$A1000,Instagram_reach_raw!$B$4:$B1000)</f>
        <v>#N/A</v>
      </c>
    </row>
    <row r="883">
      <c r="A883" s="30" t="str">
        <f>Instagram_reach_raw!$A885</f>
        <v/>
      </c>
      <c r="B883" s="29" t="str">
        <f>Instagram_interactions_raw!$A885</f>
        <v/>
      </c>
      <c r="C883" s="26" t="str">
        <f t="shared" si="1"/>
        <v/>
      </c>
      <c r="D883" s="26" t="str">
        <f t="array" ref="D883">XLOOKUP($A883,Instagram_follows_raw!$A$4:$A1000,Instagram_follows_raw!$B$4:$B1000)</f>
        <v>#N/A</v>
      </c>
      <c r="E883" s="26" t="str">
        <f t="array" ref="E883">XLOOKUP($A883,Instagram_interactions_raw!$A$4:$A1000,Instagram_interactions_raw!$B$4:$B1000)</f>
        <v>#N/A</v>
      </c>
      <c r="F883" s="26" t="str">
        <f t="array" ref="F883">XLOOKUP($A883,Instagram_reach_raw!$A$4:$A1000,Instagram_reach_raw!$B$4:$B1000)</f>
        <v>#N/A</v>
      </c>
    </row>
    <row r="884">
      <c r="A884" s="30" t="str">
        <f>Instagram_reach_raw!$A886</f>
        <v/>
      </c>
      <c r="B884" s="29" t="str">
        <f>Instagram_interactions_raw!$A886</f>
        <v/>
      </c>
      <c r="C884" s="26" t="str">
        <f t="shared" si="1"/>
        <v/>
      </c>
      <c r="D884" s="26" t="str">
        <f t="array" ref="D884">XLOOKUP($A884,Instagram_follows_raw!$A$4:$A1000,Instagram_follows_raw!$B$4:$B1000)</f>
        <v>#N/A</v>
      </c>
      <c r="E884" s="26" t="str">
        <f t="array" ref="E884">XLOOKUP($A884,Instagram_interactions_raw!$A$4:$A1000,Instagram_interactions_raw!$B$4:$B1000)</f>
        <v>#N/A</v>
      </c>
      <c r="F884" s="26" t="str">
        <f t="array" ref="F884">XLOOKUP($A884,Instagram_reach_raw!$A$4:$A1000,Instagram_reach_raw!$B$4:$B1000)</f>
        <v>#N/A</v>
      </c>
    </row>
    <row r="885">
      <c r="A885" s="30" t="str">
        <f>Instagram_reach_raw!$A887</f>
        <v/>
      </c>
      <c r="B885" s="29" t="str">
        <f>Instagram_interactions_raw!$A887</f>
        <v/>
      </c>
      <c r="C885" s="26" t="str">
        <f t="shared" si="1"/>
        <v/>
      </c>
      <c r="D885" s="26" t="str">
        <f t="array" ref="D885">XLOOKUP($A885,Instagram_follows_raw!$A$4:$A1000,Instagram_follows_raw!$B$4:$B1000)</f>
        <v>#N/A</v>
      </c>
      <c r="E885" s="26" t="str">
        <f t="array" ref="E885">XLOOKUP($A885,Instagram_interactions_raw!$A$4:$A1000,Instagram_interactions_raw!$B$4:$B1000)</f>
        <v>#N/A</v>
      </c>
      <c r="F885" s="26" t="str">
        <f t="array" ref="F885">XLOOKUP($A885,Instagram_reach_raw!$A$4:$A1000,Instagram_reach_raw!$B$4:$B1000)</f>
        <v>#N/A</v>
      </c>
    </row>
    <row r="886">
      <c r="A886" s="30" t="str">
        <f>Instagram_reach_raw!$A888</f>
        <v/>
      </c>
      <c r="B886" s="29" t="str">
        <f>Instagram_interactions_raw!$A888</f>
        <v/>
      </c>
      <c r="C886" s="26" t="str">
        <f t="shared" si="1"/>
        <v/>
      </c>
      <c r="D886" s="26" t="str">
        <f t="array" ref="D886">XLOOKUP($A886,Instagram_follows_raw!$A$4:$A1000,Instagram_follows_raw!$B$4:$B1000)</f>
        <v>#N/A</v>
      </c>
      <c r="E886" s="26" t="str">
        <f t="array" ref="E886">XLOOKUP($A886,Instagram_interactions_raw!$A$4:$A1000,Instagram_interactions_raw!$B$4:$B1000)</f>
        <v>#N/A</v>
      </c>
      <c r="F886" s="26" t="str">
        <f t="array" ref="F886">XLOOKUP($A886,Instagram_reach_raw!$A$4:$A1000,Instagram_reach_raw!$B$4:$B1000)</f>
        <v>#N/A</v>
      </c>
    </row>
    <row r="887">
      <c r="A887" s="30" t="str">
        <f>Instagram_reach_raw!$A889</f>
        <v/>
      </c>
      <c r="B887" s="29" t="str">
        <f>Instagram_interactions_raw!$A889</f>
        <v/>
      </c>
      <c r="C887" s="26" t="str">
        <f t="shared" si="1"/>
        <v/>
      </c>
      <c r="D887" s="26" t="str">
        <f t="array" ref="D887">XLOOKUP($A887,Instagram_follows_raw!$A$4:$A1000,Instagram_follows_raw!$B$4:$B1000)</f>
        <v>#N/A</v>
      </c>
      <c r="E887" s="26" t="str">
        <f t="array" ref="E887">XLOOKUP($A887,Instagram_interactions_raw!$A$4:$A1000,Instagram_interactions_raw!$B$4:$B1000)</f>
        <v>#N/A</v>
      </c>
      <c r="F887" s="26" t="str">
        <f t="array" ref="F887">XLOOKUP($A887,Instagram_reach_raw!$A$4:$A1000,Instagram_reach_raw!$B$4:$B1000)</f>
        <v>#N/A</v>
      </c>
    </row>
    <row r="888">
      <c r="A888" s="30" t="str">
        <f>Instagram_reach_raw!$A890</f>
        <v/>
      </c>
      <c r="B888" s="29" t="str">
        <f>Instagram_interactions_raw!$A890</f>
        <v/>
      </c>
      <c r="C888" s="26" t="str">
        <f t="shared" si="1"/>
        <v/>
      </c>
      <c r="D888" s="26" t="str">
        <f t="array" ref="D888">XLOOKUP($A888,Instagram_follows_raw!$A$4:$A1000,Instagram_follows_raw!$B$4:$B1000)</f>
        <v>#N/A</v>
      </c>
      <c r="E888" s="26" t="str">
        <f t="array" ref="E888">XLOOKUP($A888,Instagram_interactions_raw!$A$4:$A1000,Instagram_interactions_raw!$B$4:$B1000)</f>
        <v>#N/A</v>
      </c>
      <c r="F888" s="26" t="str">
        <f t="array" ref="F888">XLOOKUP($A888,Instagram_reach_raw!$A$4:$A1000,Instagram_reach_raw!$B$4:$B1000)</f>
        <v>#N/A</v>
      </c>
    </row>
    <row r="889">
      <c r="A889" s="30" t="str">
        <f>Instagram_reach_raw!$A891</f>
        <v/>
      </c>
      <c r="B889" s="29" t="str">
        <f>Instagram_interactions_raw!$A891</f>
        <v/>
      </c>
      <c r="C889" s="26" t="str">
        <f t="shared" si="1"/>
        <v/>
      </c>
      <c r="D889" s="26" t="str">
        <f t="array" ref="D889">XLOOKUP($A889,Instagram_follows_raw!$A$4:$A1000,Instagram_follows_raw!$B$4:$B1000)</f>
        <v>#N/A</v>
      </c>
      <c r="E889" s="26" t="str">
        <f t="array" ref="E889">XLOOKUP($A889,Instagram_interactions_raw!$A$4:$A1000,Instagram_interactions_raw!$B$4:$B1000)</f>
        <v>#N/A</v>
      </c>
      <c r="F889" s="26" t="str">
        <f t="array" ref="F889">XLOOKUP($A889,Instagram_reach_raw!$A$4:$A1000,Instagram_reach_raw!$B$4:$B1000)</f>
        <v>#N/A</v>
      </c>
    </row>
    <row r="890">
      <c r="A890" s="30" t="str">
        <f>Instagram_reach_raw!$A892</f>
        <v/>
      </c>
      <c r="B890" s="29" t="str">
        <f>Instagram_interactions_raw!$A892</f>
        <v/>
      </c>
      <c r="C890" s="26" t="str">
        <f t="shared" si="1"/>
        <v/>
      </c>
      <c r="D890" s="26" t="str">
        <f t="array" ref="D890">XLOOKUP($A890,Instagram_follows_raw!$A$4:$A1000,Instagram_follows_raw!$B$4:$B1000)</f>
        <v>#N/A</v>
      </c>
      <c r="E890" s="26" t="str">
        <f t="array" ref="E890">XLOOKUP($A890,Instagram_interactions_raw!$A$4:$A1000,Instagram_interactions_raw!$B$4:$B1000)</f>
        <v>#N/A</v>
      </c>
      <c r="F890" s="26" t="str">
        <f t="array" ref="F890">XLOOKUP($A890,Instagram_reach_raw!$A$4:$A1000,Instagram_reach_raw!$B$4:$B1000)</f>
        <v>#N/A</v>
      </c>
    </row>
    <row r="891">
      <c r="A891" s="30" t="str">
        <f>Instagram_reach_raw!$A893</f>
        <v/>
      </c>
      <c r="B891" s="29" t="str">
        <f>Instagram_interactions_raw!$A893</f>
        <v/>
      </c>
      <c r="C891" s="26" t="str">
        <f t="shared" si="1"/>
        <v/>
      </c>
      <c r="D891" s="26" t="str">
        <f t="array" ref="D891">XLOOKUP($A891,Instagram_follows_raw!$A$4:$A1000,Instagram_follows_raw!$B$4:$B1000)</f>
        <v>#N/A</v>
      </c>
      <c r="E891" s="26" t="str">
        <f t="array" ref="E891">XLOOKUP($A891,Instagram_interactions_raw!$A$4:$A1000,Instagram_interactions_raw!$B$4:$B1000)</f>
        <v>#N/A</v>
      </c>
      <c r="F891" s="26" t="str">
        <f t="array" ref="F891">XLOOKUP($A891,Instagram_reach_raw!$A$4:$A1000,Instagram_reach_raw!$B$4:$B1000)</f>
        <v>#N/A</v>
      </c>
    </row>
    <row r="892">
      <c r="A892" s="30" t="str">
        <f>Instagram_reach_raw!$A894</f>
        <v/>
      </c>
      <c r="B892" s="29" t="str">
        <f>Instagram_interactions_raw!$A894</f>
        <v/>
      </c>
      <c r="C892" s="26" t="str">
        <f t="shared" si="1"/>
        <v/>
      </c>
      <c r="D892" s="26" t="str">
        <f t="array" ref="D892">XLOOKUP($A892,Instagram_follows_raw!$A$4:$A1000,Instagram_follows_raw!$B$4:$B1000)</f>
        <v>#N/A</v>
      </c>
      <c r="E892" s="26" t="str">
        <f t="array" ref="E892">XLOOKUP($A892,Instagram_interactions_raw!$A$4:$A1000,Instagram_interactions_raw!$B$4:$B1000)</f>
        <v>#N/A</v>
      </c>
      <c r="F892" s="26" t="str">
        <f t="array" ref="F892">XLOOKUP($A892,Instagram_reach_raw!$A$4:$A1000,Instagram_reach_raw!$B$4:$B1000)</f>
        <v>#N/A</v>
      </c>
    </row>
    <row r="893">
      <c r="A893" s="30" t="str">
        <f>Instagram_reach_raw!$A895</f>
        <v/>
      </c>
      <c r="B893" s="29" t="str">
        <f>Instagram_interactions_raw!$A895</f>
        <v/>
      </c>
      <c r="C893" s="26" t="str">
        <f t="shared" si="1"/>
        <v/>
      </c>
      <c r="D893" s="26" t="str">
        <f t="array" ref="D893">XLOOKUP($A893,Instagram_follows_raw!$A$4:$A1000,Instagram_follows_raw!$B$4:$B1000)</f>
        <v>#N/A</v>
      </c>
      <c r="E893" s="26" t="str">
        <f t="array" ref="E893">XLOOKUP($A893,Instagram_interactions_raw!$A$4:$A1000,Instagram_interactions_raw!$B$4:$B1000)</f>
        <v>#N/A</v>
      </c>
      <c r="F893" s="26" t="str">
        <f t="array" ref="F893">XLOOKUP($A893,Instagram_reach_raw!$A$4:$A1000,Instagram_reach_raw!$B$4:$B1000)</f>
        <v>#N/A</v>
      </c>
    </row>
    <row r="894">
      <c r="A894" s="30" t="str">
        <f>Instagram_reach_raw!$A896</f>
        <v/>
      </c>
      <c r="B894" s="29" t="str">
        <f>Instagram_interactions_raw!$A896</f>
        <v/>
      </c>
      <c r="C894" s="26" t="str">
        <f t="shared" si="1"/>
        <v/>
      </c>
      <c r="D894" s="26" t="str">
        <f t="array" ref="D894">XLOOKUP($A894,Instagram_follows_raw!$A$4:$A1000,Instagram_follows_raw!$B$4:$B1000)</f>
        <v>#N/A</v>
      </c>
      <c r="E894" s="26" t="str">
        <f t="array" ref="E894">XLOOKUP($A894,Instagram_interactions_raw!$A$4:$A1000,Instagram_interactions_raw!$B$4:$B1000)</f>
        <v>#N/A</v>
      </c>
      <c r="F894" s="26" t="str">
        <f t="array" ref="F894">XLOOKUP($A894,Instagram_reach_raw!$A$4:$A1000,Instagram_reach_raw!$B$4:$B1000)</f>
        <v>#N/A</v>
      </c>
    </row>
    <row r="895">
      <c r="A895" s="30" t="str">
        <f>Instagram_reach_raw!$A897</f>
        <v/>
      </c>
      <c r="B895" s="29" t="str">
        <f>Instagram_interactions_raw!$A897</f>
        <v/>
      </c>
      <c r="C895" s="26" t="str">
        <f t="shared" si="1"/>
        <v/>
      </c>
      <c r="D895" s="26" t="str">
        <f t="array" ref="D895">XLOOKUP($A895,Instagram_follows_raw!$A$4:$A1000,Instagram_follows_raw!$B$4:$B1000)</f>
        <v>#N/A</v>
      </c>
      <c r="E895" s="26" t="str">
        <f t="array" ref="E895">XLOOKUP($A895,Instagram_interactions_raw!$A$4:$A1000,Instagram_interactions_raw!$B$4:$B1000)</f>
        <v>#N/A</v>
      </c>
      <c r="F895" s="26" t="str">
        <f t="array" ref="F895">XLOOKUP($A895,Instagram_reach_raw!$A$4:$A1000,Instagram_reach_raw!$B$4:$B1000)</f>
        <v>#N/A</v>
      </c>
    </row>
    <row r="896">
      <c r="A896" s="30" t="str">
        <f>Instagram_reach_raw!$A898</f>
        <v/>
      </c>
      <c r="B896" s="29" t="str">
        <f>Instagram_interactions_raw!$A898</f>
        <v/>
      </c>
      <c r="C896" s="26" t="str">
        <f t="shared" si="1"/>
        <v/>
      </c>
      <c r="D896" s="26" t="str">
        <f t="array" ref="D896">XLOOKUP($A896,Instagram_follows_raw!$A$4:$A1000,Instagram_follows_raw!$B$4:$B1000)</f>
        <v>#N/A</v>
      </c>
      <c r="E896" s="26" t="str">
        <f t="array" ref="E896">XLOOKUP($A896,Instagram_interactions_raw!$A$4:$A1000,Instagram_interactions_raw!$B$4:$B1000)</f>
        <v>#N/A</v>
      </c>
      <c r="F896" s="26" t="str">
        <f t="array" ref="F896">XLOOKUP($A896,Instagram_reach_raw!$A$4:$A1000,Instagram_reach_raw!$B$4:$B1000)</f>
        <v>#N/A</v>
      </c>
    </row>
    <row r="897">
      <c r="A897" s="30" t="str">
        <f>Instagram_reach_raw!$A899</f>
        <v/>
      </c>
      <c r="B897" s="29" t="str">
        <f>Instagram_interactions_raw!$A899</f>
        <v/>
      </c>
      <c r="C897" s="26" t="str">
        <f t="shared" si="1"/>
        <v/>
      </c>
      <c r="D897" s="26" t="str">
        <f t="array" ref="D897">XLOOKUP($A897,Instagram_follows_raw!$A$4:$A1000,Instagram_follows_raw!$B$4:$B1000)</f>
        <v>#N/A</v>
      </c>
      <c r="E897" s="26" t="str">
        <f t="array" ref="E897">XLOOKUP($A897,Instagram_interactions_raw!$A$4:$A1000,Instagram_interactions_raw!$B$4:$B1000)</f>
        <v>#N/A</v>
      </c>
      <c r="F897" s="26" t="str">
        <f t="array" ref="F897">XLOOKUP($A897,Instagram_reach_raw!$A$4:$A1000,Instagram_reach_raw!$B$4:$B1000)</f>
        <v>#N/A</v>
      </c>
    </row>
    <row r="898">
      <c r="A898" s="30" t="str">
        <f>Instagram_reach_raw!$A900</f>
        <v/>
      </c>
      <c r="B898" s="29" t="str">
        <f>Instagram_interactions_raw!$A900</f>
        <v/>
      </c>
      <c r="C898" s="26" t="str">
        <f t="shared" si="1"/>
        <v/>
      </c>
      <c r="D898" s="26" t="str">
        <f t="array" ref="D898">XLOOKUP($A898,Instagram_follows_raw!$A$4:$A1000,Instagram_follows_raw!$B$4:$B1000)</f>
        <v>#N/A</v>
      </c>
      <c r="E898" s="26" t="str">
        <f t="array" ref="E898">XLOOKUP($A898,Instagram_interactions_raw!$A$4:$A1000,Instagram_interactions_raw!$B$4:$B1000)</f>
        <v>#N/A</v>
      </c>
      <c r="F898" s="26" t="str">
        <f t="array" ref="F898">XLOOKUP($A898,Instagram_reach_raw!$A$4:$A1000,Instagram_reach_raw!$B$4:$B1000)</f>
        <v>#N/A</v>
      </c>
    </row>
    <row r="899">
      <c r="A899" s="30" t="str">
        <f>Instagram_reach_raw!$A901</f>
        <v/>
      </c>
      <c r="B899" s="29" t="str">
        <f>Instagram_interactions_raw!$A901</f>
        <v/>
      </c>
      <c r="C899" s="26" t="str">
        <f t="shared" si="1"/>
        <v/>
      </c>
      <c r="D899" s="26" t="str">
        <f t="array" ref="D899">XLOOKUP($A899,Instagram_follows_raw!$A$4:$A1000,Instagram_follows_raw!$B$4:$B1000)</f>
        <v>#N/A</v>
      </c>
      <c r="E899" s="26" t="str">
        <f t="array" ref="E899">XLOOKUP($A899,Instagram_interactions_raw!$A$4:$A1000,Instagram_interactions_raw!$B$4:$B1000)</f>
        <v>#N/A</v>
      </c>
      <c r="F899" s="26" t="str">
        <f t="array" ref="F899">XLOOKUP($A899,Instagram_reach_raw!$A$4:$A1000,Instagram_reach_raw!$B$4:$B1000)</f>
        <v>#N/A</v>
      </c>
    </row>
    <row r="900">
      <c r="A900" s="30" t="str">
        <f>Instagram_reach_raw!$A902</f>
        <v/>
      </c>
      <c r="B900" s="29" t="str">
        <f>Instagram_interactions_raw!$A902</f>
        <v/>
      </c>
      <c r="C900" s="26" t="str">
        <f t="shared" si="1"/>
        <v/>
      </c>
      <c r="D900" s="26" t="str">
        <f t="array" ref="D900">XLOOKUP($A900,Instagram_follows_raw!$A$4:$A1000,Instagram_follows_raw!$B$4:$B1000)</f>
        <v>#N/A</v>
      </c>
      <c r="E900" s="26" t="str">
        <f t="array" ref="E900">XLOOKUP($A900,Instagram_interactions_raw!$A$4:$A1000,Instagram_interactions_raw!$B$4:$B1000)</f>
        <v>#N/A</v>
      </c>
      <c r="F900" s="26" t="str">
        <f t="array" ref="F900">XLOOKUP($A900,Instagram_reach_raw!$A$4:$A1000,Instagram_reach_raw!$B$4:$B1000)</f>
        <v>#N/A</v>
      </c>
    </row>
    <row r="901">
      <c r="A901" s="30" t="str">
        <f>Instagram_reach_raw!$A903</f>
        <v/>
      </c>
      <c r="B901" s="29" t="str">
        <f>Instagram_interactions_raw!$A903</f>
        <v/>
      </c>
      <c r="C901" s="26" t="str">
        <f t="shared" si="1"/>
        <v/>
      </c>
      <c r="D901" s="26" t="str">
        <f t="array" ref="D901">XLOOKUP($A901,Instagram_follows_raw!$A$4:$A1000,Instagram_follows_raw!$B$4:$B1000)</f>
        <v>#N/A</v>
      </c>
      <c r="E901" s="26" t="str">
        <f t="array" ref="E901">XLOOKUP($A901,Instagram_interactions_raw!$A$4:$A1000,Instagram_interactions_raw!$B$4:$B1000)</f>
        <v>#N/A</v>
      </c>
      <c r="F901" s="26" t="str">
        <f t="array" ref="F901">XLOOKUP($A901,Instagram_reach_raw!$A$4:$A1000,Instagram_reach_raw!$B$4:$B1000)</f>
        <v>#N/A</v>
      </c>
    </row>
    <row r="902">
      <c r="A902" s="30" t="str">
        <f>Instagram_reach_raw!$A904</f>
        <v/>
      </c>
      <c r="B902" s="29" t="str">
        <f>Instagram_interactions_raw!$A904</f>
        <v/>
      </c>
      <c r="C902" s="26" t="str">
        <f t="shared" si="1"/>
        <v/>
      </c>
      <c r="D902" s="26" t="str">
        <f t="array" ref="D902">XLOOKUP($A902,Instagram_follows_raw!$A$4:$A1000,Instagram_follows_raw!$B$4:$B1000)</f>
        <v>#N/A</v>
      </c>
      <c r="E902" s="26" t="str">
        <f t="array" ref="E902">XLOOKUP($A902,Instagram_interactions_raw!$A$4:$A1000,Instagram_interactions_raw!$B$4:$B1000)</f>
        <v>#N/A</v>
      </c>
      <c r="F902" s="26" t="str">
        <f t="array" ref="F902">XLOOKUP($A902,Instagram_reach_raw!$A$4:$A1000,Instagram_reach_raw!$B$4:$B1000)</f>
        <v>#N/A</v>
      </c>
    </row>
    <row r="903">
      <c r="A903" s="30" t="str">
        <f>Instagram_reach_raw!$A905</f>
        <v/>
      </c>
      <c r="B903" s="29" t="str">
        <f>Instagram_interactions_raw!$A905</f>
        <v/>
      </c>
      <c r="C903" s="26" t="str">
        <f t="shared" si="1"/>
        <v/>
      </c>
      <c r="D903" s="26" t="str">
        <f t="array" ref="D903">XLOOKUP($A903,Instagram_follows_raw!$A$4:$A1000,Instagram_follows_raw!$B$4:$B1000)</f>
        <v>#N/A</v>
      </c>
      <c r="E903" s="26" t="str">
        <f t="array" ref="E903">XLOOKUP($A903,Instagram_interactions_raw!$A$4:$A1000,Instagram_interactions_raw!$B$4:$B1000)</f>
        <v>#N/A</v>
      </c>
      <c r="F903" s="26" t="str">
        <f t="array" ref="F903">XLOOKUP($A903,Instagram_reach_raw!$A$4:$A1000,Instagram_reach_raw!$B$4:$B1000)</f>
        <v>#N/A</v>
      </c>
    </row>
    <row r="904">
      <c r="A904" s="30" t="str">
        <f>Instagram_reach_raw!$A906</f>
        <v/>
      </c>
      <c r="B904" s="29" t="str">
        <f>Instagram_interactions_raw!$A906</f>
        <v/>
      </c>
      <c r="C904" s="26" t="str">
        <f t="shared" si="1"/>
        <v/>
      </c>
      <c r="D904" s="26" t="str">
        <f t="array" ref="D904">XLOOKUP($A904,Instagram_follows_raw!$A$4:$A1000,Instagram_follows_raw!$B$4:$B1000)</f>
        <v>#N/A</v>
      </c>
      <c r="E904" s="26" t="str">
        <f t="array" ref="E904">XLOOKUP($A904,Instagram_interactions_raw!$A$4:$A1000,Instagram_interactions_raw!$B$4:$B1000)</f>
        <v>#N/A</v>
      </c>
      <c r="F904" s="26" t="str">
        <f t="array" ref="F904">XLOOKUP($A904,Instagram_reach_raw!$A$4:$A1000,Instagram_reach_raw!$B$4:$B1000)</f>
        <v>#N/A</v>
      </c>
    </row>
    <row r="905">
      <c r="A905" s="30" t="str">
        <f>Instagram_reach_raw!$A907</f>
        <v/>
      </c>
      <c r="B905" s="29" t="str">
        <f>Instagram_interactions_raw!$A907</f>
        <v/>
      </c>
      <c r="C905" s="26" t="str">
        <f t="shared" si="1"/>
        <v/>
      </c>
      <c r="D905" s="26" t="str">
        <f t="array" ref="D905">XLOOKUP($A905,Instagram_follows_raw!$A$4:$A1000,Instagram_follows_raw!$B$4:$B1000)</f>
        <v>#N/A</v>
      </c>
      <c r="E905" s="26" t="str">
        <f t="array" ref="E905">XLOOKUP($A905,Instagram_interactions_raw!$A$4:$A1000,Instagram_interactions_raw!$B$4:$B1000)</f>
        <v>#N/A</v>
      </c>
      <c r="F905" s="26" t="str">
        <f t="array" ref="F905">XLOOKUP($A905,Instagram_reach_raw!$A$4:$A1000,Instagram_reach_raw!$B$4:$B1000)</f>
        <v>#N/A</v>
      </c>
    </row>
    <row r="906">
      <c r="A906" s="30" t="str">
        <f>Instagram_reach_raw!$A908</f>
        <v/>
      </c>
      <c r="B906" s="29" t="str">
        <f>Instagram_interactions_raw!$A908</f>
        <v/>
      </c>
      <c r="C906" s="26" t="str">
        <f t="shared" si="1"/>
        <v/>
      </c>
      <c r="D906" s="26" t="str">
        <f t="array" ref="D906">XLOOKUP($A906,Instagram_follows_raw!$A$4:$A1000,Instagram_follows_raw!$B$4:$B1000)</f>
        <v>#N/A</v>
      </c>
      <c r="E906" s="26" t="str">
        <f t="array" ref="E906">XLOOKUP($A906,Instagram_interactions_raw!$A$4:$A1000,Instagram_interactions_raw!$B$4:$B1000)</f>
        <v>#N/A</v>
      </c>
      <c r="F906" s="26" t="str">
        <f t="array" ref="F906">XLOOKUP($A906,Instagram_reach_raw!$A$4:$A1000,Instagram_reach_raw!$B$4:$B1000)</f>
        <v>#N/A</v>
      </c>
    </row>
    <row r="907">
      <c r="A907" s="30" t="str">
        <f>Instagram_reach_raw!$A909</f>
        <v/>
      </c>
      <c r="B907" s="29" t="str">
        <f>Instagram_interactions_raw!$A909</f>
        <v/>
      </c>
      <c r="C907" s="26" t="str">
        <f t="shared" si="1"/>
        <v/>
      </c>
      <c r="D907" s="26" t="str">
        <f t="array" ref="D907">XLOOKUP($A907,Instagram_follows_raw!$A$4:$A1000,Instagram_follows_raw!$B$4:$B1000)</f>
        <v>#N/A</v>
      </c>
      <c r="E907" s="26" t="str">
        <f t="array" ref="E907">XLOOKUP($A907,Instagram_interactions_raw!$A$4:$A1000,Instagram_interactions_raw!$B$4:$B1000)</f>
        <v>#N/A</v>
      </c>
      <c r="F907" s="26" t="str">
        <f t="array" ref="F907">XLOOKUP($A907,Instagram_reach_raw!$A$4:$A1000,Instagram_reach_raw!$B$4:$B1000)</f>
        <v>#N/A</v>
      </c>
    </row>
    <row r="908">
      <c r="A908" s="30" t="str">
        <f>Instagram_reach_raw!$A910</f>
        <v/>
      </c>
      <c r="B908" s="29" t="str">
        <f>Instagram_interactions_raw!$A910</f>
        <v/>
      </c>
      <c r="C908" s="26" t="str">
        <f t="shared" si="1"/>
        <v/>
      </c>
      <c r="D908" s="26" t="str">
        <f t="array" ref="D908">XLOOKUP($A908,Instagram_follows_raw!$A$4:$A1000,Instagram_follows_raw!$B$4:$B1000)</f>
        <v>#N/A</v>
      </c>
      <c r="E908" s="26" t="str">
        <f t="array" ref="E908">XLOOKUP($A908,Instagram_interactions_raw!$A$4:$A1000,Instagram_interactions_raw!$B$4:$B1000)</f>
        <v>#N/A</v>
      </c>
      <c r="F908" s="26" t="str">
        <f t="array" ref="F908">XLOOKUP($A908,Instagram_reach_raw!$A$4:$A1000,Instagram_reach_raw!$B$4:$B1000)</f>
        <v>#N/A</v>
      </c>
    </row>
    <row r="909">
      <c r="A909" s="30" t="str">
        <f>Instagram_reach_raw!$A911</f>
        <v/>
      </c>
      <c r="B909" s="29" t="str">
        <f>Instagram_interactions_raw!$A911</f>
        <v/>
      </c>
      <c r="C909" s="26" t="str">
        <f t="shared" si="1"/>
        <v/>
      </c>
      <c r="D909" s="26" t="str">
        <f t="array" ref="D909">XLOOKUP($A909,Instagram_follows_raw!$A$4:$A1000,Instagram_follows_raw!$B$4:$B1000)</f>
        <v>#N/A</v>
      </c>
      <c r="E909" s="26" t="str">
        <f t="array" ref="E909">XLOOKUP($A909,Instagram_interactions_raw!$A$4:$A1000,Instagram_interactions_raw!$B$4:$B1000)</f>
        <v>#N/A</v>
      </c>
      <c r="F909" s="26" t="str">
        <f t="array" ref="F909">XLOOKUP($A909,Instagram_reach_raw!$A$4:$A1000,Instagram_reach_raw!$B$4:$B1000)</f>
        <v>#N/A</v>
      </c>
    </row>
    <row r="910">
      <c r="A910" s="30" t="str">
        <f>Instagram_reach_raw!$A912</f>
        <v/>
      </c>
      <c r="B910" s="29" t="str">
        <f>Instagram_interactions_raw!$A912</f>
        <v/>
      </c>
      <c r="C910" s="26" t="str">
        <f t="shared" si="1"/>
        <v/>
      </c>
      <c r="D910" s="26" t="str">
        <f t="array" ref="D910">XLOOKUP($A910,Instagram_follows_raw!$A$4:$A1000,Instagram_follows_raw!$B$4:$B1000)</f>
        <v>#N/A</v>
      </c>
      <c r="E910" s="26" t="str">
        <f t="array" ref="E910">XLOOKUP($A910,Instagram_interactions_raw!$A$4:$A1000,Instagram_interactions_raw!$B$4:$B1000)</f>
        <v>#N/A</v>
      </c>
      <c r="F910" s="26" t="str">
        <f t="array" ref="F910">XLOOKUP($A910,Instagram_reach_raw!$A$4:$A1000,Instagram_reach_raw!$B$4:$B1000)</f>
        <v>#N/A</v>
      </c>
    </row>
    <row r="911">
      <c r="A911" s="30" t="str">
        <f>Instagram_reach_raw!$A913</f>
        <v/>
      </c>
      <c r="B911" s="29" t="str">
        <f>Instagram_interactions_raw!$A913</f>
        <v/>
      </c>
      <c r="C911" s="26" t="str">
        <f t="shared" si="1"/>
        <v/>
      </c>
      <c r="D911" s="26" t="str">
        <f t="array" ref="D911">XLOOKUP($A911,Instagram_follows_raw!$A$4:$A1000,Instagram_follows_raw!$B$4:$B1000)</f>
        <v>#N/A</v>
      </c>
      <c r="E911" s="26" t="str">
        <f t="array" ref="E911">XLOOKUP($A911,Instagram_interactions_raw!$A$4:$A1000,Instagram_interactions_raw!$B$4:$B1000)</f>
        <v>#N/A</v>
      </c>
      <c r="F911" s="26" t="str">
        <f t="array" ref="F911">XLOOKUP($A911,Instagram_reach_raw!$A$4:$A1000,Instagram_reach_raw!$B$4:$B1000)</f>
        <v>#N/A</v>
      </c>
    </row>
    <row r="912">
      <c r="A912" s="30" t="str">
        <f>Instagram_reach_raw!$A914</f>
        <v/>
      </c>
      <c r="B912" s="29" t="str">
        <f>Instagram_interactions_raw!$A914</f>
        <v/>
      </c>
      <c r="C912" s="26" t="str">
        <f t="shared" si="1"/>
        <v/>
      </c>
      <c r="D912" s="26" t="str">
        <f t="array" ref="D912">XLOOKUP($A912,Instagram_follows_raw!$A$4:$A1000,Instagram_follows_raw!$B$4:$B1000)</f>
        <v>#N/A</v>
      </c>
      <c r="E912" s="26" t="str">
        <f t="array" ref="E912">XLOOKUP($A912,Instagram_interactions_raw!$A$4:$A1000,Instagram_interactions_raw!$B$4:$B1000)</f>
        <v>#N/A</v>
      </c>
      <c r="F912" s="26" t="str">
        <f t="array" ref="F912">XLOOKUP($A912,Instagram_reach_raw!$A$4:$A1000,Instagram_reach_raw!$B$4:$B1000)</f>
        <v>#N/A</v>
      </c>
    </row>
    <row r="913">
      <c r="A913" s="30" t="str">
        <f>Instagram_reach_raw!$A915</f>
        <v/>
      </c>
      <c r="B913" s="29" t="str">
        <f>Instagram_interactions_raw!$A915</f>
        <v/>
      </c>
      <c r="C913" s="26" t="str">
        <f t="shared" si="1"/>
        <v/>
      </c>
      <c r="D913" s="26" t="str">
        <f t="array" ref="D913">XLOOKUP($A913,Instagram_follows_raw!$A$4:$A1000,Instagram_follows_raw!$B$4:$B1000)</f>
        <v>#N/A</v>
      </c>
      <c r="E913" s="26" t="str">
        <f t="array" ref="E913">XLOOKUP($A913,Instagram_interactions_raw!$A$4:$A1000,Instagram_interactions_raw!$B$4:$B1000)</f>
        <v>#N/A</v>
      </c>
      <c r="F913" s="26" t="str">
        <f t="array" ref="F913">XLOOKUP($A913,Instagram_reach_raw!$A$4:$A1000,Instagram_reach_raw!$B$4:$B1000)</f>
        <v>#N/A</v>
      </c>
    </row>
    <row r="914">
      <c r="A914" s="30" t="str">
        <f>Instagram_reach_raw!$A916</f>
        <v/>
      </c>
      <c r="B914" s="29" t="str">
        <f>Instagram_interactions_raw!$A916</f>
        <v/>
      </c>
      <c r="C914" s="26" t="str">
        <f t="shared" si="1"/>
        <v/>
      </c>
      <c r="D914" s="26" t="str">
        <f t="array" ref="D914">XLOOKUP($A914,Instagram_follows_raw!$A$4:$A1000,Instagram_follows_raw!$B$4:$B1000)</f>
        <v>#N/A</v>
      </c>
      <c r="E914" s="26" t="str">
        <f t="array" ref="E914">XLOOKUP($A914,Instagram_interactions_raw!$A$4:$A1000,Instagram_interactions_raw!$B$4:$B1000)</f>
        <v>#N/A</v>
      </c>
      <c r="F914" s="26" t="str">
        <f t="array" ref="F914">XLOOKUP($A914,Instagram_reach_raw!$A$4:$A1000,Instagram_reach_raw!$B$4:$B1000)</f>
        <v>#N/A</v>
      </c>
    </row>
    <row r="915">
      <c r="A915" s="30" t="str">
        <f>Instagram_reach_raw!$A917</f>
        <v/>
      </c>
      <c r="B915" s="29" t="str">
        <f>Instagram_interactions_raw!$A917</f>
        <v/>
      </c>
      <c r="C915" s="26" t="str">
        <f t="shared" si="1"/>
        <v/>
      </c>
      <c r="D915" s="26" t="str">
        <f t="array" ref="D915">XLOOKUP($A915,Instagram_follows_raw!$A$4:$A1000,Instagram_follows_raw!$B$4:$B1000)</f>
        <v>#N/A</v>
      </c>
      <c r="E915" s="26" t="str">
        <f t="array" ref="E915">XLOOKUP($A915,Instagram_interactions_raw!$A$4:$A1000,Instagram_interactions_raw!$B$4:$B1000)</f>
        <v>#N/A</v>
      </c>
      <c r="F915" s="26" t="str">
        <f t="array" ref="F915">XLOOKUP($A915,Instagram_reach_raw!$A$4:$A1000,Instagram_reach_raw!$B$4:$B1000)</f>
        <v>#N/A</v>
      </c>
    </row>
    <row r="916">
      <c r="A916" s="30" t="str">
        <f>Instagram_reach_raw!$A918</f>
        <v/>
      </c>
      <c r="B916" s="29" t="str">
        <f>Instagram_interactions_raw!$A918</f>
        <v/>
      </c>
      <c r="C916" s="26" t="str">
        <f t="shared" si="1"/>
        <v/>
      </c>
      <c r="D916" s="26" t="str">
        <f t="array" ref="D916">XLOOKUP($A916,Instagram_follows_raw!$A$4:$A1000,Instagram_follows_raw!$B$4:$B1000)</f>
        <v>#N/A</v>
      </c>
      <c r="E916" s="26" t="str">
        <f t="array" ref="E916">XLOOKUP($A916,Instagram_interactions_raw!$A$4:$A1000,Instagram_interactions_raw!$B$4:$B1000)</f>
        <v>#N/A</v>
      </c>
      <c r="F916" s="26" t="str">
        <f t="array" ref="F916">XLOOKUP($A916,Instagram_reach_raw!$A$4:$A1000,Instagram_reach_raw!$B$4:$B1000)</f>
        <v>#N/A</v>
      </c>
    </row>
    <row r="917">
      <c r="A917" s="30" t="str">
        <f>Instagram_reach_raw!$A919</f>
        <v/>
      </c>
      <c r="B917" s="29" t="str">
        <f>Instagram_interactions_raw!$A919</f>
        <v/>
      </c>
      <c r="C917" s="26" t="str">
        <f t="shared" si="1"/>
        <v/>
      </c>
      <c r="D917" s="26" t="str">
        <f t="array" ref="D917">XLOOKUP($A917,Instagram_follows_raw!$A$4:$A1000,Instagram_follows_raw!$B$4:$B1000)</f>
        <v>#N/A</v>
      </c>
      <c r="E917" s="26" t="str">
        <f t="array" ref="E917">XLOOKUP($A917,Instagram_interactions_raw!$A$4:$A1000,Instagram_interactions_raw!$B$4:$B1000)</f>
        <v>#N/A</v>
      </c>
      <c r="F917" s="26" t="str">
        <f t="array" ref="F917">XLOOKUP($A917,Instagram_reach_raw!$A$4:$A1000,Instagram_reach_raw!$B$4:$B1000)</f>
        <v>#N/A</v>
      </c>
    </row>
    <row r="918">
      <c r="A918" s="30" t="str">
        <f>Instagram_reach_raw!$A920</f>
        <v/>
      </c>
      <c r="B918" s="29" t="str">
        <f>Instagram_interactions_raw!$A920</f>
        <v/>
      </c>
      <c r="C918" s="26" t="str">
        <f t="shared" si="1"/>
        <v/>
      </c>
      <c r="D918" s="26" t="str">
        <f t="array" ref="D918">XLOOKUP($A918,Instagram_follows_raw!$A$4:$A1000,Instagram_follows_raw!$B$4:$B1000)</f>
        <v>#N/A</v>
      </c>
      <c r="E918" s="26" t="str">
        <f t="array" ref="E918">XLOOKUP($A918,Instagram_interactions_raw!$A$4:$A1000,Instagram_interactions_raw!$B$4:$B1000)</f>
        <v>#N/A</v>
      </c>
      <c r="F918" s="26" t="str">
        <f t="array" ref="F918">XLOOKUP($A918,Instagram_reach_raw!$A$4:$A1000,Instagram_reach_raw!$B$4:$B1000)</f>
        <v>#N/A</v>
      </c>
    </row>
    <row r="919">
      <c r="A919" s="30" t="str">
        <f>Instagram_reach_raw!$A921</f>
        <v/>
      </c>
      <c r="B919" s="29" t="str">
        <f>Instagram_interactions_raw!$A921</f>
        <v/>
      </c>
      <c r="C919" s="26" t="str">
        <f t="shared" si="1"/>
        <v/>
      </c>
      <c r="D919" s="26" t="str">
        <f t="array" ref="D919">XLOOKUP($A919,Instagram_follows_raw!$A$4:$A1000,Instagram_follows_raw!$B$4:$B1000)</f>
        <v>#N/A</v>
      </c>
      <c r="E919" s="26" t="str">
        <f t="array" ref="E919">XLOOKUP($A919,Instagram_interactions_raw!$A$4:$A1000,Instagram_interactions_raw!$B$4:$B1000)</f>
        <v>#N/A</v>
      </c>
      <c r="F919" s="26" t="str">
        <f t="array" ref="F919">XLOOKUP($A919,Instagram_reach_raw!$A$4:$A1000,Instagram_reach_raw!$B$4:$B1000)</f>
        <v>#N/A</v>
      </c>
    </row>
    <row r="920">
      <c r="A920" s="30" t="str">
        <f>Instagram_reach_raw!$A922</f>
        <v/>
      </c>
      <c r="B920" s="29" t="str">
        <f>Instagram_interactions_raw!$A922</f>
        <v/>
      </c>
      <c r="C920" s="26" t="str">
        <f t="shared" si="1"/>
        <v/>
      </c>
      <c r="D920" s="26" t="str">
        <f t="array" ref="D920">XLOOKUP($A920,Instagram_follows_raw!$A$4:$A1000,Instagram_follows_raw!$B$4:$B1000)</f>
        <v>#N/A</v>
      </c>
      <c r="E920" s="26" t="str">
        <f t="array" ref="E920">XLOOKUP($A920,Instagram_interactions_raw!$A$4:$A1000,Instagram_interactions_raw!$B$4:$B1000)</f>
        <v>#N/A</v>
      </c>
      <c r="F920" s="26" t="str">
        <f t="array" ref="F920">XLOOKUP($A920,Instagram_reach_raw!$A$4:$A1000,Instagram_reach_raw!$B$4:$B1000)</f>
        <v>#N/A</v>
      </c>
    </row>
    <row r="921">
      <c r="A921" s="30" t="str">
        <f>Instagram_reach_raw!$A923</f>
        <v/>
      </c>
      <c r="B921" s="29" t="str">
        <f>Instagram_interactions_raw!$A923</f>
        <v/>
      </c>
      <c r="C921" s="26" t="str">
        <f t="shared" si="1"/>
        <v/>
      </c>
      <c r="D921" s="26" t="str">
        <f t="array" ref="D921">XLOOKUP($A921,Instagram_follows_raw!$A$4:$A1000,Instagram_follows_raw!$B$4:$B1000)</f>
        <v>#N/A</v>
      </c>
      <c r="E921" s="26" t="str">
        <f t="array" ref="E921">XLOOKUP($A921,Instagram_interactions_raw!$A$4:$A1000,Instagram_interactions_raw!$B$4:$B1000)</f>
        <v>#N/A</v>
      </c>
      <c r="F921" s="26" t="str">
        <f t="array" ref="F921">XLOOKUP($A921,Instagram_reach_raw!$A$4:$A1000,Instagram_reach_raw!$B$4:$B1000)</f>
        <v>#N/A</v>
      </c>
    </row>
    <row r="922">
      <c r="A922" s="30" t="str">
        <f>Instagram_reach_raw!$A924</f>
        <v/>
      </c>
      <c r="B922" s="29" t="str">
        <f>Instagram_interactions_raw!$A924</f>
        <v/>
      </c>
      <c r="C922" s="26" t="str">
        <f t="shared" si="1"/>
        <v/>
      </c>
      <c r="D922" s="26" t="str">
        <f t="array" ref="D922">XLOOKUP($A922,Instagram_follows_raw!$A$4:$A1000,Instagram_follows_raw!$B$4:$B1000)</f>
        <v>#N/A</v>
      </c>
      <c r="E922" s="26" t="str">
        <f t="array" ref="E922">XLOOKUP($A922,Instagram_interactions_raw!$A$4:$A1000,Instagram_interactions_raw!$B$4:$B1000)</f>
        <v>#N/A</v>
      </c>
      <c r="F922" s="26" t="str">
        <f t="array" ref="F922">XLOOKUP($A922,Instagram_reach_raw!$A$4:$A1000,Instagram_reach_raw!$B$4:$B1000)</f>
        <v>#N/A</v>
      </c>
    </row>
    <row r="923">
      <c r="A923" s="30" t="str">
        <f>Instagram_reach_raw!$A925</f>
        <v/>
      </c>
      <c r="B923" s="29" t="str">
        <f>Instagram_interactions_raw!$A925</f>
        <v/>
      </c>
      <c r="C923" s="26" t="str">
        <f t="shared" si="1"/>
        <v/>
      </c>
      <c r="D923" s="26" t="str">
        <f t="array" ref="D923">XLOOKUP($A923,Instagram_follows_raw!$A$4:$A1000,Instagram_follows_raw!$B$4:$B1000)</f>
        <v>#N/A</v>
      </c>
      <c r="E923" s="26" t="str">
        <f t="array" ref="E923">XLOOKUP($A923,Instagram_interactions_raw!$A$4:$A1000,Instagram_interactions_raw!$B$4:$B1000)</f>
        <v>#N/A</v>
      </c>
      <c r="F923" s="26" t="str">
        <f t="array" ref="F923">XLOOKUP($A923,Instagram_reach_raw!$A$4:$A1000,Instagram_reach_raw!$B$4:$B1000)</f>
        <v>#N/A</v>
      </c>
    </row>
    <row r="924">
      <c r="A924" s="30" t="str">
        <f>Instagram_reach_raw!$A926</f>
        <v/>
      </c>
      <c r="B924" s="29" t="str">
        <f>Instagram_interactions_raw!$A926</f>
        <v/>
      </c>
      <c r="C924" s="26" t="str">
        <f t="shared" si="1"/>
        <v/>
      </c>
      <c r="D924" s="26" t="str">
        <f t="array" ref="D924">XLOOKUP($A924,Instagram_follows_raw!$A$4:$A1000,Instagram_follows_raw!$B$4:$B1000)</f>
        <v>#N/A</v>
      </c>
      <c r="E924" s="26" t="str">
        <f t="array" ref="E924">XLOOKUP($A924,Instagram_interactions_raw!$A$4:$A1000,Instagram_interactions_raw!$B$4:$B1000)</f>
        <v>#N/A</v>
      </c>
      <c r="F924" s="26" t="str">
        <f t="array" ref="F924">XLOOKUP($A924,Instagram_reach_raw!$A$4:$A1000,Instagram_reach_raw!$B$4:$B1000)</f>
        <v>#N/A</v>
      </c>
    </row>
    <row r="925">
      <c r="A925" s="30" t="str">
        <f>Instagram_reach_raw!$A927</f>
        <v/>
      </c>
      <c r="B925" s="29" t="str">
        <f>Instagram_interactions_raw!$A927</f>
        <v/>
      </c>
      <c r="C925" s="26" t="str">
        <f t="shared" si="1"/>
        <v/>
      </c>
      <c r="D925" s="26" t="str">
        <f t="array" ref="D925">XLOOKUP($A925,Instagram_follows_raw!$A$4:$A1000,Instagram_follows_raw!$B$4:$B1000)</f>
        <v>#N/A</v>
      </c>
      <c r="E925" s="26" t="str">
        <f t="array" ref="E925">XLOOKUP($A925,Instagram_interactions_raw!$A$4:$A1000,Instagram_interactions_raw!$B$4:$B1000)</f>
        <v>#N/A</v>
      </c>
      <c r="F925" s="26" t="str">
        <f t="array" ref="F925">XLOOKUP($A925,Instagram_reach_raw!$A$4:$A1000,Instagram_reach_raw!$B$4:$B1000)</f>
        <v>#N/A</v>
      </c>
    </row>
    <row r="926">
      <c r="A926" s="30" t="str">
        <f>Instagram_reach_raw!$A928</f>
        <v/>
      </c>
      <c r="B926" s="29" t="str">
        <f>Instagram_interactions_raw!$A928</f>
        <v/>
      </c>
      <c r="C926" s="26" t="str">
        <f t="shared" si="1"/>
        <v/>
      </c>
      <c r="D926" s="26" t="str">
        <f t="array" ref="D926">XLOOKUP($A926,Instagram_follows_raw!$A$4:$A1000,Instagram_follows_raw!$B$4:$B1000)</f>
        <v>#N/A</v>
      </c>
      <c r="E926" s="26" t="str">
        <f t="array" ref="E926">XLOOKUP($A926,Instagram_interactions_raw!$A$4:$A1000,Instagram_interactions_raw!$B$4:$B1000)</f>
        <v>#N/A</v>
      </c>
      <c r="F926" s="26" t="str">
        <f t="array" ref="F926">XLOOKUP($A926,Instagram_reach_raw!$A$4:$A1000,Instagram_reach_raw!$B$4:$B1000)</f>
        <v>#N/A</v>
      </c>
    </row>
    <row r="927">
      <c r="A927" s="30" t="str">
        <f>Instagram_reach_raw!$A929</f>
        <v/>
      </c>
      <c r="B927" s="29" t="str">
        <f>Instagram_interactions_raw!$A929</f>
        <v/>
      </c>
      <c r="C927" s="26" t="str">
        <f t="shared" si="1"/>
        <v/>
      </c>
      <c r="D927" s="26" t="str">
        <f t="array" ref="D927">XLOOKUP($A927,Instagram_follows_raw!$A$4:$A1000,Instagram_follows_raw!$B$4:$B1000)</f>
        <v>#N/A</v>
      </c>
      <c r="E927" s="26" t="str">
        <f t="array" ref="E927">XLOOKUP($A927,Instagram_interactions_raw!$A$4:$A1000,Instagram_interactions_raw!$B$4:$B1000)</f>
        <v>#N/A</v>
      </c>
      <c r="F927" s="26" t="str">
        <f t="array" ref="F927">XLOOKUP($A927,Instagram_reach_raw!$A$4:$A1000,Instagram_reach_raw!$B$4:$B1000)</f>
        <v>#N/A</v>
      </c>
    </row>
    <row r="928">
      <c r="A928" s="30" t="str">
        <f>Instagram_reach_raw!$A930</f>
        <v/>
      </c>
      <c r="B928" s="29" t="str">
        <f>Instagram_interactions_raw!$A930</f>
        <v/>
      </c>
      <c r="C928" s="26" t="str">
        <f t="shared" si="1"/>
        <v/>
      </c>
      <c r="D928" s="26" t="str">
        <f t="array" ref="D928">XLOOKUP($A928,Instagram_follows_raw!$A$4:$A1000,Instagram_follows_raw!$B$4:$B1000)</f>
        <v>#N/A</v>
      </c>
      <c r="E928" s="26" t="str">
        <f t="array" ref="E928">XLOOKUP($A928,Instagram_interactions_raw!$A$4:$A1000,Instagram_interactions_raw!$B$4:$B1000)</f>
        <v>#N/A</v>
      </c>
      <c r="F928" s="26" t="str">
        <f t="array" ref="F928">XLOOKUP($A928,Instagram_reach_raw!$A$4:$A1000,Instagram_reach_raw!$B$4:$B1000)</f>
        <v>#N/A</v>
      </c>
    </row>
    <row r="929">
      <c r="A929" s="30" t="str">
        <f>Instagram_reach_raw!$A931</f>
        <v/>
      </c>
      <c r="B929" s="29" t="str">
        <f>Instagram_interactions_raw!$A931</f>
        <v/>
      </c>
      <c r="C929" s="26" t="str">
        <f t="shared" si="1"/>
        <v/>
      </c>
      <c r="D929" s="26" t="str">
        <f t="array" ref="D929">XLOOKUP($A929,Instagram_follows_raw!$A$4:$A1000,Instagram_follows_raw!$B$4:$B1000)</f>
        <v>#N/A</v>
      </c>
      <c r="E929" s="26" t="str">
        <f t="array" ref="E929">XLOOKUP($A929,Instagram_interactions_raw!$A$4:$A1000,Instagram_interactions_raw!$B$4:$B1000)</f>
        <v>#N/A</v>
      </c>
      <c r="F929" s="26" t="str">
        <f t="array" ref="F929">XLOOKUP($A929,Instagram_reach_raw!$A$4:$A1000,Instagram_reach_raw!$B$4:$B1000)</f>
        <v>#N/A</v>
      </c>
    </row>
    <row r="930">
      <c r="A930" s="30" t="str">
        <f>Instagram_reach_raw!$A932</f>
        <v/>
      </c>
      <c r="B930" s="29" t="str">
        <f>Instagram_interactions_raw!$A932</f>
        <v/>
      </c>
      <c r="C930" s="26" t="str">
        <f t="shared" si="1"/>
        <v/>
      </c>
      <c r="D930" s="26" t="str">
        <f t="array" ref="D930">XLOOKUP($A930,Instagram_follows_raw!$A$4:$A1000,Instagram_follows_raw!$B$4:$B1000)</f>
        <v>#N/A</v>
      </c>
      <c r="E930" s="26" t="str">
        <f t="array" ref="E930">XLOOKUP($A930,Instagram_interactions_raw!$A$4:$A1000,Instagram_interactions_raw!$B$4:$B1000)</f>
        <v>#N/A</v>
      </c>
      <c r="F930" s="26" t="str">
        <f t="array" ref="F930">XLOOKUP($A930,Instagram_reach_raw!$A$4:$A1000,Instagram_reach_raw!$B$4:$B1000)</f>
        <v>#N/A</v>
      </c>
    </row>
    <row r="931">
      <c r="A931" s="30" t="str">
        <f>Instagram_reach_raw!$A933</f>
        <v/>
      </c>
      <c r="B931" s="29" t="str">
        <f>Instagram_interactions_raw!$A933</f>
        <v/>
      </c>
      <c r="C931" s="26" t="str">
        <f t="shared" si="1"/>
        <v/>
      </c>
      <c r="D931" s="26" t="str">
        <f t="array" ref="D931">XLOOKUP($A931,Instagram_follows_raw!$A$4:$A1000,Instagram_follows_raw!$B$4:$B1000)</f>
        <v>#N/A</v>
      </c>
      <c r="E931" s="26" t="str">
        <f t="array" ref="E931">XLOOKUP($A931,Instagram_interactions_raw!$A$4:$A1000,Instagram_interactions_raw!$B$4:$B1000)</f>
        <v>#N/A</v>
      </c>
      <c r="F931" s="26" t="str">
        <f t="array" ref="F931">XLOOKUP($A931,Instagram_reach_raw!$A$4:$A1000,Instagram_reach_raw!$B$4:$B1000)</f>
        <v>#N/A</v>
      </c>
    </row>
    <row r="932">
      <c r="A932" s="30" t="str">
        <f>Instagram_reach_raw!$A934</f>
        <v/>
      </c>
      <c r="B932" s="29" t="str">
        <f>Instagram_interactions_raw!$A934</f>
        <v/>
      </c>
      <c r="C932" s="26" t="str">
        <f t="shared" si="1"/>
        <v/>
      </c>
      <c r="D932" s="26" t="str">
        <f t="array" ref="D932">XLOOKUP($A932,Instagram_follows_raw!$A$4:$A1000,Instagram_follows_raw!$B$4:$B1000)</f>
        <v>#N/A</v>
      </c>
      <c r="E932" s="26" t="str">
        <f t="array" ref="E932">XLOOKUP($A932,Instagram_interactions_raw!$A$4:$A1000,Instagram_interactions_raw!$B$4:$B1000)</f>
        <v>#N/A</v>
      </c>
      <c r="F932" s="26" t="str">
        <f t="array" ref="F932">XLOOKUP($A932,Instagram_reach_raw!$A$4:$A1000,Instagram_reach_raw!$B$4:$B1000)</f>
        <v>#N/A</v>
      </c>
    </row>
    <row r="933">
      <c r="A933" s="30" t="str">
        <f>Instagram_reach_raw!$A935</f>
        <v/>
      </c>
      <c r="B933" s="29" t="str">
        <f>Instagram_interactions_raw!$A935</f>
        <v/>
      </c>
      <c r="C933" s="26" t="str">
        <f t="shared" si="1"/>
        <v/>
      </c>
      <c r="D933" s="26" t="str">
        <f t="array" ref="D933">XLOOKUP($A933,Instagram_follows_raw!$A$4:$A1000,Instagram_follows_raw!$B$4:$B1000)</f>
        <v>#N/A</v>
      </c>
      <c r="E933" s="26" t="str">
        <f t="array" ref="E933">XLOOKUP($A933,Instagram_interactions_raw!$A$4:$A1000,Instagram_interactions_raw!$B$4:$B1000)</f>
        <v>#N/A</v>
      </c>
      <c r="F933" s="26" t="str">
        <f t="array" ref="F933">XLOOKUP($A933,Instagram_reach_raw!$A$4:$A1000,Instagram_reach_raw!$B$4:$B1000)</f>
        <v>#N/A</v>
      </c>
    </row>
    <row r="934">
      <c r="A934" s="30" t="str">
        <f>Instagram_reach_raw!$A936</f>
        <v/>
      </c>
      <c r="B934" s="29" t="str">
        <f>Instagram_interactions_raw!$A936</f>
        <v/>
      </c>
      <c r="C934" s="26" t="str">
        <f t="shared" si="1"/>
        <v/>
      </c>
      <c r="D934" s="26" t="str">
        <f t="array" ref="D934">XLOOKUP($A934,Instagram_follows_raw!$A$4:$A1000,Instagram_follows_raw!$B$4:$B1000)</f>
        <v>#N/A</v>
      </c>
      <c r="E934" s="26" t="str">
        <f t="array" ref="E934">XLOOKUP($A934,Instagram_interactions_raw!$A$4:$A1000,Instagram_interactions_raw!$B$4:$B1000)</f>
        <v>#N/A</v>
      </c>
      <c r="F934" s="26" t="str">
        <f t="array" ref="F934">XLOOKUP($A934,Instagram_reach_raw!$A$4:$A1000,Instagram_reach_raw!$B$4:$B1000)</f>
        <v>#N/A</v>
      </c>
    </row>
    <row r="935">
      <c r="A935" s="30" t="str">
        <f>Instagram_reach_raw!$A937</f>
        <v/>
      </c>
      <c r="B935" s="29" t="str">
        <f>Instagram_interactions_raw!$A937</f>
        <v/>
      </c>
      <c r="C935" s="26" t="str">
        <f t="shared" si="1"/>
        <v/>
      </c>
      <c r="D935" s="26" t="str">
        <f t="array" ref="D935">XLOOKUP($A935,Instagram_follows_raw!$A$4:$A1000,Instagram_follows_raw!$B$4:$B1000)</f>
        <v>#N/A</v>
      </c>
      <c r="E935" s="26" t="str">
        <f t="array" ref="E935">XLOOKUP($A935,Instagram_interactions_raw!$A$4:$A1000,Instagram_interactions_raw!$B$4:$B1000)</f>
        <v>#N/A</v>
      </c>
      <c r="F935" s="26" t="str">
        <f t="array" ref="F935">XLOOKUP($A935,Instagram_reach_raw!$A$4:$A1000,Instagram_reach_raw!$B$4:$B1000)</f>
        <v>#N/A</v>
      </c>
    </row>
    <row r="936">
      <c r="A936" s="30" t="str">
        <f>Instagram_reach_raw!$A938</f>
        <v/>
      </c>
      <c r="B936" s="29" t="str">
        <f>Instagram_interactions_raw!$A938</f>
        <v/>
      </c>
      <c r="C936" s="26" t="str">
        <f t="shared" si="1"/>
        <v/>
      </c>
      <c r="D936" s="26" t="str">
        <f t="array" ref="D936">XLOOKUP($A936,Instagram_follows_raw!$A$4:$A1000,Instagram_follows_raw!$B$4:$B1000)</f>
        <v>#N/A</v>
      </c>
      <c r="E936" s="26" t="str">
        <f t="array" ref="E936">XLOOKUP($A936,Instagram_interactions_raw!$A$4:$A1000,Instagram_interactions_raw!$B$4:$B1000)</f>
        <v>#N/A</v>
      </c>
      <c r="F936" s="26" t="str">
        <f t="array" ref="F936">XLOOKUP($A936,Instagram_reach_raw!$A$4:$A1000,Instagram_reach_raw!$B$4:$B1000)</f>
        <v>#N/A</v>
      </c>
    </row>
    <row r="937">
      <c r="A937" s="30" t="str">
        <f>Instagram_reach_raw!$A939</f>
        <v/>
      </c>
      <c r="B937" s="29" t="str">
        <f>Instagram_interactions_raw!$A939</f>
        <v/>
      </c>
      <c r="C937" s="26" t="str">
        <f t="shared" si="1"/>
        <v/>
      </c>
      <c r="D937" s="26" t="str">
        <f t="array" ref="D937">XLOOKUP($A937,Instagram_follows_raw!$A$4:$A1000,Instagram_follows_raw!$B$4:$B1000)</f>
        <v>#N/A</v>
      </c>
      <c r="E937" s="26" t="str">
        <f t="array" ref="E937">XLOOKUP($A937,Instagram_interactions_raw!$A$4:$A1000,Instagram_interactions_raw!$B$4:$B1000)</f>
        <v>#N/A</v>
      </c>
      <c r="F937" s="26" t="str">
        <f t="array" ref="F937">XLOOKUP($A937,Instagram_reach_raw!$A$4:$A1000,Instagram_reach_raw!$B$4:$B1000)</f>
        <v>#N/A</v>
      </c>
    </row>
    <row r="938">
      <c r="A938" s="30" t="str">
        <f>Instagram_reach_raw!$A940</f>
        <v/>
      </c>
      <c r="B938" s="29" t="str">
        <f>Instagram_interactions_raw!$A940</f>
        <v/>
      </c>
      <c r="C938" s="26" t="str">
        <f t="shared" si="1"/>
        <v/>
      </c>
      <c r="D938" s="26" t="str">
        <f t="array" ref="D938">XLOOKUP($A938,Instagram_follows_raw!$A$4:$A1000,Instagram_follows_raw!$B$4:$B1000)</f>
        <v>#N/A</v>
      </c>
      <c r="E938" s="26" t="str">
        <f t="array" ref="E938">XLOOKUP($A938,Instagram_interactions_raw!$A$4:$A1000,Instagram_interactions_raw!$B$4:$B1000)</f>
        <v>#N/A</v>
      </c>
      <c r="F938" s="26" t="str">
        <f t="array" ref="F938">XLOOKUP($A938,Instagram_reach_raw!$A$4:$A1000,Instagram_reach_raw!$B$4:$B1000)</f>
        <v>#N/A</v>
      </c>
    </row>
    <row r="939">
      <c r="A939" s="30" t="str">
        <f>Instagram_reach_raw!$A941</f>
        <v/>
      </c>
      <c r="B939" s="29" t="str">
        <f>Instagram_interactions_raw!$A941</f>
        <v/>
      </c>
      <c r="C939" s="26" t="str">
        <f t="shared" si="1"/>
        <v/>
      </c>
      <c r="D939" s="26" t="str">
        <f t="array" ref="D939">XLOOKUP($A939,Instagram_follows_raw!$A$4:$A1000,Instagram_follows_raw!$B$4:$B1000)</f>
        <v>#N/A</v>
      </c>
      <c r="E939" s="26" t="str">
        <f t="array" ref="E939">XLOOKUP($A939,Instagram_interactions_raw!$A$4:$A1000,Instagram_interactions_raw!$B$4:$B1000)</f>
        <v>#N/A</v>
      </c>
      <c r="F939" s="26" t="str">
        <f t="array" ref="F939">XLOOKUP($A939,Instagram_reach_raw!$A$4:$A1000,Instagram_reach_raw!$B$4:$B1000)</f>
        <v>#N/A</v>
      </c>
    </row>
    <row r="940">
      <c r="A940" s="30" t="str">
        <f>Instagram_reach_raw!$A942</f>
        <v/>
      </c>
      <c r="B940" s="29" t="str">
        <f>Instagram_interactions_raw!$A942</f>
        <v/>
      </c>
      <c r="C940" s="26" t="str">
        <f t="shared" si="1"/>
        <v/>
      </c>
      <c r="D940" s="26" t="str">
        <f t="array" ref="D940">XLOOKUP($A940,Instagram_follows_raw!$A$4:$A1000,Instagram_follows_raw!$B$4:$B1000)</f>
        <v>#N/A</v>
      </c>
      <c r="E940" s="26" t="str">
        <f t="array" ref="E940">XLOOKUP($A940,Instagram_interactions_raw!$A$4:$A1000,Instagram_interactions_raw!$B$4:$B1000)</f>
        <v>#N/A</v>
      </c>
      <c r="F940" s="26" t="str">
        <f t="array" ref="F940">XLOOKUP($A940,Instagram_reach_raw!$A$4:$A1000,Instagram_reach_raw!$B$4:$B1000)</f>
        <v>#N/A</v>
      </c>
    </row>
    <row r="941">
      <c r="A941" s="30" t="str">
        <f>Instagram_reach_raw!$A943</f>
        <v/>
      </c>
      <c r="B941" s="29" t="str">
        <f>Instagram_interactions_raw!$A943</f>
        <v/>
      </c>
      <c r="C941" s="26" t="str">
        <f t="shared" si="1"/>
        <v/>
      </c>
      <c r="D941" s="26" t="str">
        <f t="array" ref="D941">XLOOKUP($A941,Instagram_follows_raw!$A$4:$A1000,Instagram_follows_raw!$B$4:$B1000)</f>
        <v>#N/A</v>
      </c>
      <c r="E941" s="26" t="str">
        <f t="array" ref="E941">XLOOKUP($A941,Instagram_interactions_raw!$A$4:$A1000,Instagram_interactions_raw!$B$4:$B1000)</f>
        <v>#N/A</v>
      </c>
      <c r="F941" s="26" t="str">
        <f t="array" ref="F941">XLOOKUP($A941,Instagram_reach_raw!$A$4:$A1000,Instagram_reach_raw!$B$4:$B1000)</f>
        <v>#N/A</v>
      </c>
    </row>
    <row r="942">
      <c r="A942" s="30" t="str">
        <f>Instagram_reach_raw!$A944</f>
        <v/>
      </c>
      <c r="B942" s="29" t="str">
        <f>Instagram_interactions_raw!$A944</f>
        <v/>
      </c>
      <c r="C942" s="26" t="str">
        <f t="shared" si="1"/>
        <v/>
      </c>
      <c r="D942" s="26" t="str">
        <f t="array" ref="D942">XLOOKUP($A942,Instagram_follows_raw!$A$4:$A1000,Instagram_follows_raw!$B$4:$B1000)</f>
        <v>#N/A</v>
      </c>
      <c r="E942" s="26" t="str">
        <f t="array" ref="E942">XLOOKUP($A942,Instagram_interactions_raw!$A$4:$A1000,Instagram_interactions_raw!$B$4:$B1000)</f>
        <v>#N/A</v>
      </c>
      <c r="F942" s="26" t="str">
        <f t="array" ref="F942">XLOOKUP($A942,Instagram_reach_raw!$A$4:$A1000,Instagram_reach_raw!$B$4:$B1000)</f>
        <v>#N/A</v>
      </c>
    </row>
    <row r="943">
      <c r="A943" s="30" t="str">
        <f>Instagram_reach_raw!$A945</f>
        <v/>
      </c>
      <c r="B943" s="29" t="str">
        <f>Instagram_interactions_raw!$A945</f>
        <v/>
      </c>
      <c r="C943" s="26" t="str">
        <f t="shared" si="1"/>
        <v/>
      </c>
      <c r="D943" s="26" t="str">
        <f t="array" ref="D943">XLOOKUP($A943,Instagram_follows_raw!$A$4:$A1000,Instagram_follows_raw!$B$4:$B1000)</f>
        <v>#N/A</v>
      </c>
      <c r="E943" s="26" t="str">
        <f t="array" ref="E943">XLOOKUP($A943,Instagram_interactions_raw!$A$4:$A1000,Instagram_interactions_raw!$B$4:$B1000)</f>
        <v>#N/A</v>
      </c>
      <c r="F943" s="26" t="str">
        <f t="array" ref="F943">XLOOKUP($A943,Instagram_reach_raw!$A$4:$A1000,Instagram_reach_raw!$B$4:$B1000)</f>
        <v>#N/A</v>
      </c>
    </row>
    <row r="944">
      <c r="A944" s="30" t="str">
        <f>Instagram_reach_raw!$A946</f>
        <v/>
      </c>
      <c r="B944" s="29" t="str">
        <f>Instagram_interactions_raw!$A946</f>
        <v/>
      </c>
      <c r="C944" s="26" t="str">
        <f t="shared" si="1"/>
        <v/>
      </c>
      <c r="D944" s="26" t="str">
        <f t="array" ref="D944">XLOOKUP($A944,Instagram_follows_raw!$A$4:$A1000,Instagram_follows_raw!$B$4:$B1000)</f>
        <v>#N/A</v>
      </c>
      <c r="E944" s="26" t="str">
        <f t="array" ref="E944">XLOOKUP($A944,Instagram_interactions_raw!$A$4:$A1000,Instagram_interactions_raw!$B$4:$B1000)</f>
        <v>#N/A</v>
      </c>
      <c r="F944" s="26" t="str">
        <f t="array" ref="F944">XLOOKUP($A944,Instagram_reach_raw!$A$4:$A1000,Instagram_reach_raw!$B$4:$B1000)</f>
        <v>#N/A</v>
      </c>
    </row>
    <row r="945">
      <c r="A945" s="30" t="str">
        <f>Instagram_reach_raw!$A947</f>
        <v/>
      </c>
      <c r="B945" s="29" t="str">
        <f>Instagram_interactions_raw!$A947</f>
        <v/>
      </c>
      <c r="C945" s="26" t="str">
        <f t="shared" si="1"/>
        <v/>
      </c>
      <c r="D945" s="26" t="str">
        <f t="array" ref="D945">XLOOKUP($A945,Instagram_follows_raw!$A$4:$A1000,Instagram_follows_raw!$B$4:$B1000)</f>
        <v>#N/A</v>
      </c>
      <c r="E945" s="26" t="str">
        <f t="array" ref="E945">XLOOKUP($A945,Instagram_interactions_raw!$A$4:$A1000,Instagram_interactions_raw!$B$4:$B1000)</f>
        <v>#N/A</v>
      </c>
      <c r="F945" s="26" t="str">
        <f t="array" ref="F945">XLOOKUP($A945,Instagram_reach_raw!$A$4:$A1000,Instagram_reach_raw!$B$4:$B1000)</f>
        <v>#N/A</v>
      </c>
    </row>
    <row r="946">
      <c r="A946" s="30" t="str">
        <f>Instagram_reach_raw!$A948</f>
        <v/>
      </c>
      <c r="B946" s="29" t="str">
        <f>Instagram_interactions_raw!$A948</f>
        <v/>
      </c>
      <c r="C946" s="26" t="str">
        <f t="shared" si="1"/>
        <v/>
      </c>
      <c r="D946" s="26" t="str">
        <f t="array" ref="D946">XLOOKUP($A946,Instagram_follows_raw!$A$4:$A1000,Instagram_follows_raw!$B$4:$B1000)</f>
        <v>#N/A</v>
      </c>
      <c r="E946" s="26" t="str">
        <f t="array" ref="E946">XLOOKUP($A946,Instagram_interactions_raw!$A$4:$A1000,Instagram_interactions_raw!$B$4:$B1000)</f>
        <v>#N/A</v>
      </c>
      <c r="F946" s="26" t="str">
        <f t="array" ref="F946">XLOOKUP($A946,Instagram_reach_raw!$A$4:$A1000,Instagram_reach_raw!$B$4:$B1000)</f>
        <v>#N/A</v>
      </c>
    </row>
    <row r="947">
      <c r="A947" s="30" t="str">
        <f>Instagram_reach_raw!$A949</f>
        <v/>
      </c>
      <c r="B947" s="29" t="str">
        <f>Instagram_interactions_raw!$A949</f>
        <v/>
      </c>
      <c r="C947" s="26" t="str">
        <f t="shared" si="1"/>
        <v/>
      </c>
      <c r="D947" s="26" t="str">
        <f t="array" ref="D947">XLOOKUP($A947,Instagram_follows_raw!$A$4:$A1000,Instagram_follows_raw!$B$4:$B1000)</f>
        <v>#N/A</v>
      </c>
      <c r="E947" s="26" t="str">
        <f t="array" ref="E947">XLOOKUP($A947,Instagram_interactions_raw!$A$4:$A1000,Instagram_interactions_raw!$B$4:$B1000)</f>
        <v>#N/A</v>
      </c>
      <c r="F947" s="26" t="str">
        <f t="array" ref="F947">XLOOKUP($A947,Instagram_reach_raw!$A$4:$A1000,Instagram_reach_raw!$B$4:$B1000)</f>
        <v>#N/A</v>
      </c>
    </row>
    <row r="948">
      <c r="A948" s="30" t="str">
        <f>Instagram_reach_raw!$A950</f>
        <v/>
      </c>
      <c r="B948" s="29" t="str">
        <f>Instagram_interactions_raw!$A950</f>
        <v/>
      </c>
      <c r="C948" s="26" t="str">
        <f t="shared" si="1"/>
        <v/>
      </c>
      <c r="D948" s="26" t="str">
        <f t="array" ref="D948">XLOOKUP($A948,Instagram_follows_raw!$A$4:$A1000,Instagram_follows_raw!$B$4:$B1000)</f>
        <v>#N/A</v>
      </c>
      <c r="E948" s="26" t="str">
        <f t="array" ref="E948">XLOOKUP($A948,Instagram_interactions_raw!$A$4:$A1000,Instagram_interactions_raw!$B$4:$B1000)</f>
        <v>#N/A</v>
      </c>
      <c r="F948" s="26" t="str">
        <f t="array" ref="F948">XLOOKUP($A948,Instagram_reach_raw!$A$4:$A1000,Instagram_reach_raw!$B$4:$B1000)</f>
        <v>#N/A</v>
      </c>
    </row>
    <row r="949">
      <c r="A949" s="30" t="str">
        <f>Instagram_reach_raw!$A951</f>
        <v/>
      </c>
      <c r="B949" s="29" t="str">
        <f>Instagram_interactions_raw!$A951</f>
        <v/>
      </c>
      <c r="C949" s="26" t="str">
        <f t="shared" si="1"/>
        <v/>
      </c>
      <c r="D949" s="26" t="str">
        <f t="array" ref="D949">XLOOKUP($A949,Instagram_follows_raw!$A$4:$A1000,Instagram_follows_raw!$B$4:$B1000)</f>
        <v>#N/A</v>
      </c>
      <c r="E949" s="26" t="str">
        <f t="array" ref="E949">XLOOKUP($A949,Instagram_interactions_raw!$A$4:$A1000,Instagram_interactions_raw!$B$4:$B1000)</f>
        <v>#N/A</v>
      </c>
      <c r="F949" s="26" t="str">
        <f t="array" ref="F949">XLOOKUP($A949,Instagram_reach_raw!$A$4:$A1000,Instagram_reach_raw!$B$4:$B1000)</f>
        <v>#N/A</v>
      </c>
    </row>
    <row r="950">
      <c r="A950" s="30" t="str">
        <f>Instagram_reach_raw!$A952</f>
        <v/>
      </c>
      <c r="B950" s="29" t="str">
        <f>Instagram_interactions_raw!$A952</f>
        <v/>
      </c>
      <c r="C950" s="26" t="str">
        <f t="shared" si="1"/>
        <v/>
      </c>
      <c r="D950" s="26" t="str">
        <f t="array" ref="D950">XLOOKUP($A950,Instagram_follows_raw!$A$4:$A1000,Instagram_follows_raw!$B$4:$B1000)</f>
        <v>#N/A</v>
      </c>
      <c r="E950" s="26" t="str">
        <f t="array" ref="E950">XLOOKUP($A950,Instagram_interactions_raw!$A$4:$A1000,Instagram_interactions_raw!$B$4:$B1000)</f>
        <v>#N/A</v>
      </c>
      <c r="F950" s="26" t="str">
        <f t="array" ref="F950">XLOOKUP($A950,Instagram_reach_raw!$A$4:$A1000,Instagram_reach_raw!$B$4:$B1000)</f>
        <v>#N/A</v>
      </c>
    </row>
    <row r="951">
      <c r="A951" s="30" t="str">
        <f>Instagram_reach_raw!$A953</f>
        <v/>
      </c>
      <c r="B951" s="29" t="str">
        <f>Instagram_interactions_raw!$A953</f>
        <v/>
      </c>
      <c r="C951" s="26" t="str">
        <f t="shared" si="1"/>
        <v/>
      </c>
      <c r="D951" s="26" t="str">
        <f t="array" ref="D951">XLOOKUP($A951,Instagram_follows_raw!$A$4:$A1000,Instagram_follows_raw!$B$4:$B1000)</f>
        <v>#N/A</v>
      </c>
      <c r="E951" s="26" t="str">
        <f t="array" ref="E951">XLOOKUP($A951,Instagram_interactions_raw!$A$4:$A1000,Instagram_interactions_raw!$B$4:$B1000)</f>
        <v>#N/A</v>
      </c>
      <c r="F951" s="26" t="str">
        <f t="array" ref="F951">XLOOKUP($A951,Instagram_reach_raw!$A$4:$A1000,Instagram_reach_raw!$B$4:$B1000)</f>
        <v>#N/A</v>
      </c>
    </row>
    <row r="952">
      <c r="A952" s="30" t="str">
        <f>Instagram_reach_raw!$A954</f>
        <v/>
      </c>
      <c r="B952" s="29" t="str">
        <f>Instagram_interactions_raw!$A954</f>
        <v/>
      </c>
      <c r="C952" s="26" t="str">
        <f t="shared" si="1"/>
        <v/>
      </c>
      <c r="D952" s="26" t="str">
        <f t="array" ref="D952">XLOOKUP($A952,Instagram_follows_raw!$A$4:$A1000,Instagram_follows_raw!$B$4:$B1000)</f>
        <v>#N/A</v>
      </c>
      <c r="E952" s="26" t="str">
        <f t="array" ref="E952">XLOOKUP($A952,Instagram_interactions_raw!$A$4:$A1000,Instagram_interactions_raw!$B$4:$B1000)</f>
        <v>#N/A</v>
      </c>
      <c r="F952" s="26" t="str">
        <f t="array" ref="F952">XLOOKUP($A952,Instagram_reach_raw!$A$4:$A1000,Instagram_reach_raw!$B$4:$B1000)</f>
        <v>#N/A</v>
      </c>
    </row>
    <row r="953">
      <c r="A953" s="30" t="str">
        <f>Instagram_reach_raw!$A955</f>
        <v/>
      </c>
      <c r="B953" s="29" t="str">
        <f>Instagram_interactions_raw!$A955</f>
        <v/>
      </c>
      <c r="C953" s="26" t="str">
        <f t="shared" si="1"/>
        <v/>
      </c>
      <c r="D953" s="26" t="str">
        <f t="array" ref="D953">XLOOKUP($A953,Instagram_follows_raw!$A$4:$A1000,Instagram_follows_raw!$B$4:$B1000)</f>
        <v>#N/A</v>
      </c>
      <c r="E953" s="26" t="str">
        <f t="array" ref="E953">XLOOKUP($A953,Instagram_interactions_raw!$A$4:$A1000,Instagram_interactions_raw!$B$4:$B1000)</f>
        <v>#N/A</v>
      </c>
      <c r="F953" s="26" t="str">
        <f t="array" ref="F953">XLOOKUP($A953,Instagram_reach_raw!$A$4:$A1000,Instagram_reach_raw!$B$4:$B1000)</f>
        <v>#N/A</v>
      </c>
    </row>
    <row r="954">
      <c r="A954" s="30" t="str">
        <f>Instagram_reach_raw!$A956</f>
        <v/>
      </c>
      <c r="B954" s="29" t="str">
        <f>Instagram_interactions_raw!$A956</f>
        <v/>
      </c>
      <c r="C954" s="26" t="str">
        <f t="shared" si="1"/>
        <v/>
      </c>
      <c r="D954" s="26" t="str">
        <f t="array" ref="D954">XLOOKUP($A954,Instagram_follows_raw!$A$4:$A1000,Instagram_follows_raw!$B$4:$B1000)</f>
        <v>#N/A</v>
      </c>
      <c r="E954" s="26" t="str">
        <f t="array" ref="E954">XLOOKUP($A954,Instagram_interactions_raw!$A$4:$A1000,Instagram_interactions_raw!$B$4:$B1000)</f>
        <v>#N/A</v>
      </c>
      <c r="F954" s="26" t="str">
        <f t="array" ref="F954">XLOOKUP($A954,Instagram_reach_raw!$A$4:$A1000,Instagram_reach_raw!$B$4:$B1000)</f>
        <v>#N/A</v>
      </c>
    </row>
    <row r="955">
      <c r="A955" s="30" t="str">
        <f>Instagram_reach_raw!$A957</f>
        <v/>
      </c>
      <c r="B955" s="29" t="str">
        <f>Instagram_interactions_raw!$A957</f>
        <v/>
      </c>
      <c r="C955" s="26" t="str">
        <f t="shared" si="1"/>
        <v/>
      </c>
      <c r="D955" s="26" t="str">
        <f t="array" ref="D955">XLOOKUP($A955,Instagram_follows_raw!$A$4:$A1000,Instagram_follows_raw!$B$4:$B1000)</f>
        <v>#N/A</v>
      </c>
      <c r="E955" s="26" t="str">
        <f t="array" ref="E955">XLOOKUP($A955,Instagram_interactions_raw!$A$4:$A1000,Instagram_interactions_raw!$B$4:$B1000)</f>
        <v>#N/A</v>
      </c>
      <c r="F955" s="26" t="str">
        <f t="array" ref="F955">XLOOKUP($A955,Instagram_reach_raw!$A$4:$A1000,Instagram_reach_raw!$B$4:$B1000)</f>
        <v>#N/A</v>
      </c>
    </row>
    <row r="956">
      <c r="A956" s="30" t="str">
        <f>Instagram_reach_raw!$A958</f>
        <v/>
      </c>
      <c r="B956" s="29" t="str">
        <f>Instagram_interactions_raw!$A958</f>
        <v/>
      </c>
      <c r="C956" s="26" t="str">
        <f t="shared" si="1"/>
        <v/>
      </c>
      <c r="D956" s="26" t="str">
        <f t="array" ref="D956">XLOOKUP($A956,Instagram_follows_raw!$A$4:$A1000,Instagram_follows_raw!$B$4:$B1000)</f>
        <v>#N/A</v>
      </c>
      <c r="E956" s="26" t="str">
        <f t="array" ref="E956">XLOOKUP($A956,Instagram_interactions_raw!$A$4:$A1000,Instagram_interactions_raw!$B$4:$B1000)</f>
        <v>#N/A</v>
      </c>
      <c r="F956" s="26" t="str">
        <f t="array" ref="F956">XLOOKUP($A956,Instagram_reach_raw!$A$4:$A1000,Instagram_reach_raw!$B$4:$B1000)</f>
        <v>#N/A</v>
      </c>
    </row>
    <row r="957">
      <c r="A957" s="30" t="str">
        <f>Instagram_reach_raw!$A959</f>
        <v/>
      </c>
      <c r="B957" s="29" t="str">
        <f>Instagram_interactions_raw!$A959</f>
        <v/>
      </c>
      <c r="C957" s="26" t="str">
        <f t="shared" si="1"/>
        <v/>
      </c>
      <c r="D957" s="26" t="str">
        <f t="array" ref="D957">XLOOKUP($A957,Instagram_follows_raw!$A$4:$A1000,Instagram_follows_raw!$B$4:$B1000)</f>
        <v>#N/A</v>
      </c>
      <c r="E957" s="26" t="str">
        <f t="array" ref="E957">XLOOKUP($A957,Instagram_interactions_raw!$A$4:$A1000,Instagram_interactions_raw!$B$4:$B1000)</f>
        <v>#N/A</v>
      </c>
      <c r="F957" s="26" t="str">
        <f t="array" ref="F957">XLOOKUP($A957,Instagram_reach_raw!$A$4:$A1000,Instagram_reach_raw!$B$4:$B1000)</f>
        <v>#N/A</v>
      </c>
    </row>
    <row r="958">
      <c r="A958" s="30" t="str">
        <f>Instagram_reach_raw!$A960</f>
        <v/>
      </c>
      <c r="B958" s="29" t="str">
        <f>Instagram_interactions_raw!$A960</f>
        <v/>
      </c>
      <c r="C958" s="26" t="str">
        <f t="shared" si="1"/>
        <v/>
      </c>
      <c r="D958" s="26" t="str">
        <f t="array" ref="D958">XLOOKUP($A958,Instagram_follows_raw!$A$4:$A1000,Instagram_follows_raw!$B$4:$B1000)</f>
        <v>#N/A</v>
      </c>
      <c r="E958" s="26" t="str">
        <f t="array" ref="E958">XLOOKUP($A958,Instagram_interactions_raw!$A$4:$A1000,Instagram_interactions_raw!$B$4:$B1000)</f>
        <v>#N/A</v>
      </c>
      <c r="F958" s="26" t="str">
        <f t="array" ref="F958">XLOOKUP($A958,Instagram_reach_raw!$A$4:$A1000,Instagram_reach_raw!$B$4:$B1000)</f>
        <v>#N/A</v>
      </c>
    </row>
    <row r="959">
      <c r="A959" s="30" t="str">
        <f>Instagram_reach_raw!$A961</f>
        <v/>
      </c>
      <c r="B959" s="29" t="str">
        <f>Instagram_interactions_raw!$A961</f>
        <v/>
      </c>
      <c r="C959" s="26" t="str">
        <f t="shared" si="1"/>
        <v/>
      </c>
      <c r="D959" s="26" t="str">
        <f t="array" ref="D959">XLOOKUP($A959,Instagram_follows_raw!$A$4:$A1000,Instagram_follows_raw!$B$4:$B1000)</f>
        <v>#N/A</v>
      </c>
      <c r="E959" s="26" t="str">
        <f t="array" ref="E959">XLOOKUP($A959,Instagram_interactions_raw!$A$4:$A1000,Instagram_interactions_raw!$B$4:$B1000)</f>
        <v>#N/A</v>
      </c>
      <c r="F959" s="26" t="str">
        <f t="array" ref="F959">XLOOKUP($A959,Instagram_reach_raw!$A$4:$A1000,Instagram_reach_raw!$B$4:$B1000)</f>
        <v>#N/A</v>
      </c>
    </row>
    <row r="960">
      <c r="A960" s="30" t="str">
        <f>Instagram_reach_raw!$A962</f>
        <v/>
      </c>
      <c r="B960" s="29" t="str">
        <f>Instagram_interactions_raw!$A962</f>
        <v/>
      </c>
      <c r="C960" s="26" t="str">
        <f t="shared" si="1"/>
        <v/>
      </c>
      <c r="D960" s="26" t="str">
        <f t="array" ref="D960">XLOOKUP($A960,Instagram_follows_raw!$A$4:$A1000,Instagram_follows_raw!$B$4:$B1000)</f>
        <v>#N/A</v>
      </c>
      <c r="E960" s="26" t="str">
        <f t="array" ref="E960">XLOOKUP($A960,Instagram_interactions_raw!$A$4:$A1000,Instagram_interactions_raw!$B$4:$B1000)</f>
        <v>#N/A</v>
      </c>
      <c r="F960" s="26" t="str">
        <f t="array" ref="F960">XLOOKUP($A960,Instagram_reach_raw!$A$4:$A1000,Instagram_reach_raw!$B$4:$B1000)</f>
        <v>#N/A</v>
      </c>
    </row>
    <row r="961">
      <c r="A961" s="30" t="str">
        <f>Instagram_reach_raw!$A963</f>
        <v/>
      </c>
      <c r="B961" s="29" t="str">
        <f>Instagram_interactions_raw!$A963</f>
        <v/>
      </c>
      <c r="C961" s="26" t="str">
        <f t="shared" si="1"/>
        <v/>
      </c>
      <c r="D961" s="26" t="str">
        <f t="array" ref="D961">XLOOKUP($A961,Instagram_follows_raw!$A$4:$A1000,Instagram_follows_raw!$B$4:$B1000)</f>
        <v>#N/A</v>
      </c>
      <c r="E961" s="26" t="str">
        <f t="array" ref="E961">XLOOKUP($A961,Instagram_interactions_raw!$A$4:$A1000,Instagram_interactions_raw!$B$4:$B1000)</f>
        <v>#N/A</v>
      </c>
      <c r="F961" s="26" t="str">
        <f t="array" ref="F961">XLOOKUP($A961,Instagram_reach_raw!$A$4:$A1000,Instagram_reach_raw!$B$4:$B1000)</f>
        <v>#N/A</v>
      </c>
    </row>
    <row r="962">
      <c r="A962" s="30" t="str">
        <f>Instagram_reach_raw!$A964</f>
        <v/>
      </c>
      <c r="B962" s="29" t="str">
        <f>Instagram_interactions_raw!$A964</f>
        <v/>
      </c>
      <c r="C962" s="26" t="str">
        <f t="shared" si="1"/>
        <v/>
      </c>
      <c r="D962" s="26" t="str">
        <f t="array" ref="D962">XLOOKUP($A962,Instagram_follows_raw!$A$4:$A1000,Instagram_follows_raw!$B$4:$B1000)</f>
        <v>#N/A</v>
      </c>
      <c r="E962" s="26" t="str">
        <f t="array" ref="E962">XLOOKUP($A962,Instagram_interactions_raw!$A$4:$A1000,Instagram_interactions_raw!$B$4:$B1000)</f>
        <v>#N/A</v>
      </c>
      <c r="F962" s="26" t="str">
        <f t="array" ref="F962">XLOOKUP($A962,Instagram_reach_raw!$A$4:$A1000,Instagram_reach_raw!$B$4:$B1000)</f>
        <v>#N/A</v>
      </c>
    </row>
    <row r="963">
      <c r="A963" s="30" t="str">
        <f>Instagram_reach_raw!$A965</f>
        <v/>
      </c>
      <c r="B963" s="29" t="str">
        <f>Instagram_interactions_raw!$A965</f>
        <v/>
      </c>
      <c r="C963" s="26" t="str">
        <f t="shared" si="1"/>
        <v/>
      </c>
      <c r="D963" s="26" t="str">
        <f t="array" ref="D963">XLOOKUP($A963,Instagram_follows_raw!$A$4:$A1000,Instagram_follows_raw!$B$4:$B1000)</f>
        <v>#N/A</v>
      </c>
      <c r="E963" s="26" t="str">
        <f t="array" ref="E963">XLOOKUP($A963,Instagram_interactions_raw!$A$4:$A1000,Instagram_interactions_raw!$B$4:$B1000)</f>
        <v>#N/A</v>
      </c>
      <c r="F963" s="26" t="str">
        <f t="array" ref="F963">XLOOKUP($A963,Instagram_reach_raw!$A$4:$A1000,Instagram_reach_raw!$B$4:$B1000)</f>
        <v>#N/A</v>
      </c>
    </row>
    <row r="964">
      <c r="A964" s="30" t="str">
        <f>Instagram_reach_raw!$A966</f>
        <v/>
      </c>
      <c r="B964" s="29" t="str">
        <f>Instagram_interactions_raw!$A966</f>
        <v/>
      </c>
      <c r="C964" s="26" t="str">
        <f t="shared" si="1"/>
        <v/>
      </c>
      <c r="D964" s="26" t="str">
        <f t="array" ref="D964">XLOOKUP($A964,Instagram_follows_raw!$A$4:$A1000,Instagram_follows_raw!$B$4:$B1000)</f>
        <v>#N/A</v>
      </c>
      <c r="E964" s="26" t="str">
        <f t="array" ref="E964">XLOOKUP($A964,Instagram_interactions_raw!$A$4:$A1000,Instagram_interactions_raw!$B$4:$B1000)</f>
        <v>#N/A</v>
      </c>
      <c r="F964" s="26" t="str">
        <f t="array" ref="F964">XLOOKUP($A964,Instagram_reach_raw!$A$4:$A1000,Instagram_reach_raw!$B$4:$B1000)</f>
        <v>#N/A</v>
      </c>
    </row>
    <row r="965">
      <c r="A965" s="30" t="str">
        <f>Instagram_reach_raw!$A967</f>
        <v/>
      </c>
      <c r="B965" s="29" t="str">
        <f>Instagram_interactions_raw!$A967</f>
        <v/>
      </c>
      <c r="C965" s="26" t="str">
        <f t="shared" si="1"/>
        <v/>
      </c>
      <c r="D965" s="26" t="str">
        <f t="array" ref="D965">XLOOKUP($A965,Instagram_follows_raw!$A$4:$A1000,Instagram_follows_raw!$B$4:$B1000)</f>
        <v>#N/A</v>
      </c>
      <c r="E965" s="26" t="str">
        <f t="array" ref="E965">XLOOKUP($A965,Instagram_interactions_raw!$A$4:$A1000,Instagram_interactions_raw!$B$4:$B1000)</f>
        <v>#N/A</v>
      </c>
      <c r="F965" s="26" t="str">
        <f t="array" ref="F965">XLOOKUP($A965,Instagram_reach_raw!$A$4:$A1000,Instagram_reach_raw!$B$4:$B1000)</f>
        <v>#N/A</v>
      </c>
    </row>
    <row r="966">
      <c r="A966" s="30" t="str">
        <f>Instagram_reach_raw!$A968</f>
        <v/>
      </c>
      <c r="B966" s="29" t="str">
        <f>Instagram_interactions_raw!$A968</f>
        <v/>
      </c>
      <c r="C966" s="26" t="str">
        <f t="shared" si="1"/>
        <v/>
      </c>
      <c r="D966" s="26" t="str">
        <f t="array" ref="D966">XLOOKUP($A966,Instagram_follows_raw!$A$4:$A1000,Instagram_follows_raw!$B$4:$B1000)</f>
        <v>#N/A</v>
      </c>
      <c r="E966" s="26" t="str">
        <f t="array" ref="E966">XLOOKUP($A966,Instagram_interactions_raw!$A$4:$A1000,Instagram_interactions_raw!$B$4:$B1000)</f>
        <v>#N/A</v>
      </c>
      <c r="F966" s="26" t="str">
        <f t="array" ref="F966">XLOOKUP($A966,Instagram_reach_raw!$A$4:$A1000,Instagram_reach_raw!$B$4:$B1000)</f>
        <v>#N/A</v>
      </c>
    </row>
    <row r="967">
      <c r="A967" s="30" t="str">
        <f>Instagram_reach_raw!$A969</f>
        <v/>
      </c>
      <c r="B967" s="29" t="str">
        <f>Instagram_interactions_raw!$A969</f>
        <v/>
      </c>
      <c r="C967" s="26" t="str">
        <f t="shared" si="1"/>
        <v/>
      </c>
      <c r="D967" s="26" t="str">
        <f t="array" ref="D967">XLOOKUP($A967,Instagram_follows_raw!$A$4:$A1000,Instagram_follows_raw!$B$4:$B1000)</f>
        <v>#N/A</v>
      </c>
      <c r="E967" s="26" t="str">
        <f t="array" ref="E967">XLOOKUP($A967,Instagram_interactions_raw!$A$4:$A1000,Instagram_interactions_raw!$B$4:$B1000)</f>
        <v>#N/A</v>
      </c>
      <c r="F967" s="26" t="str">
        <f t="array" ref="F967">XLOOKUP($A967,Instagram_reach_raw!$A$4:$A1000,Instagram_reach_raw!$B$4:$B1000)</f>
        <v>#N/A</v>
      </c>
    </row>
    <row r="968">
      <c r="A968" s="30" t="str">
        <f>Instagram_reach_raw!$A970</f>
        <v/>
      </c>
      <c r="B968" s="29" t="str">
        <f>Instagram_interactions_raw!$A970</f>
        <v/>
      </c>
      <c r="C968" s="26" t="str">
        <f t="shared" si="1"/>
        <v/>
      </c>
      <c r="D968" s="26" t="str">
        <f t="array" ref="D968">XLOOKUP($A968,Instagram_follows_raw!$A$4:$A1000,Instagram_follows_raw!$B$4:$B1000)</f>
        <v>#N/A</v>
      </c>
      <c r="E968" s="26" t="str">
        <f t="array" ref="E968">XLOOKUP($A968,Instagram_interactions_raw!$A$4:$A1000,Instagram_interactions_raw!$B$4:$B1000)</f>
        <v>#N/A</v>
      </c>
      <c r="F968" s="26" t="str">
        <f t="array" ref="F968">XLOOKUP($A968,Instagram_reach_raw!$A$4:$A1000,Instagram_reach_raw!$B$4:$B1000)</f>
        <v>#N/A</v>
      </c>
    </row>
    <row r="969">
      <c r="A969" s="30" t="str">
        <f>Instagram_reach_raw!$A971</f>
        <v/>
      </c>
      <c r="B969" s="29" t="str">
        <f>Instagram_interactions_raw!$A971</f>
        <v/>
      </c>
      <c r="C969" s="26" t="str">
        <f t="shared" si="1"/>
        <v/>
      </c>
      <c r="D969" s="26" t="str">
        <f t="array" ref="D969">XLOOKUP($A969,Instagram_follows_raw!$A$4:$A1000,Instagram_follows_raw!$B$4:$B1000)</f>
        <v>#N/A</v>
      </c>
      <c r="E969" s="26" t="str">
        <f t="array" ref="E969">XLOOKUP($A969,Instagram_interactions_raw!$A$4:$A1000,Instagram_interactions_raw!$B$4:$B1000)</f>
        <v>#N/A</v>
      </c>
      <c r="F969" s="26" t="str">
        <f t="array" ref="F969">XLOOKUP($A969,Instagram_reach_raw!$A$4:$A1000,Instagram_reach_raw!$B$4:$B1000)</f>
        <v>#N/A</v>
      </c>
    </row>
    <row r="970">
      <c r="A970" s="30" t="str">
        <f>Instagram_reach_raw!$A972</f>
        <v/>
      </c>
      <c r="B970" s="29" t="str">
        <f>Instagram_interactions_raw!$A972</f>
        <v/>
      </c>
      <c r="C970" s="26" t="str">
        <f t="shared" si="1"/>
        <v/>
      </c>
      <c r="D970" s="26" t="str">
        <f t="array" ref="D970">XLOOKUP($A970,Instagram_follows_raw!$A$4:$A1000,Instagram_follows_raw!$B$4:$B1000)</f>
        <v>#N/A</v>
      </c>
      <c r="E970" s="26" t="str">
        <f t="array" ref="E970">XLOOKUP($A970,Instagram_interactions_raw!$A$4:$A1000,Instagram_interactions_raw!$B$4:$B1000)</f>
        <v>#N/A</v>
      </c>
      <c r="F970" s="26" t="str">
        <f t="array" ref="F970">XLOOKUP($A970,Instagram_reach_raw!$A$4:$A1000,Instagram_reach_raw!$B$4:$B1000)</f>
        <v>#N/A</v>
      </c>
    </row>
    <row r="971">
      <c r="A971" s="30" t="str">
        <f>Instagram_reach_raw!$A973</f>
        <v/>
      </c>
      <c r="B971" s="29" t="str">
        <f>Instagram_interactions_raw!$A973</f>
        <v/>
      </c>
      <c r="C971" s="26" t="str">
        <f t="shared" si="1"/>
        <v/>
      </c>
      <c r="D971" s="26" t="str">
        <f t="array" ref="D971">XLOOKUP($A971,Instagram_follows_raw!$A$4:$A1000,Instagram_follows_raw!$B$4:$B1000)</f>
        <v>#N/A</v>
      </c>
      <c r="E971" s="26" t="str">
        <f t="array" ref="E971">XLOOKUP($A971,Instagram_interactions_raw!$A$4:$A1000,Instagram_interactions_raw!$B$4:$B1000)</f>
        <v>#N/A</v>
      </c>
      <c r="F971" s="26" t="str">
        <f t="array" ref="F971">XLOOKUP($A971,Instagram_reach_raw!$A$4:$A1000,Instagram_reach_raw!$B$4:$B1000)</f>
        <v>#N/A</v>
      </c>
    </row>
    <row r="972">
      <c r="A972" s="30" t="str">
        <f>Instagram_reach_raw!$A974</f>
        <v/>
      </c>
      <c r="B972" s="29" t="str">
        <f>Instagram_interactions_raw!$A974</f>
        <v/>
      </c>
      <c r="C972" s="26" t="str">
        <f t="shared" si="1"/>
        <v/>
      </c>
      <c r="D972" s="26" t="str">
        <f t="array" ref="D972">XLOOKUP($A972,Instagram_follows_raw!$A$4:$A1000,Instagram_follows_raw!$B$4:$B1000)</f>
        <v>#N/A</v>
      </c>
      <c r="E972" s="26" t="str">
        <f t="array" ref="E972">XLOOKUP($A972,Instagram_interactions_raw!$A$4:$A1000,Instagram_interactions_raw!$B$4:$B1000)</f>
        <v>#N/A</v>
      </c>
      <c r="F972" s="26" t="str">
        <f t="array" ref="F972">XLOOKUP($A972,Instagram_reach_raw!$A$4:$A1000,Instagram_reach_raw!$B$4:$B1000)</f>
        <v>#N/A</v>
      </c>
    </row>
    <row r="973">
      <c r="A973" s="30" t="str">
        <f>Instagram_reach_raw!$A975</f>
        <v/>
      </c>
      <c r="B973" s="29" t="str">
        <f>Instagram_interactions_raw!$A975</f>
        <v/>
      </c>
      <c r="C973" s="26" t="str">
        <f t="shared" si="1"/>
        <v/>
      </c>
      <c r="D973" s="26" t="str">
        <f t="array" ref="D973">XLOOKUP($A973,Instagram_follows_raw!$A$4:$A1000,Instagram_follows_raw!$B$4:$B1000)</f>
        <v>#N/A</v>
      </c>
      <c r="E973" s="26" t="str">
        <f t="array" ref="E973">XLOOKUP($A973,Instagram_interactions_raw!$A$4:$A1000,Instagram_interactions_raw!$B$4:$B1000)</f>
        <v>#N/A</v>
      </c>
      <c r="F973" s="26" t="str">
        <f t="array" ref="F973">XLOOKUP($A973,Instagram_reach_raw!$A$4:$A1000,Instagram_reach_raw!$B$4:$B1000)</f>
        <v>#N/A</v>
      </c>
    </row>
    <row r="974">
      <c r="A974" s="30" t="str">
        <f>Instagram_reach_raw!$A976</f>
        <v/>
      </c>
      <c r="B974" s="29" t="str">
        <f>Instagram_interactions_raw!$A976</f>
        <v/>
      </c>
      <c r="C974" s="26" t="str">
        <f t="shared" si="1"/>
        <v/>
      </c>
      <c r="D974" s="26" t="str">
        <f t="array" ref="D974">XLOOKUP($A974,Instagram_follows_raw!$A$4:$A1000,Instagram_follows_raw!$B$4:$B1000)</f>
        <v>#N/A</v>
      </c>
      <c r="E974" s="26" t="str">
        <f t="array" ref="E974">XLOOKUP($A974,Instagram_interactions_raw!$A$4:$A1000,Instagram_interactions_raw!$B$4:$B1000)</f>
        <v>#N/A</v>
      </c>
      <c r="F974" s="26" t="str">
        <f t="array" ref="F974">XLOOKUP($A974,Instagram_reach_raw!$A$4:$A1000,Instagram_reach_raw!$B$4:$B1000)</f>
        <v>#N/A</v>
      </c>
    </row>
    <row r="975">
      <c r="A975" s="30" t="str">
        <f>Instagram_reach_raw!$A977</f>
        <v/>
      </c>
      <c r="B975" s="29" t="str">
        <f>Instagram_interactions_raw!$A977</f>
        <v/>
      </c>
      <c r="C975" s="26" t="str">
        <f t="shared" si="1"/>
        <v/>
      </c>
      <c r="D975" s="26" t="str">
        <f t="array" ref="D975">XLOOKUP($A975,Instagram_follows_raw!$A$4:$A1000,Instagram_follows_raw!$B$4:$B1000)</f>
        <v>#N/A</v>
      </c>
      <c r="E975" s="26" t="str">
        <f t="array" ref="E975">XLOOKUP($A975,Instagram_interactions_raw!$A$4:$A1000,Instagram_interactions_raw!$B$4:$B1000)</f>
        <v>#N/A</v>
      </c>
      <c r="F975" s="26" t="str">
        <f t="array" ref="F975">XLOOKUP($A975,Instagram_reach_raw!$A$4:$A1000,Instagram_reach_raw!$B$4:$B1000)</f>
        <v>#N/A</v>
      </c>
    </row>
    <row r="976">
      <c r="A976" s="30" t="str">
        <f>Instagram_reach_raw!$A978</f>
        <v/>
      </c>
      <c r="B976" s="29" t="str">
        <f>Instagram_interactions_raw!$A978</f>
        <v/>
      </c>
      <c r="C976" s="26" t="str">
        <f t="shared" si="1"/>
        <v/>
      </c>
      <c r="D976" s="26" t="str">
        <f t="array" ref="D976">XLOOKUP($A976,Instagram_follows_raw!$A$4:$A1000,Instagram_follows_raw!$B$4:$B1000)</f>
        <v>#N/A</v>
      </c>
      <c r="E976" s="26" t="str">
        <f t="array" ref="E976">XLOOKUP($A976,Instagram_interactions_raw!$A$4:$A1000,Instagram_interactions_raw!$B$4:$B1000)</f>
        <v>#N/A</v>
      </c>
      <c r="F976" s="26" t="str">
        <f t="array" ref="F976">XLOOKUP($A976,Instagram_reach_raw!$A$4:$A1000,Instagram_reach_raw!$B$4:$B1000)</f>
        <v>#N/A</v>
      </c>
    </row>
    <row r="977">
      <c r="A977" s="30" t="str">
        <f>Instagram_reach_raw!$A979</f>
        <v/>
      </c>
      <c r="B977" s="29" t="str">
        <f>Instagram_interactions_raw!$A979</f>
        <v/>
      </c>
      <c r="C977" s="26" t="str">
        <f t="shared" si="1"/>
        <v/>
      </c>
      <c r="D977" s="26" t="str">
        <f t="array" ref="D977">XLOOKUP($A977,Instagram_follows_raw!$A$4:$A1000,Instagram_follows_raw!$B$4:$B1000)</f>
        <v>#N/A</v>
      </c>
      <c r="E977" s="26" t="str">
        <f t="array" ref="E977">XLOOKUP($A977,Instagram_interactions_raw!$A$4:$A1000,Instagram_interactions_raw!$B$4:$B1000)</f>
        <v>#N/A</v>
      </c>
      <c r="F977" s="26" t="str">
        <f t="array" ref="F977">XLOOKUP($A977,Instagram_reach_raw!$A$4:$A1000,Instagram_reach_raw!$B$4:$B1000)</f>
        <v>#N/A</v>
      </c>
    </row>
    <row r="978">
      <c r="A978" s="30" t="str">
        <f>Instagram_reach_raw!$A980</f>
        <v/>
      </c>
      <c r="B978" s="29" t="str">
        <f>Instagram_interactions_raw!$A980</f>
        <v/>
      </c>
      <c r="C978" s="26" t="str">
        <f t="shared" si="1"/>
        <v/>
      </c>
      <c r="D978" s="26" t="str">
        <f t="array" ref="D978">XLOOKUP($A978,Instagram_follows_raw!$A$4:$A1000,Instagram_follows_raw!$B$4:$B1000)</f>
        <v>#N/A</v>
      </c>
      <c r="E978" s="26" t="str">
        <f t="array" ref="E978">XLOOKUP($A978,Instagram_interactions_raw!$A$4:$A1000,Instagram_interactions_raw!$B$4:$B1000)</f>
        <v>#N/A</v>
      </c>
      <c r="F978" s="26" t="str">
        <f t="array" ref="F978">XLOOKUP($A978,Instagram_reach_raw!$A$4:$A1000,Instagram_reach_raw!$B$4:$B1000)</f>
        <v>#N/A</v>
      </c>
    </row>
    <row r="979">
      <c r="A979" s="30" t="str">
        <f>Instagram_reach_raw!$A981</f>
        <v/>
      </c>
      <c r="B979" s="29" t="str">
        <f>Instagram_interactions_raw!$A981</f>
        <v/>
      </c>
      <c r="C979" s="26" t="str">
        <f t="shared" si="1"/>
        <v/>
      </c>
      <c r="D979" s="26" t="str">
        <f t="array" ref="D979">XLOOKUP($A979,Instagram_follows_raw!$A$4:$A1000,Instagram_follows_raw!$B$4:$B1000)</f>
        <v>#N/A</v>
      </c>
      <c r="E979" s="26" t="str">
        <f t="array" ref="E979">XLOOKUP($A979,Instagram_interactions_raw!$A$4:$A1000,Instagram_interactions_raw!$B$4:$B1000)</f>
        <v>#N/A</v>
      </c>
      <c r="F979" s="26" t="str">
        <f t="array" ref="F979">XLOOKUP($A979,Instagram_reach_raw!$A$4:$A1000,Instagram_reach_raw!$B$4:$B1000)</f>
        <v>#N/A</v>
      </c>
    </row>
    <row r="980">
      <c r="A980" s="30" t="str">
        <f>Instagram_reach_raw!$A982</f>
        <v/>
      </c>
      <c r="B980" s="29" t="str">
        <f>Instagram_interactions_raw!$A982</f>
        <v/>
      </c>
      <c r="C980" s="26" t="str">
        <f t="shared" si="1"/>
        <v/>
      </c>
      <c r="D980" s="26" t="str">
        <f t="array" ref="D980">XLOOKUP($A980,Instagram_follows_raw!$A$4:$A1000,Instagram_follows_raw!$B$4:$B1000)</f>
        <v>#N/A</v>
      </c>
      <c r="E980" s="26" t="str">
        <f t="array" ref="E980">XLOOKUP($A980,Instagram_interactions_raw!$A$4:$A1000,Instagram_interactions_raw!$B$4:$B1000)</f>
        <v>#N/A</v>
      </c>
      <c r="F980" s="26" t="str">
        <f t="array" ref="F980">XLOOKUP($A980,Instagram_reach_raw!$A$4:$A1000,Instagram_reach_raw!$B$4:$B1000)</f>
        <v>#N/A</v>
      </c>
    </row>
    <row r="981">
      <c r="A981" s="30" t="str">
        <f>Instagram_reach_raw!$A983</f>
        <v/>
      </c>
      <c r="B981" s="29" t="str">
        <f>Instagram_interactions_raw!$A983</f>
        <v/>
      </c>
      <c r="C981" s="26" t="str">
        <f t="shared" si="1"/>
        <v/>
      </c>
      <c r="D981" s="26" t="str">
        <f t="array" ref="D981">XLOOKUP($A981,Instagram_follows_raw!$A$4:$A1000,Instagram_follows_raw!$B$4:$B1000)</f>
        <v>#N/A</v>
      </c>
      <c r="E981" s="26" t="str">
        <f t="array" ref="E981">XLOOKUP($A981,Instagram_interactions_raw!$A$4:$A1000,Instagram_interactions_raw!$B$4:$B1000)</f>
        <v>#N/A</v>
      </c>
      <c r="F981" s="26" t="str">
        <f t="array" ref="F981">XLOOKUP($A981,Instagram_reach_raw!$A$4:$A1000,Instagram_reach_raw!$B$4:$B1000)</f>
        <v>#N/A</v>
      </c>
    </row>
    <row r="982">
      <c r="A982" s="30" t="str">
        <f>Instagram_reach_raw!$A984</f>
        <v/>
      </c>
      <c r="B982" s="29" t="str">
        <f>Instagram_interactions_raw!$A984</f>
        <v/>
      </c>
      <c r="C982" s="26" t="str">
        <f t="shared" si="1"/>
        <v/>
      </c>
      <c r="D982" s="26" t="str">
        <f t="array" ref="D982">XLOOKUP($A982,Instagram_follows_raw!$A$4:$A1000,Instagram_follows_raw!$B$4:$B1000)</f>
        <v>#N/A</v>
      </c>
      <c r="E982" s="26" t="str">
        <f t="array" ref="E982">XLOOKUP($A982,Instagram_interactions_raw!$A$4:$A1000,Instagram_interactions_raw!$B$4:$B1000)</f>
        <v>#N/A</v>
      </c>
      <c r="F982" s="26" t="str">
        <f t="array" ref="F982">XLOOKUP($A982,Instagram_reach_raw!$A$4:$A1000,Instagram_reach_raw!$B$4:$B1000)</f>
        <v>#N/A</v>
      </c>
    </row>
    <row r="983">
      <c r="A983" s="30" t="str">
        <f>Instagram_reach_raw!$A985</f>
        <v/>
      </c>
      <c r="B983" s="29" t="str">
        <f>Instagram_interactions_raw!$A985</f>
        <v/>
      </c>
      <c r="C983" s="26" t="str">
        <f t="shared" si="1"/>
        <v/>
      </c>
      <c r="D983" s="26" t="str">
        <f t="array" ref="D983">XLOOKUP($A983,Instagram_follows_raw!$A$4:$A1000,Instagram_follows_raw!$B$4:$B1000)</f>
        <v>#N/A</v>
      </c>
      <c r="E983" s="26" t="str">
        <f t="array" ref="E983">XLOOKUP($A983,Instagram_interactions_raw!$A$4:$A1000,Instagram_interactions_raw!$B$4:$B1000)</f>
        <v>#N/A</v>
      </c>
      <c r="F983" s="26" t="str">
        <f t="array" ref="F983">XLOOKUP($A983,Instagram_reach_raw!$A$4:$A1000,Instagram_reach_raw!$B$4:$B1000)</f>
        <v>#N/A</v>
      </c>
    </row>
    <row r="984">
      <c r="A984" s="30" t="str">
        <f>Instagram_reach_raw!$A986</f>
        <v/>
      </c>
      <c r="B984" s="29" t="str">
        <f>Instagram_interactions_raw!$A986</f>
        <v/>
      </c>
      <c r="C984" s="26" t="str">
        <f t="shared" si="1"/>
        <v/>
      </c>
      <c r="D984" s="26" t="str">
        <f t="array" ref="D984">XLOOKUP($A984,Instagram_follows_raw!$A$4:$A1000,Instagram_follows_raw!$B$4:$B1000)</f>
        <v>#N/A</v>
      </c>
      <c r="E984" s="26" t="str">
        <f t="array" ref="E984">XLOOKUP($A984,Instagram_interactions_raw!$A$4:$A1000,Instagram_interactions_raw!$B$4:$B1000)</f>
        <v>#N/A</v>
      </c>
      <c r="F984" s="26" t="str">
        <f t="array" ref="F984">XLOOKUP($A984,Instagram_reach_raw!$A$4:$A1000,Instagram_reach_raw!$B$4:$B1000)</f>
        <v>#N/A</v>
      </c>
    </row>
    <row r="985">
      <c r="A985" s="30" t="str">
        <f>Instagram_reach_raw!$A987</f>
        <v/>
      </c>
      <c r="B985" s="29" t="str">
        <f>Instagram_interactions_raw!$A987</f>
        <v/>
      </c>
      <c r="C985" s="26" t="str">
        <f t="shared" si="1"/>
        <v/>
      </c>
      <c r="D985" s="26" t="str">
        <f t="array" ref="D985">XLOOKUP($A985,Instagram_follows_raw!$A$4:$A1000,Instagram_follows_raw!$B$4:$B1000)</f>
        <v>#N/A</v>
      </c>
      <c r="E985" s="26" t="str">
        <f t="array" ref="E985">XLOOKUP($A985,Instagram_interactions_raw!$A$4:$A1000,Instagram_interactions_raw!$B$4:$B1000)</f>
        <v>#N/A</v>
      </c>
      <c r="F985" s="26" t="str">
        <f t="array" ref="F985">XLOOKUP($A985,Instagram_reach_raw!$A$4:$A1000,Instagram_reach_raw!$B$4:$B1000)</f>
        <v>#N/A</v>
      </c>
    </row>
    <row r="986">
      <c r="A986" s="30" t="str">
        <f>Instagram_reach_raw!$A988</f>
        <v/>
      </c>
      <c r="B986" s="29" t="str">
        <f>Instagram_interactions_raw!$A988</f>
        <v/>
      </c>
      <c r="C986" s="26" t="str">
        <f t="shared" si="1"/>
        <v/>
      </c>
      <c r="D986" s="26" t="str">
        <f t="array" ref="D986">XLOOKUP($A986,Instagram_follows_raw!$A$4:$A1000,Instagram_follows_raw!$B$4:$B1000)</f>
        <v>#N/A</v>
      </c>
      <c r="E986" s="26" t="str">
        <f t="array" ref="E986">XLOOKUP($A986,Instagram_interactions_raw!$A$4:$A1000,Instagram_interactions_raw!$B$4:$B1000)</f>
        <v>#N/A</v>
      </c>
      <c r="F986" s="26" t="str">
        <f t="array" ref="F986">XLOOKUP($A986,Instagram_reach_raw!$A$4:$A1000,Instagram_reach_raw!$B$4:$B1000)</f>
        <v>#N/A</v>
      </c>
    </row>
    <row r="987">
      <c r="A987" s="30" t="str">
        <f>Instagram_reach_raw!$A989</f>
        <v/>
      </c>
      <c r="B987" s="29" t="str">
        <f>Instagram_interactions_raw!$A989</f>
        <v/>
      </c>
      <c r="C987" s="26" t="str">
        <f t="shared" si="1"/>
        <v/>
      </c>
      <c r="D987" s="26" t="str">
        <f t="array" ref="D987">XLOOKUP($A987,Instagram_follows_raw!$A$4:$A1000,Instagram_follows_raw!$B$4:$B1000)</f>
        <v>#N/A</v>
      </c>
      <c r="E987" s="26" t="str">
        <f t="array" ref="E987">XLOOKUP($A987,Instagram_interactions_raw!$A$4:$A1000,Instagram_interactions_raw!$B$4:$B1000)</f>
        <v>#N/A</v>
      </c>
      <c r="F987" s="26" t="str">
        <f t="array" ref="F987">XLOOKUP($A987,Instagram_reach_raw!$A$4:$A1000,Instagram_reach_raw!$B$4:$B1000)</f>
        <v>#N/A</v>
      </c>
    </row>
    <row r="988">
      <c r="A988" s="30" t="str">
        <f>Instagram_reach_raw!$A990</f>
        <v/>
      </c>
      <c r="B988" s="29" t="str">
        <f>Instagram_interactions_raw!$A990</f>
        <v/>
      </c>
      <c r="C988" s="26" t="str">
        <f t="shared" si="1"/>
        <v/>
      </c>
      <c r="D988" s="26" t="str">
        <f t="array" ref="D988">XLOOKUP($A988,Instagram_follows_raw!$A$4:$A1000,Instagram_follows_raw!$B$4:$B1000)</f>
        <v>#N/A</v>
      </c>
      <c r="E988" s="26" t="str">
        <f t="array" ref="E988">XLOOKUP($A988,Instagram_interactions_raw!$A$4:$A1000,Instagram_interactions_raw!$B$4:$B1000)</f>
        <v>#N/A</v>
      </c>
      <c r="F988" s="26" t="str">
        <f t="array" ref="F988">XLOOKUP($A988,Instagram_reach_raw!$A$4:$A1000,Instagram_reach_raw!$B$4:$B1000)</f>
        <v>#N/A</v>
      </c>
    </row>
    <row r="989">
      <c r="A989" s="30" t="str">
        <f>Instagram_reach_raw!$A991</f>
        <v/>
      </c>
      <c r="B989" s="29" t="str">
        <f>Instagram_interactions_raw!$A991</f>
        <v/>
      </c>
      <c r="C989" s="26" t="str">
        <f t="shared" si="1"/>
        <v/>
      </c>
      <c r="D989" s="26" t="str">
        <f t="array" ref="D989">XLOOKUP($A989,Instagram_follows_raw!$A$4:$A1000,Instagram_follows_raw!$B$4:$B1000)</f>
        <v>#N/A</v>
      </c>
      <c r="E989" s="26" t="str">
        <f t="array" ref="E989">XLOOKUP($A989,Instagram_interactions_raw!$A$4:$A1000,Instagram_interactions_raw!$B$4:$B1000)</f>
        <v>#N/A</v>
      </c>
      <c r="F989" s="26" t="str">
        <f t="array" ref="F989">XLOOKUP($A989,Instagram_reach_raw!$A$4:$A1000,Instagram_reach_raw!$B$4:$B1000)</f>
        <v>#N/A</v>
      </c>
    </row>
    <row r="990">
      <c r="A990" s="30" t="str">
        <f>Instagram_reach_raw!$A992</f>
        <v/>
      </c>
      <c r="B990" s="29" t="str">
        <f>Instagram_interactions_raw!$A992</f>
        <v/>
      </c>
      <c r="C990" s="26" t="str">
        <f t="shared" si="1"/>
        <v/>
      </c>
      <c r="D990" s="26" t="str">
        <f t="array" ref="D990">XLOOKUP($A990,Instagram_follows_raw!$A$4:$A1000,Instagram_follows_raw!$B$4:$B1000)</f>
        <v>#N/A</v>
      </c>
      <c r="E990" s="26" t="str">
        <f t="array" ref="E990">XLOOKUP($A990,Instagram_interactions_raw!$A$4:$A1000,Instagram_interactions_raw!$B$4:$B1000)</f>
        <v>#N/A</v>
      </c>
      <c r="F990" s="26" t="str">
        <f t="array" ref="F990">XLOOKUP($A990,Instagram_reach_raw!$A$4:$A1000,Instagram_reach_raw!$B$4:$B1000)</f>
        <v>#N/A</v>
      </c>
    </row>
    <row r="991">
      <c r="A991" s="30" t="str">
        <f>Instagram_reach_raw!$A993</f>
        <v/>
      </c>
      <c r="B991" s="29" t="str">
        <f>Instagram_interactions_raw!$A993</f>
        <v/>
      </c>
      <c r="C991" s="26" t="str">
        <f t="shared" si="1"/>
        <v/>
      </c>
      <c r="D991" s="26" t="str">
        <f t="array" ref="D991">XLOOKUP($A991,Instagram_follows_raw!$A$4:$A1000,Instagram_follows_raw!$B$4:$B1000)</f>
        <v>#N/A</v>
      </c>
      <c r="E991" s="26" t="str">
        <f t="array" ref="E991">XLOOKUP($A991,Instagram_interactions_raw!$A$4:$A1000,Instagram_interactions_raw!$B$4:$B1000)</f>
        <v>#N/A</v>
      </c>
      <c r="F991" s="26" t="str">
        <f t="array" ref="F991">XLOOKUP($A991,Instagram_reach_raw!$A$4:$A1000,Instagram_reach_raw!$B$4:$B1000)</f>
        <v>#N/A</v>
      </c>
    </row>
    <row r="992">
      <c r="A992" s="30" t="str">
        <f>Instagram_reach_raw!$A994</f>
        <v/>
      </c>
      <c r="B992" s="29" t="str">
        <f>Instagram_interactions_raw!$A994</f>
        <v/>
      </c>
      <c r="C992" s="26" t="str">
        <f t="shared" si="1"/>
        <v/>
      </c>
      <c r="D992" s="26" t="str">
        <f t="array" ref="D992">XLOOKUP($A992,Instagram_follows_raw!$A$4:$A1000,Instagram_follows_raw!$B$4:$B1000)</f>
        <v>#N/A</v>
      </c>
      <c r="E992" s="26" t="str">
        <f t="array" ref="E992">XLOOKUP($A992,Instagram_interactions_raw!$A$4:$A1000,Instagram_interactions_raw!$B$4:$B1000)</f>
        <v>#N/A</v>
      </c>
      <c r="F992" s="26" t="str">
        <f t="array" ref="F992">XLOOKUP($A992,Instagram_reach_raw!$A$4:$A1000,Instagram_reach_raw!$B$4:$B1000)</f>
        <v>#N/A</v>
      </c>
    </row>
    <row r="993">
      <c r="A993" s="30" t="str">
        <f>Instagram_reach_raw!$A995</f>
        <v/>
      </c>
      <c r="B993" s="29" t="str">
        <f>Instagram_interactions_raw!$A995</f>
        <v/>
      </c>
      <c r="C993" s="26" t="str">
        <f t="shared" si="1"/>
        <v/>
      </c>
      <c r="D993" s="26" t="str">
        <f t="array" ref="D993">XLOOKUP($A993,Instagram_follows_raw!$A$4:$A1000,Instagram_follows_raw!$B$4:$B1000)</f>
        <v>#N/A</v>
      </c>
      <c r="E993" s="26" t="str">
        <f t="array" ref="E993">XLOOKUP($A993,Instagram_interactions_raw!$A$4:$A1000,Instagram_interactions_raw!$B$4:$B1000)</f>
        <v>#N/A</v>
      </c>
      <c r="F993" s="26" t="str">
        <f t="array" ref="F993">XLOOKUP($A993,Instagram_reach_raw!$A$4:$A1000,Instagram_reach_raw!$B$4:$B1000)</f>
        <v>#N/A</v>
      </c>
    </row>
    <row r="994">
      <c r="A994" s="30" t="str">
        <f>Instagram_reach_raw!$A996</f>
        <v/>
      </c>
      <c r="B994" s="29" t="str">
        <f>Instagram_interactions_raw!$A996</f>
        <v/>
      </c>
      <c r="C994" s="26" t="str">
        <f t="shared" si="1"/>
        <v/>
      </c>
      <c r="D994" s="26" t="str">
        <f t="array" ref="D994">XLOOKUP($A994,Instagram_follows_raw!$A$4:$A1000,Instagram_follows_raw!$B$4:$B1000)</f>
        <v>#N/A</v>
      </c>
      <c r="E994" s="26" t="str">
        <f t="array" ref="E994">XLOOKUP($A994,Instagram_interactions_raw!$A$4:$A1000,Instagram_interactions_raw!$B$4:$B1000)</f>
        <v>#N/A</v>
      </c>
      <c r="F994" s="26" t="str">
        <f t="array" ref="F994">XLOOKUP($A994,Instagram_reach_raw!$A$4:$A1000,Instagram_reach_raw!$B$4:$B1000)</f>
        <v>#N/A</v>
      </c>
    </row>
    <row r="995">
      <c r="A995" s="30" t="str">
        <f>Instagram_reach_raw!$A997</f>
        <v/>
      </c>
      <c r="B995" s="29" t="str">
        <f>Instagram_interactions_raw!$A997</f>
        <v/>
      </c>
      <c r="C995" s="26" t="str">
        <f t="shared" si="1"/>
        <v/>
      </c>
      <c r="D995" s="26" t="str">
        <f t="array" ref="D995">XLOOKUP($A995,Instagram_follows_raw!$A$4:$A1000,Instagram_follows_raw!$B$4:$B1000)</f>
        <v>#N/A</v>
      </c>
      <c r="E995" s="26" t="str">
        <f t="array" ref="E995">XLOOKUP($A995,Instagram_interactions_raw!$A$4:$A1000,Instagram_interactions_raw!$B$4:$B1000)</f>
        <v>#N/A</v>
      </c>
      <c r="F995" s="26" t="str">
        <f t="array" ref="F995">XLOOKUP($A995,Instagram_reach_raw!$A$4:$A1000,Instagram_reach_raw!$B$4:$B1000)</f>
        <v>#N/A</v>
      </c>
    </row>
    <row r="996">
      <c r="A996" s="30" t="str">
        <f>Instagram_reach_raw!$A998</f>
        <v/>
      </c>
      <c r="B996" s="29" t="str">
        <f>Instagram_interactions_raw!$A998</f>
        <v/>
      </c>
      <c r="C996" s="26" t="str">
        <f t="shared" si="1"/>
        <v/>
      </c>
      <c r="D996" s="26" t="str">
        <f t="array" ref="D996">XLOOKUP($A996,Instagram_follows_raw!$A$4:$A1000,Instagram_follows_raw!$B$4:$B1000)</f>
        <v>#N/A</v>
      </c>
      <c r="E996" s="26" t="str">
        <f t="array" ref="E996">XLOOKUP($A996,Instagram_interactions_raw!$A$4:$A1000,Instagram_interactions_raw!$B$4:$B1000)</f>
        <v>#N/A</v>
      </c>
      <c r="F996" s="26" t="str">
        <f t="array" ref="F996">XLOOKUP($A996,Instagram_reach_raw!$A$4:$A1000,Instagram_reach_raw!$B$4:$B1000)</f>
        <v>#N/A</v>
      </c>
    </row>
    <row r="997">
      <c r="A997" s="30" t="str">
        <f>Instagram_reach_raw!$A999</f>
        <v/>
      </c>
      <c r="B997" s="29" t="str">
        <f>Instagram_interactions_raw!$A999</f>
        <v/>
      </c>
      <c r="C997" s="26" t="str">
        <f t="shared" si="1"/>
        <v/>
      </c>
      <c r="D997" s="26" t="str">
        <f t="array" ref="D997">XLOOKUP($A997,Instagram_follows_raw!$A$4:$A1000,Instagram_follows_raw!$B$4:$B1000)</f>
        <v>#N/A</v>
      </c>
      <c r="E997" s="26" t="str">
        <f t="array" ref="E997">XLOOKUP($A997,Instagram_interactions_raw!$A$4:$A1000,Instagram_interactions_raw!$B$4:$B1000)</f>
        <v>#N/A</v>
      </c>
      <c r="F997" s="26" t="str">
        <f t="array" ref="F997">XLOOKUP($A997,Instagram_reach_raw!$A$4:$A1000,Instagram_reach_raw!$B$4:$B1000)</f>
        <v>#N/A</v>
      </c>
    </row>
    <row r="998">
      <c r="A998" s="30" t="str">
        <f>Instagram_reach_raw!$A1000</f>
        <v/>
      </c>
      <c r="B998" s="29" t="str">
        <f>Instagram_interactions_raw!$A1000</f>
        <v/>
      </c>
      <c r="C998" s="26" t="str">
        <f t="shared" si="1"/>
        <v/>
      </c>
      <c r="D998" s="26" t="str">
        <f t="array" ref="D998">XLOOKUP($A998,Instagram_follows_raw!$A$4:$A1000,Instagram_follows_raw!$B$4:$B1000)</f>
        <v>#N/A</v>
      </c>
      <c r="E998" s="26" t="str">
        <f t="array" ref="E998">XLOOKUP($A998,Instagram_interactions_raw!$A$4:$A1000,Instagram_interactions_raw!$B$4:$B1000)</f>
        <v>#N/A</v>
      </c>
      <c r="F998" s="26" t="str">
        <f t="array" ref="F998">XLOOKUP($A998,Instagram_reach_raw!$A$4:$A1000,Instagram_reach_raw!$B$4:$B1000)</f>
        <v>#N/A</v>
      </c>
    </row>
    <row r="999">
      <c r="A999" s="30" t="str">
        <f>Instagram_reach_raw!$A1001</f>
        <v/>
      </c>
      <c r="B999" s="29" t="str">
        <f>Instagram_interactions_raw!$A1001</f>
        <v/>
      </c>
      <c r="C999" s="26" t="str">
        <f t="shared" si="1"/>
        <v/>
      </c>
      <c r="D999" s="26" t="str">
        <f t="array" ref="D999">XLOOKUP($A999,Instagram_follows_raw!$A$4:$A1000,Instagram_follows_raw!$B$4:$B1000)</f>
        <v>#N/A</v>
      </c>
      <c r="E999" s="26" t="str">
        <f t="array" ref="E999">XLOOKUP($A999,Instagram_interactions_raw!$A$4:$A1000,Instagram_interactions_raw!$B$4:$B1000)</f>
        <v>#N/A</v>
      </c>
      <c r="F999" s="26" t="str">
        <f t="array" ref="F999">XLOOKUP($A999,Instagram_reach_raw!$A$4:$A1000,Instagram_reach_raw!$B$4:$B1000)</f>
        <v>#N/A</v>
      </c>
    </row>
    <row r="1000">
      <c r="A1000" s="30" t="str">
        <f>Instagram_reach_raw!$A1002</f>
        <v/>
      </c>
      <c r="B1000" s="29" t="str">
        <f>Instagram_interactions_raw!$A1002</f>
        <v/>
      </c>
      <c r="C1000" s="26" t="str">
        <f t="shared" si="1"/>
        <v/>
      </c>
      <c r="D1000" s="26" t="str">
        <f t="array" ref="D1000">XLOOKUP($A1000,Instagram_follows_raw!$A$4:$A1000,Instagram_follows_raw!$B$4:$B1000)</f>
        <v>#N/A</v>
      </c>
      <c r="E1000" s="26" t="str">
        <f t="array" ref="E1000">XLOOKUP($A1000,Instagram_interactions_raw!$A$4:$A1000,Instagram_interactions_raw!$B$4:$B1000)</f>
        <v>#N/A</v>
      </c>
      <c r="F1000" s="26" t="str">
        <f t="array" ref="F1000">XLOOKUP($A1000,Instagram_reach_raw!$A$4:$A1000,Instagram_reach_raw!$B$4:$B1000)</f>
        <v>#N/A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</v>
      </c>
      <c r="B1" s="24" t="s">
        <v>35</v>
      </c>
      <c r="C1" s="24" t="s">
        <v>32</v>
      </c>
      <c r="D1" s="24" t="s">
        <v>6</v>
      </c>
      <c r="E1" s="24" t="s">
        <v>33</v>
      </c>
      <c r="F1" s="24" t="s">
        <v>34</v>
      </c>
    </row>
    <row r="2">
      <c r="A2" s="28">
        <f>Facebook_reach_raw!$A4</f>
        <v>45474</v>
      </c>
      <c r="B2" s="29">
        <f>Facebook_interactions_raw!$A4</f>
        <v>45474</v>
      </c>
      <c r="C2" s="26" t="str">
        <f t="shared" ref="C2:C1000" si="1">IF(A2,"Facebook","")</f>
        <v>Facebook</v>
      </c>
      <c r="D2" s="26">
        <f t="array" ref="D2">XLOOKUP($A2,Facebook_follows_raw!$A$4:$A1000,Facebook_follows_raw!$B$4:$B1000)</f>
        <v>16</v>
      </c>
      <c r="E2" s="26">
        <f t="array" ref="E2">XLOOKUP($A2,Facebook_interactions_raw!$A$4:$A1000,Facebook_interactions_raw!$B$4:$B1000)</f>
        <v>1132</v>
      </c>
      <c r="F2" s="26">
        <f t="array" ref="F2">XLOOKUP($A2,Facebook_reach_raw!$A$4:$A1000,Facebook_reach_raw!$B$4:$B1000)</f>
        <v>29842</v>
      </c>
    </row>
    <row r="3">
      <c r="A3" s="28">
        <f>Facebook_reach_raw!$A5</f>
        <v>45475</v>
      </c>
      <c r="B3" s="29">
        <f>Facebook_interactions_raw!$A5</f>
        <v>45475</v>
      </c>
      <c r="C3" s="26" t="str">
        <f t="shared" si="1"/>
        <v>Facebook</v>
      </c>
      <c r="D3" s="26">
        <f t="array" ref="D3">XLOOKUP($A3,Facebook_follows_raw!$A$4:$A1000,Facebook_follows_raw!$B$4:$B1000)</f>
        <v>19</v>
      </c>
      <c r="E3" s="26">
        <f t="array" ref="E3">XLOOKUP($A3,Facebook_interactions_raw!$A$4:$A1000,Facebook_interactions_raw!$B$4:$B1000)</f>
        <v>584</v>
      </c>
      <c r="F3" s="26">
        <f t="array" ref="F3">XLOOKUP($A3,Facebook_reach_raw!$A$4:$A1000,Facebook_reach_raw!$B$4:$B1000)</f>
        <v>27521</v>
      </c>
    </row>
    <row r="4">
      <c r="A4" s="28">
        <f>Facebook_reach_raw!$A6</f>
        <v>45476</v>
      </c>
      <c r="B4" s="29">
        <f>Facebook_interactions_raw!$A6</f>
        <v>45476</v>
      </c>
      <c r="C4" s="26" t="str">
        <f t="shared" si="1"/>
        <v>Facebook</v>
      </c>
      <c r="D4" s="26">
        <f t="array" ref="D4">XLOOKUP($A4,Facebook_follows_raw!$A$4:$A1000,Facebook_follows_raw!$B$4:$B1000)</f>
        <v>13</v>
      </c>
      <c r="E4" s="26">
        <f t="array" ref="E4">XLOOKUP($A4,Facebook_interactions_raw!$A$4:$A1000,Facebook_interactions_raw!$B$4:$B1000)</f>
        <v>512</v>
      </c>
      <c r="F4" s="26">
        <f t="array" ref="F4">XLOOKUP($A4,Facebook_reach_raw!$A$4:$A1000,Facebook_reach_raw!$B$4:$B1000)</f>
        <v>15442</v>
      </c>
    </row>
    <row r="5">
      <c r="A5" s="28">
        <f>Facebook_reach_raw!$A7</f>
        <v>45477</v>
      </c>
      <c r="B5" s="29">
        <f>Facebook_interactions_raw!$A7</f>
        <v>45477</v>
      </c>
      <c r="C5" s="26" t="str">
        <f t="shared" si="1"/>
        <v>Facebook</v>
      </c>
      <c r="D5" s="26">
        <f t="array" ref="D5">XLOOKUP($A5,Facebook_follows_raw!$A$4:$A1000,Facebook_follows_raw!$B$4:$B1000)</f>
        <v>11</v>
      </c>
      <c r="E5" s="26">
        <f t="array" ref="E5">XLOOKUP($A5,Facebook_interactions_raw!$A$4:$A1000,Facebook_interactions_raw!$B$4:$B1000)</f>
        <v>273</v>
      </c>
      <c r="F5" s="26">
        <f t="array" ref="F5">XLOOKUP($A5,Facebook_reach_raw!$A$4:$A1000,Facebook_reach_raw!$B$4:$B1000)</f>
        <v>7680</v>
      </c>
    </row>
    <row r="6">
      <c r="A6" s="28">
        <f>Facebook_reach_raw!$A8</f>
        <v>45478</v>
      </c>
      <c r="B6" s="29">
        <f>Facebook_interactions_raw!$A8</f>
        <v>45478</v>
      </c>
      <c r="C6" s="26" t="str">
        <f t="shared" si="1"/>
        <v>Facebook</v>
      </c>
      <c r="D6" s="26">
        <f t="array" ref="D6">XLOOKUP($A6,Facebook_follows_raw!$A$4:$A1000,Facebook_follows_raw!$B$4:$B1000)</f>
        <v>3</v>
      </c>
      <c r="E6" s="26">
        <f t="array" ref="E6">XLOOKUP($A6,Facebook_interactions_raw!$A$4:$A1000,Facebook_interactions_raw!$B$4:$B1000)</f>
        <v>126</v>
      </c>
      <c r="F6" s="26">
        <f t="array" ref="F6">XLOOKUP($A6,Facebook_reach_raw!$A$4:$A1000,Facebook_reach_raw!$B$4:$B1000)</f>
        <v>3595</v>
      </c>
    </row>
    <row r="7">
      <c r="A7" s="28">
        <f>Facebook_reach_raw!$A9</f>
        <v>45479</v>
      </c>
      <c r="B7" s="29">
        <f>Facebook_interactions_raw!$A9</f>
        <v>45479</v>
      </c>
      <c r="C7" s="26" t="str">
        <f t="shared" si="1"/>
        <v>Facebook</v>
      </c>
      <c r="D7" s="26">
        <f t="array" ref="D7">XLOOKUP($A7,Facebook_follows_raw!$A$4:$A1000,Facebook_follows_raw!$B$4:$B1000)</f>
        <v>5</v>
      </c>
      <c r="E7" s="26">
        <f t="array" ref="E7">XLOOKUP($A7,Facebook_interactions_raw!$A$4:$A1000,Facebook_interactions_raw!$B$4:$B1000)</f>
        <v>85</v>
      </c>
      <c r="F7" s="26">
        <f t="array" ref="F7">XLOOKUP($A7,Facebook_reach_raw!$A$4:$A1000,Facebook_reach_raw!$B$4:$B1000)</f>
        <v>3154</v>
      </c>
    </row>
    <row r="8">
      <c r="A8" s="28">
        <f>Facebook_reach_raw!$A10</f>
        <v>45480</v>
      </c>
      <c r="B8" s="29">
        <f>Facebook_interactions_raw!$A10</f>
        <v>45480</v>
      </c>
      <c r="C8" s="26" t="str">
        <f t="shared" si="1"/>
        <v>Facebook</v>
      </c>
      <c r="D8" s="26">
        <f t="array" ref="D8">XLOOKUP($A8,Facebook_follows_raw!$A$4:$A1000,Facebook_follows_raw!$B$4:$B1000)</f>
        <v>2</v>
      </c>
      <c r="E8" s="26">
        <f t="array" ref="E8">XLOOKUP($A8,Facebook_interactions_raw!$A$4:$A1000,Facebook_interactions_raw!$B$4:$B1000)</f>
        <v>94</v>
      </c>
      <c r="F8" s="26">
        <f t="array" ref="F8">XLOOKUP($A8,Facebook_reach_raw!$A$4:$A1000,Facebook_reach_raw!$B$4:$B1000)</f>
        <v>2285</v>
      </c>
    </row>
    <row r="9">
      <c r="A9" s="28">
        <f>Facebook_reach_raw!$A11</f>
        <v>45481</v>
      </c>
      <c r="B9" s="29">
        <f>Facebook_interactions_raw!$A11</f>
        <v>45481</v>
      </c>
      <c r="C9" s="26" t="str">
        <f t="shared" si="1"/>
        <v>Facebook</v>
      </c>
      <c r="D9" s="26">
        <f t="array" ref="D9">XLOOKUP($A9,Facebook_follows_raw!$A$4:$A1000,Facebook_follows_raw!$B$4:$B1000)</f>
        <v>3</v>
      </c>
      <c r="E9" s="26">
        <f t="array" ref="E9">XLOOKUP($A9,Facebook_interactions_raw!$A$4:$A1000,Facebook_interactions_raw!$B$4:$B1000)</f>
        <v>39</v>
      </c>
      <c r="F9" s="26">
        <f t="array" ref="F9">XLOOKUP($A9,Facebook_reach_raw!$A$4:$A1000,Facebook_reach_raw!$B$4:$B1000)</f>
        <v>2079</v>
      </c>
    </row>
    <row r="10">
      <c r="A10" s="28">
        <f>Facebook_reach_raw!$A12</f>
        <v>45482</v>
      </c>
      <c r="B10" s="29">
        <f>Facebook_interactions_raw!$A12</f>
        <v>45482</v>
      </c>
      <c r="C10" s="26" t="str">
        <f t="shared" si="1"/>
        <v>Facebook</v>
      </c>
      <c r="D10" s="26">
        <f t="array" ref="D10">XLOOKUP($A10,Facebook_follows_raw!$A$4:$A1000,Facebook_follows_raw!$B$4:$B1000)</f>
        <v>2</v>
      </c>
      <c r="E10" s="26">
        <f t="array" ref="E10">XLOOKUP($A10,Facebook_interactions_raw!$A$4:$A1000,Facebook_interactions_raw!$B$4:$B1000)</f>
        <v>48</v>
      </c>
      <c r="F10" s="26">
        <f t="array" ref="F10">XLOOKUP($A10,Facebook_reach_raw!$A$4:$A1000,Facebook_reach_raw!$B$4:$B1000)</f>
        <v>1200</v>
      </c>
    </row>
    <row r="11">
      <c r="A11" s="28">
        <f>Facebook_reach_raw!$A13</f>
        <v>45483</v>
      </c>
      <c r="B11" s="29">
        <f>Facebook_interactions_raw!$A13</f>
        <v>45483</v>
      </c>
      <c r="C11" s="26" t="str">
        <f t="shared" si="1"/>
        <v>Facebook</v>
      </c>
      <c r="D11" s="26">
        <f t="array" ref="D11">XLOOKUP($A11,Facebook_follows_raw!$A$4:$A1000,Facebook_follows_raw!$B$4:$B1000)</f>
        <v>2</v>
      </c>
      <c r="E11" s="26">
        <f t="array" ref="E11">XLOOKUP($A11,Facebook_interactions_raw!$A$4:$A1000,Facebook_interactions_raw!$B$4:$B1000)</f>
        <v>59</v>
      </c>
      <c r="F11" s="26">
        <f t="array" ref="F11">XLOOKUP($A11,Facebook_reach_raw!$A$4:$A1000,Facebook_reach_raw!$B$4:$B1000)</f>
        <v>1518</v>
      </c>
    </row>
    <row r="12">
      <c r="A12" s="28">
        <f>Facebook_reach_raw!$A14</f>
        <v>45484</v>
      </c>
      <c r="B12" s="29">
        <f>Facebook_interactions_raw!$A14</f>
        <v>45484</v>
      </c>
      <c r="C12" s="26" t="str">
        <f t="shared" si="1"/>
        <v>Facebook</v>
      </c>
      <c r="D12" s="26">
        <f t="array" ref="D12">XLOOKUP($A12,Facebook_follows_raw!$A$4:$A1000,Facebook_follows_raw!$B$4:$B1000)</f>
        <v>2</v>
      </c>
      <c r="E12" s="26">
        <f t="array" ref="E12">XLOOKUP($A12,Facebook_interactions_raw!$A$4:$A1000,Facebook_interactions_raw!$B$4:$B1000)</f>
        <v>121</v>
      </c>
      <c r="F12" s="26">
        <f t="array" ref="F12">XLOOKUP($A12,Facebook_reach_raw!$A$4:$A1000,Facebook_reach_raw!$B$4:$B1000)</f>
        <v>12172</v>
      </c>
    </row>
    <row r="13">
      <c r="A13" s="28">
        <f>Facebook_reach_raw!$A15</f>
        <v>45485</v>
      </c>
      <c r="B13" s="29">
        <f>Facebook_interactions_raw!$A15</f>
        <v>45485</v>
      </c>
      <c r="C13" s="26" t="str">
        <f t="shared" si="1"/>
        <v>Facebook</v>
      </c>
      <c r="D13" s="26">
        <f t="array" ref="D13">XLOOKUP($A13,Facebook_follows_raw!$A$4:$A1000,Facebook_follows_raw!$B$4:$B1000)</f>
        <v>0</v>
      </c>
      <c r="E13" s="26">
        <f t="array" ref="E13">XLOOKUP($A13,Facebook_interactions_raw!$A$4:$A1000,Facebook_interactions_raw!$B$4:$B1000)</f>
        <v>175</v>
      </c>
      <c r="F13" s="26">
        <f t="array" ref="F13">XLOOKUP($A13,Facebook_reach_raw!$A$4:$A1000,Facebook_reach_raw!$B$4:$B1000)</f>
        <v>19145</v>
      </c>
    </row>
    <row r="14">
      <c r="A14" s="28">
        <f>Facebook_reach_raw!$A16</f>
        <v>45486</v>
      </c>
      <c r="B14" s="29">
        <f>Facebook_interactions_raw!$A16</f>
        <v>45486</v>
      </c>
      <c r="C14" s="26" t="str">
        <f t="shared" si="1"/>
        <v>Facebook</v>
      </c>
      <c r="D14" s="26">
        <f t="array" ref="D14">XLOOKUP($A14,Facebook_follows_raw!$A$4:$A1000,Facebook_follows_raw!$B$4:$B1000)</f>
        <v>4</v>
      </c>
      <c r="E14" s="26">
        <f t="array" ref="E14">XLOOKUP($A14,Facebook_interactions_raw!$A$4:$A1000,Facebook_interactions_raw!$B$4:$B1000)</f>
        <v>178</v>
      </c>
      <c r="F14" s="26">
        <f t="array" ref="F14">XLOOKUP($A14,Facebook_reach_raw!$A$4:$A1000,Facebook_reach_raw!$B$4:$B1000)</f>
        <v>27749</v>
      </c>
    </row>
    <row r="15">
      <c r="A15" s="28">
        <f>Facebook_reach_raw!$A17</f>
        <v>45487</v>
      </c>
      <c r="B15" s="29">
        <f>Facebook_interactions_raw!$A17</f>
        <v>45487</v>
      </c>
      <c r="C15" s="26" t="str">
        <f t="shared" si="1"/>
        <v>Facebook</v>
      </c>
      <c r="D15" s="26">
        <f t="array" ref="D15">XLOOKUP($A15,Facebook_follows_raw!$A$4:$A1000,Facebook_follows_raw!$B$4:$B1000)</f>
        <v>4</v>
      </c>
      <c r="E15" s="26">
        <f t="array" ref="E15">XLOOKUP($A15,Facebook_interactions_raw!$A$4:$A1000,Facebook_interactions_raw!$B$4:$B1000)</f>
        <v>91</v>
      </c>
      <c r="F15" s="26">
        <f t="array" ref="F15">XLOOKUP($A15,Facebook_reach_raw!$A$4:$A1000,Facebook_reach_raw!$B$4:$B1000)</f>
        <v>36329</v>
      </c>
    </row>
    <row r="16">
      <c r="A16" s="28">
        <f>Facebook_reach_raw!$A18</f>
        <v>45488</v>
      </c>
      <c r="B16" s="29">
        <f>Facebook_interactions_raw!$A18</f>
        <v>45488</v>
      </c>
      <c r="C16" s="26" t="str">
        <f t="shared" si="1"/>
        <v>Facebook</v>
      </c>
      <c r="D16" s="26">
        <f t="array" ref="D16">XLOOKUP($A16,Facebook_follows_raw!$A$4:$A1000,Facebook_follows_raw!$B$4:$B1000)</f>
        <v>3</v>
      </c>
      <c r="E16" s="26">
        <f t="array" ref="E16">XLOOKUP($A16,Facebook_interactions_raw!$A$4:$A1000,Facebook_interactions_raw!$B$4:$B1000)</f>
        <v>76</v>
      </c>
      <c r="F16" s="26">
        <f t="array" ref="F16">XLOOKUP($A16,Facebook_reach_raw!$A$4:$A1000,Facebook_reach_raw!$B$4:$B1000)</f>
        <v>37314</v>
      </c>
    </row>
    <row r="17">
      <c r="A17" s="28">
        <f>Facebook_reach_raw!$A19</f>
        <v>45489</v>
      </c>
      <c r="B17" s="29">
        <f>Facebook_interactions_raw!$A19</f>
        <v>45489</v>
      </c>
      <c r="C17" s="26" t="str">
        <f t="shared" si="1"/>
        <v>Facebook</v>
      </c>
      <c r="D17" s="26">
        <f t="array" ref="D17">XLOOKUP($A17,Facebook_follows_raw!$A$4:$A1000,Facebook_follows_raw!$B$4:$B1000)</f>
        <v>2</v>
      </c>
      <c r="E17" s="26">
        <f t="array" ref="E17">XLOOKUP($A17,Facebook_interactions_raw!$A$4:$A1000,Facebook_interactions_raw!$B$4:$B1000)</f>
        <v>84</v>
      </c>
      <c r="F17" s="26">
        <f t="array" ref="F17">XLOOKUP($A17,Facebook_reach_raw!$A$4:$A1000,Facebook_reach_raw!$B$4:$B1000)</f>
        <v>33543</v>
      </c>
    </row>
    <row r="18">
      <c r="A18" s="28">
        <f>Facebook_reach_raw!$A20</f>
        <v>45490</v>
      </c>
      <c r="B18" s="29">
        <f>Facebook_interactions_raw!$A20</f>
        <v>45490</v>
      </c>
      <c r="C18" s="26" t="str">
        <f t="shared" si="1"/>
        <v>Facebook</v>
      </c>
      <c r="D18" s="26">
        <f t="array" ref="D18">XLOOKUP($A18,Facebook_follows_raw!$A$4:$A1000,Facebook_follows_raw!$B$4:$B1000)</f>
        <v>4</v>
      </c>
      <c r="E18" s="26">
        <f t="array" ref="E18">XLOOKUP($A18,Facebook_interactions_raw!$A$4:$A1000,Facebook_interactions_raw!$B$4:$B1000)</f>
        <v>90</v>
      </c>
      <c r="F18" s="26">
        <f t="array" ref="F18">XLOOKUP($A18,Facebook_reach_raw!$A$4:$A1000,Facebook_reach_raw!$B$4:$B1000)</f>
        <v>32981</v>
      </c>
    </row>
    <row r="19">
      <c r="A19" s="28">
        <f>Facebook_reach_raw!$A21</f>
        <v>45491</v>
      </c>
      <c r="B19" s="29">
        <f>Facebook_interactions_raw!$A21</f>
        <v>45491</v>
      </c>
      <c r="C19" s="26" t="str">
        <f t="shared" si="1"/>
        <v>Facebook</v>
      </c>
      <c r="D19" s="26">
        <f t="array" ref="D19">XLOOKUP($A19,Facebook_follows_raw!$A$4:$A1000,Facebook_follows_raw!$B$4:$B1000)</f>
        <v>3</v>
      </c>
      <c r="E19" s="26">
        <f t="array" ref="E19">XLOOKUP($A19,Facebook_interactions_raw!$A$4:$A1000,Facebook_interactions_raw!$B$4:$B1000)</f>
        <v>358</v>
      </c>
      <c r="F19" s="26">
        <f t="array" ref="F19">XLOOKUP($A19,Facebook_reach_raw!$A$4:$A1000,Facebook_reach_raw!$B$4:$B1000)</f>
        <v>38416</v>
      </c>
    </row>
    <row r="20">
      <c r="A20" s="28">
        <f>Facebook_reach_raw!$A22</f>
        <v>45492</v>
      </c>
      <c r="B20" s="29">
        <f>Facebook_interactions_raw!$A22</f>
        <v>45492</v>
      </c>
      <c r="C20" s="26" t="str">
        <f t="shared" si="1"/>
        <v>Facebook</v>
      </c>
      <c r="D20" s="26">
        <f t="array" ref="D20">XLOOKUP($A20,Facebook_follows_raw!$A$4:$A1000,Facebook_follows_raw!$B$4:$B1000)</f>
        <v>7</v>
      </c>
      <c r="E20" s="26">
        <f t="array" ref="E20">XLOOKUP($A20,Facebook_interactions_raw!$A$4:$A1000,Facebook_interactions_raw!$B$4:$B1000)</f>
        <v>116</v>
      </c>
      <c r="F20" s="26">
        <f t="array" ref="F20">XLOOKUP($A20,Facebook_reach_raw!$A$4:$A1000,Facebook_reach_raw!$B$4:$B1000)</f>
        <v>34482</v>
      </c>
    </row>
    <row r="21">
      <c r="A21" s="28">
        <f>Facebook_reach_raw!$A23</f>
        <v>45493</v>
      </c>
      <c r="B21" s="29">
        <f>Facebook_interactions_raw!$A23</f>
        <v>45493</v>
      </c>
      <c r="C21" s="26" t="str">
        <f t="shared" si="1"/>
        <v>Facebook</v>
      </c>
      <c r="D21" s="26">
        <f t="array" ref="D21">XLOOKUP($A21,Facebook_follows_raw!$A$4:$A1000,Facebook_follows_raw!$B$4:$B1000)</f>
        <v>6</v>
      </c>
      <c r="E21" s="26">
        <f t="array" ref="E21">XLOOKUP($A21,Facebook_interactions_raw!$A$4:$A1000,Facebook_interactions_raw!$B$4:$B1000)</f>
        <v>73</v>
      </c>
      <c r="F21" s="26">
        <f t="array" ref="F21">XLOOKUP($A21,Facebook_reach_raw!$A$4:$A1000,Facebook_reach_raw!$B$4:$B1000)</f>
        <v>34223</v>
      </c>
    </row>
    <row r="22">
      <c r="A22" s="28">
        <f>Facebook_reach_raw!$A24</f>
        <v>45494</v>
      </c>
      <c r="B22" s="29">
        <f>Facebook_interactions_raw!$A24</f>
        <v>45494</v>
      </c>
      <c r="C22" s="26" t="str">
        <f t="shared" si="1"/>
        <v>Facebook</v>
      </c>
      <c r="D22" s="26">
        <f t="array" ref="D22">XLOOKUP($A22,Facebook_follows_raw!$A$4:$A1000,Facebook_follows_raw!$B$4:$B1000)</f>
        <v>1</v>
      </c>
      <c r="E22" s="26">
        <f t="array" ref="E22">XLOOKUP($A22,Facebook_interactions_raw!$A$4:$A1000,Facebook_interactions_raw!$B$4:$B1000)</f>
        <v>71</v>
      </c>
      <c r="F22" s="26">
        <f t="array" ref="F22">XLOOKUP($A22,Facebook_reach_raw!$A$4:$A1000,Facebook_reach_raw!$B$4:$B1000)</f>
        <v>41772</v>
      </c>
    </row>
    <row r="23">
      <c r="A23" s="28">
        <f>Facebook_reach_raw!$A25</f>
        <v>45495</v>
      </c>
      <c r="B23" s="29">
        <f>Facebook_interactions_raw!$A25</f>
        <v>45495</v>
      </c>
      <c r="C23" s="26" t="str">
        <f t="shared" si="1"/>
        <v>Facebook</v>
      </c>
      <c r="D23" s="26">
        <f t="array" ref="D23">XLOOKUP($A23,Facebook_follows_raw!$A$4:$A1000,Facebook_follows_raw!$B$4:$B1000)</f>
        <v>4</v>
      </c>
      <c r="E23" s="26">
        <f t="array" ref="E23">XLOOKUP($A23,Facebook_interactions_raw!$A$4:$A1000,Facebook_interactions_raw!$B$4:$B1000)</f>
        <v>63</v>
      </c>
      <c r="F23" s="26">
        <f t="array" ref="F23">XLOOKUP($A23,Facebook_reach_raw!$A$4:$A1000,Facebook_reach_raw!$B$4:$B1000)</f>
        <v>39764</v>
      </c>
    </row>
    <row r="24">
      <c r="A24" s="28">
        <f>Facebook_reach_raw!$A26</f>
        <v>45496</v>
      </c>
      <c r="B24" s="29">
        <f>Facebook_interactions_raw!$A26</f>
        <v>45496</v>
      </c>
      <c r="C24" s="26" t="str">
        <f t="shared" si="1"/>
        <v>Facebook</v>
      </c>
      <c r="D24" s="26">
        <f t="array" ref="D24">XLOOKUP($A24,Facebook_follows_raw!$A$4:$A1000,Facebook_follows_raw!$B$4:$B1000)</f>
        <v>2</v>
      </c>
      <c r="E24" s="26">
        <f t="array" ref="E24">XLOOKUP($A24,Facebook_interactions_raw!$A$4:$A1000,Facebook_interactions_raw!$B$4:$B1000)</f>
        <v>72</v>
      </c>
      <c r="F24" s="26">
        <f t="array" ref="F24">XLOOKUP($A24,Facebook_reach_raw!$A$4:$A1000,Facebook_reach_raw!$B$4:$B1000)</f>
        <v>38113</v>
      </c>
    </row>
    <row r="25">
      <c r="A25" s="28">
        <f>Facebook_reach_raw!$A27</f>
        <v>45497</v>
      </c>
      <c r="B25" s="29">
        <f>Facebook_interactions_raw!$A27</f>
        <v>45497</v>
      </c>
      <c r="C25" s="26" t="str">
        <f t="shared" si="1"/>
        <v>Facebook</v>
      </c>
      <c r="D25" s="26">
        <f t="array" ref="D25">XLOOKUP($A25,Facebook_follows_raw!$A$4:$A1000,Facebook_follows_raw!$B$4:$B1000)</f>
        <v>2</v>
      </c>
      <c r="E25" s="26">
        <f t="array" ref="E25">XLOOKUP($A25,Facebook_interactions_raw!$A$4:$A1000,Facebook_interactions_raw!$B$4:$B1000)</f>
        <v>80</v>
      </c>
      <c r="F25" s="26">
        <f t="array" ref="F25">XLOOKUP($A25,Facebook_reach_raw!$A$4:$A1000,Facebook_reach_raw!$B$4:$B1000)</f>
        <v>37509</v>
      </c>
    </row>
    <row r="26">
      <c r="A26" s="28">
        <f>Facebook_reach_raw!$A28</f>
        <v>45498</v>
      </c>
      <c r="B26" s="29">
        <f>Facebook_interactions_raw!$A28</f>
        <v>45498</v>
      </c>
      <c r="C26" s="26" t="str">
        <f t="shared" si="1"/>
        <v>Facebook</v>
      </c>
      <c r="D26" s="26">
        <f t="array" ref="D26">XLOOKUP($A26,Facebook_follows_raw!$A$4:$A1000,Facebook_follows_raw!$B$4:$B1000)</f>
        <v>5</v>
      </c>
      <c r="E26" s="26">
        <f t="array" ref="E26">XLOOKUP($A26,Facebook_interactions_raw!$A$4:$A1000,Facebook_interactions_raw!$B$4:$B1000)</f>
        <v>157</v>
      </c>
      <c r="F26" s="26">
        <f t="array" ref="F26">XLOOKUP($A26,Facebook_reach_raw!$A$4:$A1000,Facebook_reach_raw!$B$4:$B1000)</f>
        <v>35106</v>
      </c>
    </row>
    <row r="27">
      <c r="A27" s="28">
        <f>Facebook_reach_raw!$A29</f>
        <v>45499</v>
      </c>
      <c r="B27" s="29">
        <f>Facebook_interactions_raw!$A29</f>
        <v>45499</v>
      </c>
      <c r="C27" s="26" t="str">
        <f t="shared" si="1"/>
        <v>Facebook</v>
      </c>
      <c r="D27" s="26">
        <f t="array" ref="D27">XLOOKUP($A27,Facebook_follows_raw!$A$4:$A1000,Facebook_follows_raw!$B$4:$B1000)</f>
        <v>1</v>
      </c>
      <c r="E27" s="26">
        <f t="array" ref="E27">XLOOKUP($A27,Facebook_interactions_raw!$A$4:$A1000,Facebook_interactions_raw!$B$4:$B1000)</f>
        <v>84</v>
      </c>
      <c r="F27" s="26">
        <f t="array" ref="F27">XLOOKUP($A27,Facebook_reach_raw!$A$4:$A1000,Facebook_reach_raw!$B$4:$B1000)</f>
        <v>32792</v>
      </c>
    </row>
    <row r="28">
      <c r="A28" s="28">
        <f>Facebook_reach_raw!$A30</f>
        <v>45500</v>
      </c>
      <c r="B28" s="29">
        <f>Facebook_interactions_raw!$A30</f>
        <v>45500</v>
      </c>
      <c r="C28" s="26" t="str">
        <f t="shared" si="1"/>
        <v>Facebook</v>
      </c>
      <c r="D28" s="26">
        <f t="array" ref="D28">XLOOKUP($A28,Facebook_follows_raw!$A$4:$A1000,Facebook_follows_raw!$B$4:$B1000)</f>
        <v>2</v>
      </c>
      <c r="E28" s="26">
        <f t="array" ref="E28">XLOOKUP($A28,Facebook_interactions_raw!$A$4:$A1000,Facebook_interactions_raw!$B$4:$B1000)</f>
        <v>55</v>
      </c>
      <c r="F28" s="26">
        <f t="array" ref="F28">XLOOKUP($A28,Facebook_reach_raw!$A$4:$A1000,Facebook_reach_raw!$B$4:$B1000)</f>
        <v>31435</v>
      </c>
    </row>
    <row r="29">
      <c r="A29" s="28">
        <f>Facebook_reach_raw!$A31</f>
        <v>45501</v>
      </c>
      <c r="B29" s="29">
        <f>Facebook_interactions_raw!$A31</f>
        <v>45501</v>
      </c>
      <c r="C29" s="26" t="str">
        <f t="shared" si="1"/>
        <v>Facebook</v>
      </c>
      <c r="D29" s="26">
        <f t="array" ref="D29">XLOOKUP($A29,Facebook_follows_raw!$A$4:$A1000,Facebook_follows_raw!$B$4:$B1000)</f>
        <v>1</v>
      </c>
      <c r="E29" s="26">
        <f t="array" ref="E29">XLOOKUP($A29,Facebook_interactions_raw!$A$4:$A1000,Facebook_interactions_raw!$B$4:$B1000)</f>
        <v>61</v>
      </c>
      <c r="F29" s="26">
        <f t="array" ref="F29">XLOOKUP($A29,Facebook_reach_raw!$A$4:$A1000,Facebook_reach_raw!$B$4:$B1000)</f>
        <v>35705</v>
      </c>
    </row>
    <row r="30">
      <c r="A30" s="28">
        <f>Facebook_reach_raw!$A32</f>
        <v>45502</v>
      </c>
      <c r="B30" s="29">
        <f>Facebook_interactions_raw!$A32</f>
        <v>45502</v>
      </c>
      <c r="C30" s="26" t="str">
        <f t="shared" si="1"/>
        <v>Facebook</v>
      </c>
      <c r="D30" s="26">
        <f t="array" ref="D30">XLOOKUP($A30,Facebook_follows_raw!$A$4:$A1000,Facebook_follows_raw!$B$4:$B1000)</f>
        <v>2</v>
      </c>
      <c r="E30" s="26">
        <f t="array" ref="E30">XLOOKUP($A30,Facebook_interactions_raw!$A$4:$A1000,Facebook_interactions_raw!$B$4:$B1000)</f>
        <v>61</v>
      </c>
      <c r="F30" s="26">
        <f t="array" ref="F30">XLOOKUP($A30,Facebook_reach_raw!$A$4:$A1000,Facebook_reach_raw!$B$4:$B1000)</f>
        <v>33536</v>
      </c>
    </row>
    <row r="31">
      <c r="A31" s="28">
        <f>Facebook_reach_raw!$A33</f>
        <v>45503</v>
      </c>
      <c r="B31" s="29">
        <f>Facebook_interactions_raw!$A33</f>
        <v>45503</v>
      </c>
      <c r="C31" s="26" t="str">
        <f t="shared" si="1"/>
        <v>Facebook</v>
      </c>
      <c r="D31" s="26">
        <f t="array" ref="D31">XLOOKUP($A31,Facebook_follows_raw!$A$4:$A1000,Facebook_follows_raw!$B$4:$B1000)</f>
        <v>3</v>
      </c>
      <c r="E31" s="26">
        <f t="array" ref="E31">XLOOKUP($A31,Facebook_interactions_raw!$A$4:$A1000,Facebook_interactions_raw!$B$4:$B1000)</f>
        <v>118</v>
      </c>
      <c r="F31" s="26">
        <f t="array" ref="F31">XLOOKUP($A31,Facebook_reach_raw!$A$4:$A1000,Facebook_reach_raw!$B$4:$B1000)</f>
        <v>34210</v>
      </c>
    </row>
    <row r="32">
      <c r="A32" s="28">
        <f>Facebook_reach_raw!$A34</f>
        <v>45504</v>
      </c>
      <c r="B32" s="29">
        <f>Facebook_interactions_raw!$A34</f>
        <v>45504</v>
      </c>
      <c r="C32" s="26" t="str">
        <f t="shared" si="1"/>
        <v>Facebook</v>
      </c>
      <c r="D32" s="26">
        <f t="array" ref="D32">XLOOKUP($A32,Facebook_follows_raw!$A$4:$A1000,Facebook_follows_raw!$B$4:$B1000)</f>
        <v>1</v>
      </c>
      <c r="E32" s="26">
        <f t="array" ref="E32">XLOOKUP($A32,Facebook_interactions_raw!$A$4:$A1000,Facebook_interactions_raw!$B$4:$B1000)</f>
        <v>110</v>
      </c>
      <c r="F32" s="26">
        <f t="array" ref="F32">XLOOKUP($A32,Facebook_reach_raw!$A$4:$A1000,Facebook_reach_raw!$B$4:$B1000)</f>
        <v>33345</v>
      </c>
    </row>
    <row r="33">
      <c r="A33" s="28">
        <f>Facebook_reach_raw!$A35</f>
        <v>45505</v>
      </c>
      <c r="B33" s="29">
        <f>Facebook_interactions_raw!$A35</f>
        <v>45505</v>
      </c>
      <c r="C33" s="26" t="str">
        <f t="shared" si="1"/>
        <v>Facebook</v>
      </c>
      <c r="D33" s="26">
        <f t="array" ref="D33">XLOOKUP($A33,Facebook_follows_raw!$A$4:$A1000,Facebook_follows_raw!$B$4:$B1000)</f>
        <v>1</v>
      </c>
      <c r="E33" s="26">
        <f t="array" ref="E33">XLOOKUP($A33,Facebook_interactions_raw!$A$4:$A1000,Facebook_interactions_raw!$B$4:$B1000)</f>
        <v>44</v>
      </c>
      <c r="F33" s="26">
        <f t="array" ref="F33">XLOOKUP($A33,Facebook_reach_raw!$A$4:$A1000,Facebook_reach_raw!$B$4:$B1000)</f>
        <v>9163</v>
      </c>
    </row>
    <row r="34">
      <c r="A34" s="28">
        <f>Facebook_reach_raw!$A36</f>
        <v>45506</v>
      </c>
      <c r="B34" s="29">
        <f>Facebook_interactions_raw!$A36</f>
        <v>45506</v>
      </c>
      <c r="C34" s="26" t="str">
        <f t="shared" si="1"/>
        <v>Facebook</v>
      </c>
      <c r="D34" s="26">
        <f t="array" ref="D34">XLOOKUP($A34,Facebook_follows_raw!$A$4:$A1000,Facebook_follows_raw!$B$4:$B1000)</f>
        <v>1</v>
      </c>
      <c r="E34" s="26">
        <f t="array" ref="E34">XLOOKUP($A34,Facebook_interactions_raw!$A$4:$A1000,Facebook_interactions_raw!$B$4:$B1000)</f>
        <v>38</v>
      </c>
      <c r="F34" s="26">
        <f t="array" ref="F34">XLOOKUP($A34,Facebook_reach_raw!$A$4:$A1000,Facebook_reach_raw!$B$4:$B1000)</f>
        <v>926</v>
      </c>
    </row>
    <row r="35">
      <c r="A35" s="28">
        <f>Facebook_reach_raw!$A37</f>
        <v>45507</v>
      </c>
      <c r="B35" s="29">
        <f>Facebook_interactions_raw!$A37</f>
        <v>45507</v>
      </c>
      <c r="C35" s="26" t="str">
        <f t="shared" si="1"/>
        <v>Facebook</v>
      </c>
      <c r="D35" s="26">
        <f t="array" ref="D35">XLOOKUP($A35,Facebook_follows_raw!$A$4:$A1000,Facebook_follows_raw!$B$4:$B1000)</f>
        <v>0</v>
      </c>
      <c r="E35" s="26">
        <f t="array" ref="E35">XLOOKUP($A35,Facebook_interactions_raw!$A$4:$A1000,Facebook_interactions_raw!$B$4:$B1000)</f>
        <v>25</v>
      </c>
      <c r="F35" s="26">
        <f t="array" ref="F35">XLOOKUP($A35,Facebook_reach_raw!$A$4:$A1000,Facebook_reach_raw!$B$4:$B1000)</f>
        <v>593</v>
      </c>
    </row>
    <row r="36">
      <c r="A36" s="28">
        <f>Facebook_reach_raw!$A38</f>
        <v>45508</v>
      </c>
      <c r="B36" s="29">
        <f>Facebook_interactions_raw!$A38</f>
        <v>45508</v>
      </c>
      <c r="C36" s="26" t="str">
        <f t="shared" si="1"/>
        <v>Facebook</v>
      </c>
      <c r="D36" s="26">
        <f t="array" ref="D36">XLOOKUP($A36,Facebook_follows_raw!$A$4:$A1000,Facebook_follows_raw!$B$4:$B1000)</f>
        <v>1</v>
      </c>
      <c r="E36" s="26">
        <f t="array" ref="E36">XLOOKUP($A36,Facebook_interactions_raw!$A$4:$A1000,Facebook_interactions_raw!$B$4:$B1000)</f>
        <v>19</v>
      </c>
      <c r="F36" s="26">
        <f t="array" ref="F36">XLOOKUP($A36,Facebook_reach_raw!$A$4:$A1000,Facebook_reach_raw!$B$4:$B1000)</f>
        <v>398</v>
      </c>
    </row>
    <row r="37">
      <c r="A37" s="28">
        <f>Facebook_reach_raw!$A39</f>
        <v>45509</v>
      </c>
      <c r="B37" s="29">
        <f>Facebook_interactions_raw!$A39</f>
        <v>45509</v>
      </c>
      <c r="C37" s="26" t="str">
        <f t="shared" si="1"/>
        <v>Facebook</v>
      </c>
      <c r="D37" s="26">
        <f t="array" ref="D37">XLOOKUP($A37,Facebook_follows_raw!$A$4:$A1000,Facebook_follows_raw!$B$4:$B1000)</f>
        <v>3</v>
      </c>
      <c r="E37" s="26">
        <f t="array" ref="E37">XLOOKUP($A37,Facebook_interactions_raw!$A$4:$A1000,Facebook_interactions_raw!$B$4:$B1000)</f>
        <v>8</v>
      </c>
      <c r="F37" s="26">
        <f t="array" ref="F37">XLOOKUP($A37,Facebook_reach_raw!$A$4:$A1000,Facebook_reach_raw!$B$4:$B1000)</f>
        <v>283</v>
      </c>
    </row>
    <row r="38">
      <c r="A38" s="28">
        <f>Facebook_reach_raw!$A40</f>
        <v>45510</v>
      </c>
      <c r="B38" s="29">
        <f>Facebook_interactions_raw!$A40</f>
        <v>45510</v>
      </c>
      <c r="C38" s="26" t="str">
        <f t="shared" si="1"/>
        <v>Facebook</v>
      </c>
      <c r="D38" s="26">
        <f t="array" ref="D38">XLOOKUP($A38,Facebook_follows_raw!$A$4:$A1000,Facebook_follows_raw!$B$4:$B1000)</f>
        <v>3</v>
      </c>
      <c r="E38" s="26">
        <f t="array" ref="E38">XLOOKUP($A38,Facebook_interactions_raw!$A$4:$A1000,Facebook_interactions_raw!$B$4:$B1000)</f>
        <v>85</v>
      </c>
      <c r="F38" s="26">
        <f t="array" ref="F38">XLOOKUP($A38,Facebook_reach_raw!$A$4:$A1000,Facebook_reach_raw!$B$4:$B1000)</f>
        <v>996</v>
      </c>
    </row>
    <row r="39">
      <c r="A39" s="28">
        <f>Facebook_reach_raw!$A41</f>
        <v>45511</v>
      </c>
      <c r="B39" s="29">
        <f>Facebook_interactions_raw!$A41</f>
        <v>45511</v>
      </c>
      <c r="C39" s="26" t="str">
        <f t="shared" si="1"/>
        <v>Facebook</v>
      </c>
      <c r="D39" s="26">
        <f t="array" ref="D39">XLOOKUP($A39,Facebook_follows_raw!$A$4:$A1000,Facebook_follows_raw!$B$4:$B1000)</f>
        <v>2</v>
      </c>
      <c r="E39" s="26">
        <f t="array" ref="E39">XLOOKUP($A39,Facebook_interactions_raw!$A$4:$A1000,Facebook_interactions_raw!$B$4:$B1000)</f>
        <v>28</v>
      </c>
      <c r="F39" s="26">
        <f t="array" ref="F39">XLOOKUP($A39,Facebook_reach_raw!$A$4:$A1000,Facebook_reach_raw!$B$4:$B1000)</f>
        <v>889</v>
      </c>
    </row>
    <row r="40">
      <c r="A40" s="28">
        <f>Facebook_reach_raw!$A42</f>
        <v>45512</v>
      </c>
      <c r="B40" s="29">
        <f>Facebook_interactions_raw!$A42</f>
        <v>45512</v>
      </c>
      <c r="C40" s="26" t="str">
        <f t="shared" si="1"/>
        <v>Facebook</v>
      </c>
      <c r="D40" s="26">
        <f t="array" ref="D40">XLOOKUP($A40,Facebook_follows_raw!$A$4:$A1000,Facebook_follows_raw!$B$4:$B1000)</f>
        <v>26</v>
      </c>
      <c r="E40" s="26">
        <f t="array" ref="E40">XLOOKUP($A40,Facebook_interactions_raw!$A$4:$A1000,Facebook_interactions_raw!$B$4:$B1000)</f>
        <v>80</v>
      </c>
      <c r="F40" s="26">
        <f t="array" ref="F40">XLOOKUP($A40,Facebook_reach_raw!$A$4:$A1000,Facebook_reach_raw!$B$4:$B1000)</f>
        <v>1023</v>
      </c>
    </row>
    <row r="41">
      <c r="A41" s="28">
        <f>Facebook_reach_raw!$A43</f>
        <v>45513</v>
      </c>
      <c r="B41" s="29">
        <f>Facebook_interactions_raw!$A43</f>
        <v>45513</v>
      </c>
      <c r="C41" s="26" t="str">
        <f t="shared" si="1"/>
        <v>Facebook</v>
      </c>
      <c r="D41" s="26">
        <f t="array" ref="D41">XLOOKUP($A41,Facebook_follows_raw!$A$4:$A1000,Facebook_follows_raw!$B$4:$B1000)</f>
        <v>3</v>
      </c>
      <c r="E41" s="26">
        <f t="array" ref="E41">XLOOKUP($A41,Facebook_interactions_raw!$A$4:$A1000,Facebook_interactions_raw!$B$4:$B1000)</f>
        <v>56</v>
      </c>
      <c r="F41" s="26">
        <f t="array" ref="F41">XLOOKUP($A41,Facebook_reach_raw!$A$4:$A1000,Facebook_reach_raw!$B$4:$B1000)</f>
        <v>914</v>
      </c>
    </row>
    <row r="42">
      <c r="A42" s="28">
        <f>Facebook_reach_raw!$A44</f>
        <v>45514</v>
      </c>
      <c r="B42" s="29">
        <f>Facebook_interactions_raw!$A44</f>
        <v>45514</v>
      </c>
      <c r="C42" s="26" t="str">
        <f t="shared" si="1"/>
        <v>Facebook</v>
      </c>
      <c r="D42" s="26">
        <f t="array" ref="D42">XLOOKUP($A42,Facebook_follows_raw!$A$4:$A1000,Facebook_follows_raw!$B$4:$B1000)</f>
        <v>3</v>
      </c>
      <c r="E42" s="26">
        <f t="array" ref="E42">XLOOKUP($A42,Facebook_interactions_raw!$A$4:$A1000,Facebook_interactions_raw!$B$4:$B1000)</f>
        <v>19</v>
      </c>
      <c r="F42" s="26">
        <f t="array" ref="F42">XLOOKUP($A42,Facebook_reach_raw!$A$4:$A1000,Facebook_reach_raw!$B$4:$B1000)</f>
        <v>404</v>
      </c>
    </row>
    <row r="43">
      <c r="A43" s="28">
        <f>Facebook_reach_raw!$A45</f>
        <v>45515</v>
      </c>
      <c r="B43" s="29">
        <f>Facebook_interactions_raw!$A45</f>
        <v>45515</v>
      </c>
      <c r="C43" s="26" t="str">
        <f t="shared" si="1"/>
        <v>Facebook</v>
      </c>
      <c r="D43" s="26">
        <f t="array" ref="D43">XLOOKUP($A43,Facebook_follows_raw!$A$4:$A1000,Facebook_follows_raw!$B$4:$B1000)</f>
        <v>0</v>
      </c>
      <c r="E43" s="26">
        <f t="array" ref="E43">XLOOKUP($A43,Facebook_interactions_raw!$A$4:$A1000,Facebook_interactions_raw!$B$4:$B1000)</f>
        <v>20</v>
      </c>
      <c r="F43" s="26">
        <f t="array" ref="F43">XLOOKUP($A43,Facebook_reach_raw!$A$4:$A1000,Facebook_reach_raw!$B$4:$B1000)</f>
        <v>486</v>
      </c>
    </row>
    <row r="44">
      <c r="A44" s="28">
        <f>Facebook_reach_raw!$A46</f>
        <v>45516</v>
      </c>
      <c r="B44" s="29">
        <f>Facebook_interactions_raw!$A46</f>
        <v>45516</v>
      </c>
      <c r="C44" s="26" t="str">
        <f t="shared" si="1"/>
        <v>Facebook</v>
      </c>
      <c r="D44" s="26">
        <f t="array" ref="D44">XLOOKUP($A44,Facebook_follows_raw!$A$4:$A1000,Facebook_follows_raw!$B$4:$B1000)</f>
        <v>1</v>
      </c>
      <c r="E44" s="26">
        <f t="array" ref="E44">XLOOKUP($A44,Facebook_interactions_raw!$A$4:$A1000,Facebook_interactions_raw!$B$4:$B1000)</f>
        <v>44</v>
      </c>
      <c r="F44" s="26">
        <f t="array" ref="F44">XLOOKUP($A44,Facebook_reach_raw!$A$4:$A1000,Facebook_reach_raw!$B$4:$B1000)</f>
        <v>866</v>
      </c>
    </row>
    <row r="45">
      <c r="A45" s="28">
        <f>Facebook_reach_raw!$A47</f>
        <v>45517</v>
      </c>
      <c r="B45" s="29">
        <f>Facebook_interactions_raw!$A47</f>
        <v>45517</v>
      </c>
      <c r="C45" s="26" t="str">
        <f t="shared" si="1"/>
        <v>Facebook</v>
      </c>
      <c r="D45" s="26">
        <f t="array" ref="D45">XLOOKUP($A45,Facebook_follows_raw!$A$4:$A1000,Facebook_follows_raw!$B$4:$B1000)</f>
        <v>2</v>
      </c>
      <c r="E45" s="26">
        <f t="array" ref="E45">XLOOKUP($A45,Facebook_interactions_raw!$A$4:$A1000,Facebook_interactions_raw!$B$4:$B1000)</f>
        <v>18</v>
      </c>
      <c r="F45" s="26">
        <f t="array" ref="F45">XLOOKUP($A45,Facebook_reach_raw!$A$4:$A1000,Facebook_reach_raw!$B$4:$B1000)</f>
        <v>331</v>
      </c>
    </row>
    <row r="46">
      <c r="A46" s="28">
        <f>Facebook_reach_raw!$A48</f>
        <v>45518</v>
      </c>
      <c r="B46" s="29">
        <f>Facebook_interactions_raw!$A48</f>
        <v>45518</v>
      </c>
      <c r="C46" s="26" t="str">
        <f t="shared" si="1"/>
        <v>Facebook</v>
      </c>
      <c r="D46" s="26">
        <f t="array" ref="D46">XLOOKUP($A46,Facebook_follows_raw!$A$4:$A1000,Facebook_follows_raw!$B$4:$B1000)</f>
        <v>0</v>
      </c>
      <c r="E46" s="26">
        <f t="array" ref="E46">XLOOKUP($A46,Facebook_interactions_raw!$A$4:$A1000,Facebook_interactions_raw!$B$4:$B1000)</f>
        <v>25</v>
      </c>
      <c r="F46" s="26">
        <f t="array" ref="F46">XLOOKUP($A46,Facebook_reach_raw!$A$4:$A1000,Facebook_reach_raw!$B$4:$B1000)</f>
        <v>5265</v>
      </c>
    </row>
    <row r="47">
      <c r="A47" s="28">
        <f>Facebook_reach_raw!$A49</f>
        <v>45519</v>
      </c>
      <c r="B47" s="29">
        <f>Facebook_interactions_raw!$A49</f>
        <v>45519</v>
      </c>
      <c r="C47" s="26" t="str">
        <f t="shared" si="1"/>
        <v>Facebook</v>
      </c>
      <c r="D47" s="26">
        <f t="array" ref="D47">XLOOKUP($A47,Facebook_follows_raw!$A$4:$A1000,Facebook_follows_raw!$B$4:$B1000)</f>
        <v>2</v>
      </c>
      <c r="E47" s="26">
        <f t="array" ref="E47">XLOOKUP($A47,Facebook_interactions_raw!$A$4:$A1000,Facebook_interactions_raw!$B$4:$B1000)</f>
        <v>62</v>
      </c>
      <c r="F47" s="26">
        <f t="array" ref="F47">XLOOKUP($A47,Facebook_reach_raw!$A$4:$A1000,Facebook_reach_raw!$B$4:$B1000)</f>
        <v>17852</v>
      </c>
    </row>
    <row r="48">
      <c r="A48" s="28">
        <f>Facebook_reach_raw!$A50</f>
        <v>45520</v>
      </c>
      <c r="B48" s="29">
        <f>Facebook_interactions_raw!$A50</f>
        <v>45520</v>
      </c>
      <c r="C48" s="26" t="str">
        <f t="shared" si="1"/>
        <v>Facebook</v>
      </c>
      <c r="D48" s="26">
        <f t="array" ref="D48">XLOOKUP($A48,Facebook_follows_raw!$A$4:$A1000,Facebook_follows_raw!$B$4:$B1000)</f>
        <v>2</v>
      </c>
      <c r="E48" s="26">
        <f t="array" ref="E48">XLOOKUP($A48,Facebook_interactions_raw!$A$4:$A1000,Facebook_interactions_raw!$B$4:$B1000)</f>
        <v>165</v>
      </c>
      <c r="F48" s="26">
        <f t="array" ref="F48">XLOOKUP($A48,Facebook_reach_raw!$A$4:$A1000,Facebook_reach_raw!$B$4:$B1000)</f>
        <v>25906</v>
      </c>
    </row>
    <row r="49">
      <c r="A49" s="28">
        <f>Facebook_reach_raw!$A51</f>
        <v>45521</v>
      </c>
      <c r="B49" s="29">
        <f>Facebook_interactions_raw!$A51</f>
        <v>45521</v>
      </c>
      <c r="C49" s="26" t="str">
        <f t="shared" si="1"/>
        <v>Facebook</v>
      </c>
      <c r="D49" s="26">
        <f t="array" ref="D49">XLOOKUP($A49,Facebook_follows_raw!$A$4:$A1000,Facebook_follows_raw!$B$4:$B1000)</f>
        <v>8</v>
      </c>
      <c r="E49" s="26">
        <f t="array" ref="E49">XLOOKUP($A49,Facebook_interactions_raw!$A$4:$A1000,Facebook_interactions_raw!$B$4:$B1000)</f>
        <v>212</v>
      </c>
      <c r="F49" s="26">
        <f t="array" ref="F49">XLOOKUP($A49,Facebook_reach_raw!$A$4:$A1000,Facebook_reach_raw!$B$4:$B1000)</f>
        <v>29574</v>
      </c>
    </row>
    <row r="50">
      <c r="A50" s="28">
        <f>Facebook_reach_raw!$A52</f>
        <v>45522</v>
      </c>
      <c r="B50" s="29">
        <f>Facebook_interactions_raw!$A52</f>
        <v>45522</v>
      </c>
      <c r="C50" s="26" t="str">
        <f t="shared" si="1"/>
        <v>Facebook</v>
      </c>
      <c r="D50" s="26">
        <f t="array" ref="D50">XLOOKUP($A50,Facebook_follows_raw!$A$4:$A1000,Facebook_follows_raw!$B$4:$B1000)</f>
        <v>2</v>
      </c>
      <c r="E50" s="26">
        <f t="array" ref="E50">XLOOKUP($A50,Facebook_interactions_raw!$A$4:$A1000,Facebook_interactions_raw!$B$4:$B1000)</f>
        <v>45</v>
      </c>
      <c r="F50" s="26">
        <f t="array" ref="F50">XLOOKUP($A50,Facebook_reach_raw!$A$4:$A1000,Facebook_reach_raw!$B$4:$B1000)</f>
        <v>23289</v>
      </c>
    </row>
    <row r="51">
      <c r="A51" s="28">
        <f>Facebook_reach_raw!$A53</f>
        <v>45523</v>
      </c>
      <c r="B51" s="29">
        <f>Facebook_interactions_raw!$A53</f>
        <v>45523</v>
      </c>
      <c r="C51" s="26" t="str">
        <f t="shared" si="1"/>
        <v>Facebook</v>
      </c>
      <c r="D51" s="26">
        <f t="array" ref="D51">XLOOKUP($A51,Facebook_follows_raw!$A$4:$A1000,Facebook_follows_raw!$B$4:$B1000)</f>
        <v>4</v>
      </c>
      <c r="E51" s="26">
        <f t="array" ref="E51">XLOOKUP($A51,Facebook_interactions_raw!$A$4:$A1000,Facebook_interactions_raw!$B$4:$B1000)</f>
        <v>50</v>
      </c>
      <c r="F51" s="26">
        <f t="array" ref="F51">XLOOKUP($A51,Facebook_reach_raw!$A$4:$A1000,Facebook_reach_raw!$B$4:$B1000)</f>
        <v>22596</v>
      </c>
    </row>
    <row r="52">
      <c r="A52" s="28">
        <f>Facebook_reach_raw!$A54</f>
        <v>45524</v>
      </c>
      <c r="B52" s="29">
        <f>Facebook_interactions_raw!$A54</f>
        <v>45524</v>
      </c>
      <c r="C52" s="26" t="str">
        <f t="shared" si="1"/>
        <v>Facebook</v>
      </c>
      <c r="D52" s="26">
        <f t="array" ref="D52">XLOOKUP($A52,Facebook_follows_raw!$A$4:$A1000,Facebook_follows_raw!$B$4:$B1000)</f>
        <v>2</v>
      </c>
      <c r="E52" s="26">
        <f t="array" ref="E52">XLOOKUP($A52,Facebook_interactions_raw!$A$4:$A1000,Facebook_interactions_raw!$B$4:$B1000)</f>
        <v>54</v>
      </c>
      <c r="F52" s="26">
        <f t="array" ref="F52">XLOOKUP($A52,Facebook_reach_raw!$A$4:$A1000,Facebook_reach_raw!$B$4:$B1000)</f>
        <v>23301</v>
      </c>
    </row>
    <row r="53">
      <c r="A53" s="28">
        <f>Facebook_reach_raw!$A55</f>
        <v>45525</v>
      </c>
      <c r="B53" s="29">
        <f>Facebook_interactions_raw!$A55</f>
        <v>45525</v>
      </c>
      <c r="C53" s="26" t="str">
        <f t="shared" si="1"/>
        <v>Facebook</v>
      </c>
      <c r="D53" s="26">
        <f t="array" ref="D53">XLOOKUP($A53,Facebook_follows_raw!$A$4:$A1000,Facebook_follows_raw!$B$4:$B1000)</f>
        <v>1</v>
      </c>
      <c r="E53" s="26">
        <f t="array" ref="E53">XLOOKUP($A53,Facebook_interactions_raw!$A$4:$A1000,Facebook_interactions_raw!$B$4:$B1000)</f>
        <v>46</v>
      </c>
      <c r="F53" s="26">
        <f t="array" ref="F53">XLOOKUP($A53,Facebook_reach_raw!$A$4:$A1000,Facebook_reach_raw!$B$4:$B1000)</f>
        <v>22524</v>
      </c>
    </row>
    <row r="54">
      <c r="A54" s="28">
        <f>Facebook_reach_raw!$A56</f>
        <v>45526</v>
      </c>
      <c r="B54" s="29">
        <f>Facebook_interactions_raw!$A56</f>
        <v>45526</v>
      </c>
      <c r="C54" s="26" t="str">
        <f t="shared" si="1"/>
        <v>Facebook</v>
      </c>
      <c r="D54" s="26">
        <f t="array" ref="D54">XLOOKUP($A54,Facebook_follows_raw!$A$4:$A1000,Facebook_follows_raw!$B$4:$B1000)</f>
        <v>1</v>
      </c>
      <c r="E54" s="26">
        <f t="array" ref="E54">XLOOKUP($A54,Facebook_interactions_raw!$A$4:$A1000,Facebook_interactions_raw!$B$4:$B1000)</f>
        <v>101</v>
      </c>
      <c r="F54" s="26">
        <f t="array" ref="F54">XLOOKUP($A54,Facebook_reach_raw!$A$4:$A1000,Facebook_reach_raw!$B$4:$B1000)</f>
        <v>20924</v>
      </c>
    </row>
    <row r="55">
      <c r="A55" s="28">
        <f>Facebook_reach_raw!$A57</f>
        <v>45527</v>
      </c>
      <c r="B55" s="29">
        <f>Facebook_interactions_raw!$A57</f>
        <v>45527</v>
      </c>
      <c r="C55" s="26" t="str">
        <f t="shared" si="1"/>
        <v>Facebook</v>
      </c>
      <c r="D55" s="26">
        <f t="array" ref="D55">XLOOKUP($A55,Facebook_follows_raw!$A$4:$A1000,Facebook_follows_raw!$B$4:$B1000)</f>
        <v>4</v>
      </c>
      <c r="E55" s="26">
        <f t="array" ref="E55">XLOOKUP($A55,Facebook_interactions_raw!$A$4:$A1000,Facebook_interactions_raw!$B$4:$B1000)</f>
        <v>97</v>
      </c>
      <c r="F55" s="26">
        <f t="array" ref="F55">XLOOKUP($A55,Facebook_reach_raw!$A$4:$A1000,Facebook_reach_raw!$B$4:$B1000)</f>
        <v>20732</v>
      </c>
    </row>
    <row r="56">
      <c r="A56" s="28">
        <f>Facebook_reach_raw!$A58</f>
        <v>45528</v>
      </c>
      <c r="B56" s="29">
        <f>Facebook_interactions_raw!$A58</f>
        <v>45528</v>
      </c>
      <c r="C56" s="26" t="str">
        <f t="shared" si="1"/>
        <v>Facebook</v>
      </c>
      <c r="D56" s="26">
        <f t="array" ref="D56">XLOOKUP($A56,Facebook_follows_raw!$A$4:$A1000,Facebook_follows_raw!$B$4:$B1000)</f>
        <v>8</v>
      </c>
      <c r="E56" s="26">
        <f t="array" ref="E56">XLOOKUP($A56,Facebook_interactions_raw!$A$4:$A1000,Facebook_interactions_raw!$B$4:$B1000)</f>
        <v>72</v>
      </c>
      <c r="F56" s="26">
        <f t="array" ref="F56">XLOOKUP($A56,Facebook_reach_raw!$A$4:$A1000,Facebook_reach_raw!$B$4:$B1000)</f>
        <v>21406</v>
      </c>
    </row>
    <row r="57">
      <c r="A57" s="28">
        <f>Facebook_reach_raw!$A59</f>
        <v>45529</v>
      </c>
      <c r="B57" s="29">
        <f>Facebook_interactions_raw!$A59</f>
        <v>45529</v>
      </c>
      <c r="C57" s="26" t="str">
        <f t="shared" si="1"/>
        <v>Facebook</v>
      </c>
      <c r="D57" s="26">
        <f t="array" ref="D57">XLOOKUP($A57,Facebook_follows_raw!$A$4:$A1000,Facebook_follows_raw!$B$4:$B1000)</f>
        <v>3</v>
      </c>
      <c r="E57" s="26">
        <f t="array" ref="E57">XLOOKUP($A57,Facebook_interactions_raw!$A$4:$A1000,Facebook_interactions_raw!$B$4:$B1000)</f>
        <v>32</v>
      </c>
      <c r="F57" s="26">
        <f t="array" ref="F57">XLOOKUP($A57,Facebook_reach_raw!$A$4:$A1000,Facebook_reach_raw!$B$4:$B1000)</f>
        <v>27279</v>
      </c>
    </row>
    <row r="58">
      <c r="A58" s="28">
        <f>Facebook_reach_raw!$A60</f>
        <v>45530</v>
      </c>
      <c r="B58" s="29">
        <f>Facebook_interactions_raw!$A60</f>
        <v>45530</v>
      </c>
      <c r="C58" s="26" t="str">
        <f t="shared" si="1"/>
        <v>Facebook</v>
      </c>
      <c r="D58" s="26">
        <f t="array" ref="D58">XLOOKUP($A58,Facebook_follows_raw!$A$4:$A1000,Facebook_follows_raw!$B$4:$B1000)</f>
        <v>1</v>
      </c>
      <c r="E58" s="26">
        <f t="array" ref="E58">XLOOKUP($A58,Facebook_interactions_raw!$A$4:$A1000,Facebook_interactions_raw!$B$4:$B1000)</f>
        <v>20</v>
      </c>
      <c r="F58" s="26">
        <f t="array" ref="F58">XLOOKUP($A58,Facebook_reach_raw!$A$4:$A1000,Facebook_reach_raw!$B$4:$B1000)</f>
        <v>34893</v>
      </c>
    </row>
    <row r="59">
      <c r="A59" s="28">
        <f>Facebook_reach_raw!$A61</f>
        <v>45531</v>
      </c>
      <c r="B59" s="29">
        <f>Facebook_interactions_raw!$A61</f>
        <v>45531</v>
      </c>
      <c r="C59" s="26" t="str">
        <f t="shared" si="1"/>
        <v>Facebook</v>
      </c>
      <c r="D59" s="26">
        <f t="array" ref="D59">XLOOKUP($A59,Facebook_follows_raw!$A$4:$A1000,Facebook_follows_raw!$B$4:$B1000)</f>
        <v>2</v>
      </c>
      <c r="E59" s="26">
        <f t="array" ref="E59">XLOOKUP($A59,Facebook_interactions_raw!$A$4:$A1000,Facebook_interactions_raw!$B$4:$B1000)</f>
        <v>67</v>
      </c>
      <c r="F59" s="26">
        <f t="array" ref="F59">XLOOKUP($A59,Facebook_reach_raw!$A$4:$A1000,Facebook_reach_raw!$B$4:$B1000)</f>
        <v>38908</v>
      </c>
    </row>
    <row r="60">
      <c r="A60" s="28">
        <f>Facebook_reach_raw!$A62</f>
        <v>45532</v>
      </c>
      <c r="B60" s="29">
        <f>Facebook_interactions_raw!$A62</f>
        <v>45532</v>
      </c>
      <c r="C60" s="26" t="str">
        <f t="shared" si="1"/>
        <v>Facebook</v>
      </c>
      <c r="D60" s="26">
        <f t="array" ref="D60">XLOOKUP($A60,Facebook_follows_raw!$A$4:$A1000,Facebook_follows_raw!$B$4:$B1000)</f>
        <v>1</v>
      </c>
      <c r="E60" s="26">
        <f t="array" ref="E60">XLOOKUP($A60,Facebook_interactions_raw!$A$4:$A1000,Facebook_interactions_raw!$B$4:$B1000)</f>
        <v>66</v>
      </c>
      <c r="F60" s="26">
        <f t="array" ref="F60">XLOOKUP($A60,Facebook_reach_raw!$A$4:$A1000,Facebook_reach_raw!$B$4:$B1000)</f>
        <v>36291</v>
      </c>
    </row>
    <row r="61">
      <c r="A61" s="28">
        <f>Facebook_reach_raw!$A63</f>
        <v>45533</v>
      </c>
      <c r="B61" s="29">
        <f>Facebook_interactions_raw!$A63</f>
        <v>45533</v>
      </c>
      <c r="C61" s="26" t="str">
        <f t="shared" si="1"/>
        <v>Facebook</v>
      </c>
      <c r="D61" s="26">
        <f t="array" ref="D61">XLOOKUP($A61,Facebook_follows_raw!$A$4:$A1000,Facebook_follows_raw!$B$4:$B1000)</f>
        <v>3</v>
      </c>
      <c r="E61" s="26">
        <f t="array" ref="E61">XLOOKUP($A61,Facebook_interactions_raw!$A$4:$A1000,Facebook_interactions_raw!$B$4:$B1000)</f>
        <v>53</v>
      </c>
      <c r="F61" s="26">
        <f t="array" ref="F61">XLOOKUP($A61,Facebook_reach_raw!$A$4:$A1000,Facebook_reach_raw!$B$4:$B1000)</f>
        <v>37549</v>
      </c>
    </row>
    <row r="62">
      <c r="A62" s="28">
        <f>Facebook_reach_raw!$A64</f>
        <v>45534</v>
      </c>
      <c r="B62" s="29">
        <f>Facebook_interactions_raw!$A64</f>
        <v>45534</v>
      </c>
      <c r="C62" s="26" t="str">
        <f t="shared" si="1"/>
        <v>Facebook</v>
      </c>
      <c r="D62" s="26">
        <f t="array" ref="D62">XLOOKUP($A62,Facebook_follows_raw!$A$4:$A1000,Facebook_follows_raw!$B$4:$B1000)</f>
        <v>1</v>
      </c>
      <c r="E62" s="26">
        <f t="array" ref="E62">XLOOKUP($A62,Facebook_interactions_raw!$A$4:$A1000,Facebook_interactions_raw!$B$4:$B1000)</f>
        <v>103</v>
      </c>
      <c r="F62" s="26">
        <f t="array" ref="F62">XLOOKUP($A62,Facebook_reach_raw!$A$4:$A1000,Facebook_reach_raw!$B$4:$B1000)</f>
        <v>36374</v>
      </c>
    </row>
    <row r="63">
      <c r="A63" s="28">
        <f>Facebook_reach_raw!$A65</f>
        <v>45535</v>
      </c>
      <c r="B63" s="29">
        <f>Facebook_interactions_raw!$A65</f>
        <v>45535</v>
      </c>
      <c r="C63" s="26" t="str">
        <f t="shared" si="1"/>
        <v>Facebook</v>
      </c>
      <c r="D63" s="26">
        <f t="array" ref="D63">XLOOKUP($A63,Facebook_follows_raw!$A$4:$A1000,Facebook_follows_raw!$B$4:$B1000)</f>
        <v>3</v>
      </c>
      <c r="E63" s="26">
        <f t="array" ref="E63">XLOOKUP($A63,Facebook_interactions_raw!$A$4:$A1000,Facebook_interactions_raw!$B$4:$B1000)</f>
        <v>51</v>
      </c>
      <c r="F63" s="26">
        <f t="array" ref="F63">XLOOKUP($A63,Facebook_reach_raw!$A$4:$A1000,Facebook_reach_raw!$B$4:$B1000)</f>
        <v>18885</v>
      </c>
    </row>
    <row r="64">
      <c r="A64" s="28">
        <f>Facebook_reach_raw!$A66</f>
        <v>45536</v>
      </c>
      <c r="B64" s="29">
        <f>Facebook_interactions_raw!$A66</f>
        <v>45536</v>
      </c>
      <c r="C64" s="26" t="str">
        <f t="shared" si="1"/>
        <v>Facebook</v>
      </c>
      <c r="D64" s="26">
        <f t="array" ref="D64">XLOOKUP($A64,Facebook_follows_raw!$A$4:$A1000,Facebook_follows_raw!$B$4:$B1000)</f>
        <v>3</v>
      </c>
      <c r="E64" s="26">
        <f t="array" ref="E64">XLOOKUP($A64,Facebook_interactions_raw!$A$4:$A1000,Facebook_interactions_raw!$B$4:$B1000)</f>
        <v>17</v>
      </c>
      <c r="F64" s="26">
        <f t="array" ref="F64">XLOOKUP($A64,Facebook_reach_raw!$A$4:$A1000,Facebook_reach_raw!$B$4:$B1000)</f>
        <v>465</v>
      </c>
    </row>
    <row r="65">
      <c r="A65" s="28">
        <f>Facebook_reach_raw!$A67</f>
        <v>45537</v>
      </c>
      <c r="B65" s="29">
        <f>Facebook_interactions_raw!$A67</f>
        <v>45537</v>
      </c>
      <c r="C65" s="26" t="str">
        <f t="shared" si="1"/>
        <v>Facebook</v>
      </c>
      <c r="D65" s="26">
        <f t="array" ref="D65">XLOOKUP($A65,Facebook_follows_raw!$A$4:$A1000,Facebook_follows_raw!$B$4:$B1000)</f>
        <v>2</v>
      </c>
      <c r="E65" s="26">
        <f t="array" ref="E65">XLOOKUP($A65,Facebook_interactions_raw!$A$4:$A1000,Facebook_interactions_raw!$B$4:$B1000)</f>
        <v>49</v>
      </c>
      <c r="F65" s="26">
        <f t="array" ref="F65">XLOOKUP($A65,Facebook_reach_raw!$A$4:$A1000,Facebook_reach_raw!$B$4:$B1000)</f>
        <v>831</v>
      </c>
    </row>
    <row r="66">
      <c r="A66" s="28">
        <f>Facebook_reach_raw!$A68</f>
        <v>45538</v>
      </c>
      <c r="B66" s="29">
        <f>Facebook_interactions_raw!$A68</f>
        <v>45538</v>
      </c>
      <c r="C66" s="26" t="str">
        <f t="shared" si="1"/>
        <v>Facebook</v>
      </c>
      <c r="D66" s="26">
        <f t="array" ref="D66">XLOOKUP($A66,Facebook_follows_raw!$A$4:$A1000,Facebook_follows_raw!$B$4:$B1000)</f>
        <v>3</v>
      </c>
      <c r="E66" s="26">
        <f t="array" ref="E66">XLOOKUP($A66,Facebook_interactions_raw!$A$4:$A1000,Facebook_interactions_raw!$B$4:$B1000)</f>
        <v>49</v>
      </c>
      <c r="F66" s="26">
        <f t="array" ref="F66">XLOOKUP($A66,Facebook_reach_raw!$A$4:$A1000,Facebook_reach_raw!$B$4:$B1000)</f>
        <v>959</v>
      </c>
    </row>
    <row r="67">
      <c r="A67" s="28">
        <f>Facebook_reach_raw!$A69</f>
        <v>45539</v>
      </c>
      <c r="B67" s="29">
        <f>Facebook_interactions_raw!$A69</f>
        <v>45539</v>
      </c>
      <c r="C67" s="26" t="str">
        <f t="shared" si="1"/>
        <v>Facebook</v>
      </c>
      <c r="D67" s="26">
        <f t="array" ref="D67">XLOOKUP($A67,Facebook_follows_raw!$A$4:$A1000,Facebook_follows_raw!$B$4:$B1000)</f>
        <v>4</v>
      </c>
      <c r="E67" s="26">
        <f t="array" ref="E67">XLOOKUP($A67,Facebook_interactions_raw!$A$4:$A1000,Facebook_interactions_raw!$B$4:$B1000)</f>
        <v>22</v>
      </c>
      <c r="F67" s="26">
        <f t="array" ref="F67">XLOOKUP($A67,Facebook_reach_raw!$A$4:$A1000,Facebook_reach_raw!$B$4:$B1000)</f>
        <v>596</v>
      </c>
    </row>
    <row r="68">
      <c r="A68" s="28">
        <f>Facebook_reach_raw!$A70</f>
        <v>45540</v>
      </c>
      <c r="B68" s="29">
        <f>Facebook_interactions_raw!$A70</f>
        <v>45540</v>
      </c>
      <c r="C68" s="26" t="str">
        <f t="shared" si="1"/>
        <v>Facebook</v>
      </c>
      <c r="D68" s="26">
        <f t="array" ref="D68">XLOOKUP($A68,Facebook_follows_raw!$A$4:$A1000,Facebook_follows_raw!$B$4:$B1000)</f>
        <v>2</v>
      </c>
      <c r="E68" s="26">
        <f t="array" ref="E68">XLOOKUP($A68,Facebook_interactions_raw!$A$4:$A1000,Facebook_interactions_raw!$B$4:$B1000)</f>
        <v>23</v>
      </c>
      <c r="F68" s="26">
        <f t="array" ref="F68">XLOOKUP($A68,Facebook_reach_raw!$A$4:$A1000,Facebook_reach_raw!$B$4:$B1000)</f>
        <v>548</v>
      </c>
    </row>
    <row r="69">
      <c r="A69" s="28">
        <f>Facebook_reach_raw!$A71</f>
        <v>45541</v>
      </c>
      <c r="B69" s="29">
        <f>Facebook_interactions_raw!$A71</f>
        <v>45541</v>
      </c>
      <c r="C69" s="26" t="str">
        <f t="shared" si="1"/>
        <v>Facebook</v>
      </c>
      <c r="D69" s="26">
        <f t="array" ref="D69">XLOOKUP($A69,Facebook_follows_raw!$A$4:$A1000,Facebook_follows_raw!$B$4:$B1000)</f>
        <v>8</v>
      </c>
      <c r="E69" s="26">
        <f t="array" ref="E69">XLOOKUP($A69,Facebook_interactions_raw!$A$4:$A1000,Facebook_interactions_raw!$B$4:$B1000)</f>
        <v>43</v>
      </c>
      <c r="F69" s="26">
        <f t="array" ref="F69">XLOOKUP($A69,Facebook_reach_raw!$A$4:$A1000,Facebook_reach_raw!$B$4:$B1000)</f>
        <v>3221</v>
      </c>
    </row>
    <row r="70">
      <c r="A70" s="28">
        <f>Facebook_reach_raw!$A72</f>
        <v>45542</v>
      </c>
      <c r="B70" s="29">
        <f>Facebook_interactions_raw!$A72</f>
        <v>45542</v>
      </c>
      <c r="C70" s="26" t="str">
        <f t="shared" si="1"/>
        <v>Facebook</v>
      </c>
      <c r="D70" s="26">
        <f t="array" ref="D70">XLOOKUP($A70,Facebook_follows_raw!$A$4:$A1000,Facebook_follows_raw!$B$4:$B1000)</f>
        <v>23</v>
      </c>
      <c r="E70" s="26">
        <f t="array" ref="E70">XLOOKUP($A70,Facebook_interactions_raw!$A$4:$A1000,Facebook_interactions_raw!$B$4:$B1000)</f>
        <v>173</v>
      </c>
      <c r="F70" s="26">
        <f t="array" ref="F70">XLOOKUP($A70,Facebook_reach_raw!$A$4:$A1000,Facebook_reach_raw!$B$4:$B1000)</f>
        <v>9007</v>
      </c>
    </row>
    <row r="71">
      <c r="A71" s="28">
        <f>Facebook_reach_raw!$A73</f>
        <v>45543</v>
      </c>
      <c r="B71" s="29">
        <f>Facebook_interactions_raw!$A73</f>
        <v>45543</v>
      </c>
      <c r="C71" s="26" t="str">
        <f t="shared" si="1"/>
        <v>Facebook</v>
      </c>
      <c r="D71" s="26">
        <f t="array" ref="D71">XLOOKUP($A71,Facebook_follows_raw!$A$4:$A1000,Facebook_follows_raw!$B$4:$B1000)</f>
        <v>21</v>
      </c>
      <c r="E71" s="26">
        <f t="array" ref="E71">XLOOKUP($A71,Facebook_interactions_raw!$A$4:$A1000,Facebook_interactions_raw!$B$4:$B1000)</f>
        <v>189</v>
      </c>
      <c r="F71" s="26">
        <f t="array" ref="F71">XLOOKUP($A71,Facebook_reach_raw!$A$4:$A1000,Facebook_reach_raw!$B$4:$B1000)</f>
        <v>11709</v>
      </c>
    </row>
    <row r="72">
      <c r="A72" s="28">
        <f>Facebook_reach_raw!$A74</f>
        <v>45544</v>
      </c>
      <c r="B72" s="29">
        <f>Facebook_interactions_raw!$A74</f>
        <v>45544</v>
      </c>
      <c r="C72" s="26" t="str">
        <f t="shared" si="1"/>
        <v>Facebook</v>
      </c>
      <c r="D72" s="26">
        <f t="array" ref="D72">XLOOKUP($A72,Facebook_follows_raw!$A$4:$A1000,Facebook_follows_raw!$B$4:$B1000)</f>
        <v>48</v>
      </c>
      <c r="E72" s="26">
        <f t="array" ref="E72">XLOOKUP($A72,Facebook_interactions_raw!$A$4:$A1000,Facebook_interactions_raw!$B$4:$B1000)</f>
        <v>216</v>
      </c>
      <c r="F72" s="26">
        <f t="array" ref="F72">XLOOKUP($A72,Facebook_reach_raw!$A$4:$A1000,Facebook_reach_raw!$B$4:$B1000)</f>
        <v>13679</v>
      </c>
    </row>
    <row r="73">
      <c r="A73" s="28">
        <f>Facebook_reach_raw!$A75</f>
        <v>45545</v>
      </c>
      <c r="B73" s="29">
        <f>Facebook_interactions_raw!$A75</f>
        <v>45545</v>
      </c>
      <c r="C73" s="26" t="str">
        <f t="shared" si="1"/>
        <v>Facebook</v>
      </c>
      <c r="D73" s="26">
        <f t="array" ref="D73">XLOOKUP($A73,Facebook_follows_raw!$A$4:$A1000,Facebook_follows_raw!$B$4:$B1000)</f>
        <v>29</v>
      </c>
      <c r="E73" s="26">
        <f t="array" ref="E73">XLOOKUP($A73,Facebook_interactions_raw!$A$4:$A1000,Facebook_interactions_raw!$B$4:$B1000)</f>
        <v>192</v>
      </c>
      <c r="F73" s="26">
        <f t="array" ref="F73">XLOOKUP($A73,Facebook_reach_raw!$A$4:$A1000,Facebook_reach_raw!$B$4:$B1000)</f>
        <v>10666</v>
      </c>
    </row>
    <row r="74">
      <c r="A74" s="28">
        <f>Facebook_reach_raw!$A76</f>
        <v>45546</v>
      </c>
      <c r="B74" s="29">
        <f>Facebook_interactions_raw!$A76</f>
        <v>45546</v>
      </c>
      <c r="C74" s="26" t="str">
        <f t="shared" si="1"/>
        <v>Facebook</v>
      </c>
      <c r="D74" s="26">
        <f t="array" ref="D74">XLOOKUP($A74,Facebook_follows_raw!$A$4:$A1000,Facebook_follows_raw!$B$4:$B1000)</f>
        <v>27</v>
      </c>
      <c r="E74" s="26">
        <f t="array" ref="E74">XLOOKUP($A74,Facebook_interactions_raw!$A$4:$A1000,Facebook_interactions_raw!$B$4:$B1000)</f>
        <v>255</v>
      </c>
      <c r="F74" s="26">
        <f t="array" ref="F74">XLOOKUP($A74,Facebook_reach_raw!$A$4:$A1000,Facebook_reach_raw!$B$4:$B1000)</f>
        <v>8028</v>
      </c>
    </row>
    <row r="75">
      <c r="A75" s="28">
        <f>Facebook_reach_raw!$A77</f>
        <v>45547</v>
      </c>
      <c r="B75" s="29">
        <f>Facebook_interactions_raw!$A77</f>
        <v>45547</v>
      </c>
      <c r="C75" s="26" t="str">
        <f t="shared" si="1"/>
        <v>Facebook</v>
      </c>
      <c r="D75" s="26">
        <f t="array" ref="D75">XLOOKUP($A75,Facebook_follows_raw!$A$4:$A1000,Facebook_follows_raw!$B$4:$B1000)</f>
        <v>33</v>
      </c>
      <c r="E75" s="26">
        <f t="array" ref="E75">XLOOKUP($A75,Facebook_interactions_raw!$A$4:$A1000,Facebook_interactions_raw!$B$4:$B1000)</f>
        <v>213</v>
      </c>
      <c r="F75" s="26">
        <f t="array" ref="F75">XLOOKUP($A75,Facebook_reach_raw!$A$4:$A1000,Facebook_reach_raw!$B$4:$B1000)</f>
        <v>7954</v>
      </c>
    </row>
    <row r="76">
      <c r="A76" s="28">
        <f>Facebook_reach_raw!$A78</f>
        <v>45548</v>
      </c>
      <c r="B76" s="29">
        <f>Facebook_interactions_raw!$A78</f>
        <v>45548</v>
      </c>
      <c r="C76" s="26" t="str">
        <f t="shared" si="1"/>
        <v>Facebook</v>
      </c>
      <c r="D76" s="26">
        <f t="array" ref="D76">XLOOKUP($A76,Facebook_follows_raw!$A$4:$A1000,Facebook_follows_raw!$B$4:$B1000)</f>
        <v>32</v>
      </c>
      <c r="E76" s="26">
        <f t="array" ref="E76">XLOOKUP($A76,Facebook_interactions_raw!$A$4:$A1000,Facebook_interactions_raw!$B$4:$B1000)</f>
        <v>239</v>
      </c>
      <c r="F76" s="26">
        <f t="array" ref="F76">XLOOKUP($A76,Facebook_reach_raw!$A$4:$A1000,Facebook_reach_raw!$B$4:$B1000)</f>
        <v>10131</v>
      </c>
    </row>
    <row r="77">
      <c r="A77" s="28">
        <f>Facebook_reach_raw!$A79</f>
        <v>45549</v>
      </c>
      <c r="B77" s="29">
        <f>Facebook_interactions_raw!$A79</f>
        <v>45549</v>
      </c>
      <c r="C77" s="26" t="str">
        <f t="shared" si="1"/>
        <v>Facebook</v>
      </c>
      <c r="D77" s="26">
        <f t="array" ref="D77">XLOOKUP($A77,Facebook_follows_raw!$A$4:$A1000,Facebook_follows_raw!$B$4:$B1000)</f>
        <v>30</v>
      </c>
      <c r="E77" s="26">
        <f t="array" ref="E77">XLOOKUP($A77,Facebook_interactions_raw!$A$4:$A1000,Facebook_interactions_raw!$B$4:$B1000)</f>
        <v>208</v>
      </c>
      <c r="F77" s="26">
        <f t="array" ref="F77">XLOOKUP($A77,Facebook_reach_raw!$A$4:$A1000,Facebook_reach_raw!$B$4:$B1000)</f>
        <v>7704</v>
      </c>
    </row>
    <row r="78">
      <c r="A78" s="28">
        <f>Facebook_reach_raw!$A80</f>
        <v>45550</v>
      </c>
      <c r="B78" s="29">
        <f>Facebook_interactions_raw!$A80</f>
        <v>45550</v>
      </c>
      <c r="C78" s="26" t="str">
        <f t="shared" si="1"/>
        <v>Facebook</v>
      </c>
      <c r="D78" s="26">
        <f t="array" ref="D78">XLOOKUP($A78,Facebook_follows_raw!$A$4:$A1000,Facebook_follows_raw!$B$4:$B1000)</f>
        <v>26</v>
      </c>
      <c r="E78" s="26">
        <f t="array" ref="E78">XLOOKUP($A78,Facebook_interactions_raw!$A$4:$A1000,Facebook_interactions_raw!$B$4:$B1000)</f>
        <v>154</v>
      </c>
      <c r="F78" s="26">
        <f t="array" ref="F78">XLOOKUP($A78,Facebook_reach_raw!$A$4:$A1000,Facebook_reach_raw!$B$4:$B1000)</f>
        <v>8202</v>
      </c>
    </row>
    <row r="79">
      <c r="A79" s="28">
        <f>Facebook_reach_raw!$A81</f>
        <v>45551</v>
      </c>
      <c r="B79" s="29">
        <f>Facebook_interactions_raw!$A81</f>
        <v>45551</v>
      </c>
      <c r="C79" s="26" t="str">
        <f t="shared" si="1"/>
        <v>Facebook</v>
      </c>
      <c r="D79" s="26">
        <f t="array" ref="D79">XLOOKUP($A79,Facebook_follows_raw!$A$4:$A1000,Facebook_follows_raw!$B$4:$B1000)</f>
        <v>23</v>
      </c>
      <c r="E79" s="26">
        <f t="array" ref="E79">XLOOKUP($A79,Facebook_interactions_raw!$A$4:$A1000,Facebook_interactions_raw!$B$4:$B1000)</f>
        <v>134</v>
      </c>
      <c r="F79" s="26">
        <f t="array" ref="F79">XLOOKUP($A79,Facebook_reach_raw!$A$4:$A1000,Facebook_reach_raw!$B$4:$B1000)</f>
        <v>13288</v>
      </c>
    </row>
    <row r="80">
      <c r="A80" s="28">
        <f>Facebook_reach_raw!$A82</f>
        <v>45552</v>
      </c>
      <c r="B80" s="29">
        <f>Facebook_interactions_raw!$A82</f>
        <v>45552</v>
      </c>
      <c r="C80" s="26" t="str">
        <f t="shared" si="1"/>
        <v>Facebook</v>
      </c>
      <c r="D80" s="26">
        <f t="array" ref="D80">XLOOKUP($A80,Facebook_follows_raw!$A$4:$A1000,Facebook_follows_raw!$B$4:$B1000)</f>
        <v>35</v>
      </c>
      <c r="E80" s="26">
        <f t="array" ref="E80">XLOOKUP($A80,Facebook_interactions_raw!$A$4:$A1000,Facebook_interactions_raw!$B$4:$B1000)</f>
        <v>294</v>
      </c>
      <c r="F80" s="26">
        <f t="array" ref="F80">XLOOKUP($A80,Facebook_reach_raw!$A$4:$A1000,Facebook_reach_raw!$B$4:$B1000)</f>
        <v>16452</v>
      </c>
    </row>
    <row r="81">
      <c r="A81" s="28">
        <f>Facebook_reach_raw!$A83</f>
        <v>45553</v>
      </c>
      <c r="B81" s="29">
        <f>Facebook_interactions_raw!$A83</f>
        <v>45553</v>
      </c>
      <c r="C81" s="26" t="str">
        <f t="shared" si="1"/>
        <v>Facebook</v>
      </c>
      <c r="D81" s="26">
        <f t="array" ref="D81">XLOOKUP($A81,Facebook_follows_raw!$A$4:$A1000,Facebook_follows_raw!$B$4:$B1000)</f>
        <v>24</v>
      </c>
      <c r="E81" s="26">
        <f t="array" ref="E81">XLOOKUP($A81,Facebook_interactions_raw!$A$4:$A1000,Facebook_interactions_raw!$B$4:$B1000)</f>
        <v>233</v>
      </c>
      <c r="F81" s="26">
        <f t="array" ref="F81">XLOOKUP($A81,Facebook_reach_raw!$A$4:$A1000,Facebook_reach_raw!$B$4:$B1000)</f>
        <v>15340</v>
      </c>
    </row>
    <row r="82">
      <c r="A82" s="28">
        <f>Facebook_reach_raw!$A84</f>
        <v>45554</v>
      </c>
      <c r="B82" s="29">
        <f>Facebook_interactions_raw!$A84</f>
        <v>45554</v>
      </c>
      <c r="C82" s="26" t="str">
        <f t="shared" si="1"/>
        <v>Facebook</v>
      </c>
      <c r="D82" s="26">
        <f t="array" ref="D82">XLOOKUP($A82,Facebook_follows_raw!$A$4:$A1000,Facebook_follows_raw!$B$4:$B1000)</f>
        <v>19</v>
      </c>
      <c r="E82" s="26">
        <f t="array" ref="E82">XLOOKUP($A82,Facebook_interactions_raw!$A$4:$A1000,Facebook_interactions_raw!$B$4:$B1000)</f>
        <v>180</v>
      </c>
      <c r="F82" s="26">
        <f t="array" ref="F82">XLOOKUP($A82,Facebook_reach_raw!$A$4:$A1000,Facebook_reach_raw!$B$4:$B1000)</f>
        <v>16011</v>
      </c>
    </row>
    <row r="83">
      <c r="A83" s="28">
        <f>Facebook_reach_raw!$A85</f>
        <v>45555</v>
      </c>
      <c r="B83" s="29">
        <f>Facebook_interactions_raw!$A85</f>
        <v>45555</v>
      </c>
      <c r="C83" s="26" t="str">
        <f t="shared" si="1"/>
        <v>Facebook</v>
      </c>
      <c r="D83" s="26">
        <f t="array" ref="D83">XLOOKUP($A83,Facebook_follows_raw!$A$4:$A1000,Facebook_follows_raw!$B$4:$B1000)</f>
        <v>17</v>
      </c>
      <c r="E83" s="26">
        <f t="array" ref="E83">XLOOKUP($A83,Facebook_interactions_raw!$A$4:$A1000,Facebook_interactions_raw!$B$4:$B1000)</f>
        <v>152</v>
      </c>
      <c r="F83" s="26">
        <f t="array" ref="F83">XLOOKUP($A83,Facebook_reach_raw!$A$4:$A1000,Facebook_reach_raw!$B$4:$B1000)</f>
        <v>13168</v>
      </c>
    </row>
    <row r="84">
      <c r="A84" s="28">
        <f>Facebook_reach_raw!$A86</f>
        <v>45556</v>
      </c>
      <c r="B84" s="29">
        <f>Facebook_interactions_raw!$A86</f>
        <v>45556</v>
      </c>
      <c r="C84" s="26" t="str">
        <f t="shared" si="1"/>
        <v>Facebook</v>
      </c>
      <c r="D84" s="26">
        <f t="array" ref="D84">XLOOKUP($A84,Facebook_follows_raw!$A$4:$A1000,Facebook_follows_raw!$B$4:$B1000)</f>
        <v>11</v>
      </c>
      <c r="E84" s="26">
        <f t="array" ref="E84">XLOOKUP($A84,Facebook_interactions_raw!$A$4:$A1000,Facebook_interactions_raw!$B$4:$B1000)</f>
        <v>77</v>
      </c>
      <c r="F84" s="26">
        <f t="array" ref="F84">XLOOKUP($A84,Facebook_reach_raw!$A$4:$A1000,Facebook_reach_raw!$B$4:$B1000)</f>
        <v>9663</v>
      </c>
    </row>
    <row r="85">
      <c r="A85" s="28">
        <f>Facebook_reach_raw!$A87</f>
        <v>45557</v>
      </c>
      <c r="B85" s="29">
        <f>Facebook_interactions_raw!$A87</f>
        <v>45557</v>
      </c>
      <c r="C85" s="26" t="str">
        <f t="shared" si="1"/>
        <v>Facebook</v>
      </c>
      <c r="D85" s="26">
        <f t="array" ref="D85">XLOOKUP($A85,Facebook_follows_raw!$A$4:$A1000,Facebook_follows_raw!$B$4:$B1000)</f>
        <v>4</v>
      </c>
      <c r="E85" s="26">
        <f t="array" ref="E85">XLOOKUP($A85,Facebook_interactions_raw!$A$4:$A1000,Facebook_interactions_raw!$B$4:$B1000)</f>
        <v>61</v>
      </c>
      <c r="F85" s="26">
        <f t="array" ref="F85">XLOOKUP($A85,Facebook_reach_raw!$A$4:$A1000,Facebook_reach_raw!$B$4:$B1000)</f>
        <v>7098</v>
      </c>
    </row>
    <row r="86">
      <c r="A86" s="28">
        <f>Facebook_reach_raw!$A88</f>
        <v>45558</v>
      </c>
      <c r="B86" s="29">
        <f>Facebook_interactions_raw!$A88</f>
        <v>45558</v>
      </c>
      <c r="C86" s="26" t="str">
        <f t="shared" si="1"/>
        <v>Facebook</v>
      </c>
      <c r="D86" s="26">
        <f t="array" ref="D86">XLOOKUP($A86,Facebook_follows_raw!$A$4:$A1000,Facebook_follows_raw!$B$4:$B1000)</f>
        <v>8</v>
      </c>
      <c r="E86" s="26">
        <f t="array" ref="E86">XLOOKUP($A86,Facebook_interactions_raw!$A$4:$A1000,Facebook_interactions_raw!$B$4:$B1000)</f>
        <v>184</v>
      </c>
      <c r="F86" s="26">
        <f t="array" ref="F86">XLOOKUP($A86,Facebook_reach_raw!$A$4:$A1000,Facebook_reach_raw!$B$4:$B1000)</f>
        <v>7755</v>
      </c>
    </row>
    <row r="87">
      <c r="A87" s="28">
        <f>Facebook_reach_raw!$A89</f>
        <v>45559</v>
      </c>
      <c r="B87" s="29">
        <f>Facebook_interactions_raw!$A89</f>
        <v>45559</v>
      </c>
      <c r="C87" s="26" t="str">
        <f t="shared" si="1"/>
        <v>Facebook</v>
      </c>
      <c r="D87" s="26">
        <f t="array" ref="D87">XLOOKUP($A87,Facebook_follows_raw!$A$4:$A1000,Facebook_follows_raw!$B$4:$B1000)</f>
        <v>11</v>
      </c>
      <c r="E87" s="26">
        <f t="array" ref="E87">XLOOKUP($A87,Facebook_interactions_raw!$A$4:$A1000,Facebook_interactions_raw!$B$4:$B1000)</f>
        <v>316</v>
      </c>
      <c r="F87" s="26">
        <f t="array" ref="F87">XLOOKUP($A87,Facebook_reach_raw!$A$4:$A1000,Facebook_reach_raw!$B$4:$B1000)</f>
        <v>10386</v>
      </c>
    </row>
    <row r="88">
      <c r="A88" s="28">
        <f>Facebook_reach_raw!$A90</f>
        <v>45560</v>
      </c>
      <c r="B88" s="29">
        <f>Facebook_interactions_raw!$A90</f>
        <v>45560</v>
      </c>
      <c r="C88" s="26" t="str">
        <f t="shared" si="1"/>
        <v>Facebook</v>
      </c>
      <c r="D88" s="26">
        <f t="array" ref="D88">XLOOKUP($A88,Facebook_follows_raw!$A$4:$A1000,Facebook_follows_raw!$B$4:$B1000)</f>
        <v>3</v>
      </c>
      <c r="E88" s="26">
        <f t="array" ref="E88">XLOOKUP($A88,Facebook_interactions_raw!$A$4:$A1000,Facebook_interactions_raw!$B$4:$B1000)</f>
        <v>67</v>
      </c>
      <c r="F88" s="26">
        <f t="array" ref="F88">XLOOKUP($A88,Facebook_reach_raw!$A$4:$A1000,Facebook_reach_raw!$B$4:$B1000)</f>
        <v>1923</v>
      </c>
    </row>
    <row r="89">
      <c r="A89" s="28">
        <f>Facebook_reach_raw!$A91</f>
        <v>45561</v>
      </c>
      <c r="B89" s="29">
        <f>Facebook_interactions_raw!$A91</f>
        <v>45561</v>
      </c>
      <c r="C89" s="26" t="str">
        <f t="shared" si="1"/>
        <v>Facebook</v>
      </c>
      <c r="D89" s="26">
        <f t="array" ref="D89">XLOOKUP($A89,Facebook_follows_raw!$A$4:$A1000,Facebook_follows_raw!$B$4:$B1000)</f>
        <v>4</v>
      </c>
      <c r="E89" s="26">
        <f t="array" ref="E89">XLOOKUP($A89,Facebook_interactions_raw!$A$4:$A1000,Facebook_interactions_raw!$B$4:$B1000)</f>
        <v>54</v>
      </c>
      <c r="F89" s="26">
        <f t="array" ref="F89">XLOOKUP($A89,Facebook_reach_raw!$A$4:$A1000,Facebook_reach_raw!$B$4:$B1000)</f>
        <v>1366</v>
      </c>
    </row>
    <row r="90">
      <c r="A90" s="28">
        <f>Facebook_reach_raw!$A92</f>
        <v>45562</v>
      </c>
      <c r="B90" s="29">
        <f>Facebook_interactions_raw!$A92</f>
        <v>45562</v>
      </c>
      <c r="C90" s="26" t="str">
        <f t="shared" si="1"/>
        <v>Facebook</v>
      </c>
      <c r="D90" s="26">
        <f t="array" ref="D90">XLOOKUP($A90,Facebook_follows_raw!$A$4:$A1000,Facebook_follows_raw!$B$4:$B1000)</f>
        <v>4</v>
      </c>
      <c r="E90" s="26">
        <f t="array" ref="E90">XLOOKUP($A90,Facebook_interactions_raw!$A$4:$A1000,Facebook_interactions_raw!$B$4:$B1000)</f>
        <v>64</v>
      </c>
      <c r="F90" s="26">
        <f t="array" ref="F90">XLOOKUP($A90,Facebook_reach_raw!$A$4:$A1000,Facebook_reach_raw!$B$4:$B1000)</f>
        <v>1702</v>
      </c>
    </row>
    <row r="91">
      <c r="A91" s="28">
        <f>Facebook_reach_raw!$A93</f>
        <v>45563</v>
      </c>
      <c r="B91" s="29">
        <f>Facebook_interactions_raw!$A93</f>
        <v>45563</v>
      </c>
      <c r="C91" s="26" t="str">
        <f t="shared" si="1"/>
        <v>Facebook</v>
      </c>
      <c r="D91" s="26">
        <f t="array" ref="D91">XLOOKUP($A91,Facebook_follows_raw!$A$4:$A1000,Facebook_follows_raw!$B$4:$B1000)</f>
        <v>2</v>
      </c>
      <c r="E91" s="26">
        <f t="array" ref="E91">XLOOKUP($A91,Facebook_interactions_raw!$A$4:$A1000,Facebook_interactions_raw!$B$4:$B1000)</f>
        <v>52</v>
      </c>
      <c r="F91" s="26">
        <f t="array" ref="F91">XLOOKUP($A91,Facebook_reach_raw!$A$4:$A1000,Facebook_reach_raw!$B$4:$B1000)</f>
        <v>1028</v>
      </c>
    </row>
    <row r="92">
      <c r="A92" s="28">
        <f>Facebook_reach_raw!$A94</f>
        <v>45564</v>
      </c>
      <c r="B92" s="29">
        <f>Facebook_interactions_raw!$A94</f>
        <v>45564</v>
      </c>
      <c r="C92" s="26" t="str">
        <f t="shared" si="1"/>
        <v>Facebook</v>
      </c>
      <c r="D92" s="26">
        <f t="array" ref="D92">XLOOKUP($A92,Facebook_follows_raw!$A$4:$A1000,Facebook_follows_raw!$B$4:$B1000)</f>
        <v>3</v>
      </c>
      <c r="E92" s="26">
        <f t="array" ref="E92">XLOOKUP($A92,Facebook_interactions_raw!$A$4:$A1000,Facebook_interactions_raw!$B$4:$B1000)</f>
        <v>34</v>
      </c>
      <c r="F92" s="26">
        <f t="array" ref="F92">XLOOKUP($A92,Facebook_reach_raw!$A$4:$A1000,Facebook_reach_raw!$B$4:$B1000)</f>
        <v>766</v>
      </c>
    </row>
    <row r="93">
      <c r="A93" s="28">
        <f>Facebook_reach_raw!$A95</f>
        <v>45565</v>
      </c>
      <c r="B93" s="29">
        <f>Facebook_interactions_raw!$A95</f>
        <v>45565</v>
      </c>
      <c r="C93" s="26" t="str">
        <f t="shared" si="1"/>
        <v>Facebook</v>
      </c>
      <c r="D93" s="26">
        <f t="array" ref="D93">XLOOKUP($A93,Facebook_follows_raw!$A$4:$A1000,Facebook_follows_raw!$B$4:$B1000)</f>
        <v>5</v>
      </c>
      <c r="E93" s="26">
        <f t="array" ref="E93">XLOOKUP($A93,Facebook_interactions_raw!$A$4:$A1000,Facebook_interactions_raw!$B$4:$B1000)</f>
        <v>40</v>
      </c>
      <c r="F93" s="26">
        <f t="array" ref="F93">XLOOKUP($A93,Facebook_reach_raw!$A$4:$A1000,Facebook_reach_raw!$B$4:$B1000)</f>
        <v>918</v>
      </c>
    </row>
    <row r="94">
      <c r="A94" s="28">
        <f>Facebook_reach_raw!$A96</f>
        <v>45566</v>
      </c>
      <c r="B94" s="29">
        <f>Facebook_interactions_raw!$A96</f>
        <v>45566</v>
      </c>
      <c r="C94" s="26" t="str">
        <f t="shared" si="1"/>
        <v>Facebook</v>
      </c>
      <c r="D94" s="26">
        <f t="array" ref="D94">XLOOKUP($A94,Facebook_follows_raw!$A$4:$A1000,Facebook_follows_raw!$B$4:$B1000)</f>
        <v>1</v>
      </c>
      <c r="E94" s="26">
        <f t="array" ref="E94">XLOOKUP($A94,Facebook_interactions_raw!$A$4:$A1000,Facebook_interactions_raw!$B$4:$B1000)</f>
        <v>97</v>
      </c>
      <c r="F94" s="26">
        <f t="array" ref="F94">XLOOKUP($A94,Facebook_reach_raw!$A$4:$A1000,Facebook_reach_raw!$B$4:$B1000)</f>
        <v>1207</v>
      </c>
    </row>
    <row r="95">
      <c r="A95" s="28">
        <f>Facebook_reach_raw!$A97</f>
        <v>45567</v>
      </c>
      <c r="B95" s="29">
        <f>Facebook_interactions_raw!$A97</f>
        <v>45567</v>
      </c>
      <c r="C95" s="26" t="str">
        <f t="shared" si="1"/>
        <v>Facebook</v>
      </c>
      <c r="D95" s="26">
        <f t="array" ref="D95">XLOOKUP($A95,Facebook_follows_raw!$A$4:$A1000,Facebook_follows_raw!$B$4:$B1000)</f>
        <v>2</v>
      </c>
      <c r="E95" s="26">
        <f t="array" ref="E95">XLOOKUP($A95,Facebook_interactions_raw!$A$4:$A1000,Facebook_interactions_raw!$B$4:$B1000)</f>
        <v>75</v>
      </c>
      <c r="F95" s="26">
        <f t="array" ref="F95">XLOOKUP($A95,Facebook_reach_raw!$A$4:$A1000,Facebook_reach_raw!$B$4:$B1000)</f>
        <v>7622</v>
      </c>
    </row>
    <row r="96">
      <c r="A96" s="28">
        <f>Facebook_reach_raw!$A98</f>
        <v>45568</v>
      </c>
      <c r="B96" s="29">
        <f>Facebook_interactions_raw!$A98</f>
        <v>45568</v>
      </c>
      <c r="C96" s="26" t="str">
        <f t="shared" si="1"/>
        <v>Facebook</v>
      </c>
      <c r="D96" s="26">
        <f t="array" ref="D96">XLOOKUP($A96,Facebook_follows_raw!$A$4:$A1000,Facebook_follows_raw!$B$4:$B1000)</f>
        <v>3</v>
      </c>
      <c r="E96" s="26">
        <f t="array" ref="E96">XLOOKUP($A96,Facebook_interactions_raw!$A$4:$A1000,Facebook_interactions_raw!$B$4:$B1000)</f>
        <v>172</v>
      </c>
      <c r="F96" s="26">
        <f t="array" ref="F96">XLOOKUP($A96,Facebook_reach_raw!$A$4:$A1000,Facebook_reach_raw!$B$4:$B1000)</f>
        <v>38503</v>
      </c>
    </row>
    <row r="97">
      <c r="A97" s="28">
        <f>Facebook_reach_raw!$A99</f>
        <v>45569</v>
      </c>
      <c r="B97" s="29">
        <f>Facebook_interactions_raw!$A99</f>
        <v>45569</v>
      </c>
      <c r="C97" s="26" t="str">
        <f t="shared" si="1"/>
        <v>Facebook</v>
      </c>
      <c r="D97" s="26">
        <f t="array" ref="D97">XLOOKUP($A97,Facebook_follows_raw!$A$4:$A1000,Facebook_follows_raw!$B$4:$B1000)</f>
        <v>8</v>
      </c>
      <c r="E97" s="26">
        <f t="array" ref="E97">XLOOKUP($A97,Facebook_interactions_raw!$A$4:$A1000,Facebook_interactions_raw!$B$4:$B1000)</f>
        <v>193</v>
      </c>
      <c r="F97" s="26">
        <f t="array" ref="F97">XLOOKUP($A97,Facebook_reach_raw!$A$4:$A1000,Facebook_reach_raw!$B$4:$B1000)</f>
        <v>78789</v>
      </c>
    </row>
    <row r="98">
      <c r="A98" s="28">
        <f>Facebook_reach_raw!$A100</f>
        <v>45570</v>
      </c>
      <c r="B98" s="29">
        <f>Facebook_interactions_raw!$A100</f>
        <v>45570</v>
      </c>
      <c r="C98" s="26" t="str">
        <f t="shared" si="1"/>
        <v>Facebook</v>
      </c>
      <c r="D98" s="26">
        <f t="array" ref="D98">XLOOKUP($A98,Facebook_follows_raw!$A$4:$A1000,Facebook_follows_raw!$B$4:$B1000)</f>
        <v>4</v>
      </c>
      <c r="E98" s="26">
        <f t="array" ref="E98">XLOOKUP($A98,Facebook_interactions_raw!$A$4:$A1000,Facebook_interactions_raw!$B$4:$B1000)</f>
        <v>300</v>
      </c>
      <c r="F98" s="26">
        <f t="array" ref="F98">XLOOKUP($A98,Facebook_reach_raw!$A$4:$A1000,Facebook_reach_raw!$B$4:$B1000)</f>
        <v>52684</v>
      </c>
    </row>
    <row r="99">
      <c r="A99" s="28">
        <f>Facebook_reach_raw!$A101</f>
        <v>45571</v>
      </c>
      <c r="B99" s="29">
        <f>Facebook_interactions_raw!$A101</f>
        <v>45571</v>
      </c>
      <c r="C99" s="26" t="str">
        <f t="shared" si="1"/>
        <v>Facebook</v>
      </c>
      <c r="D99" s="26">
        <f t="array" ref="D99">XLOOKUP($A99,Facebook_follows_raw!$A$4:$A1000,Facebook_follows_raw!$B$4:$B1000)</f>
        <v>2</v>
      </c>
      <c r="E99" s="26">
        <f t="array" ref="E99">XLOOKUP($A99,Facebook_interactions_raw!$A$4:$A1000,Facebook_interactions_raw!$B$4:$B1000)</f>
        <v>145</v>
      </c>
      <c r="F99" s="26">
        <f t="array" ref="F99">XLOOKUP($A99,Facebook_reach_raw!$A$4:$A1000,Facebook_reach_raw!$B$4:$B1000)</f>
        <v>52045</v>
      </c>
    </row>
    <row r="100">
      <c r="A100" s="28">
        <f>Facebook_reach_raw!$A102</f>
        <v>45572</v>
      </c>
      <c r="B100" s="29">
        <f>Facebook_interactions_raw!$A102</f>
        <v>45572</v>
      </c>
      <c r="C100" s="26" t="str">
        <f t="shared" si="1"/>
        <v>Facebook</v>
      </c>
      <c r="D100" s="26">
        <f t="array" ref="D100">XLOOKUP($A100,Facebook_follows_raw!$A$4:$A1000,Facebook_follows_raw!$B$4:$B1000)</f>
        <v>3</v>
      </c>
      <c r="E100" s="26">
        <f t="array" ref="E100">XLOOKUP($A100,Facebook_interactions_raw!$A$4:$A1000,Facebook_interactions_raw!$B$4:$B1000)</f>
        <v>131</v>
      </c>
      <c r="F100" s="26">
        <f t="array" ref="F100">XLOOKUP($A100,Facebook_reach_raw!$A$4:$A1000,Facebook_reach_raw!$B$4:$B1000)</f>
        <v>51489</v>
      </c>
    </row>
    <row r="101">
      <c r="A101" s="28">
        <f>Facebook_reach_raw!$A103</f>
        <v>45573</v>
      </c>
      <c r="B101" s="29">
        <f>Facebook_interactions_raw!$A103</f>
        <v>45573</v>
      </c>
      <c r="C101" s="26" t="str">
        <f t="shared" si="1"/>
        <v>Facebook</v>
      </c>
      <c r="D101" s="26">
        <f t="array" ref="D101">XLOOKUP($A101,Facebook_follows_raw!$A$4:$A1000,Facebook_follows_raw!$B$4:$B1000)</f>
        <v>3</v>
      </c>
      <c r="E101" s="26">
        <f t="array" ref="E101">XLOOKUP($A101,Facebook_interactions_raw!$A$4:$A1000,Facebook_interactions_raw!$B$4:$B1000)</f>
        <v>125</v>
      </c>
      <c r="F101" s="26">
        <f t="array" ref="F101">XLOOKUP($A101,Facebook_reach_raw!$A$4:$A1000,Facebook_reach_raw!$B$4:$B1000)</f>
        <v>44772</v>
      </c>
    </row>
    <row r="102">
      <c r="A102" s="28">
        <f>Facebook_reach_raw!$A104</f>
        <v>45574</v>
      </c>
      <c r="B102" s="29">
        <f>Facebook_interactions_raw!$A104</f>
        <v>45574</v>
      </c>
      <c r="C102" s="26" t="str">
        <f t="shared" si="1"/>
        <v>Facebook</v>
      </c>
      <c r="D102" s="26">
        <f t="array" ref="D102">XLOOKUP($A102,Facebook_follows_raw!$A$4:$A1000,Facebook_follows_raw!$B$4:$B1000)</f>
        <v>2</v>
      </c>
      <c r="E102" s="26">
        <f t="array" ref="E102">XLOOKUP($A102,Facebook_interactions_raw!$A$4:$A1000,Facebook_interactions_raw!$B$4:$B1000)</f>
        <v>168</v>
      </c>
      <c r="F102" s="26">
        <f t="array" ref="F102">XLOOKUP($A102,Facebook_reach_raw!$A$4:$A1000,Facebook_reach_raw!$B$4:$B1000)</f>
        <v>43280</v>
      </c>
    </row>
    <row r="103">
      <c r="A103" s="28">
        <f>Facebook_reach_raw!$A105</f>
        <v>45575</v>
      </c>
      <c r="B103" s="29">
        <f>Facebook_interactions_raw!$A105</f>
        <v>45575</v>
      </c>
      <c r="C103" s="26" t="str">
        <f t="shared" si="1"/>
        <v>Facebook</v>
      </c>
      <c r="D103" s="26">
        <f t="array" ref="D103">XLOOKUP($A103,Facebook_follows_raw!$A$4:$A1000,Facebook_follows_raw!$B$4:$B1000)</f>
        <v>4</v>
      </c>
      <c r="E103" s="26">
        <f t="array" ref="E103">XLOOKUP($A103,Facebook_interactions_raw!$A$4:$A1000,Facebook_interactions_raw!$B$4:$B1000)</f>
        <v>159</v>
      </c>
      <c r="F103" s="26">
        <f t="array" ref="F103">XLOOKUP($A103,Facebook_reach_raw!$A$4:$A1000,Facebook_reach_raw!$B$4:$B1000)</f>
        <v>44686</v>
      </c>
    </row>
    <row r="104">
      <c r="A104" s="28">
        <f>Facebook_reach_raw!$A106</f>
        <v>45576</v>
      </c>
      <c r="B104" s="29">
        <f>Facebook_interactions_raw!$A106</f>
        <v>45576</v>
      </c>
      <c r="C104" s="26" t="str">
        <f t="shared" si="1"/>
        <v>Facebook</v>
      </c>
      <c r="D104" s="26">
        <f t="array" ref="D104">XLOOKUP($A104,Facebook_follows_raw!$A$4:$A1000,Facebook_follows_raw!$B$4:$B1000)</f>
        <v>5</v>
      </c>
      <c r="E104" s="26">
        <f t="array" ref="E104">XLOOKUP($A104,Facebook_interactions_raw!$A$4:$A1000,Facebook_interactions_raw!$B$4:$B1000)</f>
        <v>122</v>
      </c>
      <c r="F104" s="26">
        <f t="array" ref="F104">XLOOKUP($A104,Facebook_reach_raw!$A$4:$A1000,Facebook_reach_raw!$B$4:$B1000)</f>
        <v>41973</v>
      </c>
    </row>
    <row r="105">
      <c r="A105" s="28">
        <f>Facebook_reach_raw!$A107</f>
        <v>45577</v>
      </c>
      <c r="B105" s="29">
        <f>Facebook_interactions_raw!$A107</f>
        <v>45577</v>
      </c>
      <c r="C105" s="26" t="str">
        <f t="shared" si="1"/>
        <v>Facebook</v>
      </c>
      <c r="D105" s="26">
        <f t="array" ref="D105">XLOOKUP($A105,Facebook_follows_raw!$A$4:$A1000,Facebook_follows_raw!$B$4:$B1000)</f>
        <v>4</v>
      </c>
      <c r="E105" s="26">
        <f t="array" ref="E105">XLOOKUP($A105,Facebook_interactions_raw!$A$4:$A1000,Facebook_interactions_raw!$B$4:$B1000)</f>
        <v>53</v>
      </c>
      <c r="F105" s="26">
        <f t="array" ref="F105">XLOOKUP($A105,Facebook_reach_raw!$A$4:$A1000,Facebook_reach_raw!$B$4:$B1000)</f>
        <v>40391</v>
      </c>
    </row>
    <row r="106">
      <c r="A106" s="28">
        <f>Facebook_reach_raw!$A108</f>
        <v>45578</v>
      </c>
      <c r="B106" s="29">
        <f>Facebook_interactions_raw!$A108</f>
        <v>45578</v>
      </c>
      <c r="C106" s="26" t="str">
        <f t="shared" si="1"/>
        <v>Facebook</v>
      </c>
      <c r="D106" s="26">
        <f t="array" ref="D106">XLOOKUP($A106,Facebook_follows_raw!$A$4:$A1000,Facebook_follows_raw!$B$4:$B1000)</f>
        <v>2</v>
      </c>
      <c r="E106" s="26">
        <f t="array" ref="E106">XLOOKUP($A106,Facebook_interactions_raw!$A$4:$A1000,Facebook_interactions_raw!$B$4:$B1000)</f>
        <v>25</v>
      </c>
      <c r="F106" s="26">
        <f t="array" ref="F106">XLOOKUP($A106,Facebook_reach_raw!$A$4:$A1000,Facebook_reach_raw!$B$4:$B1000)</f>
        <v>617</v>
      </c>
    </row>
    <row r="107">
      <c r="A107" s="28">
        <f>Facebook_reach_raw!$A109</f>
        <v>45579</v>
      </c>
      <c r="B107" s="29">
        <f>Facebook_interactions_raw!$A109</f>
        <v>45579</v>
      </c>
      <c r="C107" s="26" t="str">
        <f t="shared" si="1"/>
        <v>Facebook</v>
      </c>
      <c r="D107" s="26">
        <f t="array" ref="D107">XLOOKUP($A107,Facebook_follows_raw!$A$4:$A1000,Facebook_follows_raw!$B$4:$B1000)</f>
        <v>0</v>
      </c>
      <c r="E107" s="26">
        <f t="array" ref="E107">XLOOKUP($A107,Facebook_interactions_raw!$A$4:$A1000,Facebook_interactions_raw!$B$4:$B1000)</f>
        <v>10</v>
      </c>
      <c r="F107" s="26">
        <f t="array" ref="F107">XLOOKUP($A107,Facebook_reach_raw!$A$4:$A1000,Facebook_reach_raw!$B$4:$B1000)</f>
        <v>575</v>
      </c>
    </row>
    <row r="108">
      <c r="A108" s="28">
        <f>Facebook_reach_raw!$A110</f>
        <v>45580</v>
      </c>
      <c r="B108" s="29">
        <f>Facebook_interactions_raw!$A110</f>
        <v>45580</v>
      </c>
      <c r="C108" s="26" t="str">
        <f t="shared" si="1"/>
        <v>Facebook</v>
      </c>
      <c r="D108" s="26">
        <f t="array" ref="D108">XLOOKUP($A108,Facebook_follows_raw!$A$4:$A1000,Facebook_follows_raw!$B$4:$B1000)</f>
        <v>0</v>
      </c>
      <c r="E108" s="26">
        <f t="array" ref="E108">XLOOKUP($A108,Facebook_interactions_raw!$A$4:$A1000,Facebook_interactions_raw!$B$4:$B1000)</f>
        <v>53</v>
      </c>
      <c r="F108" s="26">
        <f t="array" ref="F108">XLOOKUP($A108,Facebook_reach_raw!$A$4:$A1000,Facebook_reach_raw!$B$4:$B1000)</f>
        <v>950</v>
      </c>
    </row>
    <row r="109">
      <c r="A109" s="28">
        <f>Facebook_reach_raw!$A111</f>
        <v>45581</v>
      </c>
      <c r="B109" s="29">
        <f>Facebook_interactions_raw!$A111</f>
        <v>45581</v>
      </c>
      <c r="C109" s="26" t="str">
        <f t="shared" si="1"/>
        <v>Facebook</v>
      </c>
      <c r="D109" s="26">
        <f t="array" ref="D109">XLOOKUP($A109,Facebook_follows_raw!$A$4:$A1000,Facebook_follows_raw!$B$4:$B1000)</f>
        <v>1</v>
      </c>
      <c r="E109" s="26">
        <f t="array" ref="E109">XLOOKUP($A109,Facebook_interactions_raw!$A$4:$A1000,Facebook_interactions_raw!$B$4:$B1000)</f>
        <v>78</v>
      </c>
      <c r="F109" s="26">
        <f t="array" ref="F109">XLOOKUP($A109,Facebook_reach_raw!$A$4:$A1000,Facebook_reach_raw!$B$4:$B1000)</f>
        <v>896</v>
      </c>
    </row>
    <row r="110">
      <c r="A110" s="28">
        <f>Facebook_reach_raw!$A112</f>
        <v>45582</v>
      </c>
      <c r="B110" s="29">
        <f>Facebook_interactions_raw!$A112</f>
        <v>45582</v>
      </c>
      <c r="C110" s="26" t="str">
        <f t="shared" si="1"/>
        <v>Facebook</v>
      </c>
      <c r="D110" s="26">
        <f t="array" ref="D110">XLOOKUP($A110,Facebook_follows_raw!$A$4:$A1000,Facebook_follows_raw!$B$4:$B1000)</f>
        <v>1</v>
      </c>
      <c r="E110" s="26">
        <f t="array" ref="E110">XLOOKUP($A110,Facebook_interactions_raw!$A$4:$A1000,Facebook_interactions_raw!$B$4:$B1000)</f>
        <v>85</v>
      </c>
      <c r="F110" s="26">
        <f t="array" ref="F110">XLOOKUP($A110,Facebook_reach_raw!$A$4:$A1000,Facebook_reach_raw!$B$4:$B1000)</f>
        <v>1198</v>
      </c>
    </row>
    <row r="111">
      <c r="A111" s="28">
        <f>Facebook_reach_raw!$A113</f>
        <v>45583</v>
      </c>
      <c r="B111" s="29">
        <f>Facebook_interactions_raw!$A113</f>
        <v>45583</v>
      </c>
      <c r="C111" s="26" t="str">
        <f t="shared" si="1"/>
        <v>Facebook</v>
      </c>
      <c r="D111" s="26">
        <f t="array" ref="D111">XLOOKUP($A111,Facebook_follows_raw!$A$4:$A1000,Facebook_follows_raw!$B$4:$B1000)</f>
        <v>1</v>
      </c>
      <c r="E111" s="26">
        <f t="array" ref="E111">XLOOKUP($A111,Facebook_interactions_raw!$A$4:$A1000,Facebook_interactions_raw!$B$4:$B1000)</f>
        <v>45</v>
      </c>
      <c r="F111" s="26">
        <f t="array" ref="F111">XLOOKUP($A111,Facebook_reach_raw!$A$4:$A1000,Facebook_reach_raw!$B$4:$B1000)</f>
        <v>1343</v>
      </c>
    </row>
    <row r="112">
      <c r="A112" s="28">
        <f>Facebook_reach_raw!$A114</f>
        <v>45584</v>
      </c>
      <c r="B112" s="29">
        <f>Facebook_interactions_raw!$A114</f>
        <v>45584</v>
      </c>
      <c r="C112" s="26" t="str">
        <f t="shared" si="1"/>
        <v>Facebook</v>
      </c>
      <c r="D112" s="26">
        <f t="array" ref="D112">XLOOKUP($A112,Facebook_follows_raw!$A$4:$A1000,Facebook_follows_raw!$B$4:$B1000)</f>
        <v>2</v>
      </c>
      <c r="E112" s="26">
        <f t="array" ref="E112">XLOOKUP($A112,Facebook_interactions_raw!$A$4:$A1000,Facebook_interactions_raw!$B$4:$B1000)</f>
        <v>14</v>
      </c>
      <c r="F112" s="26">
        <f t="array" ref="F112">XLOOKUP($A112,Facebook_reach_raw!$A$4:$A1000,Facebook_reach_raw!$B$4:$B1000)</f>
        <v>682</v>
      </c>
    </row>
    <row r="113">
      <c r="A113" s="28">
        <f>Facebook_reach_raw!$A115</f>
        <v>45585</v>
      </c>
      <c r="B113" s="29">
        <f>Facebook_interactions_raw!$A115</f>
        <v>45585</v>
      </c>
      <c r="C113" s="26" t="str">
        <f t="shared" si="1"/>
        <v>Facebook</v>
      </c>
      <c r="D113" s="26">
        <f t="array" ref="D113">XLOOKUP($A113,Facebook_follows_raw!$A$4:$A1000,Facebook_follows_raw!$B$4:$B1000)</f>
        <v>1</v>
      </c>
      <c r="E113" s="26">
        <f t="array" ref="E113">XLOOKUP($A113,Facebook_interactions_raw!$A$4:$A1000,Facebook_interactions_raw!$B$4:$B1000)</f>
        <v>13</v>
      </c>
      <c r="F113" s="26">
        <f t="array" ref="F113">XLOOKUP($A113,Facebook_reach_raw!$A$4:$A1000,Facebook_reach_raw!$B$4:$B1000)</f>
        <v>524</v>
      </c>
    </row>
    <row r="114">
      <c r="A114" s="28">
        <f>Facebook_reach_raw!$A116</f>
        <v>45586</v>
      </c>
      <c r="B114" s="29">
        <f>Facebook_interactions_raw!$A116</f>
        <v>45586</v>
      </c>
      <c r="C114" s="26" t="str">
        <f t="shared" si="1"/>
        <v>Facebook</v>
      </c>
      <c r="D114" s="26">
        <f t="array" ref="D114">XLOOKUP($A114,Facebook_follows_raw!$A$4:$A1000,Facebook_follows_raw!$B$4:$B1000)</f>
        <v>0</v>
      </c>
      <c r="E114" s="26">
        <f t="array" ref="E114">XLOOKUP($A114,Facebook_interactions_raw!$A$4:$A1000,Facebook_interactions_raw!$B$4:$B1000)</f>
        <v>23</v>
      </c>
      <c r="F114" s="26">
        <f t="array" ref="F114">XLOOKUP($A114,Facebook_reach_raw!$A$4:$A1000,Facebook_reach_raw!$B$4:$B1000)</f>
        <v>716</v>
      </c>
    </row>
    <row r="115">
      <c r="A115" s="28">
        <f>Facebook_reach_raw!$A117</f>
        <v>45587</v>
      </c>
      <c r="B115" s="29">
        <f>Facebook_interactions_raw!$A117</f>
        <v>45587</v>
      </c>
      <c r="C115" s="26" t="str">
        <f t="shared" si="1"/>
        <v>Facebook</v>
      </c>
      <c r="D115" s="26">
        <f t="array" ref="D115">XLOOKUP($A115,Facebook_follows_raw!$A$4:$A1000,Facebook_follows_raw!$B$4:$B1000)</f>
        <v>5</v>
      </c>
      <c r="E115" s="26">
        <f t="array" ref="E115">XLOOKUP($A115,Facebook_interactions_raw!$A$4:$A1000,Facebook_interactions_raw!$B$4:$B1000)</f>
        <v>11</v>
      </c>
      <c r="F115" s="26">
        <f t="array" ref="F115">XLOOKUP($A115,Facebook_reach_raw!$A$4:$A1000,Facebook_reach_raw!$B$4:$B1000)</f>
        <v>461</v>
      </c>
    </row>
    <row r="116">
      <c r="A116" s="28">
        <f>Facebook_reach_raw!$A118</f>
        <v>45588</v>
      </c>
      <c r="B116" s="29">
        <f>Facebook_interactions_raw!$A118</f>
        <v>45588</v>
      </c>
      <c r="C116" s="26" t="str">
        <f t="shared" si="1"/>
        <v>Facebook</v>
      </c>
      <c r="D116" s="26">
        <f t="array" ref="D116">XLOOKUP($A116,Facebook_follows_raw!$A$4:$A1000,Facebook_follows_raw!$B$4:$B1000)</f>
        <v>2</v>
      </c>
      <c r="E116" s="26">
        <f t="array" ref="E116">XLOOKUP($A116,Facebook_interactions_raw!$A$4:$A1000,Facebook_interactions_raw!$B$4:$B1000)</f>
        <v>12</v>
      </c>
      <c r="F116" s="26">
        <f t="array" ref="F116">XLOOKUP($A116,Facebook_reach_raw!$A$4:$A1000,Facebook_reach_raw!$B$4:$B1000)</f>
        <v>2641</v>
      </c>
    </row>
    <row r="117">
      <c r="A117" s="28">
        <f>Facebook_reach_raw!$A119</f>
        <v>45589</v>
      </c>
      <c r="B117" s="29">
        <f>Facebook_interactions_raw!$A119</f>
        <v>45589</v>
      </c>
      <c r="C117" s="26" t="str">
        <f t="shared" si="1"/>
        <v>Facebook</v>
      </c>
      <c r="D117" s="26">
        <f t="array" ref="D117">XLOOKUP($A117,Facebook_follows_raw!$A$4:$A1000,Facebook_follows_raw!$B$4:$B1000)</f>
        <v>8</v>
      </c>
      <c r="E117" s="26">
        <f t="array" ref="E117">XLOOKUP($A117,Facebook_interactions_raw!$A$4:$A1000,Facebook_interactions_raw!$B$4:$B1000)</f>
        <v>440</v>
      </c>
      <c r="F117" s="26">
        <f t="array" ref="F117">XLOOKUP($A117,Facebook_reach_raw!$A$4:$A1000,Facebook_reach_raw!$B$4:$B1000)</f>
        <v>8644</v>
      </c>
    </row>
    <row r="118">
      <c r="A118" s="28">
        <f>Facebook_reach_raw!$A120</f>
        <v>45590</v>
      </c>
      <c r="B118" s="29">
        <f>Facebook_interactions_raw!$A120</f>
        <v>45590</v>
      </c>
      <c r="C118" s="26" t="str">
        <f t="shared" si="1"/>
        <v>Facebook</v>
      </c>
      <c r="D118" s="26">
        <f t="array" ref="D118">XLOOKUP($A118,Facebook_follows_raw!$A$4:$A1000,Facebook_follows_raw!$B$4:$B1000)</f>
        <v>2</v>
      </c>
      <c r="E118" s="26">
        <f t="array" ref="E118">XLOOKUP($A118,Facebook_interactions_raw!$A$4:$A1000,Facebook_interactions_raw!$B$4:$B1000)</f>
        <v>165</v>
      </c>
      <c r="F118" s="26">
        <f t="array" ref="F118">XLOOKUP($A118,Facebook_reach_raw!$A$4:$A1000,Facebook_reach_raw!$B$4:$B1000)</f>
        <v>7999</v>
      </c>
    </row>
    <row r="119">
      <c r="A119" s="28">
        <f>Facebook_reach_raw!$A121</f>
        <v>45591</v>
      </c>
      <c r="B119" s="29">
        <f>Facebook_interactions_raw!$A121</f>
        <v>45591</v>
      </c>
      <c r="C119" s="26" t="str">
        <f t="shared" si="1"/>
        <v>Facebook</v>
      </c>
      <c r="D119" s="26">
        <f t="array" ref="D119">XLOOKUP($A119,Facebook_follows_raw!$A$4:$A1000,Facebook_follows_raw!$B$4:$B1000)</f>
        <v>1</v>
      </c>
      <c r="E119" s="26">
        <f t="array" ref="E119">XLOOKUP($A119,Facebook_interactions_raw!$A$4:$A1000,Facebook_interactions_raw!$B$4:$B1000)</f>
        <v>46</v>
      </c>
      <c r="F119" s="26">
        <f t="array" ref="F119">XLOOKUP($A119,Facebook_reach_raw!$A$4:$A1000,Facebook_reach_raw!$B$4:$B1000)</f>
        <v>7314</v>
      </c>
    </row>
    <row r="120">
      <c r="A120" s="28">
        <f>Facebook_reach_raw!$A122</f>
        <v>45592</v>
      </c>
      <c r="B120" s="29">
        <f>Facebook_interactions_raw!$A122</f>
        <v>45592</v>
      </c>
      <c r="C120" s="26" t="str">
        <f t="shared" si="1"/>
        <v>Facebook</v>
      </c>
      <c r="D120" s="26">
        <f t="array" ref="D120">XLOOKUP($A120,Facebook_follows_raw!$A$4:$A1000,Facebook_follows_raw!$B$4:$B1000)</f>
        <v>3</v>
      </c>
      <c r="E120" s="26">
        <f t="array" ref="E120">XLOOKUP($A120,Facebook_interactions_raw!$A$4:$A1000,Facebook_interactions_raw!$B$4:$B1000)</f>
        <v>39</v>
      </c>
      <c r="F120" s="26">
        <f t="array" ref="F120">XLOOKUP($A120,Facebook_reach_raw!$A$4:$A1000,Facebook_reach_raw!$B$4:$B1000)</f>
        <v>7749</v>
      </c>
    </row>
    <row r="121">
      <c r="A121" s="28">
        <f>Facebook_reach_raw!$A123</f>
        <v>45593</v>
      </c>
      <c r="B121" s="29">
        <f>Facebook_interactions_raw!$A123</f>
        <v>45593</v>
      </c>
      <c r="C121" s="26" t="str">
        <f t="shared" si="1"/>
        <v>Facebook</v>
      </c>
      <c r="D121" s="26">
        <f t="array" ref="D121">XLOOKUP($A121,Facebook_follows_raw!$A$4:$A1000,Facebook_follows_raw!$B$4:$B1000)</f>
        <v>3</v>
      </c>
      <c r="E121" s="26">
        <f t="array" ref="E121">XLOOKUP($A121,Facebook_interactions_raw!$A$4:$A1000,Facebook_interactions_raw!$B$4:$B1000)</f>
        <v>34</v>
      </c>
      <c r="F121" s="26">
        <f t="array" ref="F121">XLOOKUP($A121,Facebook_reach_raw!$A$4:$A1000,Facebook_reach_raw!$B$4:$B1000)</f>
        <v>6732</v>
      </c>
    </row>
    <row r="122">
      <c r="A122" s="28">
        <f>Facebook_reach_raw!$A124</f>
        <v>45594</v>
      </c>
      <c r="B122" s="29">
        <f>Facebook_interactions_raw!$A124</f>
        <v>45594</v>
      </c>
      <c r="C122" s="26" t="str">
        <f t="shared" si="1"/>
        <v>Facebook</v>
      </c>
      <c r="D122" s="26">
        <f t="array" ref="D122">XLOOKUP($A122,Facebook_follows_raw!$A$4:$A1000,Facebook_follows_raw!$B$4:$B1000)</f>
        <v>1</v>
      </c>
      <c r="E122" s="26">
        <f t="array" ref="E122">XLOOKUP($A122,Facebook_interactions_raw!$A$4:$A1000,Facebook_interactions_raw!$B$4:$B1000)</f>
        <v>43</v>
      </c>
      <c r="F122" s="26">
        <f t="array" ref="F122">XLOOKUP($A122,Facebook_reach_raw!$A$4:$A1000,Facebook_reach_raw!$B$4:$B1000)</f>
        <v>7608</v>
      </c>
    </row>
    <row r="123">
      <c r="A123" s="28">
        <f>Facebook_reach_raw!$A125</f>
        <v>45595</v>
      </c>
      <c r="B123" s="29">
        <f>Facebook_interactions_raw!$A125</f>
        <v>45595</v>
      </c>
      <c r="C123" s="26" t="str">
        <f t="shared" si="1"/>
        <v>Facebook</v>
      </c>
      <c r="D123" s="26">
        <f t="array" ref="D123">XLOOKUP($A123,Facebook_follows_raw!$A$4:$A1000,Facebook_follows_raw!$B$4:$B1000)</f>
        <v>7</v>
      </c>
      <c r="E123" s="26">
        <f t="array" ref="E123">XLOOKUP($A123,Facebook_interactions_raw!$A$4:$A1000,Facebook_interactions_raw!$B$4:$B1000)</f>
        <v>127</v>
      </c>
      <c r="F123" s="26">
        <f t="array" ref="F123">XLOOKUP($A123,Facebook_reach_raw!$A$4:$A1000,Facebook_reach_raw!$B$4:$B1000)</f>
        <v>10101</v>
      </c>
    </row>
    <row r="124">
      <c r="A124" s="28">
        <f>Facebook_reach_raw!$A126</f>
        <v>45596</v>
      </c>
      <c r="B124" s="29">
        <f>Facebook_interactions_raw!$A126</f>
        <v>45596</v>
      </c>
      <c r="C124" s="26" t="str">
        <f t="shared" si="1"/>
        <v>Facebook</v>
      </c>
      <c r="D124" s="26">
        <f t="array" ref="D124">XLOOKUP($A124,Facebook_follows_raw!$A$4:$A1000,Facebook_follows_raw!$B$4:$B1000)</f>
        <v>2</v>
      </c>
      <c r="E124" s="26">
        <f t="array" ref="E124">XLOOKUP($A124,Facebook_interactions_raw!$A$4:$A1000,Facebook_interactions_raw!$B$4:$B1000)</f>
        <v>253</v>
      </c>
      <c r="F124" s="26">
        <f t="array" ref="F124">XLOOKUP($A124,Facebook_reach_raw!$A$4:$A1000,Facebook_reach_raw!$B$4:$B1000)</f>
        <v>20256</v>
      </c>
    </row>
    <row r="125">
      <c r="A125" s="28">
        <f>Facebook_reach_raw!$A127</f>
        <v>45597</v>
      </c>
      <c r="B125" s="29">
        <f>Facebook_interactions_raw!$A127</f>
        <v>45597</v>
      </c>
      <c r="C125" s="26" t="str">
        <f t="shared" si="1"/>
        <v>Facebook</v>
      </c>
      <c r="D125" s="26">
        <f t="array" ref="D125">XLOOKUP($A125,Facebook_follows_raw!$A$4:$A1000,Facebook_follows_raw!$B$4:$B1000)</f>
        <v>5</v>
      </c>
      <c r="E125" s="26">
        <f t="array" ref="E125">XLOOKUP($A125,Facebook_interactions_raw!$A$4:$A1000,Facebook_interactions_raw!$B$4:$B1000)</f>
        <v>196</v>
      </c>
      <c r="F125" s="26">
        <f t="array" ref="F125">XLOOKUP($A125,Facebook_reach_raw!$A$4:$A1000,Facebook_reach_raw!$B$4:$B1000)</f>
        <v>25726</v>
      </c>
    </row>
    <row r="126">
      <c r="A126" s="28">
        <f>Facebook_reach_raw!$A128</f>
        <v>45598</v>
      </c>
      <c r="B126" s="29">
        <f>Facebook_interactions_raw!$A128</f>
        <v>45598</v>
      </c>
      <c r="C126" s="26" t="str">
        <f t="shared" si="1"/>
        <v>Facebook</v>
      </c>
      <c r="D126" s="26">
        <f t="array" ref="D126">XLOOKUP($A126,Facebook_follows_raw!$A$4:$A1000,Facebook_follows_raw!$B$4:$B1000)</f>
        <v>2</v>
      </c>
      <c r="E126" s="26">
        <f t="array" ref="E126">XLOOKUP($A126,Facebook_interactions_raw!$A$4:$A1000,Facebook_interactions_raw!$B$4:$B1000)</f>
        <v>124</v>
      </c>
      <c r="F126" s="26">
        <f t="array" ref="F126">XLOOKUP($A126,Facebook_reach_raw!$A$4:$A1000,Facebook_reach_raw!$B$4:$B1000)</f>
        <v>20094</v>
      </c>
    </row>
    <row r="127">
      <c r="A127" s="28">
        <f>Facebook_reach_raw!$A129</f>
        <v>45599</v>
      </c>
      <c r="B127" s="29">
        <f>Facebook_interactions_raw!$A129</f>
        <v>45599</v>
      </c>
      <c r="C127" s="26" t="str">
        <f t="shared" si="1"/>
        <v>Facebook</v>
      </c>
      <c r="D127" s="26">
        <f t="array" ref="D127">XLOOKUP($A127,Facebook_follows_raw!$A$4:$A1000,Facebook_follows_raw!$B$4:$B1000)</f>
        <v>6</v>
      </c>
      <c r="E127" s="26">
        <f t="array" ref="E127">XLOOKUP($A127,Facebook_interactions_raw!$A$4:$A1000,Facebook_interactions_raw!$B$4:$B1000)</f>
        <v>94</v>
      </c>
      <c r="F127" s="26">
        <f t="array" ref="F127">XLOOKUP($A127,Facebook_reach_raw!$A$4:$A1000,Facebook_reach_raw!$B$4:$B1000)</f>
        <v>14765</v>
      </c>
    </row>
    <row r="128">
      <c r="A128" s="28">
        <f>Facebook_reach_raw!$A130</f>
        <v>45600</v>
      </c>
      <c r="B128" s="29">
        <f>Facebook_interactions_raw!$A130</f>
        <v>45600</v>
      </c>
      <c r="C128" s="26" t="str">
        <f t="shared" si="1"/>
        <v>Facebook</v>
      </c>
      <c r="D128" s="26">
        <f t="array" ref="D128">XLOOKUP($A128,Facebook_follows_raw!$A$4:$A1000,Facebook_follows_raw!$B$4:$B1000)</f>
        <v>3</v>
      </c>
      <c r="E128" s="26">
        <f t="array" ref="E128">XLOOKUP($A128,Facebook_interactions_raw!$A$4:$A1000,Facebook_interactions_raw!$B$4:$B1000)</f>
        <v>139</v>
      </c>
      <c r="F128" s="26">
        <f t="array" ref="F128">XLOOKUP($A128,Facebook_reach_raw!$A$4:$A1000,Facebook_reach_raw!$B$4:$B1000)</f>
        <v>23872</v>
      </c>
    </row>
    <row r="129">
      <c r="A129" s="28">
        <f>Facebook_reach_raw!$A131</f>
        <v>45601</v>
      </c>
      <c r="B129" s="29">
        <f>Facebook_interactions_raw!$A131</f>
        <v>45601</v>
      </c>
      <c r="C129" s="26" t="str">
        <f t="shared" si="1"/>
        <v>Facebook</v>
      </c>
      <c r="D129" s="26">
        <f t="array" ref="D129">XLOOKUP($A129,Facebook_follows_raw!$A$4:$A1000,Facebook_follows_raw!$B$4:$B1000)</f>
        <v>3</v>
      </c>
      <c r="E129" s="26">
        <f t="array" ref="E129">XLOOKUP($A129,Facebook_interactions_raw!$A$4:$A1000,Facebook_interactions_raw!$B$4:$B1000)</f>
        <v>86</v>
      </c>
      <c r="F129" s="26">
        <f t="array" ref="F129">XLOOKUP($A129,Facebook_reach_raw!$A$4:$A1000,Facebook_reach_raw!$B$4:$B1000)</f>
        <v>24234</v>
      </c>
    </row>
    <row r="130">
      <c r="A130" s="28">
        <f>Facebook_reach_raw!$A132</f>
        <v>45602</v>
      </c>
      <c r="B130" s="29">
        <f>Facebook_interactions_raw!$A132</f>
        <v>45602</v>
      </c>
      <c r="C130" s="26" t="str">
        <f t="shared" si="1"/>
        <v>Facebook</v>
      </c>
      <c r="D130" s="26">
        <f t="array" ref="D130">XLOOKUP($A130,Facebook_follows_raw!$A$4:$A1000,Facebook_follows_raw!$B$4:$B1000)</f>
        <v>3</v>
      </c>
      <c r="E130" s="26">
        <f t="array" ref="E130">XLOOKUP($A130,Facebook_interactions_raw!$A$4:$A1000,Facebook_interactions_raw!$B$4:$B1000)</f>
        <v>110</v>
      </c>
      <c r="F130" s="26">
        <f t="array" ref="F130">XLOOKUP($A130,Facebook_reach_raw!$A$4:$A1000,Facebook_reach_raw!$B$4:$B1000)</f>
        <v>25574</v>
      </c>
    </row>
    <row r="131">
      <c r="A131" s="28">
        <f>Facebook_reach_raw!$A133</f>
        <v>45603</v>
      </c>
      <c r="B131" s="29">
        <f>Facebook_interactions_raw!$A133</f>
        <v>45603</v>
      </c>
      <c r="C131" s="26" t="str">
        <f t="shared" si="1"/>
        <v>Facebook</v>
      </c>
      <c r="D131" s="26">
        <f t="array" ref="D131">XLOOKUP($A131,Facebook_follows_raw!$A$4:$A1000,Facebook_follows_raw!$B$4:$B1000)</f>
        <v>4</v>
      </c>
      <c r="E131" s="26">
        <f t="array" ref="E131">XLOOKUP($A131,Facebook_interactions_raw!$A$4:$A1000,Facebook_interactions_raw!$B$4:$B1000)</f>
        <v>109</v>
      </c>
      <c r="F131" s="26">
        <f t="array" ref="F131">XLOOKUP($A131,Facebook_reach_raw!$A$4:$A1000,Facebook_reach_raw!$B$4:$B1000)</f>
        <v>24231</v>
      </c>
    </row>
    <row r="132">
      <c r="A132" s="28">
        <f>Facebook_reach_raw!$A134</f>
        <v>45604</v>
      </c>
      <c r="B132" s="29">
        <f>Facebook_interactions_raw!$A134</f>
        <v>45604</v>
      </c>
      <c r="C132" s="26" t="str">
        <f t="shared" si="1"/>
        <v>Facebook</v>
      </c>
      <c r="D132" s="26">
        <f t="array" ref="D132">XLOOKUP($A132,Facebook_follows_raw!$A$4:$A1000,Facebook_follows_raw!$B$4:$B1000)</f>
        <v>0</v>
      </c>
      <c r="E132" s="26">
        <f t="array" ref="E132">XLOOKUP($A132,Facebook_interactions_raw!$A$4:$A1000,Facebook_interactions_raw!$B$4:$B1000)</f>
        <v>28</v>
      </c>
      <c r="F132" s="26">
        <f t="array" ref="F132">XLOOKUP($A132,Facebook_reach_raw!$A$4:$A1000,Facebook_reach_raw!$B$4:$B1000)</f>
        <v>13768</v>
      </c>
    </row>
    <row r="133">
      <c r="A133" s="28">
        <f>Facebook_reach_raw!$A135</f>
        <v>45605</v>
      </c>
      <c r="B133" s="29">
        <f>Facebook_interactions_raw!$A135</f>
        <v>45605</v>
      </c>
      <c r="C133" s="26" t="str">
        <f t="shared" si="1"/>
        <v>Facebook</v>
      </c>
      <c r="D133" s="26">
        <f t="array" ref="D133">XLOOKUP($A133,Facebook_follows_raw!$A$4:$A1000,Facebook_follows_raw!$B$4:$B1000)</f>
        <v>2</v>
      </c>
      <c r="E133" s="26">
        <f t="array" ref="E133">XLOOKUP($A133,Facebook_interactions_raw!$A$4:$A1000,Facebook_interactions_raw!$B$4:$B1000)</f>
        <v>250</v>
      </c>
      <c r="F133" s="26">
        <f t="array" ref="F133">XLOOKUP($A133,Facebook_reach_raw!$A$4:$A1000,Facebook_reach_raw!$B$4:$B1000)</f>
        <v>16493</v>
      </c>
    </row>
    <row r="134">
      <c r="A134" s="28">
        <f>Facebook_reach_raw!$A136</f>
        <v>45606</v>
      </c>
      <c r="B134" s="29">
        <f>Facebook_interactions_raw!$A136</f>
        <v>45606</v>
      </c>
      <c r="C134" s="26" t="str">
        <f t="shared" si="1"/>
        <v>Facebook</v>
      </c>
      <c r="D134" s="26">
        <f t="array" ref="D134">XLOOKUP($A134,Facebook_follows_raw!$A$4:$A1000,Facebook_follows_raw!$B$4:$B1000)</f>
        <v>1</v>
      </c>
      <c r="E134" s="26">
        <f t="array" ref="E134">XLOOKUP($A134,Facebook_interactions_raw!$A$4:$A1000,Facebook_interactions_raw!$B$4:$B1000)</f>
        <v>99</v>
      </c>
      <c r="F134" s="26">
        <f t="array" ref="F134">XLOOKUP($A134,Facebook_reach_raw!$A$4:$A1000,Facebook_reach_raw!$B$4:$B1000)</f>
        <v>13815</v>
      </c>
    </row>
    <row r="135">
      <c r="A135" s="28">
        <f>Facebook_reach_raw!$A137</f>
        <v>45607</v>
      </c>
      <c r="B135" s="29">
        <f>Facebook_interactions_raw!$A137</f>
        <v>45607</v>
      </c>
      <c r="C135" s="26" t="str">
        <f t="shared" si="1"/>
        <v>Facebook</v>
      </c>
      <c r="D135" s="26">
        <f t="array" ref="D135">XLOOKUP($A135,Facebook_follows_raw!$A$4:$A1000,Facebook_follows_raw!$B$4:$B1000)</f>
        <v>1</v>
      </c>
      <c r="E135" s="26">
        <f t="array" ref="E135">XLOOKUP($A135,Facebook_interactions_raw!$A$4:$A1000,Facebook_interactions_raw!$B$4:$B1000)</f>
        <v>39</v>
      </c>
      <c r="F135" s="26">
        <f t="array" ref="F135">XLOOKUP($A135,Facebook_reach_raw!$A$4:$A1000,Facebook_reach_raw!$B$4:$B1000)</f>
        <v>10665</v>
      </c>
    </row>
    <row r="136">
      <c r="A136" s="28">
        <f>Facebook_reach_raw!$A138</f>
        <v>45608</v>
      </c>
      <c r="B136" s="29">
        <f>Facebook_interactions_raw!$A138</f>
        <v>45608</v>
      </c>
      <c r="C136" s="26" t="str">
        <f t="shared" si="1"/>
        <v>Facebook</v>
      </c>
      <c r="D136" s="26">
        <f t="array" ref="D136">XLOOKUP($A136,Facebook_follows_raw!$A$4:$A1000,Facebook_follows_raw!$B$4:$B1000)</f>
        <v>3</v>
      </c>
      <c r="E136" s="26">
        <f t="array" ref="E136">XLOOKUP($A136,Facebook_interactions_raw!$A$4:$A1000,Facebook_interactions_raw!$B$4:$B1000)</f>
        <v>76</v>
      </c>
      <c r="F136" s="26">
        <f t="array" ref="F136">XLOOKUP($A136,Facebook_reach_raw!$A$4:$A1000,Facebook_reach_raw!$B$4:$B1000)</f>
        <v>11680</v>
      </c>
    </row>
    <row r="137">
      <c r="A137" s="28">
        <f>Facebook_reach_raw!$A139</f>
        <v>45609</v>
      </c>
      <c r="B137" s="29">
        <f>Facebook_interactions_raw!$A139</f>
        <v>45609</v>
      </c>
      <c r="C137" s="26" t="str">
        <f t="shared" si="1"/>
        <v>Facebook</v>
      </c>
      <c r="D137" s="26">
        <f t="array" ref="D137">XLOOKUP($A137,Facebook_follows_raw!$A$4:$A1000,Facebook_follows_raw!$B$4:$B1000)</f>
        <v>1</v>
      </c>
      <c r="E137" s="26">
        <f t="array" ref="E137">XLOOKUP($A137,Facebook_interactions_raw!$A$4:$A1000,Facebook_interactions_raw!$B$4:$B1000)</f>
        <v>87</v>
      </c>
      <c r="F137" s="26">
        <f t="array" ref="F137">XLOOKUP($A137,Facebook_reach_raw!$A$4:$A1000,Facebook_reach_raw!$B$4:$B1000)</f>
        <v>9570</v>
      </c>
    </row>
    <row r="138">
      <c r="A138" s="28">
        <f>Facebook_reach_raw!$A140</f>
        <v>45610</v>
      </c>
      <c r="B138" s="29">
        <f>Facebook_interactions_raw!$A140</f>
        <v>45610</v>
      </c>
      <c r="C138" s="26" t="str">
        <f t="shared" si="1"/>
        <v>Facebook</v>
      </c>
      <c r="D138" s="26">
        <f t="array" ref="D138">XLOOKUP($A138,Facebook_follows_raw!$A$4:$A1000,Facebook_follows_raw!$B$4:$B1000)</f>
        <v>2</v>
      </c>
      <c r="E138" s="26">
        <f t="array" ref="E138">XLOOKUP($A138,Facebook_interactions_raw!$A$4:$A1000,Facebook_interactions_raw!$B$4:$B1000)</f>
        <v>168</v>
      </c>
      <c r="F138" s="26">
        <f t="array" ref="F138">XLOOKUP($A138,Facebook_reach_raw!$A$4:$A1000,Facebook_reach_raw!$B$4:$B1000)</f>
        <v>11360</v>
      </c>
    </row>
    <row r="139">
      <c r="A139" s="28">
        <f>Facebook_reach_raw!$A141</f>
        <v>45611</v>
      </c>
      <c r="B139" s="29">
        <f>Facebook_interactions_raw!$A141</f>
        <v>45611</v>
      </c>
      <c r="C139" s="26" t="str">
        <f t="shared" si="1"/>
        <v>Facebook</v>
      </c>
      <c r="D139" s="26">
        <f t="array" ref="D139">XLOOKUP($A139,Facebook_follows_raw!$A$4:$A1000,Facebook_follows_raw!$B$4:$B1000)</f>
        <v>2</v>
      </c>
      <c r="E139" s="26">
        <f t="array" ref="E139">XLOOKUP($A139,Facebook_interactions_raw!$A$4:$A1000,Facebook_interactions_raw!$B$4:$B1000)</f>
        <v>167</v>
      </c>
      <c r="F139" s="26">
        <f t="array" ref="F139">XLOOKUP($A139,Facebook_reach_raw!$A$4:$A1000,Facebook_reach_raw!$B$4:$B1000)</f>
        <v>14481</v>
      </c>
    </row>
    <row r="140">
      <c r="A140" s="28">
        <f>Facebook_reach_raw!$A142</f>
        <v>45612</v>
      </c>
      <c r="B140" s="29">
        <f>Facebook_interactions_raw!$A142</f>
        <v>45612</v>
      </c>
      <c r="C140" s="26" t="str">
        <f t="shared" si="1"/>
        <v>Facebook</v>
      </c>
      <c r="D140" s="26">
        <f t="array" ref="D140">XLOOKUP($A140,Facebook_follows_raw!$A$4:$A1000,Facebook_follows_raw!$B$4:$B1000)</f>
        <v>0</v>
      </c>
      <c r="E140" s="26">
        <f t="array" ref="E140">XLOOKUP($A140,Facebook_interactions_raw!$A$4:$A1000,Facebook_interactions_raw!$B$4:$B1000)</f>
        <v>117</v>
      </c>
      <c r="F140" s="26">
        <f t="array" ref="F140">XLOOKUP($A140,Facebook_reach_raw!$A$4:$A1000,Facebook_reach_raw!$B$4:$B1000)</f>
        <v>16649</v>
      </c>
    </row>
    <row r="141">
      <c r="A141" s="28">
        <f>Facebook_reach_raw!$A143</f>
        <v>45613</v>
      </c>
      <c r="B141" s="29">
        <f>Facebook_interactions_raw!$A143</f>
        <v>45613</v>
      </c>
      <c r="C141" s="26" t="str">
        <f t="shared" si="1"/>
        <v>Facebook</v>
      </c>
      <c r="D141" s="26">
        <f t="array" ref="D141">XLOOKUP($A141,Facebook_follows_raw!$A$4:$A1000,Facebook_follows_raw!$B$4:$B1000)</f>
        <v>3</v>
      </c>
      <c r="E141" s="26">
        <f t="array" ref="E141">XLOOKUP($A141,Facebook_interactions_raw!$A$4:$A1000,Facebook_interactions_raw!$B$4:$B1000)</f>
        <v>80</v>
      </c>
      <c r="F141" s="26">
        <f t="array" ref="F141">XLOOKUP($A141,Facebook_reach_raw!$A$4:$A1000,Facebook_reach_raw!$B$4:$B1000)</f>
        <v>19724</v>
      </c>
    </row>
    <row r="142">
      <c r="A142" s="28">
        <f>Facebook_reach_raw!$A144</f>
        <v>45614</v>
      </c>
      <c r="B142" s="29">
        <f>Facebook_interactions_raw!$A144</f>
        <v>45614</v>
      </c>
      <c r="C142" s="26" t="str">
        <f t="shared" si="1"/>
        <v>Facebook</v>
      </c>
      <c r="D142" s="26">
        <f t="array" ref="D142">XLOOKUP($A142,Facebook_follows_raw!$A$4:$A1000,Facebook_follows_raw!$B$4:$B1000)</f>
        <v>2</v>
      </c>
      <c r="E142" s="26">
        <f t="array" ref="E142">XLOOKUP($A142,Facebook_interactions_raw!$A$4:$A1000,Facebook_interactions_raw!$B$4:$B1000)</f>
        <v>43</v>
      </c>
      <c r="F142" s="26">
        <f t="array" ref="F142">XLOOKUP($A142,Facebook_reach_raw!$A$4:$A1000,Facebook_reach_raw!$B$4:$B1000)</f>
        <v>14492</v>
      </c>
    </row>
    <row r="143">
      <c r="A143" s="28">
        <f>Facebook_reach_raw!$A145</f>
        <v>45615</v>
      </c>
      <c r="B143" s="29">
        <f>Facebook_interactions_raw!$A145</f>
        <v>45615</v>
      </c>
      <c r="C143" s="26" t="str">
        <f t="shared" si="1"/>
        <v>Facebook</v>
      </c>
      <c r="D143" s="26">
        <f t="array" ref="D143">XLOOKUP($A143,Facebook_follows_raw!$A$4:$A1000,Facebook_follows_raw!$B$4:$B1000)</f>
        <v>4</v>
      </c>
      <c r="E143" s="26">
        <f t="array" ref="E143">XLOOKUP($A143,Facebook_interactions_raw!$A$4:$A1000,Facebook_interactions_raw!$B$4:$B1000)</f>
        <v>17</v>
      </c>
      <c r="F143" s="26">
        <f t="array" ref="F143">XLOOKUP($A143,Facebook_reach_raw!$A$4:$A1000,Facebook_reach_raw!$B$4:$B1000)</f>
        <v>12983</v>
      </c>
    </row>
    <row r="144">
      <c r="A144" s="28">
        <f>Facebook_reach_raw!$A146</f>
        <v>45616</v>
      </c>
      <c r="B144" s="29">
        <f>Facebook_interactions_raw!$A146</f>
        <v>45616</v>
      </c>
      <c r="C144" s="26" t="str">
        <f t="shared" si="1"/>
        <v>Facebook</v>
      </c>
      <c r="D144" s="26">
        <f t="array" ref="D144">XLOOKUP($A144,Facebook_follows_raw!$A$4:$A1000,Facebook_follows_raw!$B$4:$B1000)</f>
        <v>2</v>
      </c>
      <c r="E144" s="26">
        <f t="array" ref="E144">XLOOKUP($A144,Facebook_interactions_raw!$A$4:$A1000,Facebook_interactions_raw!$B$4:$B1000)</f>
        <v>73</v>
      </c>
      <c r="F144" s="26">
        <f t="array" ref="F144">XLOOKUP($A144,Facebook_reach_raw!$A$4:$A1000,Facebook_reach_raw!$B$4:$B1000)</f>
        <v>14963</v>
      </c>
    </row>
    <row r="145">
      <c r="A145" s="28">
        <f>Facebook_reach_raw!$A147</f>
        <v>45617</v>
      </c>
      <c r="B145" s="29">
        <f>Facebook_interactions_raw!$A147</f>
        <v>45617</v>
      </c>
      <c r="C145" s="26" t="str">
        <f t="shared" si="1"/>
        <v>Facebook</v>
      </c>
      <c r="D145" s="26">
        <f t="array" ref="D145">XLOOKUP($A145,Facebook_follows_raw!$A$4:$A1000,Facebook_follows_raw!$B$4:$B1000)</f>
        <v>2</v>
      </c>
      <c r="E145" s="26">
        <f t="array" ref="E145">XLOOKUP($A145,Facebook_interactions_raw!$A$4:$A1000,Facebook_interactions_raw!$B$4:$B1000)</f>
        <v>113</v>
      </c>
      <c r="F145" s="26">
        <f t="array" ref="F145">XLOOKUP($A145,Facebook_reach_raw!$A$4:$A1000,Facebook_reach_raw!$B$4:$B1000)</f>
        <v>12789</v>
      </c>
    </row>
    <row r="146">
      <c r="A146" s="28">
        <f>Facebook_reach_raw!$A148</f>
        <v>45618</v>
      </c>
      <c r="B146" s="29">
        <f>Facebook_interactions_raw!$A148</f>
        <v>45618</v>
      </c>
      <c r="C146" s="26" t="str">
        <f t="shared" si="1"/>
        <v>Facebook</v>
      </c>
      <c r="D146" s="26">
        <f t="array" ref="D146">XLOOKUP($A146,Facebook_follows_raw!$A$4:$A1000,Facebook_follows_raw!$B$4:$B1000)</f>
        <v>6</v>
      </c>
      <c r="E146" s="26">
        <f t="array" ref="E146">XLOOKUP($A146,Facebook_interactions_raw!$A$4:$A1000,Facebook_interactions_raw!$B$4:$B1000)</f>
        <v>143</v>
      </c>
      <c r="F146" s="26">
        <f t="array" ref="F146">XLOOKUP($A146,Facebook_reach_raw!$A$4:$A1000,Facebook_reach_raw!$B$4:$B1000)</f>
        <v>12708</v>
      </c>
    </row>
    <row r="147">
      <c r="A147" s="28">
        <f>Facebook_reach_raw!$A149</f>
        <v>45619</v>
      </c>
      <c r="B147" s="29">
        <f>Facebook_interactions_raw!$A149</f>
        <v>45619</v>
      </c>
      <c r="C147" s="26" t="str">
        <f t="shared" si="1"/>
        <v>Facebook</v>
      </c>
      <c r="D147" s="26">
        <f t="array" ref="D147">XLOOKUP($A147,Facebook_follows_raw!$A$4:$A1000,Facebook_follows_raw!$B$4:$B1000)</f>
        <v>5</v>
      </c>
      <c r="E147" s="26">
        <f t="array" ref="E147">XLOOKUP($A147,Facebook_interactions_raw!$A$4:$A1000,Facebook_interactions_raw!$B$4:$B1000)</f>
        <v>253</v>
      </c>
      <c r="F147" s="26">
        <f t="array" ref="F147">XLOOKUP($A147,Facebook_reach_raw!$A$4:$A1000,Facebook_reach_raw!$B$4:$B1000)</f>
        <v>12579</v>
      </c>
    </row>
    <row r="148">
      <c r="A148" s="28">
        <f>Facebook_reach_raw!$A150</f>
        <v>45620</v>
      </c>
      <c r="B148" s="29">
        <f>Facebook_interactions_raw!$A150</f>
        <v>45620</v>
      </c>
      <c r="C148" s="26" t="str">
        <f t="shared" si="1"/>
        <v>Facebook</v>
      </c>
      <c r="D148" s="26">
        <f t="array" ref="D148">XLOOKUP($A148,Facebook_follows_raw!$A$4:$A1000,Facebook_follows_raw!$B$4:$B1000)</f>
        <v>7</v>
      </c>
      <c r="E148" s="26">
        <f t="array" ref="E148">XLOOKUP($A148,Facebook_interactions_raw!$A$4:$A1000,Facebook_interactions_raw!$B$4:$B1000)</f>
        <v>126</v>
      </c>
      <c r="F148" s="26">
        <f t="array" ref="F148">XLOOKUP($A148,Facebook_reach_raw!$A$4:$A1000,Facebook_reach_raw!$B$4:$B1000)</f>
        <v>13867</v>
      </c>
    </row>
    <row r="149">
      <c r="A149" s="28">
        <f>Facebook_reach_raw!$A151</f>
        <v>45621</v>
      </c>
      <c r="B149" s="29">
        <f>Facebook_interactions_raw!$A151</f>
        <v>45621</v>
      </c>
      <c r="C149" s="26" t="str">
        <f t="shared" si="1"/>
        <v>Facebook</v>
      </c>
      <c r="D149" s="26">
        <f t="array" ref="D149">XLOOKUP($A149,Facebook_follows_raw!$A$4:$A1000,Facebook_follows_raw!$B$4:$B1000)</f>
        <v>2</v>
      </c>
      <c r="E149" s="26">
        <f t="array" ref="E149">XLOOKUP($A149,Facebook_interactions_raw!$A$4:$A1000,Facebook_interactions_raw!$B$4:$B1000)</f>
        <v>243</v>
      </c>
      <c r="F149" s="26">
        <f t="array" ref="F149">XLOOKUP($A149,Facebook_reach_raw!$A$4:$A1000,Facebook_reach_raw!$B$4:$B1000)</f>
        <v>17856</v>
      </c>
    </row>
    <row r="150">
      <c r="A150" s="28">
        <f>Facebook_reach_raw!$A152</f>
        <v>45622</v>
      </c>
      <c r="B150" s="29">
        <f>Facebook_interactions_raw!$A152</f>
        <v>45622</v>
      </c>
      <c r="C150" s="26" t="str">
        <f t="shared" si="1"/>
        <v>Facebook</v>
      </c>
      <c r="D150" s="26">
        <f t="array" ref="D150">XLOOKUP($A150,Facebook_follows_raw!$A$4:$A1000,Facebook_follows_raw!$B$4:$B1000)</f>
        <v>4</v>
      </c>
      <c r="E150" s="26">
        <f t="array" ref="E150">XLOOKUP($A150,Facebook_interactions_raw!$A$4:$A1000,Facebook_interactions_raw!$B$4:$B1000)</f>
        <v>46</v>
      </c>
      <c r="F150" s="26">
        <f t="array" ref="F150">XLOOKUP($A150,Facebook_reach_raw!$A$4:$A1000,Facebook_reach_raw!$B$4:$B1000)</f>
        <v>19430</v>
      </c>
    </row>
    <row r="151">
      <c r="A151" s="28">
        <f>Facebook_reach_raw!$A153</f>
        <v>45623</v>
      </c>
      <c r="B151" s="29">
        <f>Facebook_interactions_raw!$A153</f>
        <v>45623</v>
      </c>
      <c r="C151" s="26" t="str">
        <f t="shared" si="1"/>
        <v>Facebook</v>
      </c>
      <c r="D151" s="26">
        <f t="array" ref="D151">XLOOKUP($A151,Facebook_follows_raw!$A$4:$A1000,Facebook_follows_raw!$B$4:$B1000)</f>
        <v>1</v>
      </c>
      <c r="E151" s="26">
        <f t="array" ref="E151">XLOOKUP($A151,Facebook_interactions_raw!$A$4:$A1000,Facebook_interactions_raw!$B$4:$B1000)</f>
        <v>42</v>
      </c>
      <c r="F151" s="26">
        <f t="array" ref="F151">XLOOKUP($A151,Facebook_reach_raw!$A$4:$A1000,Facebook_reach_raw!$B$4:$B1000)</f>
        <v>16898</v>
      </c>
    </row>
    <row r="152">
      <c r="A152" s="28">
        <f>Facebook_reach_raw!$A154</f>
        <v>45624</v>
      </c>
      <c r="B152" s="29">
        <f>Facebook_interactions_raw!$A154</f>
        <v>45624</v>
      </c>
      <c r="C152" s="26" t="str">
        <f t="shared" si="1"/>
        <v>Facebook</v>
      </c>
      <c r="D152" s="26">
        <f t="array" ref="D152">XLOOKUP($A152,Facebook_follows_raw!$A$4:$A1000,Facebook_follows_raw!$B$4:$B1000)</f>
        <v>1</v>
      </c>
      <c r="E152" s="26">
        <f t="array" ref="E152">XLOOKUP($A152,Facebook_interactions_raw!$A$4:$A1000,Facebook_interactions_raw!$B$4:$B1000)</f>
        <v>132</v>
      </c>
      <c r="F152" s="26">
        <f t="array" ref="F152">XLOOKUP($A152,Facebook_reach_raw!$A$4:$A1000,Facebook_reach_raw!$B$4:$B1000)</f>
        <v>5300</v>
      </c>
    </row>
    <row r="153">
      <c r="A153" s="28">
        <f>Facebook_reach_raw!$A155</f>
        <v>45625</v>
      </c>
      <c r="B153" s="29">
        <f>Facebook_interactions_raw!$A155</f>
        <v>45625</v>
      </c>
      <c r="C153" s="26" t="str">
        <f t="shared" si="1"/>
        <v>Facebook</v>
      </c>
      <c r="D153" s="26">
        <f t="array" ref="D153">XLOOKUP($A153,Facebook_follows_raw!$A$4:$A1000,Facebook_follows_raw!$B$4:$B1000)</f>
        <v>2</v>
      </c>
      <c r="E153" s="26">
        <f t="array" ref="E153">XLOOKUP($A153,Facebook_interactions_raw!$A$4:$A1000,Facebook_interactions_raw!$B$4:$B1000)</f>
        <v>68</v>
      </c>
      <c r="F153" s="26">
        <f t="array" ref="F153">XLOOKUP($A153,Facebook_reach_raw!$A$4:$A1000,Facebook_reach_raw!$B$4:$B1000)</f>
        <v>4408</v>
      </c>
    </row>
    <row r="154">
      <c r="A154" s="28">
        <f>Facebook_reach_raw!$A156</f>
        <v>45626</v>
      </c>
      <c r="B154" s="29">
        <f>Facebook_interactions_raw!$A156</f>
        <v>45626</v>
      </c>
      <c r="C154" s="26" t="str">
        <f t="shared" si="1"/>
        <v>Facebook</v>
      </c>
      <c r="D154" s="26">
        <f t="array" ref="D154">XLOOKUP($A154,Facebook_follows_raw!$A$4:$A1000,Facebook_follows_raw!$B$4:$B1000)</f>
        <v>2</v>
      </c>
      <c r="E154" s="26">
        <f t="array" ref="E154">XLOOKUP($A154,Facebook_interactions_raw!$A$4:$A1000,Facebook_interactions_raw!$B$4:$B1000)</f>
        <v>16</v>
      </c>
      <c r="F154" s="26">
        <f t="array" ref="F154">XLOOKUP($A154,Facebook_reach_raw!$A$4:$A1000,Facebook_reach_raw!$B$4:$B1000)</f>
        <v>2398</v>
      </c>
    </row>
    <row r="155">
      <c r="A155" s="28">
        <f>Facebook_reach_raw!$A157</f>
        <v>45627</v>
      </c>
      <c r="B155" s="29">
        <f>Facebook_interactions_raw!$A157</f>
        <v>45627</v>
      </c>
      <c r="C155" s="26" t="str">
        <f t="shared" si="1"/>
        <v>Facebook</v>
      </c>
      <c r="D155" s="26">
        <f t="array" ref="D155">XLOOKUP($A155,Facebook_follows_raw!$A$4:$A1000,Facebook_follows_raw!$B$4:$B1000)</f>
        <v>0</v>
      </c>
      <c r="E155" s="26">
        <f t="array" ref="E155">XLOOKUP($A155,Facebook_interactions_raw!$A$4:$A1000,Facebook_interactions_raw!$B$4:$B1000)</f>
        <v>10</v>
      </c>
      <c r="F155" s="26">
        <f t="array" ref="F155">XLOOKUP($A155,Facebook_reach_raw!$A$4:$A1000,Facebook_reach_raw!$B$4:$B1000)</f>
        <v>360</v>
      </c>
    </row>
    <row r="156">
      <c r="A156" s="28">
        <f>Facebook_reach_raw!$A158</f>
        <v>45628</v>
      </c>
      <c r="B156" s="29">
        <f>Facebook_interactions_raw!$A158</f>
        <v>45628</v>
      </c>
      <c r="C156" s="26" t="str">
        <f t="shared" si="1"/>
        <v>Facebook</v>
      </c>
      <c r="D156" s="26">
        <f t="array" ref="D156">XLOOKUP($A156,Facebook_follows_raw!$A$4:$A1000,Facebook_follows_raw!$B$4:$B1000)</f>
        <v>1</v>
      </c>
      <c r="E156" s="26">
        <f t="array" ref="E156">XLOOKUP($A156,Facebook_interactions_raw!$A$4:$A1000,Facebook_interactions_raw!$B$4:$B1000)</f>
        <v>50</v>
      </c>
      <c r="F156" s="26">
        <f t="array" ref="F156">XLOOKUP($A156,Facebook_reach_raw!$A$4:$A1000,Facebook_reach_raw!$B$4:$B1000)</f>
        <v>11299</v>
      </c>
    </row>
    <row r="157">
      <c r="A157" s="28">
        <f>Facebook_reach_raw!$A159</f>
        <v>45629</v>
      </c>
      <c r="B157" s="29">
        <f>Facebook_interactions_raw!$A159</f>
        <v>45629</v>
      </c>
      <c r="C157" s="26" t="str">
        <f t="shared" si="1"/>
        <v>Facebook</v>
      </c>
      <c r="D157" s="26">
        <f t="array" ref="D157">XLOOKUP($A157,Facebook_follows_raw!$A$4:$A1000,Facebook_follows_raw!$B$4:$B1000)</f>
        <v>3</v>
      </c>
      <c r="E157" s="26">
        <f t="array" ref="E157">XLOOKUP($A157,Facebook_interactions_raw!$A$4:$A1000,Facebook_interactions_raw!$B$4:$B1000)</f>
        <v>72</v>
      </c>
      <c r="F157" s="26">
        <f t="array" ref="F157">XLOOKUP($A157,Facebook_reach_raw!$A$4:$A1000,Facebook_reach_raw!$B$4:$B1000)</f>
        <v>17595</v>
      </c>
    </row>
    <row r="158">
      <c r="A158" s="28">
        <f>Facebook_reach_raw!$A160</f>
        <v>45630</v>
      </c>
      <c r="B158" s="29">
        <f>Facebook_interactions_raw!$A160</f>
        <v>45630</v>
      </c>
      <c r="C158" s="26" t="str">
        <f t="shared" si="1"/>
        <v>Facebook</v>
      </c>
      <c r="D158" s="26">
        <f t="array" ref="D158">XLOOKUP($A158,Facebook_follows_raw!$A$4:$A1000,Facebook_follows_raw!$B$4:$B1000)</f>
        <v>5</v>
      </c>
      <c r="E158" s="26">
        <f t="array" ref="E158">XLOOKUP($A158,Facebook_interactions_raw!$A$4:$A1000,Facebook_interactions_raw!$B$4:$B1000)</f>
        <v>65</v>
      </c>
      <c r="F158" s="26">
        <f t="array" ref="F158">XLOOKUP($A158,Facebook_reach_raw!$A$4:$A1000,Facebook_reach_raw!$B$4:$B1000)</f>
        <v>10981</v>
      </c>
    </row>
    <row r="159">
      <c r="A159" s="28">
        <f>Facebook_reach_raw!$A161</f>
        <v>45631</v>
      </c>
      <c r="B159" s="29">
        <f>Facebook_interactions_raw!$A161</f>
        <v>45631</v>
      </c>
      <c r="C159" s="26" t="str">
        <f t="shared" si="1"/>
        <v>Facebook</v>
      </c>
      <c r="D159" s="26">
        <f t="array" ref="D159">XLOOKUP($A159,Facebook_follows_raw!$A$4:$A1000,Facebook_follows_raw!$B$4:$B1000)</f>
        <v>1</v>
      </c>
      <c r="E159" s="26">
        <f t="array" ref="E159">XLOOKUP($A159,Facebook_interactions_raw!$A$4:$A1000,Facebook_interactions_raw!$B$4:$B1000)</f>
        <v>138</v>
      </c>
      <c r="F159" s="26">
        <f t="array" ref="F159">XLOOKUP($A159,Facebook_reach_raw!$A$4:$A1000,Facebook_reach_raw!$B$4:$B1000)</f>
        <v>8596</v>
      </c>
    </row>
    <row r="160">
      <c r="A160" s="28">
        <f>Facebook_reach_raw!$A162</f>
        <v>45632</v>
      </c>
      <c r="B160" s="29">
        <f>Facebook_interactions_raw!$A162</f>
        <v>45632</v>
      </c>
      <c r="C160" s="26" t="str">
        <f t="shared" si="1"/>
        <v>Facebook</v>
      </c>
      <c r="D160" s="26">
        <f t="array" ref="D160">XLOOKUP($A160,Facebook_follows_raw!$A$4:$A1000,Facebook_follows_raw!$B$4:$B1000)</f>
        <v>3</v>
      </c>
      <c r="E160" s="26">
        <f t="array" ref="E160">XLOOKUP($A160,Facebook_interactions_raw!$A$4:$A1000,Facebook_interactions_raw!$B$4:$B1000)</f>
        <v>182</v>
      </c>
      <c r="F160" s="26">
        <f t="array" ref="F160">XLOOKUP($A160,Facebook_reach_raw!$A$4:$A1000,Facebook_reach_raw!$B$4:$B1000)</f>
        <v>6550</v>
      </c>
    </row>
    <row r="161">
      <c r="A161" s="28">
        <f>Facebook_reach_raw!$A163</f>
        <v>45633</v>
      </c>
      <c r="B161" s="29">
        <f>Facebook_interactions_raw!$A163</f>
        <v>45633</v>
      </c>
      <c r="C161" s="26" t="str">
        <f t="shared" si="1"/>
        <v>Facebook</v>
      </c>
      <c r="D161" s="26">
        <f t="array" ref="D161">XLOOKUP($A161,Facebook_follows_raw!$A$4:$A1000,Facebook_follows_raw!$B$4:$B1000)</f>
        <v>3</v>
      </c>
      <c r="E161" s="26">
        <f t="array" ref="E161">XLOOKUP($A161,Facebook_interactions_raw!$A$4:$A1000,Facebook_interactions_raw!$B$4:$B1000)</f>
        <v>81</v>
      </c>
      <c r="F161" s="26">
        <f t="array" ref="F161">XLOOKUP($A161,Facebook_reach_raw!$A$4:$A1000,Facebook_reach_raw!$B$4:$B1000)</f>
        <v>6263</v>
      </c>
    </row>
    <row r="162">
      <c r="A162" s="28">
        <f>Facebook_reach_raw!$A164</f>
        <v>45634</v>
      </c>
      <c r="B162" s="29">
        <f>Facebook_interactions_raw!$A164</f>
        <v>45634</v>
      </c>
      <c r="C162" s="26" t="str">
        <f t="shared" si="1"/>
        <v>Facebook</v>
      </c>
      <c r="D162" s="26">
        <f t="array" ref="D162">XLOOKUP($A162,Facebook_follows_raw!$A$4:$A1000,Facebook_follows_raw!$B$4:$B1000)</f>
        <v>1</v>
      </c>
      <c r="E162" s="26">
        <f t="array" ref="E162">XLOOKUP($A162,Facebook_interactions_raw!$A$4:$A1000,Facebook_interactions_raw!$B$4:$B1000)</f>
        <v>34</v>
      </c>
      <c r="F162" s="26">
        <f t="array" ref="F162">XLOOKUP($A162,Facebook_reach_raw!$A$4:$A1000,Facebook_reach_raw!$B$4:$B1000)</f>
        <v>5999</v>
      </c>
    </row>
    <row r="163">
      <c r="A163" s="28">
        <f>Facebook_reach_raw!$A165</f>
        <v>45635</v>
      </c>
      <c r="B163" s="29">
        <f>Facebook_interactions_raw!$A165</f>
        <v>45635</v>
      </c>
      <c r="C163" s="26" t="str">
        <f t="shared" si="1"/>
        <v>Facebook</v>
      </c>
      <c r="D163" s="26">
        <f t="array" ref="D163">XLOOKUP($A163,Facebook_follows_raw!$A$4:$A1000,Facebook_follows_raw!$B$4:$B1000)</f>
        <v>1</v>
      </c>
      <c r="E163" s="26">
        <f t="array" ref="E163">XLOOKUP($A163,Facebook_interactions_raw!$A$4:$A1000,Facebook_interactions_raw!$B$4:$B1000)</f>
        <v>25</v>
      </c>
      <c r="F163" s="26">
        <f t="array" ref="F163">XLOOKUP($A163,Facebook_reach_raw!$A$4:$A1000,Facebook_reach_raw!$B$4:$B1000)</f>
        <v>5640</v>
      </c>
    </row>
    <row r="164">
      <c r="A164" s="28">
        <f>Facebook_reach_raw!$A166</f>
        <v>45636</v>
      </c>
      <c r="B164" s="29">
        <f>Facebook_interactions_raw!$A166</f>
        <v>45636</v>
      </c>
      <c r="C164" s="26" t="str">
        <f t="shared" si="1"/>
        <v>Facebook</v>
      </c>
      <c r="D164" s="26">
        <f t="array" ref="D164">XLOOKUP($A164,Facebook_follows_raw!$A$4:$A1000,Facebook_follows_raw!$B$4:$B1000)</f>
        <v>0</v>
      </c>
      <c r="E164" s="26">
        <f t="array" ref="E164">XLOOKUP($A164,Facebook_interactions_raw!$A$4:$A1000,Facebook_interactions_raw!$B$4:$B1000)</f>
        <v>92</v>
      </c>
      <c r="F164" s="26">
        <f t="array" ref="F164">XLOOKUP($A164,Facebook_reach_raw!$A$4:$A1000,Facebook_reach_raw!$B$4:$B1000)</f>
        <v>6395</v>
      </c>
    </row>
    <row r="165">
      <c r="A165" s="28">
        <f>Facebook_reach_raw!$A167</f>
        <v>45637</v>
      </c>
      <c r="B165" s="29">
        <f>Facebook_interactions_raw!$A167</f>
        <v>45637</v>
      </c>
      <c r="C165" s="26" t="str">
        <f t="shared" si="1"/>
        <v>Facebook</v>
      </c>
      <c r="D165" s="26">
        <f t="array" ref="D165">XLOOKUP($A165,Facebook_follows_raw!$A$4:$A1000,Facebook_follows_raw!$B$4:$B1000)</f>
        <v>2</v>
      </c>
      <c r="E165" s="26">
        <f t="array" ref="E165">XLOOKUP($A165,Facebook_interactions_raw!$A$4:$A1000,Facebook_interactions_raw!$B$4:$B1000)</f>
        <v>49</v>
      </c>
      <c r="F165" s="26">
        <f t="array" ref="F165">XLOOKUP($A165,Facebook_reach_raw!$A$4:$A1000,Facebook_reach_raw!$B$4:$B1000)</f>
        <v>5692</v>
      </c>
    </row>
    <row r="166">
      <c r="A166" s="28">
        <f>Facebook_reach_raw!$A168</f>
        <v>45638</v>
      </c>
      <c r="B166" s="29">
        <f>Facebook_interactions_raw!$A168</f>
        <v>45638</v>
      </c>
      <c r="C166" s="26" t="str">
        <f t="shared" si="1"/>
        <v>Facebook</v>
      </c>
      <c r="D166" s="26">
        <f t="array" ref="D166">XLOOKUP($A166,Facebook_follows_raw!$A$4:$A1000,Facebook_follows_raw!$B$4:$B1000)</f>
        <v>3</v>
      </c>
      <c r="E166" s="26">
        <f t="array" ref="E166">XLOOKUP($A166,Facebook_interactions_raw!$A$4:$A1000,Facebook_interactions_raw!$B$4:$B1000)</f>
        <v>86</v>
      </c>
      <c r="F166" s="26">
        <f t="array" ref="F166">XLOOKUP($A166,Facebook_reach_raw!$A$4:$A1000,Facebook_reach_raw!$B$4:$B1000)</f>
        <v>6173</v>
      </c>
    </row>
    <row r="167">
      <c r="A167" s="28">
        <f>Facebook_reach_raw!$A169</f>
        <v>45639</v>
      </c>
      <c r="B167" s="29">
        <f>Facebook_interactions_raw!$A169</f>
        <v>45639</v>
      </c>
      <c r="C167" s="26" t="str">
        <f t="shared" si="1"/>
        <v>Facebook</v>
      </c>
      <c r="D167" s="26">
        <f t="array" ref="D167">XLOOKUP($A167,Facebook_follows_raw!$A$4:$A1000,Facebook_follows_raw!$B$4:$B1000)</f>
        <v>0</v>
      </c>
      <c r="E167" s="26">
        <f t="array" ref="E167">XLOOKUP($A167,Facebook_interactions_raw!$A$4:$A1000,Facebook_interactions_raw!$B$4:$B1000)</f>
        <v>65</v>
      </c>
      <c r="F167" s="26">
        <f t="array" ref="F167">XLOOKUP($A167,Facebook_reach_raw!$A$4:$A1000,Facebook_reach_raw!$B$4:$B1000)</f>
        <v>5500</v>
      </c>
    </row>
    <row r="168">
      <c r="A168" s="28">
        <f>Facebook_reach_raw!$A170</f>
        <v>45640</v>
      </c>
      <c r="B168" s="29">
        <f>Facebook_interactions_raw!$A170</f>
        <v>45640</v>
      </c>
      <c r="C168" s="26" t="str">
        <f t="shared" si="1"/>
        <v>Facebook</v>
      </c>
      <c r="D168" s="26">
        <f t="array" ref="D168">XLOOKUP($A168,Facebook_follows_raw!$A$4:$A1000,Facebook_follows_raw!$B$4:$B1000)</f>
        <v>2</v>
      </c>
      <c r="E168" s="26">
        <f t="array" ref="E168">XLOOKUP($A168,Facebook_interactions_raw!$A$4:$A1000,Facebook_interactions_raw!$B$4:$B1000)</f>
        <v>42</v>
      </c>
      <c r="F168" s="26">
        <f t="array" ref="F168">XLOOKUP($A168,Facebook_reach_raw!$A$4:$A1000,Facebook_reach_raw!$B$4:$B1000)</f>
        <v>5236</v>
      </c>
    </row>
    <row r="169">
      <c r="A169" s="28">
        <f>Facebook_reach_raw!$A171</f>
        <v>45641</v>
      </c>
      <c r="B169" s="29">
        <f>Facebook_interactions_raw!$A171</f>
        <v>45641</v>
      </c>
      <c r="C169" s="26" t="str">
        <f t="shared" si="1"/>
        <v>Facebook</v>
      </c>
      <c r="D169" s="26">
        <f t="array" ref="D169">XLOOKUP($A169,Facebook_follows_raw!$A$4:$A1000,Facebook_follows_raw!$B$4:$B1000)</f>
        <v>2</v>
      </c>
      <c r="E169" s="26">
        <f t="array" ref="E169">XLOOKUP($A169,Facebook_interactions_raw!$A$4:$A1000,Facebook_interactions_raw!$B$4:$B1000)</f>
        <v>36</v>
      </c>
      <c r="F169" s="26">
        <f t="array" ref="F169">XLOOKUP($A169,Facebook_reach_raw!$A$4:$A1000,Facebook_reach_raw!$B$4:$B1000)</f>
        <v>4891</v>
      </c>
    </row>
    <row r="170">
      <c r="A170" s="28">
        <f>Facebook_reach_raw!$A172</f>
        <v>45642</v>
      </c>
      <c r="B170" s="29">
        <f>Facebook_interactions_raw!$A172</f>
        <v>45642</v>
      </c>
      <c r="C170" s="26" t="str">
        <f t="shared" si="1"/>
        <v>Facebook</v>
      </c>
      <c r="D170" s="26">
        <f t="array" ref="D170">XLOOKUP($A170,Facebook_follows_raw!$A$4:$A1000,Facebook_follows_raw!$B$4:$B1000)</f>
        <v>2</v>
      </c>
      <c r="E170" s="26">
        <f t="array" ref="E170">XLOOKUP($A170,Facebook_interactions_raw!$A$4:$A1000,Facebook_interactions_raw!$B$4:$B1000)</f>
        <v>19</v>
      </c>
      <c r="F170" s="26">
        <f t="array" ref="F170">XLOOKUP($A170,Facebook_reach_raw!$A$4:$A1000,Facebook_reach_raw!$B$4:$B1000)</f>
        <v>4523</v>
      </c>
    </row>
    <row r="171">
      <c r="A171" s="28">
        <f>Facebook_reach_raw!$A173</f>
        <v>45643</v>
      </c>
      <c r="B171" s="29">
        <f>Facebook_interactions_raw!$A173</f>
        <v>45643</v>
      </c>
      <c r="C171" s="26" t="str">
        <f t="shared" si="1"/>
        <v>Facebook</v>
      </c>
      <c r="D171" s="26">
        <f t="array" ref="D171">XLOOKUP($A171,Facebook_follows_raw!$A$4:$A1000,Facebook_follows_raw!$B$4:$B1000)</f>
        <v>1</v>
      </c>
      <c r="E171" s="26">
        <f t="array" ref="E171">XLOOKUP($A171,Facebook_interactions_raw!$A$4:$A1000,Facebook_interactions_raw!$B$4:$B1000)</f>
        <v>51</v>
      </c>
      <c r="F171" s="26">
        <f t="array" ref="F171">XLOOKUP($A171,Facebook_reach_raw!$A$4:$A1000,Facebook_reach_raw!$B$4:$B1000)</f>
        <v>5134</v>
      </c>
    </row>
    <row r="172">
      <c r="A172" s="28">
        <f>Facebook_reach_raw!$A174</f>
        <v>45644</v>
      </c>
      <c r="B172" s="29">
        <f>Facebook_interactions_raw!$A174</f>
        <v>45644</v>
      </c>
      <c r="C172" s="26" t="str">
        <f t="shared" si="1"/>
        <v>Facebook</v>
      </c>
      <c r="D172" s="26">
        <f t="array" ref="D172">XLOOKUP($A172,Facebook_follows_raw!$A$4:$A1000,Facebook_follows_raw!$B$4:$B1000)</f>
        <v>1</v>
      </c>
      <c r="E172" s="26">
        <f t="array" ref="E172">XLOOKUP($A172,Facebook_interactions_raw!$A$4:$A1000,Facebook_interactions_raw!$B$4:$B1000)</f>
        <v>86</v>
      </c>
      <c r="F172" s="26">
        <f t="array" ref="F172">XLOOKUP($A172,Facebook_reach_raw!$A$4:$A1000,Facebook_reach_raw!$B$4:$B1000)</f>
        <v>4913</v>
      </c>
    </row>
    <row r="173">
      <c r="A173" s="28">
        <f>Facebook_reach_raw!$A175</f>
        <v>45645</v>
      </c>
      <c r="B173" s="29">
        <f>Facebook_interactions_raw!$A175</f>
        <v>45645</v>
      </c>
      <c r="C173" s="26" t="str">
        <f t="shared" si="1"/>
        <v>Facebook</v>
      </c>
      <c r="D173" s="26">
        <f t="array" ref="D173">XLOOKUP($A173,Facebook_follows_raw!$A$4:$A1000,Facebook_follows_raw!$B$4:$B1000)</f>
        <v>4</v>
      </c>
      <c r="E173" s="26">
        <f t="array" ref="E173">XLOOKUP($A173,Facebook_interactions_raw!$A$4:$A1000,Facebook_interactions_raw!$B$4:$B1000)</f>
        <v>30</v>
      </c>
      <c r="F173" s="26">
        <f t="array" ref="F173">XLOOKUP($A173,Facebook_reach_raw!$A$4:$A1000,Facebook_reach_raw!$B$4:$B1000)</f>
        <v>4674</v>
      </c>
    </row>
    <row r="174">
      <c r="A174" s="28">
        <f>Facebook_reach_raw!$A176</f>
        <v>45646</v>
      </c>
      <c r="B174" s="29">
        <f>Facebook_interactions_raw!$A176</f>
        <v>45646</v>
      </c>
      <c r="C174" s="26" t="str">
        <f t="shared" si="1"/>
        <v>Facebook</v>
      </c>
      <c r="D174" s="26">
        <f t="array" ref="D174">XLOOKUP($A174,Facebook_follows_raw!$A$4:$A1000,Facebook_follows_raw!$B$4:$B1000)</f>
        <v>1</v>
      </c>
      <c r="E174" s="26">
        <f t="array" ref="E174">XLOOKUP($A174,Facebook_interactions_raw!$A$4:$A1000,Facebook_interactions_raw!$B$4:$B1000)</f>
        <v>56</v>
      </c>
      <c r="F174" s="26">
        <f t="array" ref="F174">XLOOKUP($A174,Facebook_reach_raw!$A$4:$A1000,Facebook_reach_raw!$B$4:$B1000)</f>
        <v>5342</v>
      </c>
    </row>
    <row r="175">
      <c r="A175" s="28">
        <f>Facebook_reach_raw!$A177</f>
        <v>45647</v>
      </c>
      <c r="B175" s="29">
        <f>Facebook_interactions_raw!$A177</f>
        <v>45647</v>
      </c>
      <c r="C175" s="26" t="str">
        <f t="shared" si="1"/>
        <v>Facebook</v>
      </c>
      <c r="D175" s="26">
        <f t="array" ref="D175">XLOOKUP($A175,Facebook_follows_raw!$A$4:$A1000,Facebook_follows_raw!$B$4:$B1000)</f>
        <v>0</v>
      </c>
      <c r="E175" s="26">
        <f t="array" ref="E175">XLOOKUP($A175,Facebook_interactions_raw!$A$4:$A1000,Facebook_interactions_raw!$B$4:$B1000)</f>
        <v>128</v>
      </c>
      <c r="F175" s="26">
        <f t="array" ref="F175">XLOOKUP($A175,Facebook_reach_raw!$A$4:$A1000,Facebook_reach_raw!$B$4:$B1000)</f>
        <v>5833</v>
      </c>
    </row>
    <row r="176">
      <c r="A176" s="28">
        <f>Facebook_reach_raw!$A178</f>
        <v>45648</v>
      </c>
      <c r="B176" s="29">
        <f>Facebook_interactions_raw!$A178</f>
        <v>45648</v>
      </c>
      <c r="C176" s="26" t="str">
        <f t="shared" si="1"/>
        <v>Facebook</v>
      </c>
      <c r="D176" s="26">
        <f t="array" ref="D176">XLOOKUP($A176,Facebook_follows_raw!$A$4:$A1000,Facebook_follows_raw!$B$4:$B1000)</f>
        <v>1</v>
      </c>
      <c r="E176" s="26">
        <f t="array" ref="E176">XLOOKUP($A176,Facebook_interactions_raw!$A$4:$A1000,Facebook_interactions_raw!$B$4:$B1000)</f>
        <v>32</v>
      </c>
      <c r="F176" s="26">
        <f t="array" ref="F176">XLOOKUP($A176,Facebook_reach_raw!$A$4:$A1000,Facebook_reach_raw!$B$4:$B1000)</f>
        <v>6310</v>
      </c>
    </row>
    <row r="177">
      <c r="A177" s="28">
        <f>Facebook_reach_raw!$A179</f>
        <v>45649</v>
      </c>
      <c r="B177" s="29">
        <f>Facebook_interactions_raw!$A179</f>
        <v>45649</v>
      </c>
      <c r="C177" s="26" t="str">
        <f t="shared" si="1"/>
        <v>Facebook</v>
      </c>
      <c r="D177" s="26">
        <f t="array" ref="D177">XLOOKUP($A177,Facebook_follows_raw!$A$4:$A1000,Facebook_follows_raw!$B$4:$B1000)</f>
        <v>0</v>
      </c>
      <c r="E177" s="26">
        <f t="array" ref="E177">XLOOKUP($A177,Facebook_interactions_raw!$A$4:$A1000,Facebook_interactions_raw!$B$4:$B1000)</f>
        <v>31</v>
      </c>
      <c r="F177" s="26">
        <f t="array" ref="F177">XLOOKUP($A177,Facebook_reach_raw!$A$4:$A1000,Facebook_reach_raw!$B$4:$B1000)</f>
        <v>5944</v>
      </c>
    </row>
    <row r="178">
      <c r="A178" s="28">
        <f>Facebook_reach_raw!$A180</f>
        <v>45650</v>
      </c>
      <c r="B178" s="29">
        <f>Facebook_interactions_raw!$A180</f>
        <v>45650</v>
      </c>
      <c r="C178" s="26" t="str">
        <f t="shared" si="1"/>
        <v>Facebook</v>
      </c>
      <c r="D178" s="26">
        <f t="array" ref="D178">XLOOKUP($A178,Facebook_follows_raw!$A$4:$A1000,Facebook_follows_raw!$B$4:$B1000)</f>
        <v>1</v>
      </c>
      <c r="E178" s="26">
        <f t="array" ref="E178">XLOOKUP($A178,Facebook_interactions_raw!$A$4:$A1000,Facebook_interactions_raw!$B$4:$B1000)</f>
        <v>17</v>
      </c>
      <c r="F178" s="26">
        <f t="array" ref="F178">XLOOKUP($A178,Facebook_reach_raw!$A$4:$A1000,Facebook_reach_raw!$B$4:$B1000)</f>
        <v>6945</v>
      </c>
    </row>
    <row r="179">
      <c r="A179" s="28">
        <f>Facebook_reach_raw!$A181</f>
        <v>45651</v>
      </c>
      <c r="B179" s="29">
        <f>Facebook_interactions_raw!$A181</f>
        <v>45651</v>
      </c>
      <c r="C179" s="26" t="str">
        <f t="shared" si="1"/>
        <v>Facebook</v>
      </c>
      <c r="D179" s="26">
        <f t="array" ref="D179">XLOOKUP($A179,Facebook_follows_raw!$A$4:$A1000,Facebook_follows_raw!$B$4:$B1000)</f>
        <v>1</v>
      </c>
      <c r="E179" s="26">
        <f t="array" ref="E179">XLOOKUP($A179,Facebook_interactions_raw!$A$4:$A1000,Facebook_interactions_raw!$B$4:$B1000)</f>
        <v>5</v>
      </c>
      <c r="F179" s="26">
        <f t="array" ref="F179">XLOOKUP($A179,Facebook_reach_raw!$A$4:$A1000,Facebook_reach_raw!$B$4:$B1000)</f>
        <v>6548</v>
      </c>
    </row>
    <row r="180">
      <c r="A180" s="28">
        <f>Facebook_reach_raw!$A182</f>
        <v>45652</v>
      </c>
      <c r="B180" s="29">
        <f>Facebook_interactions_raw!$A182</f>
        <v>45652</v>
      </c>
      <c r="C180" s="26" t="str">
        <f t="shared" si="1"/>
        <v>Facebook</v>
      </c>
      <c r="D180" s="26">
        <f t="array" ref="D180">XLOOKUP($A180,Facebook_follows_raw!$A$4:$A1000,Facebook_follows_raw!$B$4:$B1000)</f>
        <v>2</v>
      </c>
      <c r="E180" s="26">
        <f t="array" ref="E180">XLOOKUP($A180,Facebook_interactions_raw!$A$4:$A1000,Facebook_interactions_raw!$B$4:$B1000)</f>
        <v>8</v>
      </c>
      <c r="F180" s="26">
        <f t="array" ref="F180">XLOOKUP($A180,Facebook_reach_raw!$A$4:$A1000,Facebook_reach_raw!$B$4:$B1000)</f>
        <v>6158</v>
      </c>
    </row>
    <row r="181">
      <c r="A181" s="28">
        <f>Facebook_reach_raw!$A183</f>
        <v>45653</v>
      </c>
      <c r="B181" s="29">
        <f>Facebook_interactions_raw!$A183</f>
        <v>45653</v>
      </c>
      <c r="C181" s="26" t="str">
        <f t="shared" si="1"/>
        <v>Facebook</v>
      </c>
      <c r="D181" s="26">
        <f t="array" ref="D181">XLOOKUP($A181,Facebook_follows_raw!$A$4:$A1000,Facebook_follows_raw!$B$4:$B1000)</f>
        <v>0</v>
      </c>
      <c r="E181" s="26">
        <f t="array" ref="E181">XLOOKUP($A181,Facebook_interactions_raw!$A$4:$A1000,Facebook_interactions_raw!$B$4:$B1000)</f>
        <v>2</v>
      </c>
      <c r="F181" s="26">
        <f t="array" ref="F181">XLOOKUP($A181,Facebook_reach_raw!$A$4:$A1000,Facebook_reach_raw!$B$4:$B1000)</f>
        <v>6160</v>
      </c>
    </row>
    <row r="182">
      <c r="A182" s="28">
        <f>Facebook_reach_raw!$A184</f>
        <v>45654</v>
      </c>
      <c r="B182" s="29">
        <f>Facebook_interactions_raw!$A184</f>
        <v>45654</v>
      </c>
      <c r="C182" s="26" t="str">
        <f t="shared" si="1"/>
        <v>Facebook</v>
      </c>
      <c r="D182" s="26">
        <f t="array" ref="D182">XLOOKUP($A182,Facebook_follows_raw!$A$4:$A1000,Facebook_follows_raw!$B$4:$B1000)</f>
        <v>0</v>
      </c>
      <c r="E182" s="26">
        <f t="array" ref="E182">XLOOKUP($A182,Facebook_interactions_raw!$A$4:$A1000,Facebook_interactions_raw!$B$4:$B1000)</f>
        <v>11</v>
      </c>
      <c r="F182" s="26">
        <f t="array" ref="F182">XLOOKUP($A182,Facebook_reach_raw!$A$4:$A1000,Facebook_reach_raw!$B$4:$B1000)</f>
        <v>6191</v>
      </c>
    </row>
    <row r="183">
      <c r="A183" s="28">
        <f>Facebook_reach_raw!$A185</f>
        <v>45655</v>
      </c>
      <c r="B183" s="29">
        <f>Facebook_interactions_raw!$A185</f>
        <v>45655</v>
      </c>
      <c r="C183" s="26" t="str">
        <f t="shared" si="1"/>
        <v>Facebook</v>
      </c>
      <c r="D183" s="26">
        <f t="array" ref="D183">XLOOKUP($A183,Facebook_follows_raw!$A$4:$A1000,Facebook_follows_raw!$B$4:$B1000)</f>
        <v>3</v>
      </c>
      <c r="E183" s="26">
        <f t="array" ref="E183">XLOOKUP($A183,Facebook_interactions_raw!$A$4:$A1000,Facebook_interactions_raw!$B$4:$B1000)</f>
        <v>14</v>
      </c>
      <c r="F183" s="26">
        <f t="array" ref="F183">XLOOKUP($A183,Facebook_reach_raw!$A$4:$A1000,Facebook_reach_raw!$B$4:$B1000)</f>
        <v>6363</v>
      </c>
    </row>
    <row r="184">
      <c r="A184" s="28">
        <f>Facebook_reach_raw!$A186</f>
        <v>45656</v>
      </c>
      <c r="B184" s="29">
        <f>Facebook_interactions_raw!$A186</f>
        <v>45656</v>
      </c>
      <c r="C184" s="26" t="str">
        <f t="shared" si="1"/>
        <v>Facebook</v>
      </c>
      <c r="D184" s="26">
        <f t="array" ref="D184">XLOOKUP($A184,Facebook_follows_raw!$A$4:$A1000,Facebook_follows_raw!$B$4:$B1000)</f>
        <v>2</v>
      </c>
      <c r="E184" s="26">
        <f t="array" ref="E184">XLOOKUP($A184,Facebook_interactions_raw!$A$4:$A1000,Facebook_interactions_raw!$B$4:$B1000)</f>
        <v>142</v>
      </c>
      <c r="F184" s="26">
        <f t="array" ref="F184">XLOOKUP($A184,Facebook_reach_raw!$A$4:$A1000,Facebook_reach_raw!$B$4:$B1000)</f>
        <v>7362</v>
      </c>
    </row>
    <row r="185">
      <c r="A185" s="28">
        <f>Facebook_reach_raw!$A187</f>
        <v>45657</v>
      </c>
      <c r="B185" s="29">
        <f>Facebook_interactions_raw!$A187</f>
        <v>45657</v>
      </c>
      <c r="C185" s="26" t="str">
        <f t="shared" si="1"/>
        <v>Facebook</v>
      </c>
      <c r="D185" s="26">
        <f t="array" ref="D185">XLOOKUP($A185,Facebook_follows_raw!$A$4:$A1000,Facebook_follows_raw!$B$4:$B1000)</f>
        <v>5</v>
      </c>
      <c r="E185" s="26">
        <f t="array" ref="E185">XLOOKUP($A185,Facebook_interactions_raw!$A$4:$A1000,Facebook_interactions_raw!$B$4:$B1000)</f>
        <v>244</v>
      </c>
      <c r="F185" s="26">
        <f t="array" ref="F185">XLOOKUP($A185,Facebook_reach_raw!$A$4:$A1000,Facebook_reach_raw!$B$4:$B1000)</f>
        <v>5544</v>
      </c>
    </row>
    <row r="186">
      <c r="A186" s="28">
        <f>Facebook_reach_raw!$A188</f>
        <v>45658</v>
      </c>
      <c r="B186" s="29">
        <f>Facebook_interactions_raw!$A188</f>
        <v>45658</v>
      </c>
      <c r="C186" s="26" t="str">
        <f t="shared" si="1"/>
        <v>Facebook</v>
      </c>
      <c r="D186" s="26">
        <f t="array" ref="D186">XLOOKUP($A186,Facebook_follows_raw!$A$4:$A1000,Facebook_follows_raw!$B$4:$B1000)</f>
        <v>2</v>
      </c>
      <c r="E186" s="26">
        <f t="array" ref="E186">XLOOKUP($A186,Facebook_interactions_raw!$A$4:$A1000,Facebook_interactions_raw!$B$4:$B1000)</f>
        <v>72</v>
      </c>
      <c r="F186" s="26">
        <f t="array" ref="F186">XLOOKUP($A186,Facebook_reach_raw!$A$4:$A1000,Facebook_reach_raw!$B$4:$B1000)</f>
        <v>3566</v>
      </c>
    </row>
    <row r="187">
      <c r="A187" s="28">
        <f>Facebook_reach_raw!$A189</f>
        <v>45659</v>
      </c>
      <c r="B187" s="29">
        <f>Facebook_interactions_raw!$A189</f>
        <v>45659</v>
      </c>
      <c r="C187" s="26" t="str">
        <f t="shared" si="1"/>
        <v>Facebook</v>
      </c>
      <c r="D187" s="26">
        <f t="array" ref="D187">XLOOKUP($A187,Facebook_follows_raw!$A$4:$A1000,Facebook_follows_raw!$B$4:$B1000)</f>
        <v>2</v>
      </c>
      <c r="E187" s="26">
        <f t="array" ref="E187">XLOOKUP($A187,Facebook_interactions_raw!$A$4:$A1000,Facebook_interactions_raw!$B$4:$B1000)</f>
        <v>68</v>
      </c>
      <c r="F187" s="26">
        <f t="array" ref="F187">XLOOKUP($A187,Facebook_reach_raw!$A$4:$A1000,Facebook_reach_raw!$B$4:$B1000)</f>
        <v>3418</v>
      </c>
    </row>
    <row r="188">
      <c r="A188" s="28">
        <f>Facebook_reach_raw!$A190</f>
        <v>45660</v>
      </c>
      <c r="B188" s="29">
        <f>Facebook_interactions_raw!$A190</f>
        <v>45660</v>
      </c>
      <c r="C188" s="26" t="str">
        <f t="shared" si="1"/>
        <v>Facebook</v>
      </c>
      <c r="D188" s="26">
        <f t="array" ref="D188">XLOOKUP($A188,Facebook_follows_raw!$A$4:$A1000,Facebook_follows_raw!$B$4:$B1000)</f>
        <v>2</v>
      </c>
      <c r="E188" s="26">
        <f t="array" ref="E188">XLOOKUP($A188,Facebook_interactions_raw!$A$4:$A1000,Facebook_interactions_raw!$B$4:$B1000)</f>
        <v>22</v>
      </c>
      <c r="F188" s="26">
        <f t="array" ref="F188">XLOOKUP($A188,Facebook_reach_raw!$A$4:$A1000,Facebook_reach_raw!$B$4:$B1000)</f>
        <v>2921</v>
      </c>
    </row>
    <row r="189">
      <c r="A189" s="28">
        <f>Facebook_reach_raw!$A191</f>
        <v>45661</v>
      </c>
      <c r="B189" s="29">
        <f>Facebook_interactions_raw!$A191</f>
        <v>45661</v>
      </c>
      <c r="C189" s="26" t="str">
        <f t="shared" si="1"/>
        <v>Facebook</v>
      </c>
      <c r="D189" s="26">
        <f t="array" ref="D189">XLOOKUP($A189,Facebook_follows_raw!$A$4:$A1000,Facebook_follows_raw!$B$4:$B1000)</f>
        <v>2</v>
      </c>
      <c r="E189" s="26">
        <f t="array" ref="E189">XLOOKUP($A189,Facebook_interactions_raw!$A$4:$A1000,Facebook_interactions_raw!$B$4:$B1000)</f>
        <v>26</v>
      </c>
      <c r="F189" s="26">
        <f t="array" ref="F189">XLOOKUP($A189,Facebook_reach_raw!$A$4:$A1000,Facebook_reach_raw!$B$4:$B1000)</f>
        <v>2768</v>
      </c>
    </row>
    <row r="190">
      <c r="A190" s="28">
        <f>Facebook_reach_raw!$A192</f>
        <v>45662</v>
      </c>
      <c r="B190" s="29">
        <f>Facebook_interactions_raw!$A192</f>
        <v>45662</v>
      </c>
      <c r="C190" s="26" t="str">
        <f t="shared" si="1"/>
        <v>Facebook</v>
      </c>
      <c r="D190" s="26">
        <f t="array" ref="D190">XLOOKUP($A190,Facebook_follows_raw!$A$4:$A1000,Facebook_follows_raw!$B$4:$B1000)</f>
        <v>1</v>
      </c>
      <c r="E190" s="26">
        <f t="array" ref="E190">XLOOKUP($A190,Facebook_interactions_raw!$A$4:$A1000,Facebook_interactions_raw!$B$4:$B1000)</f>
        <v>11</v>
      </c>
      <c r="F190" s="26">
        <f t="array" ref="F190">XLOOKUP($A190,Facebook_reach_raw!$A$4:$A1000,Facebook_reach_raw!$B$4:$B1000)</f>
        <v>3103</v>
      </c>
    </row>
    <row r="191">
      <c r="A191" s="28">
        <f>Facebook_reach_raw!$A193</f>
        <v>45663</v>
      </c>
      <c r="B191" s="29">
        <f>Facebook_interactions_raw!$A193</f>
        <v>45663</v>
      </c>
      <c r="C191" s="26" t="str">
        <f t="shared" si="1"/>
        <v>Facebook</v>
      </c>
      <c r="D191" s="26">
        <f t="array" ref="D191">XLOOKUP($A191,Facebook_follows_raw!$A$4:$A1000,Facebook_follows_raw!$B$4:$B1000)</f>
        <v>3</v>
      </c>
      <c r="E191" s="26">
        <f t="array" ref="E191">XLOOKUP($A191,Facebook_interactions_raw!$A$4:$A1000,Facebook_interactions_raw!$B$4:$B1000)</f>
        <v>70</v>
      </c>
      <c r="F191" s="26">
        <f t="array" ref="F191">XLOOKUP($A191,Facebook_reach_raw!$A$4:$A1000,Facebook_reach_raw!$B$4:$B1000)</f>
        <v>2674</v>
      </c>
    </row>
    <row r="192">
      <c r="A192" s="28">
        <f>Facebook_reach_raw!$A194</f>
        <v>45664</v>
      </c>
      <c r="B192" s="29">
        <f>Facebook_interactions_raw!$A194</f>
        <v>45664</v>
      </c>
      <c r="C192" s="26" t="str">
        <f t="shared" si="1"/>
        <v>Facebook</v>
      </c>
      <c r="D192" s="26">
        <f t="array" ref="D192">XLOOKUP($A192,Facebook_follows_raw!$A$4:$A1000,Facebook_follows_raw!$B$4:$B1000)</f>
        <v>4</v>
      </c>
      <c r="E192" s="26">
        <f t="array" ref="E192">XLOOKUP($A192,Facebook_interactions_raw!$A$4:$A1000,Facebook_interactions_raw!$B$4:$B1000)</f>
        <v>22</v>
      </c>
      <c r="F192" s="26">
        <f t="array" ref="F192">XLOOKUP($A192,Facebook_reach_raw!$A$4:$A1000,Facebook_reach_raw!$B$4:$B1000)</f>
        <v>1420</v>
      </c>
    </row>
    <row r="193">
      <c r="A193" s="28">
        <f>Facebook_reach_raw!$A195</f>
        <v>45665</v>
      </c>
      <c r="B193" s="29">
        <f>Facebook_interactions_raw!$A195</f>
        <v>45665</v>
      </c>
      <c r="C193" s="26" t="str">
        <f t="shared" si="1"/>
        <v>Facebook</v>
      </c>
      <c r="D193" s="26">
        <f t="array" ref="D193">XLOOKUP($A193,Facebook_follows_raw!$A$4:$A1000,Facebook_follows_raw!$B$4:$B1000)</f>
        <v>1</v>
      </c>
      <c r="E193" s="26">
        <f t="array" ref="E193">XLOOKUP($A193,Facebook_interactions_raw!$A$4:$A1000,Facebook_interactions_raw!$B$4:$B1000)</f>
        <v>8</v>
      </c>
      <c r="F193" s="26">
        <f t="array" ref="F193">XLOOKUP($A193,Facebook_reach_raw!$A$4:$A1000,Facebook_reach_raw!$B$4:$B1000)</f>
        <v>333</v>
      </c>
    </row>
    <row r="194">
      <c r="A194" s="28">
        <f>Facebook_reach_raw!$A196</f>
        <v>45666</v>
      </c>
      <c r="B194" s="29">
        <f>Facebook_interactions_raw!$A196</f>
        <v>45666</v>
      </c>
      <c r="C194" s="26" t="str">
        <f t="shared" si="1"/>
        <v>Facebook</v>
      </c>
      <c r="D194" s="26">
        <f t="array" ref="D194">XLOOKUP($A194,Facebook_follows_raw!$A$4:$A1000,Facebook_follows_raw!$B$4:$B1000)</f>
        <v>2</v>
      </c>
      <c r="E194" s="26">
        <f t="array" ref="E194">XLOOKUP($A194,Facebook_interactions_raw!$A$4:$A1000,Facebook_interactions_raw!$B$4:$B1000)</f>
        <v>46</v>
      </c>
      <c r="F194" s="26">
        <f t="array" ref="F194">XLOOKUP($A194,Facebook_reach_raw!$A$4:$A1000,Facebook_reach_raw!$B$4:$B1000)</f>
        <v>379</v>
      </c>
    </row>
    <row r="195">
      <c r="A195" s="28">
        <f>Facebook_reach_raw!$A197</f>
        <v>45667</v>
      </c>
      <c r="B195" s="29">
        <f>Facebook_interactions_raw!$A197</f>
        <v>45667</v>
      </c>
      <c r="C195" s="26" t="str">
        <f t="shared" si="1"/>
        <v>Facebook</v>
      </c>
      <c r="D195" s="26">
        <f t="array" ref="D195">XLOOKUP($A195,Facebook_follows_raw!$A$4:$A1000,Facebook_follows_raw!$B$4:$B1000)</f>
        <v>2</v>
      </c>
      <c r="E195" s="26">
        <f t="array" ref="E195">XLOOKUP($A195,Facebook_interactions_raw!$A$4:$A1000,Facebook_interactions_raw!$B$4:$B1000)</f>
        <v>36</v>
      </c>
      <c r="F195" s="26">
        <f t="array" ref="F195">XLOOKUP($A195,Facebook_reach_raw!$A$4:$A1000,Facebook_reach_raw!$B$4:$B1000)</f>
        <v>522</v>
      </c>
    </row>
    <row r="196">
      <c r="A196" s="28">
        <f>Facebook_reach_raw!$A198</f>
        <v>45668</v>
      </c>
      <c r="B196" s="29">
        <f>Facebook_interactions_raw!$A198</f>
        <v>45668</v>
      </c>
      <c r="C196" s="26" t="str">
        <f t="shared" si="1"/>
        <v>Facebook</v>
      </c>
      <c r="D196" s="26">
        <f t="array" ref="D196">XLOOKUP($A196,Facebook_follows_raw!$A$4:$A1000,Facebook_follows_raw!$B$4:$B1000)</f>
        <v>2</v>
      </c>
      <c r="E196" s="26">
        <f t="array" ref="E196">XLOOKUP($A196,Facebook_interactions_raw!$A$4:$A1000,Facebook_interactions_raw!$B$4:$B1000)</f>
        <v>12</v>
      </c>
      <c r="F196" s="26">
        <f t="array" ref="F196">XLOOKUP($A196,Facebook_reach_raw!$A$4:$A1000,Facebook_reach_raw!$B$4:$B1000)</f>
        <v>613</v>
      </c>
    </row>
    <row r="197">
      <c r="A197" s="28">
        <f>Facebook_reach_raw!$A199</f>
        <v>45669</v>
      </c>
      <c r="B197" s="29">
        <f>Facebook_interactions_raw!$A199</f>
        <v>45669</v>
      </c>
      <c r="C197" s="26" t="str">
        <f t="shared" si="1"/>
        <v>Facebook</v>
      </c>
      <c r="D197" s="26">
        <f t="array" ref="D197">XLOOKUP($A197,Facebook_follows_raw!$A$4:$A1000,Facebook_follows_raw!$B$4:$B1000)</f>
        <v>3</v>
      </c>
      <c r="E197" s="26">
        <f t="array" ref="E197">XLOOKUP($A197,Facebook_interactions_raw!$A$4:$A1000,Facebook_interactions_raw!$B$4:$B1000)</f>
        <v>13</v>
      </c>
      <c r="F197" s="26">
        <f t="array" ref="F197">XLOOKUP($A197,Facebook_reach_raw!$A$4:$A1000,Facebook_reach_raw!$B$4:$B1000)</f>
        <v>377</v>
      </c>
    </row>
    <row r="198">
      <c r="A198" s="28">
        <f>Facebook_reach_raw!$A200</f>
        <v>45670</v>
      </c>
      <c r="B198" s="29">
        <f>Facebook_interactions_raw!$A200</f>
        <v>45670</v>
      </c>
      <c r="C198" s="26" t="str">
        <f t="shared" si="1"/>
        <v>Facebook</v>
      </c>
      <c r="D198" s="26">
        <f t="array" ref="D198">XLOOKUP($A198,Facebook_follows_raw!$A$4:$A1000,Facebook_follows_raw!$B$4:$B1000)</f>
        <v>1</v>
      </c>
      <c r="E198" s="26">
        <f t="array" ref="E198">XLOOKUP($A198,Facebook_interactions_raw!$A$4:$A1000,Facebook_interactions_raw!$B$4:$B1000)</f>
        <v>15</v>
      </c>
      <c r="F198" s="26">
        <f t="array" ref="F198">XLOOKUP($A198,Facebook_reach_raw!$A$4:$A1000,Facebook_reach_raw!$B$4:$B1000)</f>
        <v>279</v>
      </c>
    </row>
    <row r="199">
      <c r="A199" s="28">
        <f>Facebook_reach_raw!$A201</f>
        <v>45671</v>
      </c>
      <c r="B199" s="29">
        <f>Facebook_interactions_raw!$A201</f>
        <v>45671</v>
      </c>
      <c r="C199" s="26" t="str">
        <f t="shared" si="1"/>
        <v>Facebook</v>
      </c>
      <c r="D199" s="26">
        <f t="array" ref="D199">XLOOKUP($A199,Facebook_follows_raw!$A$4:$A1000,Facebook_follows_raw!$B$4:$B1000)</f>
        <v>3</v>
      </c>
      <c r="E199" s="26">
        <f t="array" ref="E199">XLOOKUP($A199,Facebook_interactions_raw!$A$4:$A1000,Facebook_interactions_raw!$B$4:$B1000)</f>
        <v>18</v>
      </c>
      <c r="F199" s="26">
        <f t="array" ref="F199">XLOOKUP($A199,Facebook_reach_raw!$A$4:$A1000,Facebook_reach_raw!$B$4:$B1000)</f>
        <v>675</v>
      </c>
    </row>
    <row r="200">
      <c r="A200" s="28">
        <f>Facebook_reach_raw!$A202</f>
        <v>45672</v>
      </c>
      <c r="B200" s="29">
        <f>Facebook_interactions_raw!$A202</f>
        <v>45672</v>
      </c>
      <c r="C200" s="26" t="str">
        <f t="shared" si="1"/>
        <v>Facebook</v>
      </c>
      <c r="D200" s="26">
        <f t="array" ref="D200">XLOOKUP($A200,Facebook_follows_raw!$A$4:$A1000,Facebook_follows_raw!$B$4:$B1000)</f>
        <v>2</v>
      </c>
      <c r="E200" s="26">
        <f t="array" ref="E200">XLOOKUP($A200,Facebook_interactions_raw!$A$4:$A1000,Facebook_interactions_raw!$B$4:$B1000)</f>
        <v>20</v>
      </c>
      <c r="F200" s="26">
        <f t="array" ref="F200">XLOOKUP($A200,Facebook_reach_raw!$A$4:$A1000,Facebook_reach_raw!$B$4:$B1000)</f>
        <v>335</v>
      </c>
    </row>
    <row r="201">
      <c r="A201" s="28">
        <f>Facebook_reach_raw!$A203</f>
        <v>45673</v>
      </c>
      <c r="B201" s="29">
        <f>Facebook_interactions_raw!$A203</f>
        <v>45673</v>
      </c>
      <c r="C201" s="26" t="str">
        <f t="shared" si="1"/>
        <v>Facebook</v>
      </c>
      <c r="D201" s="26">
        <f t="array" ref="D201">XLOOKUP($A201,Facebook_follows_raw!$A$4:$A1000,Facebook_follows_raw!$B$4:$B1000)</f>
        <v>1</v>
      </c>
      <c r="E201" s="26">
        <f t="array" ref="E201">XLOOKUP($A201,Facebook_interactions_raw!$A$4:$A1000,Facebook_interactions_raw!$B$4:$B1000)</f>
        <v>67</v>
      </c>
      <c r="F201" s="26">
        <f t="array" ref="F201">XLOOKUP($A201,Facebook_reach_raw!$A$4:$A1000,Facebook_reach_raw!$B$4:$B1000)</f>
        <v>759</v>
      </c>
    </row>
    <row r="202">
      <c r="A202" s="28">
        <f>Facebook_reach_raw!$A204</f>
        <v>45674</v>
      </c>
      <c r="B202" s="29">
        <f>Facebook_interactions_raw!$A204</f>
        <v>45674</v>
      </c>
      <c r="C202" s="26" t="str">
        <f t="shared" si="1"/>
        <v>Facebook</v>
      </c>
      <c r="D202" s="26">
        <f t="array" ref="D202">XLOOKUP($A202,Facebook_follows_raw!$A$4:$A1000,Facebook_follows_raw!$B$4:$B1000)</f>
        <v>4</v>
      </c>
      <c r="E202" s="26">
        <f t="array" ref="E202">XLOOKUP($A202,Facebook_interactions_raw!$A$4:$A1000,Facebook_interactions_raw!$B$4:$B1000)</f>
        <v>34</v>
      </c>
      <c r="F202" s="26">
        <f t="array" ref="F202">XLOOKUP($A202,Facebook_reach_raw!$A$4:$A1000,Facebook_reach_raw!$B$4:$B1000)</f>
        <v>579</v>
      </c>
    </row>
    <row r="203">
      <c r="A203" s="28">
        <f>Facebook_reach_raw!$A205</f>
        <v>45675</v>
      </c>
      <c r="B203" s="29">
        <f>Facebook_interactions_raw!$A205</f>
        <v>45675</v>
      </c>
      <c r="C203" s="26" t="str">
        <f t="shared" si="1"/>
        <v>Facebook</v>
      </c>
      <c r="D203" s="26">
        <f t="array" ref="D203">XLOOKUP($A203,Facebook_follows_raw!$A$4:$A1000,Facebook_follows_raw!$B$4:$B1000)</f>
        <v>1</v>
      </c>
      <c r="E203" s="26">
        <f t="array" ref="E203">XLOOKUP($A203,Facebook_interactions_raw!$A$4:$A1000,Facebook_interactions_raw!$B$4:$B1000)</f>
        <v>12</v>
      </c>
      <c r="F203" s="26">
        <f t="array" ref="F203">XLOOKUP($A203,Facebook_reach_raw!$A$4:$A1000,Facebook_reach_raw!$B$4:$B1000)</f>
        <v>407</v>
      </c>
    </row>
    <row r="204">
      <c r="A204" s="28">
        <f>Facebook_reach_raw!$A206</f>
        <v>45676</v>
      </c>
      <c r="B204" s="29">
        <f>Facebook_interactions_raw!$A206</f>
        <v>45676</v>
      </c>
      <c r="C204" s="26" t="str">
        <f t="shared" si="1"/>
        <v>Facebook</v>
      </c>
      <c r="D204" s="26">
        <f t="array" ref="D204">XLOOKUP($A204,Facebook_follows_raw!$A$4:$A1000,Facebook_follows_raw!$B$4:$B1000)</f>
        <v>1</v>
      </c>
      <c r="E204" s="26">
        <f t="array" ref="E204">XLOOKUP($A204,Facebook_interactions_raw!$A$4:$A1000,Facebook_interactions_raw!$B$4:$B1000)</f>
        <v>10</v>
      </c>
      <c r="F204" s="26">
        <f t="array" ref="F204">XLOOKUP($A204,Facebook_reach_raw!$A$4:$A1000,Facebook_reach_raw!$B$4:$B1000)</f>
        <v>287</v>
      </c>
    </row>
    <row r="205">
      <c r="A205" s="28">
        <f>Facebook_reach_raw!$A207</f>
        <v>45677</v>
      </c>
      <c r="B205" s="29">
        <f>Facebook_interactions_raw!$A207</f>
        <v>45677</v>
      </c>
      <c r="C205" s="26" t="str">
        <f t="shared" si="1"/>
        <v>Facebook</v>
      </c>
      <c r="D205" s="26">
        <f t="array" ref="D205">XLOOKUP($A205,Facebook_follows_raw!$A$4:$A1000,Facebook_follows_raw!$B$4:$B1000)</f>
        <v>2</v>
      </c>
      <c r="E205" s="26">
        <f t="array" ref="E205">XLOOKUP($A205,Facebook_interactions_raw!$A$4:$A1000,Facebook_interactions_raw!$B$4:$B1000)</f>
        <v>9</v>
      </c>
      <c r="F205" s="26">
        <f t="array" ref="F205">XLOOKUP($A205,Facebook_reach_raw!$A$4:$A1000,Facebook_reach_raw!$B$4:$B1000)</f>
        <v>265</v>
      </c>
    </row>
    <row r="206">
      <c r="A206" s="28">
        <f>Facebook_reach_raw!$A208</f>
        <v>45678</v>
      </c>
      <c r="B206" s="29">
        <f>Facebook_interactions_raw!$A208</f>
        <v>45678</v>
      </c>
      <c r="C206" s="26" t="str">
        <f t="shared" si="1"/>
        <v>Facebook</v>
      </c>
      <c r="D206" s="26">
        <f t="array" ref="D206">XLOOKUP($A206,Facebook_follows_raw!$A$4:$A1000,Facebook_follows_raw!$B$4:$B1000)</f>
        <v>2</v>
      </c>
      <c r="E206" s="26">
        <f t="array" ref="E206">XLOOKUP($A206,Facebook_interactions_raw!$A$4:$A1000,Facebook_interactions_raw!$B$4:$B1000)</f>
        <v>31</v>
      </c>
      <c r="F206" s="26">
        <f t="array" ref="F206">XLOOKUP($A206,Facebook_reach_raw!$A$4:$A1000,Facebook_reach_raw!$B$4:$B1000)</f>
        <v>1011</v>
      </c>
    </row>
    <row r="207">
      <c r="A207" s="28">
        <f>Facebook_reach_raw!$A209</f>
        <v>45679</v>
      </c>
      <c r="B207" s="29">
        <f>Facebook_interactions_raw!$A209</f>
        <v>45679</v>
      </c>
      <c r="C207" s="26" t="str">
        <f t="shared" si="1"/>
        <v>Facebook</v>
      </c>
      <c r="D207" s="26">
        <f t="array" ref="D207">XLOOKUP($A207,Facebook_follows_raw!$A$4:$A1000,Facebook_follows_raw!$B$4:$B1000)</f>
        <v>1</v>
      </c>
      <c r="E207" s="26">
        <f t="array" ref="E207">XLOOKUP($A207,Facebook_interactions_raw!$A$4:$A1000,Facebook_interactions_raw!$B$4:$B1000)</f>
        <v>42</v>
      </c>
      <c r="F207" s="26">
        <f t="array" ref="F207">XLOOKUP($A207,Facebook_reach_raw!$A$4:$A1000,Facebook_reach_raw!$B$4:$B1000)</f>
        <v>884</v>
      </c>
    </row>
    <row r="208">
      <c r="A208" s="28">
        <f>Facebook_reach_raw!$A210</f>
        <v>45680</v>
      </c>
      <c r="B208" s="29">
        <f>Facebook_interactions_raw!$A210</f>
        <v>45680</v>
      </c>
      <c r="C208" s="26" t="str">
        <f t="shared" si="1"/>
        <v>Facebook</v>
      </c>
      <c r="D208" s="26">
        <f t="array" ref="D208">XLOOKUP($A208,Facebook_follows_raw!$A$4:$A1000,Facebook_follows_raw!$B$4:$B1000)</f>
        <v>1</v>
      </c>
      <c r="E208" s="26">
        <f t="array" ref="E208">XLOOKUP($A208,Facebook_interactions_raw!$A$4:$A1000,Facebook_interactions_raw!$B$4:$B1000)</f>
        <v>41</v>
      </c>
      <c r="F208" s="26">
        <f t="array" ref="F208">XLOOKUP($A208,Facebook_reach_raw!$A$4:$A1000,Facebook_reach_raw!$B$4:$B1000)</f>
        <v>1006</v>
      </c>
    </row>
    <row r="209">
      <c r="A209" s="28">
        <f>Facebook_reach_raw!$A211</f>
        <v>45681</v>
      </c>
      <c r="B209" s="29">
        <f>Facebook_interactions_raw!$A211</f>
        <v>45681</v>
      </c>
      <c r="C209" s="26" t="str">
        <f t="shared" si="1"/>
        <v>Facebook</v>
      </c>
      <c r="D209" s="26">
        <f t="array" ref="D209">XLOOKUP($A209,Facebook_follows_raw!$A$4:$A1000,Facebook_follows_raw!$B$4:$B1000)</f>
        <v>1</v>
      </c>
      <c r="E209" s="26">
        <f t="array" ref="E209">XLOOKUP($A209,Facebook_interactions_raw!$A$4:$A1000,Facebook_interactions_raw!$B$4:$B1000)</f>
        <v>23</v>
      </c>
      <c r="F209" s="26">
        <f t="array" ref="F209">XLOOKUP($A209,Facebook_reach_raw!$A$4:$A1000,Facebook_reach_raw!$B$4:$B1000)</f>
        <v>511</v>
      </c>
    </row>
    <row r="210">
      <c r="A210" s="28">
        <f>Facebook_reach_raw!$A212</f>
        <v>45682</v>
      </c>
      <c r="B210" s="29">
        <f>Facebook_interactions_raw!$A212</f>
        <v>45682</v>
      </c>
      <c r="C210" s="26" t="str">
        <f t="shared" si="1"/>
        <v>Facebook</v>
      </c>
      <c r="D210" s="26">
        <f t="array" ref="D210">XLOOKUP($A210,Facebook_follows_raw!$A$4:$A1000,Facebook_follows_raw!$B$4:$B1000)</f>
        <v>1</v>
      </c>
      <c r="E210" s="26">
        <f t="array" ref="E210">XLOOKUP($A210,Facebook_interactions_raw!$A$4:$A1000,Facebook_interactions_raw!$B$4:$B1000)</f>
        <v>21</v>
      </c>
      <c r="F210" s="26">
        <f t="array" ref="F210">XLOOKUP($A210,Facebook_reach_raw!$A$4:$A1000,Facebook_reach_raw!$B$4:$B1000)</f>
        <v>423</v>
      </c>
    </row>
    <row r="211">
      <c r="A211" s="28">
        <f>Facebook_reach_raw!$A213</f>
        <v>45683</v>
      </c>
      <c r="B211" s="29">
        <f>Facebook_interactions_raw!$A213</f>
        <v>45683</v>
      </c>
      <c r="C211" s="26" t="str">
        <f t="shared" si="1"/>
        <v>Facebook</v>
      </c>
      <c r="D211" s="26">
        <f t="array" ref="D211">XLOOKUP($A211,Facebook_follows_raw!$A$4:$A1000,Facebook_follows_raw!$B$4:$B1000)</f>
        <v>4</v>
      </c>
      <c r="E211" s="26">
        <f t="array" ref="E211">XLOOKUP($A211,Facebook_interactions_raw!$A$4:$A1000,Facebook_interactions_raw!$B$4:$B1000)</f>
        <v>31</v>
      </c>
      <c r="F211" s="26">
        <f t="array" ref="F211">XLOOKUP($A211,Facebook_reach_raw!$A$4:$A1000,Facebook_reach_raw!$B$4:$B1000)</f>
        <v>480</v>
      </c>
    </row>
    <row r="212">
      <c r="A212" s="28">
        <f>Facebook_reach_raw!$A214</f>
        <v>45684</v>
      </c>
      <c r="B212" s="29">
        <f>Facebook_interactions_raw!$A214</f>
        <v>45684</v>
      </c>
      <c r="C212" s="26" t="str">
        <f t="shared" si="1"/>
        <v>Facebook</v>
      </c>
      <c r="D212" s="26">
        <f t="array" ref="D212">XLOOKUP($A212,Facebook_follows_raw!$A$4:$A1000,Facebook_follows_raw!$B$4:$B1000)</f>
        <v>2</v>
      </c>
      <c r="E212" s="26">
        <f t="array" ref="E212">XLOOKUP($A212,Facebook_interactions_raw!$A$4:$A1000,Facebook_interactions_raw!$B$4:$B1000)</f>
        <v>96</v>
      </c>
      <c r="F212" s="26">
        <f t="array" ref="F212">XLOOKUP($A212,Facebook_reach_raw!$A$4:$A1000,Facebook_reach_raw!$B$4:$B1000)</f>
        <v>12695</v>
      </c>
    </row>
    <row r="213">
      <c r="A213" s="28">
        <f>Facebook_reach_raw!$A215</f>
        <v>45685</v>
      </c>
      <c r="B213" s="29">
        <f>Facebook_interactions_raw!$A215</f>
        <v>45685</v>
      </c>
      <c r="C213" s="26" t="str">
        <f t="shared" si="1"/>
        <v>Facebook</v>
      </c>
      <c r="D213" s="26">
        <f t="array" ref="D213">XLOOKUP($A213,Facebook_follows_raw!$A$4:$A1000,Facebook_follows_raw!$B$4:$B1000)</f>
        <v>1</v>
      </c>
      <c r="E213" s="26">
        <f t="array" ref="E213">XLOOKUP($A213,Facebook_interactions_raw!$A$4:$A1000,Facebook_interactions_raw!$B$4:$B1000)</f>
        <v>60</v>
      </c>
      <c r="F213" s="26">
        <f t="array" ref="F213">XLOOKUP($A213,Facebook_reach_raw!$A$4:$A1000,Facebook_reach_raw!$B$4:$B1000)</f>
        <v>9988</v>
      </c>
    </row>
    <row r="214">
      <c r="A214" s="28">
        <f>Facebook_reach_raw!$A216</f>
        <v>45686</v>
      </c>
      <c r="B214" s="29">
        <f>Facebook_interactions_raw!$A216</f>
        <v>45686</v>
      </c>
      <c r="C214" s="26" t="str">
        <f t="shared" si="1"/>
        <v>Facebook</v>
      </c>
      <c r="D214" s="26">
        <f t="array" ref="D214">XLOOKUP($A214,Facebook_follows_raw!$A$4:$A1000,Facebook_follows_raw!$B$4:$B1000)</f>
        <v>0</v>
      </c>
      <c r="E214" s="26">
        <f t="array" ref="E214">XLOOKUP($A214,Facebook_interactions_raw!$A$4:$A1000,Facebook_interactions_raw!$B$4:$B1000)</f>
        <v>40</v>
      </c>
      <c r="F214" s="26">
        <f t="array" ref="F214">XLOOKUP($A214,Facebook_reach_raw!$A$4:$A1000,Facebook_reach_raw!$B$4:$B1000)</f>
        <v>41226</v>
      </c>
    </row>
    <row r="215">
      <c r="A215" s="28">
        <f>Facebook_reach_raw!$A217</f>
        <v>45687</v>
      </c>
      <c r="B215" s="29">
        <f>Facebook_interactions_raw!$A217</f>
        <v>45687</v>
      </c>
      <c r="C215" s="26" t="str">
        <f t="shared" si="1"/>
        <v>Facebook</v>
      </c>
      <c r="D215" s="26">
        <f t="array" ref="D215">XLOOKUP($A215,Facebook_follows_raw!$A$4:$A1000,Facebook_follows_raw!$B$4:$B1000)</f>
        <v>3</v>
      </c>
      <c r="E215" s="26">
        <f t="array" ref="E215">XLOOKUP($A215,Facebook_interactions_raw!$A$4:$A1000,Facebook_interactions_raw!$B$4:$B1000)</f>
        <v>73</v>
      </c>
      <c r="F215" s="26">
        <f t="array" ref="F215">XLOOKUP($A215,Facebook_reach_raw!$A$4:$A1000,Facebook_reach_raw!$B$4:$B1000)</f>
        <v>57873</v>
      </c>
    </row>
    <row r="216">
      <c r="A216" s="28">
        <f>Facebook_reach_raw!$A218</f>
        <v>45688</v>
      </c>
      <c r="B216" s="29">
        <f>Facebook_interactions_raw!$A218</f>
        <v>45688</v>
      </c>
      <c r="C216" s="26" t="str">
        <f t="shared" si="1"/>
        <v>Facebook</v>
      </c>
      <c r="D216" s="26">
        <f t="array" ref="D216">XLOOKUP($A216,Facebook_follows_raw!$A$4:$A1000,Facebook_follows_raw!$B$4:$B1000)</f>
        <v>3</v>
      </c>
      <c r="E216" s="26">
        <f t="array" ref="E216">XLOOKUP($A216,Facebook_interactions_raw!$A$4:$A1000,Facebook_interactions_raw!$B$4:$B1000)</f>
        <v>72</v>
      </c>
      <c r="F216" s="26">
        <f t="array" ref="F216">XLOOKUP($A216,Facebook_reach_raw!$A$4:$A1000,Facebook_reach_raw!$B$4:$B1000)</f>
        <v>62803</v>
      </c>
    </row>
    <row r="217">
      <c r="A217" s="28">
        <f>Facebook_reach_raw!$A219</f>
        <v>45689</v>
      </c>
      <c r="B217" s="29">
        <f>Facebook_interactions_raw!$A219</f>
        <v>45689</v>
      </c>
      <c r="C217" s="26" t="str">
        <f t="shared" si="1"/>
        <v>Facebook</v>
      </c>
      <c r="D217" s="26">
        <f t="array" ref="D217">XLOOKUP($A217,Facebook_follows_raw!$A$4:$A1000,Facebook_follows_raw!$B$4:$B1000)</f>
        <v>0</v>
      </c>
      <c r="E217" s="26">
        <f t="array" ref="E217">XLOOKUP($A217,Facebook_interactions_raw!$A$4:$A1000,Facebook_interactions_raw!$B$4:$B1000)</f>
        <v>50</v>
      </c>
      <c r="F217" s="26">
        <f t="array" ref="F217">XLOOKUP($A217,Facebook_reach_raw!$A$4:$A1000,Facebook_reach_raw!$B$4:$B1000)</f>
        <v>82337</v>
      </c>
    </row>
    <row r="218">
      <c r="A218" s="28">
        <f>Facebook_reach_raw!$A220</f>
        <v>45690</v>
      </c>
      <c r="B218" s="29">
        <f>Facebook_interactions_raw!$A220</f>
        <v>45690</v>
      </c>
      <c r="C218" s="26" t="str">
        <f t="shared" si="1"/>
        <v>Facebook</v>
      </c>
      <c r="D218" s="26">
        <f t="array" ref="D218">XLOOKUP($A218,Facebook_follows_raw!$A$4:$A1000,Facebook_follows_raw!$B$4:$B1000)</f>
        <v>3</v>
      </c>
      <c r="E218" s="26">
        <f t="array" ref="E218">XLOOKUP($A218,Facebook_interactions_raw!$A$4:$A1000,Facebook_interactions_raw!$B$4:$B1000)</f>
        <v>34</v>
      </c>
      <c r="F218" s="26">
        <f t="array" ref="F218">XLOOKUP($A218,Facebook_reach_raw!$A$4:$A1000,Facebook_reach_raw!$B$4:$B1000)</f>
        <v>92740</v>
      </c>
    </row>
    <row r="219">
      <c r="A219" s="28">
        <f>Facebook_reach_raw!$A221</f>
        <v>45691</v>
      </c>
      <c r="B219" s="29">
        <f>Facebook_interactions_raw!$A221</f>
        <v>45691</v>
      </c>
      <c r="C219" s="26" t="str">
        <f t="shared" si="1"/>
        <v>Facebook</v>
      </c>
      <c r="D219" s="26">
        <f t="array" ref="D219">XLOOKUP($A219,Facebook_follows_raw!$A$4:$A1000,Facebook_follows_raw!$B$4:$B1000)</f>
        <v>0</v>
      </c>
      <c r="E219" s="26">
        <f t="array" ref="E219">XLOOKUP($A219,Facebook_interactions_raw!$A$4:$A1000,Facebook_interactions_raw!$B$4:$B1000)</f>
        <v>52</v>
      </c>
      <c r="F219" s="26">
        <f t="array" ref="F219">XLOOKUP($A219,Facebook_reach_raw!$A$4:$A1000,Facebook_reach_raw!$B$4:$B1000)</f>
        <v>33876</v>
      </c>
    </row>
    <row r="220">
      <c r="A220" s="28">
        <f>Facebook_reach_raw!$A222</f>
        <v>45692</v>
      </c>
      <c r="B220" s="29">
        <f>Facebook_interactions_raw!$A222</f>
        <v>45692</v>
      </c>
      <c r="C220" s="26" t="str">
        <f t="shared" si="1"/>
        <v>Facebook</v>
      </c>
      <c r="D220" s="26">
        <f t="array" ref="D220">XLOOKUP($A220,Facebook_follows_raw!$A$4:$A1000,Facebook_follows_raw!$B$4:$B1000)</f>
        <v>3</v>
      </c>
      <c r="E220" s="26">
        <f t="array" ref="E220">XLOOKUP($A220,Facebook_interactions_raw!$A$4:$A1000,Facebook_interactions_raw!$B$4:$B1000)</f>
        <v>147</v>
      </c>
      <c r="F220" s="26">
        <f t="array" ref="F220">XLOOKUP($A220,Facebook_reach_raw!$A$4:$A1000,Facebook_reach_raw!$B$4:$B1000)</f>
        <v>1505</v>
      </c>
    </row>
    <row r="221">
      <c r="A221" s="28">
        <f>Facebook_reach_raw!$A223</f>
        <v>45693</v>
      </c>
      <c r="B221" s="29">
        <f>Facebook_interactions_raw!$A223</f>
        <v>45693</v>
      </c>
      <c r="C221" s="26" t="str">
        <f t="shared" si="1"/>
        <v>Facebook</v>
      </c>
      <c r="D221" s="26">
        <f t="array" ref="D221">XLOOKUP($A221,Facebook_follows_raw!$A$4:$A1000,Facebook_follows_raw!$B$4:$B1000)</f>
        <v>2</v>
      </c>
      <c r="E221" s="26">
        <f t="array" ref="E221">XLOOKUP($A221,Facebook_interactions_raw!$A$4:$A1000,Facebook_interactions_raw!$B$4:$B1000)</f>
        <v>208</v>
      </c>
      <c r="F221" s="26">
        <f t="array" ref="F221">XLOOKUP($A221,Facebook_reach_raw!$A$4:$A1000,Facebook_reach_raw!$B$4:$B1000)</f>
        <v>1925</v>
      </c>
    </row>
    <row r="222">
      <c r="A222" s="28">
        <f>Facebook_reach_raw!$A224</f>
        <v>45694</v>
      </c>
      <c r="B222" s="29">
        <f>Facebook_interactions_raw!$A224</f>
        <v>45694</v>
      </c>
      <c r="C222" s="26" t="str">
        <f t="shared" si="1"/>
        <v>Facebook</v>
      </c>
      <c r="D222" s="26">
        <f t="array" ref="D222">XLOOKUP($A222,Facebook_follows_raw!$A$4:$A1000,Facebook_follows_raw!$B$4:$B1000)</f>
        <v>6</v>
      </c>
      <c r="E222" s="26">
        <f t="array" ref="E222">XLOOKUP($A222,Facebook_interactions_raw!$A$4:$A1000,Facebook_interactions_raw!$B$4:$B1000)</f>
        <v>198</v>
      </c>
      <c r="F222" s="26">
        <f t="array" ref="F222">XLOOKUP($A222,Facebook_reach_raw!$A$4:$A1000,Facebook_reach_raw!$B$4:$B1000)</f>
        <v>1867</v>
      </c>
    </row>
    <row r="223">
      <c r="A223" s="28">
        <f>Facebook_reach_raw!$A225</f>
        <v>45695</v>
      </c>
      <c r="B223" s="29">
        <f>Facebook_interactions_raw!$A225</f>
        <v>45695</v>
      </c>
      <c r="C223" s="26" t="str">
        <f t="shared" si="1"/>
        <v>Facebook</v>
      </c>
      <c r="D223" s="26">
        <f t="array" ref="D223">XLOOKUP($A223,Facebook_follows_raw!$A$4:$A1000,Facebook_follows_raw!$B$4:$B1000)</f>
        <v>2</v>
      </c>
      <c r="E223" s="26">
        <f t="array" ref="E223">XLOOKUP($A223,Facebook_interactions_raw!$A$4:$A1000,Facebook_interactions_raw!$B$4:$B1000)</f>
        <v>98</v>
      </c>
      <c r="F223" s="26">
        <f t="array" ref="F223">XLOOKUP($A223,Facebook_reach_raw!$A$4:$A1000,Facebook_reach_raw!$B$4:$B1000)</f>
        <v>1184</v>
      </c>
    </row>
    <row r="224">
      <c r="A224" s="28">
        <f>Facebook_reach_raw!$A226</f>
        <v>45696</v>
      </c>
      <c r="B224" s="29">
        <f>Facebook_interactions_raw!$A226</f>
        <v>45696</v>
      </c>
      <c r="C224" s="26" t="str">
        <f t="shared" si="1"/>
        <v>Facebook</v>
      </c>
      <c r="D224" s="26">
        <f t="array" ref="D224">XLOOKUP($A224,Facebook_follows_raw!$A$4:$A1000,Facebook_follows_raw!$B$4:$B1000)</f>
        <v>5</v>
      </c>
      <c r="E224" s="26">
        <f t="array" ref="E224">XLOOKUP($A224,Facebook_interactions_raw!$A$4:$A1000,Facebook_interactions_raw!$B$4:$B1000)</f>
        <v>103</v>
      </c>
      <c r="F224" s="26">
        <f t="array" ref="F224">XLOOKUP($A224,Facebook_reach_raw!$A$4:$A1000,Facebook_reach_raw!$B$4:$B1000)</f>
        <v>1301</v>
      </c>
    </row>
    <row r="225">
      <c r="A225" s="28">
        <f>Facebook_reach_raw!$A227</f>
        <v>45697</v>
      </c>
      <c r="B225" s="29">
        <f>Facebook_interactions_raw!$A227</f>
        <v>45697</v>
      </c>
      <c r="C225" s="26" t="str">
        <f t="shared" si="1"/>
        <v>Facebook</v>
      </c>
      <c r="D225" s="26">
        <f t="array" ref="D225">XLOOKUP($A225,Facebook_follows_raw!$A$4:$A1000,Facebook_follows_raw!$B$4:$B1000)</f>
        <v>2</v>
      </c>
      <c r="E225" s="26">
        <f t="array" ref="E225">XLOOKUP($A225,Facebook_interactions_raw!$A$4:$A1000,Facebook_interactions_raw!$B$4:$B1000)</f>
        <v>47</v>
      </c>
      <c r="F225" s="26">
        <f t="array" ref="F225">XLOOKUP($A225,Facebook_reach_raw!$A$4:$A1000,Facebook_reach_raw!$B$4:$B1000)</f>
        <v>1074</v>
      </c>
    </row>
    <row r="226">
      <c r="A226" s="28">
        <f>Facebook_reach_raw!$A228</f>
        <v>45698</v>
      </c>
      <c r="B226" s="29">
        <f>Facebook_interactions_raw!$A228</f>
        <v>45698</v>
      </c>
      <c r="C226" s="26" t="str">
        <f t="shared" si="1"/>
        <v>Facebook</v>
      </c>
      <c r="D226" s="26">
        <f t="array" ref="D226">XLOOKUP($A226,Facebook_follows_raw!$A$4:$A1000,Facebook_follows_raw!$B$4:$B1000)</f>
        <v>4</v>
      </c>
      <c r="E226" s="26">
        <f t="array" ref="E226">XLOOKUP($A226,Facebook_interactions_raw!$A$4:$A1000,Facebook_interactions_raw!$B$4:$B1000)</f>
        <v>60</v>
      </c>
      <c r="F226" s="26">
        <f t="array" ref="F226">XLOOKUP($A226,Facebook_reach_raw!$A$4:$A1000,Facebook_reach_raw!$B$4:$B1000)</f>
        <v>12859</v>
      </c>
    </row>
    <row r="227">
      <c r="A227" s="28">
        <f>Facebook_reach_raw!$A229</f>
        <v>45699</v>
      </c>
      <c r="B227" s="29">
        <f>Facebook_interactions_raw!$A229</f>
        <v>45699</v>
      </c>
      <c r="C227" s="26" t="str">
        <f t="shared" si="1"/>
        <v>Facebook</v>
      </c>
      <c r="D227" s="26">
        <f t="array" ref="D227">XLOOKUP($A227,Facebook_follows_raw!$A$4:$A1000,Facebook_follows_raw!$B$4:$B1000)</f>
        <v>2</v>
      </c>
      <c r="E227" s="26">
        <f t="array" ref="E227">XLOOKUP($A227,Facebook_interactions_raw!$A$4:$A1000,Facebook_interactions_raw!$B$4:$B1000)</f>
        <v>72</v>
      </c>
      <c r="F227" s="26">
        <f t="array" ref="F227">XLOOKUP($A227,Facebook_reach_raw!$A$4:$A1000,Facebook_reach_raw!$B$4:$B1000)</f>
        <v>14272</v>
      </c>
    </row>
    <row r="228">
      <c r="A228" s="28">
        <f>Facebook_reach_raw!$A230</f>
        <v>45700</v>
      </c>
      <c r="B228" s="29">
        <f>Facebook_interactions_raw!$A230</f>
        <v>45700</v>
      </c>
      <c r="C228" s="26" t="str">
        <f t="shared" si="1"/>
        <v>Facebook</v>
      </c>
      <c r="D228" s="26">
        <f t="array" ref="D228">XLOOKUP($A228,Facebook_follows_raw!$A$4:$A1000,Facebook_follows_raw!$B$4:$B1000)</f>
        <v>3</v>
      </c>
      <c r="E228" s="26">
        <f t="array" ref="E228">XLOOKUP($A228,Facebook_interactions_raw!$A$4:$A1000,Facebook_interactions_raw!$B$4:$B1000)</f>
        <v>50</v>
      </c>
      <c r="F228" s="26">
        <f t="array" ref="F228">XLOOKUP($A228,Facebook_reach_raw!$A$4:$A1000,Facebook_reach_raw!$B$4:$B1000)</f>
        <v>14985</v>
      </c>
    </row>
    <row r="229">
      <c r="A229" s="28">
        <f>Facebook_reach_raw!$A231</f>
        <v>45701</v>
      </c>
      <c r="B229" s="29">
        <f>Facebook_interactions_raw!$A231</f>
        <v>45701</v>
      </c>
      <c r="C229" s="26" t="str">
        <f t="shared" si="1"/>
        <v>Facebook</v>
      </c>
      <c r="D229" s="26">
        <f t="array" ref="D229">XLOOKUP($A229,Facebook_follows_raw!$A$4:$A1000,Facebook_follows_raw!$B$4:$B1000)</f>
        <v>3</v>
      </c>
      <c r="E229" s="26">
        <f t="array" ref="E229">XLOOKUP($A229,Facebook_interactions_raw!$A$4:$A1000,Facebook_interactions_raw!$B$4:$B1000)</f>
        <v>75</v>
      </c>
      <c r="F229" s="26">
        <f t="array" ref="F229">XLOOKUP($A229,Facebook_reach_raw!$A$4:$A1000,Facebook_reach_raw!$B$4:$B1000)</f>
        <v>17703</v>
      </c>
    </row>
    <row r="230">
      <c r="A230" s="28">
        <f>Facebook_reach_raw!$A232</f>
        <v>45702</v>
      </c>
      <c r="B230" s="29">
        <f>Facebook_interactions_raw!$A232</f>
        <v>45702</v>
      </c>
      <c r="C230" s="26" t="str">
        <f t="shared" si="1"/>
        <v>Facebook</v>
      </c>
      <c r="D230" s="26">
        <f t="array" ref="D230">XLOOKUP($A230,Facebook_follows_raw!$A$4:$A1000,Facebook_follows_raw!$B$4:$B1000)</f>
        <v>7</v>
      </c>
      <c r="E230" s="26">
        <f t="array" ref="E230">XLOOKUP($A230,Facebook_interactions_raw!$A$4:$A1000,Facebook_interactions_raw!$B$4:$B1000)</f>
        <v>51</v>
      </c>
      <c r="F230" s="26">
        <f t="array" ref="F230">XLOOKUP($A230,Facebook_reach_raw!$A$4:$A1000,Facebook_reach_raw!$B$4:$B1000)</f>
        <v>16594</v>
      </c>
    </row>
    <row r="231">
      <c r="A231" s="28">
        <f>Facebook_reach_raw!$A233</f>
        <v>45703</v>
      </c>
      <c r="B231" s="29">
        <f>Facebook_interactions_raw!$A233</f>
        <v>45703</v>
      </c>
      <c r="C231" s="26" t="str">
        <f t="shared" si="1"/>
        <v>Facebook</v>
      </c>
      <c r="D231" s="26">
        <f t="array" ref="D231">XLOOKUP($A231,Facebook_follows_raw!$A$4:$A1000,Facebook_follows_raw!$B$4:$B1000)</f>
        <v>10</v>
      </c>
      <c r="E231" s="26">
        <f t="array" ref="E231">XLOOKUP($A231,Facebook_interactions_raw!$A$4:$A1000,Facebook_interactions_raw!$B$4:$B1000)</f>
        <v>42</v>
      </c>
      <c r="F231" s="26">
        <f t="array" ref="F231">XLOOKUP($A231,Facebook_reach_raw!$A$4:$A1000,Facebook_reach_raw!$B$4:$B1000)</f>
        <v>17895</v>
      </c>
    </row>
    <row r="232">
      <c r="A232" s="28">
        <f>Facebook_reach_raw!$A234</f>
        <v>45704</v>
      </c>
      <c r="B232" s="29">
        <f>Facebook_interactions_raw!$A234</f>
        <v>45704</v>
      </c>
      <c r="C232" s="26" t="str">
        <f t="shared" si="1"/>
        <v>Facebook</v>
      </c>
      <c r="D232" s="26">
        <f t="array" ref="D232">XLOOKUP($A232,Facebook_follows_raw!$A$4:$A1000,Facebook_follows_raw!$B$4:$B1000)</f>
        <v>1</v>
      </c>
      <c r="E232" s="26">
        <f t="array" ref="E232">XLOOKUP($A232,Facebook_interactions_raw!$A$4:$A1000,Facebook_interactions_raw!$B$4:$B1000)</f>
        <v>85</v>
      </c>
      <c r="F232" s="26">
        <f t="array" ref="F232">XLOOKUP($A232,Facebook_reach_raw!$A$4:$A1000,Facebook_reach_raw!$B$4:$B1000)</f>
        <v>25409</v>
      </c>
    </row>
    <row r="233">
      <c r="A233" s="28">
        <f>Facebook_reach_raw!$A235</f>
        <v>45705</v>
      </c>
      <c r="B233" s="29">
        <f>Facebook_interactions_raw!$A235</f>
        <v>45705</v>
      </c>
      <c r="C233" s="26" t="str">
        <f t="shared" si="1"/>
        <v>Facebook</v>
      </c>
      <c r="D233" s="26">
        <f t="array" ref="D233">XLOOKUP($A233,Facebook_follows_raw!$A$4:$A1000,Facebook_follows_raw!$B$4:$B1000)</f>
        <v>4</v>
      </c>
      <c r="E233" s="26">
        <f t="array" ref="E233">XLOOKUP($A233,Facebook_interactions_raw!$A$4:$A1000,Facebook_interactions_raw!$B$4:$B1000)</f>
        <v>42</v>
      </c>
      <c r="F233" s="26">
        <f t="array" ref="F233">XLOOKUP($A233,Facebook_reach_raw!$A$4:$A1000,Facebook_reach_raw!$B$4:$B1000)</f>
        <v>29039</v>
      </c>
    </row>
    <row r="234">
      <c r="A234" s="28">
        <f>Facebook_reach_raw!$A236</f>
        <v>45706</v>
      </c>
      <c r="B234" s="29">
        <f>Facebook_interactions_raw!$A236</f>
        <v>45706</v>
      </c>
      <c r="C234" s="26" t="str">
        <f t="shared" si="1"/>
        <v>Facebook</v>
      </c>
      <c r="D234" s="26">
        <f t="array" ref="D234">XLOOKUP($A234,Facebook_follows_raw!$A$4:$A1000,Facebook_follows_raw!$B$4:$B1000)</f>
        <v>3</v>
      </c>
      <c r="E234" s="26">
        <f t="array" ref="E234">XLOOKUP($A234,Facebook_interactions_raw!$A$4:$A1000,Facebook_interactions_raw!$B$4:$B1000)</f>
        <v>34</v>
      </c>
      <c r="F234" s="26">
        <f t="array" ref="F234">XLOOKUP($A234,Facebook_reach_raw!$A$4:$A1000,Facebook_reach_raw!$B$4:$B1000)</f>
        <v>26411</v>
      </c>
    </row>
    <row r="235">
      <c r="A235" s="28">
        <f>Facebook_reach_raw!$A237</f>
        <v>45707</v>
      </c>
      <c r="B235" s="29">
        <f>Facebook_interactions_raw!$A237</f>
        <v>45707</v>
      </c>
      <c r="C235" s="26" t="str">
        <f t="shared" si="1"/>
        <v>Facebook</v>
      </c>
      <c r="D235" s="26">
        <f t="array" ref="D235">XLOOKUP($A235,Facebook_follows_raw!$A$4:$A1000,Facebook_follows_raw!$B$4:$B1000)</f>
        <v>5</v>
      </c>
      <c r="E235" s="26">
        <f t="array" ref="E235">XLOOKUP($A235,Facebook_interactions_raw!$A$4:$A1000,Facebook_interactions_raw!$B$4:$B1000)</f>
        <v>63</v>
      </c>
      <c r="F235" s="26">
        <f t="array" ref="F235">XLOOKUP($A235,Facebook_reach_raw!$A$4:$A1000,Facebook_reach_raw!$B$4:$B1000)</f>
        <v>25605</v>
      </c>
    </row>
    <row r="236">
      <c r="A236" s="28">
        <f>Facebook_reach_raw!$A238</f>
        <v>45708</v>
      </c>
      <c r="B236" s="29">
        <f>Facebook_interactions_raw!$A238</f>
        <v>45708</v>
      </c>
      <c r="C236" s="26" t="str">
        <f t="shared" si="1"/>
        <v>Facebook</v>
      </c>
      <c r="D236" s="26">
        <f t="array" ref="D236">XLOOKUP($A236,Facebook_follows_raw!$A$4:$A1000,Facebook_follows_raw!$B$4:$B1000)</f>
        <v>1</v>
      </c>
      <c r="E236" s="26">
        <f t="array" ref="E236">XLOOKUP($A236,Facebook_interactions_raw!$A$4:$A1000,Facebook_interactions_raw!$B$4:$B1000)</f>
        <v>47</v>
      </c>
      <c r="F236" s="26">
        <f t="array" ref="F236">XLOOKUP($A236,Facebook_reach_raw!$A$4:$A1000,Facebook_reach_raw!$B$4:$B1000)</f>
        <v>26041</v>
      </c>
    </row>
    <row r="237">
      <c r="A237" s="28">
        <f>Facebook_reach_raw!$A239</f>
        <v>45709</v>
      </c>
      <c r="B237" s="29">
        <f>Facebook_interactions_raw!$A239</f>
        <v>45709</v>
      </c>
      <c r="C237" s="26" t="str">
        <f t="shared" si="1"/>
        <v>Facebook</v>
      </c>
      <c r="D237" s="26">
        <f t="array" ref="D237">XLOOKUP($A237,Facebook_follows_raw!$A$4:$A1000,Facebook_follows_raw!$B$4:$B1000)</f>
        <v>1</v>
      </c>
      <c r="E237" s="26">
        <f t="array" ref="E237">XLOOKUP($A237,Facebook_interactions_raw!$A$4:$A1000,Facebook_interactions_raw!$B$4:$B1000)</f>
        <v>38</v>
      </c>
      <c r="F237" s="26">
        <f t="array" ref="F237">XLOOKUP($A237,Facebook_reach_raw!$A$4:$A1000,Facebook_reach_raw!$B$4:$B1000)</f>
        <v>28366</v>
      </c>
    </row>
    <row r="238">
      <c r="A238" s="28">
        <f>Facebook_reach_raw!$A240</f>
        <v>45710</v>
      </c>
      <c r="B238" s="29">
        <f>Facebook_interactions_raw!$A240</f>
        <v>45710</v>
      </c>
      <c r="C238" s="26" t="str">
        <f t="shared" si="1"/>
        <v>Facebook</v>
      </c>
      <c r="D238" s="26">
        <f t="array" ref="D238">XLOOKUP($A238,Facebook_follows_raw!$A$4:$A1000,Facebook_follows_raw!$B$4:$B1000)</f>
        <v>2</v>
      </c>
      <c r="E238" s="26">
        <f t="array" ref="E238">XLOOKUP($A238,Facebook_interactions_raw!$A$4:$A1000,Facebook_interactions_raw!$B$4:$B1000)</f>
        <v>34</v>
      </c>
      <c r="F238" s="26">
        <f t="array" ref="F238">XLOOKUP($A238,Facebook_reach_raw!$A$4:$A1000,Facebook_reach_raw!$B$4:$B1000)</f>
        <v>27041</v>
      </c>
    </row>
    <row r="239">
      <c r="A239" s="28">
        <f>Facebook_reach_raw!$A241</f>
        <v>45711</v>
      </c>
      <c r="B239" s="29">
        <f>Facebook_interactions_raw!$A241</f>
        <v>45711</v>
      </c>
      <c r="C239" s="26" t="str">
        <f t="shared" si="1"/>
        <v>Facebook</v>
      </c>
      <c r="D239" s="26">
        <f t="array" ref="D239">XLOOKUP($A239,Facebook_follows_raw!$A$4:$A1000,Facebook_follows_raw!$B$4:$B1000)</f>
        <v>2</v>
      </c>
      <c r="E239" s="26">
        <f t="array" ref="E239">XLOOKUP($A239,Facebook_interactions_raw!$A$4:$A1000,Facebook_interactions_raw!$B$4:$B1000)</f>
        <v>19</v>
      </c>
      <c r="F239" s="26">
        <f t="array" ref="F239">XLOOKUP($A239,Facebook_reach_raw!$A$4:$A1000,Facebook_reach_raw!$B$4:$B1000)</f>
        <v>28732</v>
      </c>
    </row>
    <row r="240">
      <c r="A240" s="28">
        <f>Facebook_reach_raw!$A242</f>
        <v>45712</v>
      </c>
      <c r="B240" s="29">
        <f>Facebook_interactions_raw!$A242</f>
        <v>45712</v>
      </c>
      <c r="C240" s="26" t="str">
        <f t="shared" si="1"/>
        <v>Facebook</v>
      </c>
      <c r="D240" s="26">
        <f t="array" ref="D240">XLOOKUP($A240,Facebook_follows_raw!$A$4:$A1000,Facebook_follows_raw!$B$4:$B1000)</f>
        <v>4</v>
      </c>
      <c r="E240" s="26">
        <f t="array" ref="E240">XLOOKUP($A240,Facebook_interactions_raw!$A$4:$A1000,Facebook_interactions_raw!$B$4:$B1000)</f>
        <v>121</v>
      </c>
      <c r="F240" s="26">
        <f t="array" ref="F240">XLOOKUP($A240,Facebook_reach_raw!$A$4:$A1000,Facebook_reach_raw!$B$4:$B1000)</f>
        <v>26989</v>
      </c>
    </row>
    <row r="241">
      <c r="A241" s="28">
        <f>Facebook_reach_raw!$A243</f>
        <v>45713</v>
      </c>
      <c r="B241" s="29">
        <f>Facebook_interactions_raw!$A243</f>
        <v>45713</v>
      </c>
      <c r="C241" s="26" t="str">
        <f t="shared" si="1"/>
        <v>Facebook</v>
      </c>
      <c r="D241" s="26">
        <f t="array" ref="D241">XLOOKUP($A241,Facebook_follows_raw!$A$4:$A1000,Facebook_follows_raw!$B$4:$B1000)</f>
        <v>5</v>
      </c>
      <c r="E241" s="26">
        <f t="array" ref="E241">XLOOKUP($A241,Facebook_interactions_raw!$A$4:$A1000,Facebook_interactions_raw!$B$4:$B1000)</f>
        <v>79</v>
      </c>
      <c r="F241" s="26">
        <f t="array" ref="F241">XLOOKUP($A241,Facebook_reach_raw!$A$4:$A1000,Facebook_reach_raw!$B$4:$B1000)</f>
        <v>27975</v>
      </c>
    </row>
    <row r="242">
      <c r="A242" s="28">
        <f>Facebook_reach_raw!$A244</f>
        <v>45714</v>
      </c>
      <c r="B242" s="29">
        <f>Facebook_interactions_raw!$A244</f>
        <v>45714</v>
      </c>
      <c r="C242" s="26" t="str">
        <f t="shared" si="1"/>
        <v>Facebook</v>
      </c>
      <c r="D242" s="26">
        <f t="array" ref="D242">XLOOKUP($A242,Facebook_follows_raw!$A$4:$A1000,Facebook_follows_raw!$B$4:$B1000)</f>
        <v>7</v>
      </c>
      <c r="E242" s="26">
        <f t="array" ref="E242">XLOOKUP($A242,Facebook_interactions_raw!$A$4:$A1000,Facebook_interactions_raw!$B$4:$B1000)</f>
        <v>78</v>
      </c>
      <c r="F242" s="26">
        <f t="array" ref="F242">XLOOKUP($A242,Facebook_reach_raw!$A$4:$A1000,Facebook_reach_raw!$B$4:$B1000)</f>
        <v>23156</v>
      </c>
    </row>
    <row r="243">
      <c r="A243" s="28">
        <f>Facebook_reach_raw!$A245</f>
        <v>45715</v>
      </c>
      <c r="B243" s="29">
        <f>Facebook_interactions_raw!$A245</f>
        <v>45715</v>
      </c>
      <c r="C243" s="26" t="str">
        <f t="shared" si="1"/>
        <v>Facebook</v>
      </c>
      <c r="D243" s="26">
        <f t="array" ref="D243">XLOOKUP($A243,Facebook_follows_raw!$A$4:$A1000,Facebook_follows_raw!$B$4:$B1000)</f>
        <v>4</v>
      </c>
      <c r="E243" s="26">
        <f t="array" ref="E243">XLOOKUP($A243,Facebook_interactions_raw!$A$4:$A1000,Facebook_interactions_raw!$B$4:$B1000)</f>
        <v>45</v>
      </c>
      <c r="F243" s="26">
        <f t="array" ref="F243">XLOOKUP($A243,Facebook_reach_raw!$A$4:$A1000,Facebook_reach_raw!$B$4:$B1000)</f>
        <v>22952</v>
      </c>
    </row>
    <row r="244">
      <c r="A244" s="28">
        <f>Facebook_reach_raw!$A246</f>
        <v>45716</v>
      </c>
      <c r="B244" s="29">
        <f>Facebook_interactions_raw!$A246</f>
        <v>45716</v>
      </c>
      <c r="C244" s="26" t="str">
        <f t="shared" si="1"/>
        <v>Facebook</v>
      </c>
      <c r="D244" s="26">
        <f t="array" ref="D244">XLOOKUP($A244,Facebook_follows_raw!$A$4:$A1000,Facebook_follows_raw!$B$4:$B1000)</f>
        <v>5</v>
      </c>
      <c r="E244" s="26">
        <f t="array" ref="E244">XLOOKUP($A244,Facebook_interactions_raw!$A$4:$A1000,Facebook_interactions_raw!$B$4:$B1000)</f>
        <v>79</v>
      </c>
      <c r="F244" s="26">
        <f t="array" ref="F244">XLOOKUP($A244,Facebook_reach_raw!$A$4:$A1000,Facebook_reach_raw!$B$4:$B1000)</f>
        <v>22866</v>
      </c>
    </row>
    <row r="245">
      <c r="A245" s="28">
        <f>Facebook_reach_raw!$A247</f>
        <v>45717</v>
      </c>
      <c r="B245" s="29">
        <f>Facebook_interactions_raw!$A247</f>
        <v>45717</v>
      </c>
      <c r="C245" s="26" t="str">
        <f t="shared" si="1"/>
        <v>Facebook</v>
      </c>
      <c r="D245" s="26">
        <f t="array" ref="D245">XLOOKUP($A245,Facebook_follows_raw!$A$4:$A1000,Facebook_follows_raw!$B$4:$B1000)</f>
        <v>4</v>
      </c>
      <c r="E245" s="26">
        <f t="array" ref="E245">XLOOKUP($A245,Facebook_interactions_raw!$A$4:$A1000,Facebook_interactions_raw!$B$4:$B1000)</f>
        <v>120</v>
      </c>
      <c r="F245" s="26">
        <f t="array" ref="F245">XLOOKUP($A245,Facebook_reach_raw!$A$4:$A1000,Facebook_reach_raw!$B$4:$B1000)</f>
        <v>2363</v>
      </c>
    </row>
    <row r="246">
      <c r="A246" s="28">
        <f>Facebook_reach_raw!$A248</f>
        <v>45718</v>
      </c>
      <c r="B246" s="29">
        <f>Facebook_interactions_raw!$A248</f>
        <v>45718</v>
      </c>
      <c r="C246" s="26" t="str">
        <f t="shared" si="1"/>
        <v>Facebook</v>
      </c>
      <c r="D246" s="26">
        <f t="array" ref="D246">XLOOKUP($A246,Facebook_follows_raw!$A$4:$A1000,Facebook_follows_raw!$B$4:$B1000)</f>
        <v>2</v>
      </c>
      <c r="E246" s="26">
        <f t="array" ref="E246">XLOOKUP($A246,Facebook_interactions_raw!$A$4:$A1000,Facebook_interactions_raw!$B$4:$B1000)</f>
        <v>96</v>
      </c>
      <c r="F246" s="26">
        <f t="array" ref="F246">XLOOKUP($A246,Facebook_reach_raw!$A$4:$A1000,Facebook_reach_raw!$B$4:$B1000)</f>
        <v>1995</v>
      </c>
    </row>
    <row r="247">
      <c r="A247" s="28">
        <f>Facebook_reach_raw!$A249</f>
        <v>45719</v>
      </c>
      <c r="B247" s="29">
        <f>Facebook_interactions_raw!$A249</f>
        <v>45719</v>
      </c>
      <c r="C247" s="26" t="str">
        <f t="shared" si="1"/>
        <v>Facebook</v>
      </c>
      <c r="D247" s="26">
        <f t="array" ref="D247">XLOOKUP($A247,Facebook_follows_raw!$A$4:$A1000,Facebook_follows_raw!$B$4:$B1000)</f>
        <v>2</v>
      </c>
      <c r="E247" s="26">
        <f t="array" ref="E247">XLOOKUP($A247,Facebook_interactions_raw!$A$4:$A1000,Facebook_interactions_raw!$B$4:$B1000)</f>
        <v>112</v>
      </c>
      <c r="F247" s="26">
        <f t="array" ref="F247">XLOOKUP($A247,Facebook_reach_raw!$A$4:$A1000,Facebook_reach_raw!$B$4:$B1000)</f>
        <v>1912</v>
      </c>
    </row>
    <row r="248">
      <c r="A248" s="28">
        <f>Facebook_reach_raw!$A250</f>
        <v>45720</v>
      </c>
      <c r="B248" s="29">
        <f>Facebook_interactions_raw!$A250</f>
        <v>45720</v>
      </c>
      <c r="C248" s="26" t="str">
        <f t="shared" si="1"/>
        <v>Facebook</v>
      </c>
      <c r="D248" s="26">
        <f t="array" ref="D248">XLOOKUP($A248,Facebook_follows_raw!$A$4:$A1000,Facebook_follows_raw!$B$4:$B1000)</f>
        <v>2</v>
      </c>
      <c r="E248" s="26">
        <f t="array" ref="E248">XLOOKUP($A248,Facebook_interactions_raw!$A$4:$A1000,Facebook_interactions_raw!$B$4:$B1000)</f>
        <v>110</v>
      </c>
      <c r="F248" s="26">
        <f t="array" ref="F248">XLOOKUP($A248,Facebook_reach_raw!$A$4:$A1000,Facebook_reach_raw!$B$4:$B1000)</f>
        <v>1756</v>
      </c>
    </row>
    <row r="249">
      <c r="A249" s="28">
        <f>Facebook_reach_raw!$A251</f>
        <v>45721</v>
      </c>
      <c r="B249" s="29">
        <f>Facebook_interactions_raw!$A251</f>
        <v>45721</v>
      </c>
      <c r="C249" s="26" t="str">
        <f t="shared" si="1"/>
        <v>Facebook</v>
      </c>
      <c r="D249" s="26">
        <f t="array" ref="D249">XLOOKUP($A249,Facebook_follows_raw!$A$4:$A1000,Facebook_follows_raw!$B$4:$B1000)</f>
        <v>5</v>
      </c>
      <c r="E249" s="26">
        <f t="array" ref="E249">XLOOKUP($A249,Facebook_interactions_raw!$A$4:$A1000,Facebook_interactions_raw!$B$4:$B1000)</f>
        <v>52</v>
      </c>
      <c r="F249" s="26">
        <f t="array" ref="F249">XLOOKUP($A249,Facebook_reach_raw!$A$4:$A1000,Facebook_reach_raw!$B$4:$B1000)</f>
        <v>1184</v>
      </c>
    </row>
    <row r="250">
      <c r="A250" s="28">
        <f>Facebook_reach_raw!$A252</f>
        <v>45722</v>
      </c>
      <c r="B250" s="29">
        <f>Facebook_interactions_raw!$A252</f>
        <v>45722</v>
      </c>
      <c r="C250" s="26" t="str">
        <f t="shared" si="1"/>
        <v>Facebook</v>
      </c>
      <c r="D250" s="26">
        <f t="array" ref="D250">XLOOKUP($A250,Facebook_follows_raw!$A$4:$A1000,Facebook_follows_raw!$B$4:$B1000)</f>
        <v>6</v>
      </c>
      <c r="E250" s="26">
        <f t="array" ref="E250">XLOOKUP($A250,Facebook_interactions_raw!$A$4:$A1000,Facebook_interactions_raw!$B$4:$B1000)</f>
        <v>111</v>
      </c>
      <c r="F250" s="26">
        <f t="array" ref="F250">XLOOKUP($A250,Facebook_reach_raw!$A$4:$A1000,Facebook_reach_raw!$B$4:$B1000)</f>
        <v>4061</v>
      </c>
    </row>
    <row r="251">
      <c r="A251" s="28">
        <f>Facebook_reach_raw!$A253</f>
        <v>45723</v>
      </c>
      <c r="B251" s="29">
        <f>Facebook_interactions_raw!$A253</f>
        <v>45723</v>
      </c>
      <c r="C251" s="26" t="str">
        <f t="shared" si="1"/>
        <v>Facebook</v>
      </c>
      <c r="D251" s="26">
        <f t="array" ref="D251">XLOOKUP($A251,Facebook_follows_raw!$A$4:$A1000,Facebook_follows_raw!$B$4:$B1000)</f>
        <v>5</v>
      </c>
      <c r="E251" s="26">
        <f t="array" ref="E251">XLOOKUP($A251,Facebook_interactions_raw!$A$4:$A1000,Facebook_interactions_raw!$B$4:$B1000)</f>
        <v>71</v>
      </c>
      <c r="F251" s="26">
        <f t="array" ref="F251">XLOOKUP($A251,Facebook_reach_raw!$A$4:$A1000,Facebook_reach_raw!$B$4:$B1000)</f>
        <v>8924</v>
      </c>
    </row>
    <row r="252">
      <c r="A252" s="28">
        <f>Facebook_reach_raw!$A254</f>
        <v>45724</v>
      </c>
      <c r="B252" s="29">
        <f>Facebook_interactions_raw!$A254</f>
        <v>45724</v>
      </c>
      <c r="C252" s="26" t="str">
        <f t="shared" si="1"/>
        <v>Facebook</v>
      </c>
      <c r="D252" s="26">
        <f t="array" ref="D252">XLOOKUP($A252,Facebook_follows_raw!$A$4:$A1000,Facebook_follows_raw!$B$4:$B1000)</f>
        <v>3</v>
      </c>
      <c r="E252" s="26">
        <f t="array" ref="E252">XLOOKUP($A252,Facebook_interactions_raw!$A$4:$A1000,Facebook_interactions_raw!$B$4:$B1000)</f>
        <v>46</v>
      </c>
      <c r="F252" s="26">
        <f t="array" ref="F252">XLOOKUP($A252,Facebook_reach_raw!$A$4:$A1000,Facebook_reach_raw!$B$4:$B1000)</f>
        <v>5655</v>
      </c>
    </row>
    <row r="253">
      <c r="A253" s="28">
        <f>Facebook_reach_raw!$A255</f>
        <v>45725</v>
      </c>
      <c r="B253" s="29">
        <f>Facebook_interactions_raw!$A255</f>
        <v>45725</v>
      </c>
      <c r="C253" s="26" t="str">
        <f t="shared" si="1"/>
        <v>Facebook</v>
      </c>
      <c r="D253" s="26">
        <f t="array" ref="D253">XLOOKUP($A253,Facebook_follows_raw!$A$4:$A1000,Facebook_follows_raw!$B$4:$B1000)</f>
        <v>4</v>
      </c>
      <c r="E253" s="26">
        <f t="array" ref="E253">XLOOKUP($A253,Facebook_interactions_raw!$A$4:$A1000,Facebook_interactions_raw!$B$4:$B1000)</f>
        <v>16</v>
      </c>
      <c r="F253" s="26">
        <f t="array" ref="F253">XLOOKUP($A253,Facebook_reach_raw!$A$4:$A1000,Facebook_reach_raw!$B$4:$B1000)</f>
        <v>5157</v>
      </c>
    </row>
    <row r="254">
      <c r="A254" s="28">
        <f>Facebook_reach_raw!$A256</f>
        <v>45726</v>
      </c>
      <c r="B254" s="29">
        <f>Facebook_interactions_raw!$A256</f>
        <v>45726</v>
      </c>
      <c r="C254" s="26" t="str">
        <f t="shared" si="1"/>
        <v>Facebook</v>
      </c>
      <c r="D254" s="26">
        <f t="array" ref="D254">XLOOKUP($A254,Facebook_follows_raw!$A$4:$A1000,Facebook_follows_raw!$B$4:$B1000)</f>
        <v>3</v>
      </c>
      <c r="E254" s="26">
        <f t="array" ref="E254">XLOOKUP($A254,Facebook_interactions_raw!$A$4:$A1000,Facebook_interactions_raw!$B$4:$B1000)</f>
        <v>125</v>
      </c>
      <c r="F254" s="26">
        <f t="array" ref="F254">XLOOKUP($A254,Facebook_reach_raw!$A$4:$A1000,Facebook_reach_raw!$B$4:$B1000)</f>
        <v>6508</v>
      </c>
    </row>
    <row r="255">
      <c r="A255" s="28">
        <f>Facebook_reach_raw!$A257</f>
        <v>45727</v>
      </c>
      <c r="B255" s="29">
        <f>Facebook_interactions_raw!$A257</f>
        <v>45727</v>
      </c>
      <c r="C255" s="26" t="str">
        <f t="shared" si="1"/>
        <v>Facebook</v>
      </c>
      <c r="D255" s="26">
        <f t="array" ref="D255">XLOOKUP($A255,Facebook_follows_raw!$A$4:$A1000,Facebook_follows_raw!$B$4:$B1000)</f>
        <v>4</v>
      </c>
      <c r="E255" s="26">
        <f t="array" ref="E255">XLOOKUP($A255,Facebook_interactions_raw!$A$4:$A1000,Facebook_interactions_raw!$B$4:$B1000)</f>
        <v>50</v>
      </c>
      <c r="F255" s="26">
        <f t="array" ref="F255">XLOOKUP($A255,Facebook_reach_raw!$A$4:$A1000,Facebook_reach_raw!$B$4:$B1000)</f>
        <v>5145</v>
      </c>
    </row>
    <row r="256">
      <c r="A256" s="28">
        <f>Facebook_reach_raw!$A258</f>
        <v>45728</v>
      </c>
      <c r="B256" s="29">
        <f>Facebook_interactions_raw!$A258</f>
        <v>45728</v>
      </c>
      <c r="C256" s="26" t="str">
        <f t="shared" si="1"/>
        <v>Facebook</v>
      </c>
      <c r="D256" s="26">
        <f t="array" ref="D256">XLOOKUP($A256,Facebook_follows_raw!$A$4:$A1000,Facebook_follows_raw!$B$4:$B1000)</f>
        <v>1</v>
      </c>
      <c r="E256" s="26">
        <f t="array" ref="E256">XLOOKUP($A256,Facebook_interactions_raw!$A$4:$A1000,Facebook_interactions_raw!$B$4:$B1000)</f>
        <v>40</v>
      </c>
      <c r="F256" s="26">
        <f t="array" ref="F256">XLOOKUP($A256,Facebook_reach_raw!$A$4:$A1000,Facebook_reach_raw!$B$4:$B1000)</f>
        <v>4283</v>
      </c>
    </row>
    <row r="257">
      <c r="A257" s="28">
        <f>Facebook_reach_raw!$A259</f>
        <v>45729</v>
      </c>
      <c r="B257" s="29">
        <f>Facebook_interactions_raw!$A259</f>
        <v>45729</v>
      </c>
      <c r="C257" s="26" t="str">
        <f t="shared" si="1"/>
        <v>Facebook</v>
      </c>
      <c r="D257" s="26">
        <f t="array" ref="D257">XLOOKUP($A257,Facebook_follows_raw!$A$4:$A1000,Facebook_follows_raw!$B$4:$B1000)</f>
        <v>6</v>
      </c>
      <c r="E257" s="26">
        <f t="array" ref="E257">XLOOKUP($A257,Facebook_interactions_raw!$A$4:$A1000,Facebook_interactions_raw!$B$4:$B1000)</f>
        <v>41</v>
      </c>
      <c r="F257" s="26">
        <f t="array" ref="F257">XLOOKUP($A257,Facebook_reach_raw!$A$4:$A1000,Facebook_reach_raw!$B$4:$B1000)</f>
        <v>4569</v>
      </c>
    </row>
    <row r="258">
      <c r="A258" s="28">
        <f>Facebook_reach_raw!$A260</f>
        <v>45730</v>
      </c>
      <c r="B258" s="29">
        <f>Facebook_interactions_raw!$A260</f>
        <v>45730</v>
      </c>
      <c r="C258" s="26" t="str">
        <f t="shared" si="1"/>
        <v>Facebook</v>
      </c>
      <c r="D258" s="26">
        <f t="array" ref="D258">XLOOKUP($A258,Facebook_follows_raw!$A$4:$A1000,Facebook_follows_raw!$B$4:$B1000)</f>
        <v>1</v>
      </c>
      <c r="E258" s="26">
        <f t="array" ref="E258">XLOOKUP($A258,Facebook_interactions_raw!$A$4:$A1000,Facebook_interactions_raw!$B$4:$B1000)</f>
        <v>72</v>
      </c>
      <c r="F258" s="26">
        <f t="array" ref="F258">XLOOKUP($A258,Facebook_reach_raw!$A$4:$A1000,Facebook_reach_raw!$B$4:$B1000)</f>
        <v>5248</v>
      </c>
    </row>
    <row r="259">
      <c r="A259" s="28">
        <f>Facebook_reach_raw!$A261</f>
        <v>45731</v>
      </c>
      <c r="B259" s="29">
        <f>Facebook_interactions_raw!$A261</f>
        <v>45731</v>
      </c>
      <c r="C259" s="26" t="str">
        <f t="shared" si="1"/>
        <v>Facebook</v>
      </c>
      <c r="D259" s="26">
        <f t="array" ref="D259">XLOOKUP($A259,Facebook_follows_raw!$A$4:$A1000,Facebook_follows_raw!$B$4:$B1000)</f>
        <v>6</v>
      </c>
      <c r="E259" s="26">
        <f t="array" ref="E259">XLOOKUP($A259,Facebook_interactions_raw!$A$4:$A1000,Facebook_interactions_raw!$B$4:$B1000)</f>
        <v>63</v>
      </c>
      <c r="F259" s="26">
        <f t="array" ref="F259">XLOOKUP($A259,Facebook_reach_raw!$A$4:$A1000,Facebook_reach_raw!$B$4:$B1000)</f>
        <v>5408</v>
      </c>
    </row>
    <row r="260">
      <c r="A260" s="28">
        <f>Facebook_reach_raw!$A262</f>
        <v>45732</v>
      </c>
      <c r="B260" s="29">
        <f>Facebook_interactions_raw!$A262</f>
        <v>45732</v>
      </c>
      <c r="C260" s="26" t="str">
        <f t="shared" si="1"/>
        <v>Facebook</v>
      </c>
      <c r="D260" s="26">
        <f t="array" ref="D260">XLOOKUP($A260,Facebook_follows_raw!$A$4:$A1000,Facebook_follows_raw!$B$4:$B1000)</f>
        <v>2</v>
      </c>
      <c r="E260" s="26">
        <f t="array" ref="E260">XLOOKUP($A260,Facebook_interactions_raw!$A$4:$A1000,Facebook_interactions_raw!$B$4:$B1000)</f>
        <v>115</v>
      </c>
      <c r="F260" s="26">
        <f t="array" ref="F260">XLOOKUP($A260,Facebook_reach_raw!$A$4:$A1000,Facebook_reach_raw!$B$4:$B1000)</f>
        <v>6021</v>
      </c>
    </row>
    <row r="261">
      <c r="A261" s="28">
        <f>Facebook_reach_raw!$A263</f>
        <v>45733</v>
      </c>
      <c r="B261" s="29">
        <f>Facebook_interactions_raw!$A263</f>
        <v>45733</v>
      </c>
      <c r="C261" s="26" t="str">
        <f t="shared" si="1"/>
        <v>Facebook</v>
      </c>
      <c r="D261" s="26">
        <f t="array" ref="D261">XLOOKUP($A261,Facebook_follows_raw!$A$4:$A1000,Facebook_follows_raw!$B$4:$B1000)</f>
        <v>4</v>
      </c>
      <c r="E261" s="26">
        <f t="array" ref="E261">XLOOKUP($A261,Facebook_interactions_raw!$A$4:$A1000,Facebook_interactions_raw!$B$4:$B1000)</f>
        <v>84</v>
      </c>
      <c r="F261" s="26">
        <f t="array" ref="F261">XLOOKUP($A261,Facebook_reach_raw!$A$4:$A1000,Facebook_reach_raw!$B$4:$B1000)</f>
        <v>8122</v>
      </c>
    </row>
    <row r="262">
      <c r="A262" s="28">
        <f>Facebook_reach_raw!$A264</f>
        <v>45734</v>
      </c>
      <c r="B262" s="29">
        <f>Facebook_interactions_raw!$A264</f>
        <v>45734</v>
      </c>
      <c r="C262" s="26" t="str">
        <f t="shared" si="1"/>
        <v>Facebook</v>
      </c>
      <c r="D262" s="26">
        <f t="array" ref="D262">XLOOKUP($A262,Facebook_follows_raw!$A$4:$A1000,Facebook_follows_raw!$B$4:$B1000)</f>
        <v>2</v>
      </c>
      <c r="E262" s="26">
        <f t="array" ref="E262">XLOOKUP($A262,Facebook_interactions_raw!$A$4:$A1000,Facebook_interactions_raw!$B$4:$B1000)</f>
        <v>55</v>
      </c>
      <c r="F262" s="26">
        <f t="array" ref="F262">XLOOKUP($A262,Facebook_reach_raw!$A$4:$A1000,Facebook_reach_raw!$B$4:$B1000)</f>
        <v>6738</v>
      </c>
    </row>
    <row r="263">
      <c r="A263" s="28">
        <f>Facebook_reach_raw!$A265</f>
        <v>45735</v>
      </c>
      <c r="B263" s="29">
        <f>Facebook_interactions_raw!$A265</f>
        <v>45735</v>
      </c>
      <c r="C263" s="26" t="str">
        <f t="shared" si="1"/>
        <v>Facebook</v>
      </c>
      <c r="D263" s="26">
        <f t="array" ref="D263">XLOOKUP($A263,Facebook_follows_raw!$A$4:$A1000,Facebook_follows_raw!$B$4:$B1000)</f>
        <v>2</v>
      </c>
      <c r="E263" s="26">
        <f t="array" ref="E263">XLOOKUP($A263,Facebook_interactions_raw!$A$4:$A1000,Facebook_interactions_raw!$B$4:$B1000)</f>
        <v>59</v>
      </c>
      <c r="F263" s="26">
        <f t="array" ref="F263">XLOOKUP($A263,Facebook_reach_raw!$A$4:$A1000,Facebook_reach_raw!$B$4:$B1000)</f>
        <v>7691</v>
      </c>
    </row>
    <row r="264">
      <c r="A264" s="28">
        <f>Facebook_reach_raw!$A266</f>
        <v>45736</v>
      </c>
      <c r="B264" s="29">
        <f>Facebook_interactions_raw!$A266</f>
        <v>45736</v>
      </c>
      <c r="C264" s="26" t="str">
        <f t="shared" si="1"/>
        <v>Facebook</v>
      </c>
      <c r="D264" s="26">
        <f t="array" ref="D264">XLOOKUP($A264,Facebook_follows_raw!$A$4:$A1000,Facebook_follows_raw!$B$4:$B1000)</f>
        <v>1</v>
      </c>
      <c r="E264" s="26">
        <f t="array" ref="E264">XLOOKUP($A264,Facebook_interactions_raw!$A$4:$A1000,Facebook_interactions_raw!$B$4:$B1000)</f>
        <v>179</v>
      </c>
      <c r="F264" s="26">
        <f t="array" ref="F264">XLOOKUP($A264,Facebook_reach_raw!$A$4:$A1000,Facebook_reach_raw!$B$4:$B1000)</f>
        <v>9510</v>
      </c>
    </row>
    <row r="265">
      <c r="A265" s="28">
        <f>Facebook_reach_raw!$A267</f>
        <v>45737</v>
      </c>
      <c r="B265" s="29">
        <f>Facebook_interactions_raw!$A267</f>
        <v>45737</v>
      </c>
      <c r="C265" s="26" t="str">
        <f t="shared" si="1"/>
        <v>Facebook</v>
      </c>
      <c r="D265" s="26">
        <f t="array" ref="D265">XLOOKUP($A265,Facebook_follows_raw!$A$4:$A1000,Facebook_follows_raw!$B$4:$B1000)</f>
        <v>3</v>
      </c>
      <c r="E265" s="26">
        <f t="array" ref="E265">XLOOKUP($A265,Facebook_interactions_raw!$A$4:$A1000,Facebook_interactions_raw!$B$4:$B1000)</f>
        <v>125</v>
      </c>
      <c r="F265" s="26">
        <f t="array" ref="F265">XLOOKUP($A265,Facebook_reach_raw!$A$4:$A1000,Facebook_reach_raw!$B$4:$B1000)</f>
        <v>8415</v>
      </c>
    </row>
    <row r="266">
      <c r="A266" s="28">
        <f>Facebook_reach_raw!$A268</f>
        <v>45738</v>
      </c>
      <c r="B266" s="29">
        <f>Facebook_interactions_raw!$A268</f>
        <v>45738</v>
      </c>
      <c r="C266" s="26" t="str">
        <f t="shared" si="1"/>
        <v>Facebook</v>
      </c>
      <c r="D266" s="26">
        <f t="array" ref="D266">XLOOKUP($A266,Facebook_follows_raw!$A$4:$A1000,Facebook_follows_raw!$B$4:$B1000)</f>
        <v>5</v>
      </c>
      <c r="E266" s="26">
        <f t="array" ref="E266">XLOOKUP($A266,Facebook_interactions_raw!$A$4:$A1000,Facebook_interactions_raw!$B$4:$B1000)</f>
        <v>55</v>
      </c>
      <c r="F266" s="26">
        <f t="array" ref="F266">XLOOKUP($A266,Facebook_reach_raw!$A$4:$A1000,Facebook_reach_raw!$B$4:$B1000)</f>
        <v>1335</v>
      </c>
    </row>
    <row r="267">
      <c r="A267" s="28">
        <f>Facebook_reach_raw!$A269</f>
        <v>45739</v>
      </c>
      <c r="B267" s="29">
        <f>Facebook_interactions_raw!$A269</f>
        <v>45739</v>
      </c>
      <c r="C267" s="26" t="str">
        <f t="shared" si="1"/>
        <v>Facebook</v>
      </c>
      <c r="D267" s="26">
        <f t="array" ref="D267">XLOOKUP($A267,Facebook_follows_raw!$A$4:$A1000,Facebook_follows_raw!$B$4:$B1000)</f>
        <v>5</v>
      </c>
      <c r="E267" s="26">
        <f t="array" ref="E267">XLOOKUP($A267,Facebook_interactions_raw!$A$4:$A1000,Facebook_interactions_raw!$B$4:$B1000)</f>
        <v>45</v>
      </c>
      <c r="F267" s="26">
        <f t="array" ref="F267">XLOOKUP($A267,Facebook_reach_raw!$A$4:$A1000,Facebook_reach_raw!$B$4:$B1000)</f>
        <v>1155</v>
      </c>
    </row>
    <row r="268">
      <c r="A268" s="28">
        <f>Facebook_reach_raw!$A270</f>
        <v>45740</v>
      </c>
      <c r="B268" s="29">
        <f>Facebook_interactions_raw!$A270</f>
        <v>45740</v>
      </c>
      <c r="C268" s="26" t="str">
        <f t="shared" si="1"/>
        <v>Facebook</v>
      </c>
      <c r="D268" s="26">
        <f t="array" ref="D268">XLOOKUP($A268,Facebook_follows_raw!$A$4:$A1000,Facebook_follows_raw!$B$4:$B1000)</f>
        <v>1</v>
      </c>
      <c r="E268" s="26">
        <f t="array" ref="E268">XLOOKUP($A268,Facebook_interactions_raw!$A$4:$A1000,Facebook_interactions_raw!$B$4:$B1000)</f>
        <v>95</v>
      </c>
      <c r="F268" s="26">
        <f t="array" ref="F268">XLOOKUP($A268,Facebook_reach_raw!$A$4:$A1000,Facebook_reach_raw!$B$4:$B1000)</f>
        <v>13335</v>
      </c>
    </row>
    <row r="269">
      <c r="A269" s="28">
        <f>Facebook_reach_raw!$A271</f>
        <v>45741</v>
      </c>
      <c r="B269" s="29">
        <f>Facebook_interactions_raw!$A271</f>
        <v>45741</v>
      </c>
      <c r="C269" s="26" t="str">
        <f t="shared" si="1"/>
        <v>Facebook</v>
      </c>
      <c r="D269" s="26">
        <f t="array" ref="D269">XLOOKUP($A269,Facebook_follows_raw!$A$4:$A1000,Facebook_follows_raw!$B$4:$B1000)</f>
        <v>4</v>
      </c>
      <c r="E269" s="26">
        <f t="array" ref="E269">XLOOKUP($A269,Facebook_interactions_raw!$A$4:$A1000,Facebook_interactions_raw!$B$4:$B1000)</f>
        <v>394</v>
      </c>
      <c r="F269" s="26">
        <f t="array" ref="F269">XLOOKUP($A269,Facebook_reach_raw!$A$4:$A1000,Facebook_reach_raw!$B$4:$B1000)</f>
        <v>28991</v>
      </c>
    </row>
    <row r="270">
      <c r="A270" s="28">
        <f>Facebook_reach_raw!$A272</f>
        <v>45742</v>
      </c>
      <c r="B270" s="29">
        <f>Facebook_interactions_raw!$A272</f>
        <v>45742</v>
      </c>
      <c r="C270" s="26" t="str">
        <f t="shared" si="1"/>
        <v>Facebook</v>
      </c>
      <c r="D270" s="26">
        <f t="array" ref="D270">XLOOKUP($A270,Facebook_follows_raw!$A$4:$A1000,Facebook_follows_raw!$B$4:$B1000)</f>
        <v>2</v>
      </c>
      <c r="E270" s="26">
        <f t="array" ref="E270">XLOOKUP($A270,Facebook_interactions_raw!$A$4:$A1000,Facebook_interactions_raw!$B$4:$B1000)</f>
        <v>355</v>
      </c>
      <c r="F270" s="26">
        <f t="array" ref="F270">XLOOKUP($A270,Facebook_reach_raw!$A$4:$A1000,Facebook_reach_raw!$B$4:$B1000)</f>
        <v>20512</v>
      </c>
    </row>
    <row r="271">
      <c r="A271" s="28">
        <f>Facebook_reach_raw!$A273</f>
        <v>45743</v>
      </c>
      <c r="B271" s="29">
        <f>Facebook_interactions_raw!$A273</f>
        <v>45743</v>
      </c>
      <c r="C271" s="26" t="str">
        <f t="shared" si="1"/>
        <v>Facebook</v>
      </c>
      <c r="D271" s="26">
        <f t="array" ref="D271">XLOOKUP($A271,Facebook_follows_raw!$A$4:$A1000,Facebook_follows_raw!$B$4:$B1000)</f>
        <v>5</v>
      </c>
      <c r="E271" s="26">
        <f t="array" ref="E271">XLOOKUP($A271,Facebook_interactions_raw!$A$4:$A1000,Facebook_interactions_raw!$B$4:$B1000)</f>
        <v>174</v>
      </c>
      <c r="F271" s="26">
        <f t="array" ref="F271">XLOOKUP($A271,Facebook_reach_raw!$A$4:$A1000,Facebook_reach_raw!$B$4:$B1000)</f>
        <v>1998</v>
      </c>
    </row>
    <row r="272">
      <c r="A272" s="28">
        <f>Facebook_reach_raw!$A274</f>
        <v>45744</v>
      </c>
      <c r="B272" s="29">
        <f>Facebook_interactions_raw!$A274</f>
        <v>45744</v>
      </c>
      <c r="C272" s="26" t="str">
        <f t="shared" si="1"/>
        <v>Facebook</v>
      </c>
      <c r="D272" s="26">
        <f t="array" ref="D272">XLOOKUP($A272,Facebook_follows_raw!$A$4:$A1000,Facebook_follows_raw!$B$4:$B1000)</f>
        <v>6</v>
      </c>
      <c r="E272" s="26">
        <f t="array" ref="E272">XLOOKUP($A272,Facebook_interactions_raw!$A$4:$A1000,Facebook_interactions_raw!$B$4:$B1000)</f>
        <v>206</v>
      </c>
      <c r="F272" s="26">
        <f t="array" ref="F272">XLOOKUP($A272,Facebook_reach_raw!$A$4:$A1000,Facebook_reach_raw!$B$4:$B1000)</f>
        <v>1801</v>
      </c>
    </row>
    <row r="273">
      <c r="A273" s="28">
        <f>Facebook_reach_raw!$A275</f>
        <v>45745</v>
      </c>
      <c r="B273" s="29">
        <f>Facebook_interactions_raw!$A275</f>
        <v>45745</v>
      </c>
      <c r="C273" s="26" t="str">
        <f t="shared" si="1"/>
        <v>Facebook</v>
      </c>
      <c r="D273" s="26">
        <f t="array" ref="D273">XLOOKUP($A273,Facebook_follows_raw!$A$4:$A1000,Facebook_follows_raw!$B$4:$B1000)</f>
        <v>3</v>
      </c>
      <c r="E273" s="26">
        <f t="array" ref="E273">XLOOKUP($A273,Facebook_interactions_raw!$A$4:$A1000,Facebook_interactions_raw!$B$4:$B1000)</f>
        <v>73</v>
      </c>
      <c r="F273" s="26">
        <f t="array" ref="F273">XLOOKUP($A273,Facebook_reach_raw!$A$4:$A1000,Facebook_reach_raw!$B$4:$B1000)</f>
        <v>1242</v>
      </c>
    </row>
    <row r="274">
      <c r="A274" s="28">
        <f>Facebook_reach_raw!$A276</f>
        <v>45746</v>
      </c>
      <c r="B274" s="29">
        <f>Facebook_interactions_raw!$A276</f>
        <v>45746</v>
      </c>
      <c r="C274" s="26" t="str">
        <f t="shared" si="1"/>
        <v>Facebook</v>
      </c>
      <c r="D274" s="26">
        <f t="array" ref="D274">XLOOKUP($A274,Facebook_follows_raw!$A$4:$A1000,Facebook_follows_raw!$B$4:$B1000)</f>
        <v>4</v>
      </c>
      <c r="E274" s="26">
        <f t="array" ref="E274">XLOOKUP($A274,Facebook_interactions_raw!$A$4:$A1000,Facebook_interactions_raw!$B$4:$B1000)</f>
        <v>49</v>
      </c>
      <c r="F274" s="26">
        <f t="array" ref="F274">XLOOKUP($A274,Facebook_reach_raw!$A$4:$A1000,Facebook_reach_raw!$B$4:$B1000)</f>
        <v>870</v>
      </c>
    </row>
    <row r="275">
      <c r="A275" s="28">
        <f>Facebook_reach_raw!$A277</f>
        <v>45747</v>
      </c>
      <c r="B275" s="29">
        <f>Facebook_interactions_raw!$A277</f>
        <v>45747</v>
      </c>
      <c r="C275" s="26" t="str">
        <f t="shared" si="1"/>
        <v>Facebook</v>
      </c>
      <c r="D275" s="26">
        <f t="array" ref="D275">XLOOKUP($A275,Facebook_follows_raw!$A$4:$A1000,Facebook_follows_raw!$B$4:$B1000)</f>
        <v>1</v>
      </c>
      <c r="E275" s="26">
        <f t="array" ref="E275">XLOOKUP($A275,Facebook_interactions_raw!$A$4:$A1000,Facebook_interactions_raw!$B$4:$B1000)</f>
        <v>17</v>
      </c>
      <c r="F275" s="26">
        <f t="array" ref="F275">XLOOKUP($A275,Facebook_reach_raw!$A$4:$A1000,Facebook_reach_raw!$B$4:$B1000)</f>
        <v>767</v>
      </c>
    </row>
    <row r="276">
      <c r="A276" s="28">
        <f>Facebook_reach_raw!$A278</f>
        <v>45748</v>
      </c>
      <c r="B276" s="29">
        <f>Facebook_interactions_raw!$A278</f>
        <v>45748</v>
      </c>
      <c r="C276" s="26" t="str">
        <f t="shared" si="1"/>
        <v>Facebook</v>
      </c>
      <c r="D276" s="26">
        <f t="array" ref="D276">XLOOKUP($A276,Facebook_follows_raw!$A$4:$A1000,Facebook_follows_raw!$B$4:$B1000)</f>
        <v>2</v>
      </c>
      <c r="E276" s="26">
        <f t="array" ref="E276">XLOOKUP($A276,Facebook_interactions_raw!$A$4:$A1000,Facebook_interactions_raw!$B$4:$B1000)</f>
        <v>36</v>
      </c>
      <c r="F276" s="26">
        <f t="array" ref="F276">XLOOKUP($A276,Facebook_reach_raw!$A$4:$A1000,Facebook_reach_raw!$B$4:$B1000)</f>
        <v>690</v>
      </c>
    </row>
    <row r="277">
      <c r="A277" s="28">
        <f>Facebook_reach_raw!$A279</f>
        <v>45749</v>
      </c>
      <c r="B277" s="29">
        <f>Facebook_interactions_raw!$A279</f>
        <v>45749</v>
      </c>
      <c r="C277" s="26" t="str">
        <f t="shared" si="1"/>
        <v>Facebook</v>
      </c>
      <c r="D277" s="26">
        <f t="array" ref="D277">XLOOKUP($A277,Facebook_follows_raw!$A$4:$A1000,Facebook_follows_raw!$B$4:$B1000)</f>
        <v>1</v>
      </c>
      <c r="E277" s="26">
        <f t="array" ref="E277">XLOOKUP($A277,Facebook_interactions_raw!$A$4:$A1000,Facebook_interactions_raw!$B$4:$B1000)</f>
        <v>87</v>
      </c>
      <c r="F277" s="26">
        <f t="array" ref="F277">XLOOKUP($A277,Facebook_reach_raw!$A$4:$A1000,Facebook_reach_raw!$B$4:$B1000)</f>
        <v>1194</v>
      </c>
    </row>
    <row r="278">
      <c r="A278" s="28">
        <f>Facebook_reach_raw!$A280</f>
        <v>45750</v>
      </c>
      <c r="B278" s="29">
        <f>Facebook_interactions_raw!$A280</f>
        <v>45750</v>
      </c>
      <c r="C278" s="26" t="str">
        <f t="shared" si="1"/>
        <v>Facebook</v>
      </c>
      <c r="D278" s="26">
        <f t="array" ref="D278">XLOOKUP($A278,Facebook_follows_raw!$A$4:$A1000,Facebook_follows_raw!$B$4:$B1000)</f>
        <v>4</v>
      </c>
      <c r="E278" s="26">
        <f t="array" ref="E278">XLOOKUP($A278,Facebook_interactions_raw!$A$4:$A1000,Facebook_interactions_raw!$B$4:$B1000)</f>
        <v>123</v>
      </c>
      <c r="F278" s="26">
        <f t="array" ref="F278">XLOOKUP($A278,Facebook_reach_raw!$A$4:$A1000,Facebook_reach_raw!$B$4:$B1000)</f>
        <v>1277</v>
      </c>
    </row>
    <row r="279">
      <c r="A279" s="28">
        <f>Facebook_reach_raw!$A281</f>
        <v>45751</v>
      </c>
      <c r="B279" s="29">
        <f>Facebook_interactions_raw!$A281</f>
        <v>45751</v>
      </c>
      <c r="C279" s="26" t="str">
        <f t="shared" si="1"/>
        <v>Facebook</v>
      </c>
      <c r="D279" s="26">
        <f t="array" ref="D279">XLOOKUP($A279,Facebook_follows_raw!$A$4:$A1000,Facebook_follows_raw!$B$4:$B1000)</f>
        <v>2</v>
      </c>
      <c r="E279" s="26">
        <f t="array" ref="E279">XLOOKUP($A279,Facebook_interactions_raw!$A$4:$A1000,Facebook_interactions_raw!$B$4:$B1000)</f>
        <v>225</v>
      </c>
      <c r="F279" s="26">
        <f t="array" ref="F279">XLOOKUP($A279,Facebook_reach_raw!$A$4:$A1000,Facebook_reach_raw!$B$4:$B1000)</f>
        <v>1650</v>
      </c>
    </row>
    <row r="280">
      <c r="A280" s="28">
        <f>Facebook_reach_raw!$A282</f>
        <v>45752</v>
      </c>
      <c r="B280" s="29">
        <f>Facebook_interactions_raw!$A282</f>
        <v>45752</v>
      </c>
      <c r="C280" s="26" t="str">
        <f t="shared" si="1"/>
        <v>Facebook</v>
      </c>
      <c r="D280" s="26">
        <f t="array" ref="D280">XLOOKUP($A280,Facebook_follows_raw!$A$4:$A1000,Facebook_follows_raw!$B$4:$B1000)</f>
        <v>7</v>
      </c>
      <c r="E280" s="26">
        <f t="array" ref="E280">XLOOKUP($A280,Facebook_interactions_raw!$A$4:$A1000,Facebook_interactions_raw!$B$4:$B1000)</f>
        <v>100</v>
      </c>
      <c r="F280" s="26">
        <f t="array" ref="F280">XLOOKUP($A280,Facebook_reach_raw!$A$4:$A1000,Facebook_reach_raw!$B$4:$B1000)</f>
        <v>1299</v>
      </c>
    </row>
    <row r="281">
      <c r="A281" s="28">
        <f>Facebook_reach_raw!$A283</f>
        <v>45753</v>
      </c>
      <c r="B281" s="29">
        <f>Facebook_interactions_raw!$A283</f>
        <v>45753</v>
      </c>
      <c r="C281" s="26" t="str">
        <f t="shared" si="1"/>
        <v>Facebook</v>
      </c>
      <c r="D281" s="26">
        <f t="array" ref="D281">XLOOKUP($A281,Facebook_follows_raw!$A$4:$A1000,Facebook_follows_raw!$B$4:$B1000)</f>
        <v>1</v>
      </c>
      <c r="E281" s="26">
        <f t="array" ref="E281">XLOOKUP($A281,Facebook_interactions_raw!$A$4:$A1000,Facebook_interactions_raw!$B$4:$B1000)</f>
        <v>82</v>
      </c>
      <c r="F281" s="26">
        <f t="array" ref="F281">XLOOKUP($A281,Facebook_reach_raw!$A$4:$A1000,Facebook_reach_raw!$B$4:$B1000)</f>
        <v>1311</v>
      </c>
    </row>
    <row r="282">
      <c r="A282" s="28">
        <f>Facebook_reach_raw!$A284</f>
        <v>45754</v>
      </c>
      <c r="B282" s="29">
        <f>Facebook_interactions_raw!$A284</f>
        <v>45754</v>
      </c>
      <c r="C282" s="26" t="str">
        <f t="shared" si="1"/>
        <v>Facebook</v>
      </c>
      <c r="D282" s="26">
        <f t="array" ref="D282">XLOOKUP($A282,Facebook_follows_raw!$A$4:$A1000,Facebook_follows_raw!$B$4:$B1000)</f>
        <v>4</v>
      </c>
      <c r="E282" s="26">
        <f t="array" ref="E282">XLOOKUP($A282,Facebook_interactions_raw!$A$4:$A1000,Facebook_interactions_raw!$B$4:$B1000)</f>
        <v>165</v>
      </c>
      <c r="F282" s="26">
        <f t="array" ref="F282">XLOOKUP($A282,Facebook_reach_raw!$A$4:$A1000,Facebook_reach_raw!$B$4:$B1000)</f>
        <v>2421</v>
      </c>
    </row>
    <row r="283">
      <c r="A283" s="28">
        <f>Facebook_reach_raw!$A285</f>
        <v>45755</v>
      </c>
      <c r="B283" s="29">
        <f>Facebook_interactions_raw!$A285</f>
        <v>45755</v>
      </c>
      <c r="C283" s="26" t="str">
        <f t="shared" si="1"/>
        <v>Facebook</v>
      </c>
      <c r="D283" s="26">
        <f t="array" ref="D283">XLOOKUP($A283,Facebook_follows_raw!$A$4:$A1000,Facebook_follows_raw!$B$4:$B1000)</f>
        <v>0</v>
      </c>
      <c r="E283" s="26">
        <f t="array" ref="E283">XLOOKUP($A283,Facebook_interactions_raw!$A$4:$A1000,Facebook_interactions_raw!$B$4:$B1000)</f>
        <v>78</v>
      </c>
      <c r="F283" s="26">
        <f t="array" ref="F283">XLOOKUP($A283,Facebook_reach_raw!$A$4:$A1000,Facebook_reach_raw!$B$4:$B1000)</f>
        <v>1345</v>
      </c>
    </row>
    <row r="284">
      <c r="A284" s="28">
        <f>Facebook_reach_raw!$A286</f>
        <v>45756</v>
      </c>
      <c r="B284" s="29">
        <f>Facebook_interactions_raw!$A286</f>
        <v>45756</v>
      </c>
      <c r="C284" s="26" t="str">
        <f t="shared" si="1"/>
        <v>Facebook</v>
      </c>
      <c r="D284" s="26">
        <f t="array" ref="D284">XLOOKUP($A284,Facebook_follows_raw!$A$4:$A1000,Facebook_follows_raw!$B$4:$B1000)</f>
        <v>2</v>
      </c>
      <c r="E284" s="26">
        <f t="array" ref="E284">XLOOKUP($A284,Facebook_interactions_raw!$A$4:$A1000,Facebook_interactions_raw!$B$4:$B1000)</f>
        <v>40</v>
      </c>
      <c r="F284" s="26">
        <f t="array" ref="F284">XLOOKUP($A284,Facebook_reach_raw!$A$4:$A1000,Facebook_reach_raw!$B$4:$B1000)</f>
        <v>1058</v>
      </c>
    </row>
    <row r="285">
      <c r="A285" s="28">
        <f>Facebook_reach_raw!$A287</f>
        <v>45757</v>
      </c>
      <c r="B285" s="29">
        <f>Facebook_interactions_raw!$A287</f>
        <v>45757</v>
      </c>
      <c r="C285" s="26" t="str">
        <f t="shared" si="1"/>
        <v>Facebook</v>
      </c>
      <c r="D285" s="26">
        <f t="array" ref="D285">XLOOKUP($A285,Facebook_follows_raw!$A$4:$A1000,Facebook_follows_raw!$B$4:$B1000)</f>
        <v>2</v>
      </c>
      <c r="E285" s="26">
        <f t="array" ref="E285">XLOOKUP($A285,Facebook_interactions_raw!$A$4:$A1000,Facebook_interactions_raw!$B$4:$B1000)</f>
        <v>71</v>
      </c>
      <c r="F285" s="26">
        <f t="array" ref="F285">XLOOKUP($A285,Facebook_reach_raw!$A$4:$A1000,Facebook_reach_raw!$B$4:$B1000)</f>
        <v>1200</v>
      </c>
    </row>
    <row r="286">
      <c r="A286" s="28">
        <f>Facebook_reach_raw!$A288</f>
        <v>45758</v>
      </c>
      <c r="B286" s="29">
        <f>Facebook_interactions_raw!$A288</f>
        <v>45758</v>
      </c>
      <c r="C286" s="26" t="str">
        <f t="shared" si="1"/>
        <v>Facebook</v>
      </c>
      <c r="D286" s="26">
        <f t="array" ref="D286">XLOOKUP($A286,Facebook_follows_raw!$A$4:$A1000,Facebook_follows_raw!$B$4:$B1000)</f>
        <v>3</v>
      </c>
      <c r="E286" s="26">
        <f t="array" ref="E286">XLOOKUP($A286,Facebook_interactions_raw!$A$4:$A1000,Facebook_interactions_raw!$B$4:$B1000)</f>
        <v>46</v>
      </c>
      <c r="F286" s="26">
        <f t="array" ref="F286">XLOOKUP($A286,Facebook_reach_raw!$A$4:$A1000,Facebook_reach_raw!$B$4:$B1000)</f>
        <v>1110</v>
      </c>
    </row>
    <row r="287">
      <c r="A287" s="28">
        <f>Facebook_reach_raw!$A289</f>
        <v>45759</v>
      </c>
      <c r="B287" s="29">
        <f>Facebook_interactions_raw!$A289</f>
        <v>45759</v>
      </c>
      <c r="C287" s="26" t="str">
        <f t="shared" si="1"/>
        <v>Facebook</v>
      </c>
      <c r="D287" s="26">
        <f t="array" ref="D287">XLOOKUP($A287,Facebook_follows_raw!$A$4:$A1000,Facebook_follows_raw!$B$4:$B1000)</f>
        <v>3</v>
      </c>
      <c r="E287" s="26">
        <f t="array" ref="E287">XLOOKUP($A287,Facebook_interactions_raw!$A$4:$A1000,Facebook_interactions_raw!$B$4:$B1000)</f>
        <v>80</v>
      </c>
      <c r="F287" s="26">
        <f t="array" ref="F287">XLOOKUP($A287,Facebook_reach_raw!$A$4:$A1000,Facebook_reach_raw!$B$4:$B1000)</f>
        <v>1180</v>
      </c>
    </row>
    <row r="288">
      <c r="A288" s="28">
        <f>Facebook_reach_raw!$A290</f>
        <v>45760</v>
      </c>
      <c r="B288" s="29">
        <f>Facebook_interactions_raw!$A290</f>
        <v>45760</v>
      </c>
      <c r="C288" s="26" t="str">
        <f t="shared" si="1"/>
        <v>Facebook</v>
      </c>
      <c r="D288" s="26">
        <f t="array" ref="D288">XLOOKUP($A288,Facebook_follows_raw!$A$4:$A1000,Facebook_follows_raw!$B$4:$B1000)</f>
        <v>3</v>
      </c>
      <c r="E288" s="26">
        <f t="array" ref="E288">XLOOKUP($A288,Facebook_interactions_raw!$A$4:$A1000,Facebook_interactions_raw!$B$4:$B1000)</f>
        <v>57</v>
      </c>
      <c r="F288" s="26">
        <f t="array" ref="F288">XLOOKUP($A288,Facebook_reach_raw!$A$4:$A1000,Facebook_reach_raw!$B$4:$B1000)</f>
        <v>1024</v>
      </c>
    </row>
    <row r="289">
      <c r="A289" s="28">
        <f>Facebook_reach_raw!$A291</f>
        <v>45761</v>
      </c>
      <c r="B289" s="29">
        <f>Facebook_interactions_raw!$A291</f>
        <v>45761</v>
      </c>
      <c r="C289" s="26" t="str">
        <f t="shared" si="1"/>
        <v>Facebook</v>
      </c>
      <c r="D289" s="26">
        <f t="array" ref="D289">XLOOKUP($A289,Facebook_follows_raw!$A$4:$A1000,Facebook_follows_raw!$B$4:$B1000)</f>
        <v>1</v>
      </c>
      <c r="E289" s="26">
        <f t="array" ref="E289">XLOOKUP($A289,Facebook_interactions_raw!$A$4:$A1000,Facebook_interactions_raw!$B$4:$B1000)</f>
        <v>32</v>
      </c>
      <c r="F289" s="26">
        <f t="array" ref="F289">XLOOKUP($A289,Facebook_reach_raw!$A$4:$A1000,Facebook_reach_raw!$B$4:$B1000)</f>
        <v>992</v>
      </c>
    </row>
    <row r="290">
      <c r="A290" s="28">
        <f>Facebook_reach_raw!$A292</f>
        <v>45762</v>
      </c>
      <c r="B290" s="29">
        <f>Facebook_interactions_raw!$A292</f>
        <v>45762</v>
      </c>
      <c r="C290" s="26" t="str">
        <f t="shared" si="1"/>
        <v>Facebook</v>
      </c>
      <c r="D290" s="26">
        <f t="array" ref="D290">XLOOKUP($A290,Facebook_follows_raw!$A$4:$A1000,Facebook_follows_raw!$B$4:$B1000)</f>
        <v>4</v>
      </c>
      <c r="E290" s="26">
        <f t="array" ref="E290">XLOOKUP($A290,Facebook_interactions_raw!$A$4:$A1000,Facebook_interactions_raw!$B$4:$B1000)</f>
        <v>46</v>
      </c>
      <c r="F290" s="26">
        <f t="array" ref="F290">XLOOKUP($A290,Facebook_reach_raw!$A$4:$A1000,Facebook_reach_raw!$B$4:$B1000)</f>
        <v>907</v>
      </c>
    </row>
    <row r="291">
      <c r="A291" s="28">
        <f>Facebook_reach_raw!$A293</f>
        <v>45763</v>
      </c>
      <c r="B291" s="29">
        <f>Facebook_interactions_raw!$A293</f>
        <v>45763</v>
      </c>
      <c r="C291" s="26" t="str">
        <f t="shared" si="1"/>
        <v>Facebook</v>
      </c>
      <c r="D291" s="26">
        <f t="array" ref="D291">XLOOKUP($A291,Facebook_follows_raw!$A$4:$A1000,Facebook_follows_raw!$B$4:$B1000)</f>
        <v>4</v>
      </c>
      <c r="E291" s="26">
        <f t="array" ref="E291">XLOOKUP($A291,Facebook_interactions_raw!$A$4:$A1000,Facebook_interactions_raw!$B$4:$B1000)</f>
        <v>61</v>
      </c>
      <c r="F291" s="26">
        <f t="array" ref="F291">XLOOKUP($A291,Facebook_reach_raw!$A$4:$A1000,Facebook_reach_raw!$B$4:$B1000)</f>
        <v>803</v>
      </c>
    </row>
    <row r="292">
      <c r="A292" s="28">
        <f>Facebook_reach_raw!$A294</f>
        <v>45764</v>
      </c>
      <c r="B292" s="29">
        <f>Facebook_interactions_raw!$A294</f>
        <v>45764</v>
      </c>
      <c r="C292" s="26" t="str">
        <f t="shared" si="1"/>
        <v>Facebook</v>
      </c>
      <c r="D292" s="26">
        <f t="array" ref="D292">XLOOKUP($A292,Facebook_follows_raw!$A$4:$A1000,Facebook_follows_raw!$B$4:$B1000)</f>
        <v>6</v>
      </c>
      <c r="E292" s="26">
        <f t="array" ref="E292">XLOOKUP($A292,Facebook_interactions_raw!$A$4:$A1000,Facebook_interactions_raw!$B$4:$B1000)</f>
        <v>33</v>
      </c>
      <c r="F292" s="26">
        <f t="array" ref="F292">XLOOKUP($A292,Facebook_reach_raw!$A$4:$A1000,Facebook_reach_raw!$B$4:$B1000)</f>
        <v>763</v>
      </c>
    </row>
    <row r="293">
      <c r="A293" s="28">
        <f>Facebook_reach_raw!$A295</f>
        <v>45765</v>
      </c>
      <c r="B293" s="29">
        <f>Facebook_interactions_raw!$A295</f>
        <v>45765</v>
      </c>
      <c r="C293" s="26" t="str">
        <f t="shared" si="1"/>
        <v>Facebook</v>
      </c>
      <c r="D293" s="26">
        <f t="array" ref="D293">XLOOKUP($A293,Facebook_follows_raw!$A$4:$A1000,Facebook_follows_raw!$B$4:$B1000)</f>
        <v>4</v>
      </c>
      <c r="E293" s="26">
        <f t="array" ref="E293">XLOOKUP($A293,Facebook_interactions_raw!$A$4:$A1000,Facebook_interactions_raw!$B$4:$B1000)</f>
        <v>16</v>
      </c>
      <c r="F293" s="26">
        <f t="array" ref="F293">XLOOKUP($A293,Facebook_reach_raw!$A$4:$A1000,Facebook_reach_raw!$B$4:$B1000)</f>
        <v>27615</v>
      </c>
    </row>
    <row r="294">
      <c r="A294" s="28">
        <f>Facebook_reach_raw!$A296</f>
        <v>45766</v>
      </c>
      <c r="B294" s="29">
        <f>Facebook_interactions_raw!$A296</f>
        <v>45766</v>
      </c>
      <c r="C294" s="26" t="str">
        <f t="shared" si="1"/>
        <v>Facebook</v>
      </c>
      <c r="D294" s="26">
        <f t="array" ref="D294">XLOOKUP($A294,Facebook_follows_raw!$A$4:$A1000,Facebook_follows_raw!$B$4:$B1000)</f>
        <v>3</v>
      </c>
      <c r="E294" s="26">
        <f t="array" ref="E294">XLOOKUP($A294,Facebook_interactions_raw!$A$4:$A1000,Facebook_interactions_raw!$B$4:$B1000)</f>
        <v>23</v>
      </c>
      <c r="F294" s="26">
        <f t="array" ref="F294">XLOOKUP($A294,Facebook_reach_raw!$A$4:$A1000,Facebook_reach_raw!$B$4:$B1000)</f>
        <v>18250</v>
      </c>
    </row>
    <row r="295">
      <c r="A295" s="28">
        <f>Facebook_reach_raw!$A297</f>
        <v>45767</v>
      </c>
      <c r="B295" s="29">
        <f>Facebook_interactions_raw!$A297</f>
        <v>45767</v>
      </c>
      <c r="C295" s="26" t="str">
        <f t="shared" si="1"/>
        <v>Facebook</v>
      </c>
      <c r="D295" s="26">
        <f t="array" ref="D295">XLOOKUP($A295,Facebook_follows_raw!$A$4:$A1000,Facebook_follows_raw!$B$4:$B1000)</f>
        <v>0</v>
      </c>
      <c r="E295" s="26">
        <f t="array" ref="E295">XLOOKUP($A295,Facebook_interactions_raw!$A$4:$A1000,Facebook_interactions_raw!$B$4:$B1000)</f>
        <v>11</v>
      </c>
      <c r="F295" s="26">
        <f t="array" ref="F295">XLOOKUP($A295,Facebook_reach_raw!$A$4:$A1000,Facebook_reach_raw!$B$4:$B1000)</f>
        <v>34941</v>
      </c>
    </row>
    <row r="296">
      <c r="A296" s="28">
        <f>Facebook_reach_raw!$A298</f>
        <v>45768</v>
      </c>
      <c r="B296" s="29">
        <f>Facebook_interactions_raw!$A298</f>
        <v>45768</v>
      </c>
      <c r="C296" s="26" t="str">
        <f t="shared" si="1"/>
        <v>Facebook</v>
      </c>
      <c r="D296" s="26">
        <f t="array" ref="D296">XLOOKUP($A296,Facebook_follows_raw!$A$4:$A1000,Facebook_follows_raw!$B$4:$B1000)</f>
        <v>2</v>
      </c>
      <c r="E296" s="26">
        <f t="array" ref="E296">XLOOKUP($A296,Facebook_interactions_raw!$A$4:$A1000,Facebook_interactions_raw!$B$4:$B1000)</f>
        <v>30</v>
      </c>
      <c r="F296" s="26">
        <f t="array" ref="F296">XLOOKUP($A296,Facebook_reach_raw!$A$4:$A1000,Facebook_reach_raw!$B$4:$B1000)</f>
        <v>34606</v>
      </c>
    </row>
    <row r="297">
      <c r="A297" s="28">
        <f>Facebook_reach_raw!$A299</f>
        <v>45769</v>
      </c>
      <c r="B297" s="29">
        <f>Facebook_interactions_raw!$A299</f>
        <v>45769</v>
      </c>
      <c r="C297" s="26" t="str">
        <f t="shared" si="1"/>
        <v>Facebook</v>
      </c>
      <c r="D297" s="26">
        <f t="array" ref="D297">XLOOKUP($A297,Facebook_follows_raw!$A$4:$A1000,Facebook_follows_raw!$B$4:$B1000)</f>
        <v>2</v>
      </c>
      <c r="E297" s="26">
        <f t="array" ref="E297">XLOOKUP($A297,Facebook_interactions_raw!$A$4:$A1000,Facebook_interactions_raw!$B$4:$B1000)</f>
        <v>71</v>
      </c>
      <c r="F297" s="26">
        <f t="array" ref="F297">XLOOKUP($A297,Facebook_reach_raw!$A$4:$A1000,Facebook_reach_raw!$B$4:$B1000)</f>
        <v>36117</v>
      </c>
    </row>
    <row r="298">
      <c r="A298" s="28">
        <f>Facebook_reach_raw!$A300</f>
        <v>45770</v>
      </c>
      <c r="B298" s="29">
        <f>Facebook_interactions_raw!$A300</f>
        <v>45770</v>
      </c>
      <c r="C298" s="26" t="str">
        <f t="shared" si="1"/>
        <v>Facebook</v>
      </c>
      <c r="D298" s="26">
        <f t="array" ref="D298">XLOOKUP($A298,Facebook_follows_raw!$A$4:$A1000,Facebook_follows_raw!$B$4:$B1000)</f>
        <v>6</v>
      </c>
      <c r="E298" s="26">
        <f t="array" ref="E298">XLOOKUP($A298,Facebook_interactions_raw!$A$4:$A1000,Facebook_interactions_raw!$B$4:$B1000)</f>
        <v>125</v>
      </c>
      <c r="F298" s="26">
        <f t="array" ref="F298">XLOOKUP($A298,Facebook_reach_raw!$A$4:$A1000,Facebook_reach_raw!$B$4:$B1000)</f>
        <v>36054</v>
      </c>
    </row>
    <row r="299">
      <c r="A299" s="28">
        <f>Facebook_reach_raw!$A301</f>
        <v>45771</v>
      </c>
      <c r="B299" s="29">
        <f>Facebook_interactions_raw!$A301</f>
        <v>45771</v>
      </c>
      <c r="C299" s="26" t="str">
        <f t="shared" si="1"/>
        <v>Facebook</v>
      </c>
      <c r="D299" s="26">
        <f t="array" ref="D299">XLOOKUP($A299,Facebook_follows_raw!$A$4:$A1000,Facebook_follows_raw!$B$4:$B1000)</f>
        <v>3</v>
      </c>
      <c r="E299" s="26">
        <f t="array" ref="E299">XLOOKUP($A299,Facebook_interactions_raw!$A$4:$A1000,Facebook_interactions_raw!$B$4:$B1000)</f>
        <v>89</v>
      </c>
      <c r="F299" s="26">
        <f t="array" ref="F299">XLOOKUP($A299,Facebook_reach_raw!$A$4:$A1000,Facebook_reach_raw!$B$4:$B1000)</f>
        <v>38973</v>
      </c>
    </row>
    <row r="300">
      <c r="A300" s="28">
        <f>Facebook_reach_raw!$A302</f>
        <v>45772</v>
      </c>
      <c r="B300" s="29">
        <f>Facebook_interactions_raw!$A302</f>
        <v>45772</v>
      </c>
      <c r="C300" s="26" t="str">
        <f t="shared" si="1"/>
        <v>Facebook</v>
      </c>
      <c r="D300" s="26">
        <f t="array" ref="D300">XLOOKUP($A300,Facebook_follows_raw!$A$4:$A1000,Facebook_follows_raw!$B$4:$B1000)</f>
        <v>4</v>
      </c>
      <c r="E300" s="26">
        <f t="array" ref="E300">XLOOKUP($A300,Facebook_interactions_raw!$A$4:$A1000,Facebook_interactions_raw!$B$4:$B1000)</f>
        <v>86</v>
      </c>
      <c r="F300" s="26">
        <f t="array" ref="F300">XLOOKUP($A300,Facebook_reach_raw!$A$4:$A1000,Facebook_reach_raw!$B$4:$B1000)</f>
        <v>13095</v>
      </c>
    </row>
    <row r="301">
      <c r="A301" s="28">
        <f>Facebook_reach_raw!$A303</f>
        <v>45773</v>
      </c>
      <c r="B301" s="29">
        <f>Facebook_interactions_raw!$A303</f>
        <v>45773</v>
      </c>
      <c r="C301" s="26" t="str">
        <f t="shared" si="1"/>
        <v>Facebook</v>
      </c>
      <c r="D301" s="26">
        <f t="array" ref="D301">XLOOKUP($A301,Facebook_follows_raw!$A$4:$A1000,Facebook_follows_raw!$B$4:$B1000)</f>
        <v>3</v>
      </c>
      <c r="E301" s="26">
        <f t="array" ref="E301">XLOOKUP($A301,Facebook_interactions_raw!$A$4:$A1000,Facebook_interactions_raw!$B$4:$B1000)</f>
        <v>190</v>
      </c>
      <c r="F301" s="26">
        <f t="array" ref="F301">XLOOKUP($A301,Facebook_reach_raw!$A$4:$A1000,Facebook_reach_raw!$B$4:$B1000)</f>
        <v>1384</v>
      </c>
    </row>
    <row r="302">
      <c r="A302" s="28">
        <f>Facebook_reach_raw!$A304</f>
        <v>45774</v>
      </c>
      <c r="B302" s="29">
        <f>Facebook_interactions_raw!$A304</f>
        <v>45774</v>
      </c>
      <c r="C302" s="26" t="str">
        <f t="shared" si="1"/>
        <v>Facebook</v>
      </c>
      <c r="D302" s="26">
        <f t="array" ref="D302">XLOOKUP($A302,Facebook_follows_raw!$A$4:$A1000,Facebook_follows_raw!$B$4:$B1000)</f>
        <v>40</v>
      </c>
      <c r="E302" s="26">
        <f t="array" ref="E302">XLOOKUP($A302,Facebook_interactions_raw!$A$4:$A1000,Facebook_interactions_raw!$B$4:$B1000)</f>
        <v>75</v>
      </c>
      <c r="F302" s="26">
        <f t="array" ref="F302">XLOOKUP($A302,Facebook_reach_raw!$A$4:$A1000,Facebook_reach_raw!$B$4:$B1000)</f>
        <v>1777</v>
      </c>
    </row>
    <row r="303">
      <c r="A303" s="28">
        <f>Facebook_reach_raw!$A305</f>
        <v>45775</v>
      </c>
      <c r="B303" s="29">
        <f>Facebook_interactions_raw!$A305</f>
        <v>45775</v>
      </c>
      <c r="C303" s="26" t="str">
        <f t="shared" si="1"/>
        <v>Facebook</v>
      </c>
      <c r="D303" s="26">
        <f t="array" ref="D303">XLOOKUP($A303,Facebook_follows_raw!$A$4:$A1000,Facebook_follows_raw!$B$4:$B1000)</f>
        <v>9</v>
      </c>
      <c r="E303" s="26">
        <f t="array" ref="E303">XLOOKUP($A303,Facebook_interactions_raw!$A$4:$A1000,Facebook_interactions_raw!$B$4:$B1000)</f>
        <v>73</v>
      </c>
      <c r="F303" s="26">
        <f t="array" ref="F303">XLOOKUP($A303,Facebook_reach_raw!$A$4:$A1000,Facebook_reach_raw!$B$4:$B1000)</f>
        <v>1357</v>
      </c>
    </row>
    <row r="304">
      <c r="A304" s="28">
        <f>Facebook_reach_raw!$A306</f>
        <v>45776</v>
      </c>
      <c r="B304" s="29">
        <f>Facebook_interactions_raw!$A306</f>
        <v>45776</v>
      </c>
      <c r="C304" s="26" t="str">
        <f t="shared" si="1"/>
        <v>Facebook</v>
      </c>
      <c r="D304" s="26">
        <f t="array" ref="D304">XLOOKUP($A304,Facebook_follows_raw!$A$4:$A1000,Facebook_follows_raw!$B$4:$B1000)</f>
        <v>5</v>
      </c>
      <c r="E304" s="26">
        <f t="array" ref="E304">XLOOKUP($A304,Facebook_interactions_raw!$A$4:$A1000,Facebook_interactions_raw!$B$4:$B1000)</f>
        <v>125</v>
      </c>
      <c r="F304" s="26">
        <f t="array" ref="F304">XLOOKUP($A304,Facebook_reach_raw!$A$4:$A1000,Facebook_reach_raw!$B$4:$B1000)</f>
        <v>1558</v>
      </c>
    </row>
    <row r="305">
      <c r="A305" s="28">
        <f>Facebook_reach_raw!$A307</f>
        <v>45777</v>
      </c>
      <c r="B305" s="29">
        <f>Facebook_interactions_raw!$A307</f>
        <v>45777</v>
      </c>
      <c r="C305" s="26" t="str">
        <f t="shared" si="1"/>
        <v>Facebook</v>
      </c>
      <c r="D305" s="26">
        <f t="array" ref="D305">XLOOKUP($A305,Facebook_follows_raw!$A$4:$A1000,Facebook_follows_raw!$B$4:$B1000)</f>
        <v>5</v>
      </c>
      <c r="E305" s="26">
        <f t="array" ref="E305">XLOOKUP($A305,Facebook_interactions_raw!$A$4:$A1000,Facebook_interactions_raw!$B$4:$B1000)</f>
        <v>132</v>
      </c>
      <c r="F305" s="26">
        <f t="array" ref="F305">XLOOKUP($A305,Facebook_reach_raw!$A$4:$A1000,Facebook_reach_raw!$B$4:$B1000)</f>
        <v>11204</v>
      </c>
    </row>
    <row r="306">
      <c r="A306" s="30" t="str">
        <f>Facebook_reach_raw!$A308</f>
        <v/>
      </c>
      <c r="B306" s="29" t="str">
        <f>Facebook_interactions_raw!$A308</f>
        <v/>
      </c>
      <c r="C306" s="26" t="str">
        <f t="shared" si="1"/>
        <v/>
      </c>
      <c r="D306" s="26" t="str">
        <f t="array" ref="D306">XLOOKUP($A306,Facebook_follows_raw!$A$4:$A1000,Facebook_follows_raw!$B$4:$B1000)</f>
        <v>#N/A</v>
      </c>
      <c r="E306" s="26" t="str">
        <f t="array" ref="E306">XLOOKUP($A306,Facebook_interactions_raw!$A$4:$A1000,Facebook_interactions_raw!$B$4:$B1000)</f>
        <v>#N/A</v>
      </c>
      <c r="F306" s="26" t="str">
        <f t="array" ref="F306">XLOOKUP($A306,Facebook_reach_raw!$A$4:$A1000,Facebook_reach_raw!$B$4:$B1000)</f>
        <v>#N/A</v>
      </c>
    </row>
    <row r="307">
      <c r="A307" s="30" t="str">
        <f>Facebook_reach_raw!$A309</f>
        <v/>
      </c>
      <c r="B307" s="29" t="str">
        <f>Facebook_interactions_raw!$A309</f>
        <v/>
      </c>
      <c r="C307" s="26" t="str">
        <f t="shared" si="1"/>
        <v/>
      </c>
      <c r="D307" s="26" t="str">
        <f t="array" ref="D307">XLOOKUP($A307,Facebook_follows_raw!$A$4:$A1000,Facebook_follows_raw!$B$4:$B1000)</f>
        <v>#N/A</v>
      </c>
      <c r="E307" s="26" t="str">
        <f t="array" ref="E307">XLOOKUP($A307,Facebook_interactions_raw!$A$4:$A1000,Facebook_interactions_raw!$B$4:$B1000)</f>
        <v>#N/A</v>
      </c>
      <c r="F307" s="26" t="str">
        <f t="array" ref="F307">XLOOKUP($A307,Facebook_reach_raw!$A$4:$A1000,Facebook_reach_raw!$B$4:$B1000)</f>
        <v>#N/A</v>
      </c>
    </row>
    <row r="308">
      <c r="A308" s="30" t="str">
        <f>Facebook_reach_raw!$A310</f>
        <v/>
      </c>
      <c r="B308" s="29" t="str">
        <f>Facebook_interactions_raw!$A310</f>
        <v/>
      </c>
      <c r="C308" s="26" t="str">
        <f t="shared" si="1"/>
        <v/>
      </c>
      <c r="D308" s="26" t="str">
        <f t="array" ref="D308">XLOOKUP($A308,Facebook_follows_raw!$A$4:$A1000,Facebook_follows_raw!$B$4:$B1000)</f>
        <v>#N/A</v>
      </c>
      <c r="E308" s="26" t="str">
        <f t="array" ref="E308">XLOOKUP($A308,Facebook_interactions_raw!$A$4:$A1000,Facebook_interactions_raw!$B$4:$B1000)</f>
        <v>#N/A</v>
      </c>
      <c r="F308" s="26" t="str">
        <f t="array" ref="F308">XLOOKUP($A308,Facebook_reach_raw!$A$4:$A1000,Facebook_reach_raw!$B$4:$B1000)</f>
        <v>#N/A</v>
      </c>
    </row>
    <row r="309">
      <c r="A309" s="30" t="str">
        <f>Facebook_reach_raw!$A311</f>
        <v/>
      </c>
      <c r="B309" s="29" t="str">
        <f>Facebook_interactions_raw!$A311</f>
        <v/>
      </c>
      <c r="C309" s="26" t="str">
        <f t="shared" si="1"/>
        <v/>
      </c>
      <c r="D309" s="26" t="str">
        <f t="array" ref="D309">XLOOKUP($A309,Facebook_follows_raw!$A$4:$A1000,Facebook_follows_raw!$B$4:$B1000)</f>
        <v>#N/A</v>
      </c>
      <c r="E309" s="26" t="str">
        <f t="array" ref="E309">XLOOKUP($A309,Facebook_interactions_raw!$A$4:$A1000,Facebook_interactions_raw!$B$4:$B1000)</f>
        <v>#N/A</v>
      </c>
      <c r="F309" s="26" t="str">
        <f t="array" ref="F309">XLOOKUP($A309,Facebook_reach_raw!$A$4:$A1000,Facebook_reach_raw!$B$4:$B1000)</f>
        <v>#N/A</v>
      </c>
    </row>
    <row r="310">
      <c r="A310" s="30" t="str">
        <f>Facebook_reach_raw!$A312</f>
        <v/>
      </c>
      <c r="B310" s="29" t="str">
        <f>Facebook_interactions_raw!$A312</f>
        <v/>
      </c>
      <c r="C310" s="26" t="str">
        <f t="shared" si="1"/>
        <v/>
      </c>
      <c r="D310" s="26" t="str">
        <f t="array" ref="D310">XLOOKUP($A310,Facebook_follows_raw!$A$4:$A1000,Facebook_follows_raw!$B$4:$B1000)</f>
        <v>#N/A</v>
      </c>
      <c r="E310" s="26" t="str">
        <f t="array" ref="E310">XLOOKUP($A310,Facebook_interactions_raw!$A$4:$A1000,Facebook_interactions_raw!$B$4:$B1000)</f>
        <v>#N/A</v>
      </c>
      <c r="F310" s="26" t="str">
        <f t="array" ref="F310">XLOOKUP($A310,Facebook_reach_raw!$A$4:$A1000,Facebook_reach_raw!$B$4:$B1000)</f>
        <v>#N/A</v>
      </c>
    </row>
    <row r="311">
      <c r="A311" s="30" t="str">
        <f>Facebook_reach_raw!$A313</f>
        <v/>
      </c>
      <c r="B311" s="29" t="str">
        <f>Facebook_interactions_raw!$A313</f>
        <v/>
      </c>
      <c r="C311" s="26" t="str">
        <f t="shared" si="1"/>
        <v/>
      </c>
      <c r="D311" s="26" t="str">
        <f t="array" ref="D311">XLOOKUP($A311,Facebook_follows_raw!$A$4:$A1000,Facebook_follows_raw!$B$4:$B1000)</f>
        <v>#N/A</v>
      </c>
      <c r="E311" s="26" t="str">
        <f t="array" ref="E311">XLOOKUP($A311,Facebook_interactions_raw!$A$4:$A1000,Facebook_interactions_raw!$B$4:$B1000)</f>
        <v>#N/A</v>
      </c>
      <c r="F311" s="26" t="str">
        <f t="array" ref="F311">XLOOKUP($A311,Facebook_reach_raw!$A$4:$A1000,Facebook_reach_raw!$B$4:$B1000)</f>
        <v>#N/A</v>
      </c>
    </row>
    <row r="312">
      <c r="A312" s="30" t="str">
        <f>Facebook_reach_raw!$A314</f>
        <v/>
      </c>
      <c r="B312" s="29" t="str">
        <f>Facebook_interactions_raw!$A314</f>
        <v/>
      </c>
      <c r="C312" s="26" t="str">
        <f t="shared" si="1"/>
        <v/>
      </c>
      <c r="D312" s="26" t="str">
        <f t="array" ref="D312">XLOOKUP($A312,Facebook_follows_raw!$A$4:$A1000,Facebook_follows_raw!$B$4:$B1000)</f>
        <v>#N/A</v>
      </c>
      <c r="E312" s="26" t="str">
        <f t="array" ref="E312">XLOOKUP($A312,Facebook_interactions_raw!$A$4:$A1000,Facebook_interactions_raw!$B$4:$B1000)</f>
        <v>#N/A</v>
      </c>
      <c r="F312" s="26" t="str">
        <f t="array" ref="F312">XLOOKUP($A312,Facebook_reach_raw!$A$4:$A1000,Facebook_reach_raw!$B$4:$B1000)</f>
        <v>#N/A</v>
      </c>
    </row>
    <row r="313">
      <c r="A313" s="30" t="str">
        <f>Facebook_reach_raw!$A315</f>
        <v/>
      </c>
      <c r="B313" s="29" t="str">
        <f>Facebook_interactions_raw!$A315</f>
        <v/>
      </c>
      <c r="C313" s="26" t="str">
        <f t="shared" si="1"/>
        <v/>
      </c>
      <c r="D313" s="26" t="str">
        <f t="array" ref="D313">XLOOKUP($A313,Facebook_follows_raw!$A$4:$A1000,Facebook_follows_raw!$B$4:$B1000)</f>
        <v>#N/A</v>
      </c>
      <c r="E313" s="26" t="str">
        <f t="array" ref="E313">XLOOKUP($A313,Facebook_interactions_raw!$A$4:$A1000,Facebook_interactions_raw!$B$4:$B1000)</f>
        <v>#N/A</v>
      </c>
      <c r="F313" s="26" t="str">
        <f t="array" ref="F313">XLOOKUP($A313,Facebook_reach_raw!$A$4:$A1000,Facebook_reach_raw!$B$4:$B1000)</f>
        <v>#N/A</v>
      </c>
    </row>
    <row r="314">
      <c r="A314" s="30" t="str">
        <f>Facebook_reach_raw!$A316</f>
        <v/>
      </c>
      <c r="B314" s="29" t="str">
        <f>Facebook_interactions_raw!$A316</f>
        <v/>
      </c>
      <c r="C314" s="26" t="str">
        <f t="shared" si="1"/>
        <v/>
      </c>
      <c r="D314" s="26" t="str">
        <f t="array" ref="D314">XLOOKUP($A314,Facebook_follows_raw!$A$4:$A1000,Facebook_follows_raw!$B$4:$B1000)</f>
        <v>#N/A</v>
      </c>
      <c r="E314" s="26" t="str">
        <f t="array" ref="E314">XLOOKUP($A314,Facebook_interactions_raw!$A$4:$A1000,Facebook_interactions_raw!$B$4:$B1000)</f>
        <v>#N/A</v>
      </c>
      <c r="F314" s="26" t="str">
        <f t="array" ref="F314">XLOOKUP($A314,Facebook_reach_raw!$A$4:$A1000,Facebook_reach_raw!$B$4:$B1000)</f>
        <v>#N/A</v>
      </c>
    </row>
    <row r="315">
      <c r="A315" s="30" t="str">
        <f>Facebook_reach_raw!$A317</f>
        <v/>
      </c>
      <c r="B315" s="29" t="str">
        <f>Facebook_interactions_raw!$A317</f>
        <v/>
      </c>
      <c r="C315" s="26" t="str">
        <f t="shared" si="1"/>
        <v/>
      </c>
      <c r="D315" s="26" t="str">
        <f t="array" ref="D315">XLOOKUP($A315,Facebook_follows_raw!$A$4:$A1000,Facebook_follows_raw!$B$4:$B1000)</f>
        <v>#N/A</v>
      </c>
      <c r="E315" s="26" t="str">
        <f t="array" ref="E315">XLOOKUP($A315,Facebook_interactions_raw!$A$4:$A1000,Facebook_interactions_raw!$B$4:$B1000)</f>
        <v>#N/A</v>
      </c>
      <c r="F315" s="26" t="str">
        <f t="array" ref="F315">XLOOKUP($A315,Facebook_reach_raw!$A$4:$A1000,Facebook_reach_raw!$B$4:$B1000)</f>
        <v>#N/A</v>
      </c>
    </row>
    <row r="316">
      <c r="A316" s="30" t="str">
        <f>Facebook_reach_raw!$A318</f>
        <v/>
      </c>
      <c r="B316" s="29" t="str">
        <f>Facebook_interactions_raw!$A318</f>
        <v/>
      </c>
      <c r="C316" s="26" t="str">
        <f t="shared" si="1"/>
        <v/>
      </c>
      <c r="D316" s="26" t="str">
        <f t="array" ref="D316">XLOOKUP($A316,Facebook_follows_raw!$A$4:$A1000,Facebook_follows_raw!$B$4:$B1000)</f>
        <v>#N/A</v>
      </c>
      <c r="E316" s="26" t="str">
        <f t="array" ref="E316">XLOOKUP($A316,Facebook_interactions_raw!$A$4:$A1000,Facebook_interactions_raw!$B$4:$B1000)</f>
        <v>#N/A</v>
      </c>
      <c r="F316" s="26" t="str">
        <f t="array" ref="F316">XLOOKUP($A316,Facebook_reach_raw!$A$4:$A1000,Facebook_reach_raw!$B$4:$B1000)</f>
        <v>#N/A</v>
      </c>
    </row>
    <row r="317">
      <c r="A317" s="30" t="str">
        <f>Facebook_reach_raw!$A319</f>
        <v/>
      </c>
      <c r="B317" s="29" t="str">
        <f>Facebook_interactions_raw!$A319</f>
        <v/>
      </c>
      <c r="C317" s="26" t="str">
        <f t="shared" si="1"/>
        <v/>
      </c>
      <c r="D317" s="26" t="str">
        <f t="array" ref="D317">XLOOKUP($A317,Facebook_follows_raw!$A$4:$A1000,Facebook_follows_raw!$B$4:$B1000)</f>
        <v>#N/A</v>
      </c>
      <c r="E317" s="26" t="str">
        <f t="array" ref="E317">XLOOKUP($A317,Facebook_interactions_raw!$A$4:$A1000,Facebook_interactions_raw!$B$4:$B1000)</f>
        <v>#N/A</v>
      </c>
      <c r="F317" s="26" t="str">
        <f t="array" ref="F317">XLOOKUP($A317,Facebook_reach_raw!$A$4:$A1000,Facebook_reach_raw!$B$4:$B1000)</f>
        <v>#N/A</v>
      </c>
    </row>
    <row r="318">
      <c r="A318" s="30" t="str">
        <f>Facebook_reach_raw!$A320</f>
        <v/>
      </c>
      <c r="B318" s="29" t="str">
        <f>Facebook_interactions_raw!$A320</f>
        <v/>
      </c>
      <c r="C318" s="26" t="str">
        <f t="shared" si="1"/>
        <v/>
      </c>
      <c r="D318" s="26" t="str">
        <f t="array" ref="D318">XLOOKUP($A318,Facebook_follows_raw!$A$4:$A1000,Facebook_follows_raw!$B$4:$B1000)</f>
        <v>#N/A</v>
      </c>
      <c r="E318" s="26" t="str">
        <f t="array" ref="E318">XLOOKUP($A318,Facebook_interactions_raw!$A$4:$A1000,Facebook_interactions_raw!$B$4:$B1000)</f>
        <v>#N/A</v>
      </c>
      <c r="F318" s="26" t="str">
        <f t="array" ref="F318">XLOOKUP($A318,Facebook_reach_raw!$A$4:$A1000,Facebook_reach_raw!$B$4:$B1000)</f>
        <v>#N/A</v>
      </c>
    </row>
    <row r="319">
      <c r="A319" s="30" t="str">
        <f>Facebook_reach_raw!$A321</f>
        <v/>
      </c>
      <c r="B319" s="29" t="str">
        <f>Facebook_interactions_raw!$A321</f>
        <v/>
      </c>
      <c r="C319" s="26" t="str">
        <f t="shared" si="1"/>
        <v/>
      </c>
      <c r="D319" s="26" t="str">
        <f t="array" ref="D319">XLOOKUP($A319,Facebook_follows_raw!$A$4:$A1000,Facebook_follows_raw!$B$4:$B1000)</f>
        <v>#N/A</v>
      </c>
      <c r="E319" s="26" t="str">
        <f t="array" ref="E319">XLOOKUP($A319,Facebook_interactions_raw!$A$4:$A1000,Facebook_interactions_raw!$B$4:$B1000)</f>
        <v>#N/A</v>
      </c>
      <c r="F319" s="26" t="str">
        <f t="array" ref="F319">XLOOKUP($A319,Facebook_reach_raw!$A$4:$A1000,Facebook_reach_raw!$B$4:$B1000)</f>
        <v>#N/A</v>
      </c>
    </row>
    <row r="320">
      <c r="A320" s="30" t="str">
        <f>Facebook_reach_raw!$A322</f>
        <v/>
      </c>
      <c r="B320" s="29" t="str">
        <f>Facebook_interactions_raw!$A322</f>
        <v/>
      </c>
      <c r="C320" s="26" t="str">
        <f t="shared" si="1"/>
        <v/>
      </c>
      <c r="D320" s="26" t="str">
        <f t="array" ref="D320">XLOOKUP($A320,Facebook_follows_raw!$A$4:$A1000,Facebook_follows_raw!$B$4:$B1000)</f>
        <v>#N/A</v>
      </c>
      <c r="E320" s="26" t="str">
        <f t="array" ref="E320">XLOOKUP($A320,Facebook_interactions_raw!$A$4:$A1000,Facebook_interactions_raw!$B$4:$B1000)</f>
        <v>#N/A</v>
      </c>
      <c r="F320" s="26" t="str">
        <f t="array" ref="F320">XLOOKUP($A320,Facebook_reach_raw!$A$4:$A1000,Facebook_reach_raw!$B$4:$B1000)</f>
        <v>#N/A</v>
      </c>
    </row>
    <row r="321">
      <c r="A321" s="30" t="str">
        <f>Facebook_reach_raw!$A323</f>
        <v/>
      </c>
      <c r="B321" s="29" t="str">
        <f>Facebook_interactions_raw!$A323</f>
        <v/>
      </c>
      <c r="C321" s="26" t="str">
        <f t="shared" si="1"/>
        <v/>
      </c>
      <c r="D321" s="26" t="str">
        <f t="array" ref="D321">XLOOKUP($A321,Facebook_follows_raw!$A$4:$A1000,Facebook_follows_raw!$B$4:$B1000)</f>
        <v>#N/A</v>
      </c>
      <c r="E321" s="26" t="str">
        <f t="array" ref="E321">XLOOKUP($A321,Facebook_interactions_raw!$A$4:$A1000,Facebook_interactions_raw!$B$4:$B1000)</f>
        <v>#N/A</v>
      </c>
      <c r="F321" s="26" t="str">
        <f t="array" ref="F321">XLOOKUP($A321,Facebook_reach_raw!$A$4:$A1000,Facebook_reach_raw!$B$4:$B1000)</f>
        <v>#N/A</v>
      </c>
    </row>
    <row r="322">
      <c r="A322" s="30" t="str">
        <f>Facebook_reach_raw!$A324</f>
        <v/>
      </c>
      <c r="B322" s="29" t="str">
        <f>Facebook_interactions_raw!$A324</f>
        <v/>
      </c>
      <c r="C322" s="26" t="str">
        <f t="shared" si="1"/>
        <v/>
      </c>
      <c r="D322" s="26" t="str">
        <f t="array" ref="D322">XLOOKUP($A322,Facebook_follows_raw!$A$4:$A1000,Facebook_follows_raw!$B$4:$B1000)</f>
        <v>#N/A</v>
      </c>
      <c r="E322" s="26" t="str">
        <f t="array" ref="E322">XLOOKUP($A322,Facebook_interactions_raw!$A$4:$A1000,Facebook_interactions_raw!$B$4:$B1000)</f>
        <v>#N/A</v>
      </c>
      <c r="F322" s="26" t="str">
        <f t="array" ref="F322">XLOOKUP($A322,Facebook_reach_raw!$A$4:$A1000,Facebook_reach_raw!$B$4:$B1000)</f>
        <v>#N/A</v>
      </c>
    </row>
    <row r="323">
      <c r="A323" s="30" t="str">
        <f>Facebook_reach_raw!$A325</f>
        <v/>
      </c>
      <c r="B323" s="29" t="str">
        <f>Facebook_interactions_raw!$A325</f>
        <v/>
      </c>
      <c r="C323" s="26" t="str">
        <f t="shared" si="1"/>
        <v/>
      </c>
      <c r="D323" s="26" t="str">
        <f t="array" ref="D323">XLOOKUP($A323,Facebook_follows_raw!$A$4:$A1000,Facebook_follows_raw!$B$4:$B1000)</f>
        <v>#N/A</v>
      </c>
      <c r="E323" s="26" t="str">
        <f t="array" ref="E323">XLOOKUP($A323,Facebook_interactions_raw!$A$4:$A1000,Facebook_interactions_raw!$B$4:$B1000)</f>
        <v>#N/A</v>
      </c>
      <c r="F323" s="26" t="str">
        <f t="array" ref="F323">XLOOKUP($A323,Facebook_reach_raw!$A$4:$A1000,Facebook_reach_raw!$B$4:$B1000)</f>
        <v>#N/A</v>
      </c>
    </row>
    <row r="324">
      <c r="A324" s="30" t="str">
        <f>Facebook_reach_raw!$A326</f>
        <v/>
      </c>
      <c r="B324" s="29" t="str">
        <f>Facebook_interactions_raw!$A326</f>
        <v/>
      </c>
      <c r="C324" s="26" t="str">
        <f t="shared" si="1"/>
        <v/>
      </c>
      <c r="D324" s="26" t="str">
        <f t="array" ref="D324">XLOOKUP($A324,Facebook_follows_raw!$A$4:$A1000,Facebook_follows_raw!$B$4:$B1000)</f>
        <v>#N/A</v>
      </c>
      <c r="E324" s="26" t="str">
        <f t="array" ref="E324">XLOOKUP($A324,Facebook_interactions_raw!$A$4:$A1000,Facebook_interactions_raw!$B$4:$B1000)</f>
        <v>#N/A</v>
      </c>
      <c r="F324" s="26" t="str">
        <f t="array" ref="F324">XLOOKUP($A324,Facebook_reach_raw!$A$4:$A1000,Facebook_reach_raw!$B$4:$B1000)</f>
        <v>#N/A</v>
      </c>
    </row>
    <row r="325">
      <c r="A325" s="30" t="str">
        <f>Facebook_reach_raw!$A327</f>
        <v/>
      </c>
      <c r="B325" s="29" t="str">
        <f>Facebook_interactions_raw!$A327</f>
        <v/>
      </c>
      <c r="C325" s="26" t="str">
        <f t="shared" si="1"/>
        <v/>
      </c>
      <c r="D325" s="26" t="str">
        <f t="array" ref="D325">XLOOKUP($A325,Facebook_follows_raw!$A$4:$A1000,Facebook_follows_raw!$B$4:$B1000)</f>
        <v>#N/A</v>
      </c>
      <c r="E325" s="26" t="str">
        <f t="array" ref="E325">XLOOKUP($A325,Facebook_interactions_raw!$A$4:$A1000,Facebook_interactions_raw!$B$4:$B1000)</f>
        <v>#N/A</v>
      </c>
      <c r="F325" s="26" t="str">
        <f t="array" ref="F325">XLOOKUP($A325,Facebook_reach_raw!$A$4:$A1000,Facebook_reach_raw!$B$4:$B1000)</f>
        <v>#N/A</v>
      </c>
    </row>
    <row r="326">
      <c r="A326" s="30" t="str">
        <f>Facebook_reach_raw!$A328</f>
        <v/>
      </c>
      <c r="B326" s="29" t="str">
        <f>Facebook_interactions_raw!$A328</f>
        <v/>
      </c>
      <c r="C326" s="26" t="str">
        <f t="shared" si="1"/>
        <v/>
      </c>
      <c r="D326" s="26" t="str">
        <f t="array" ref="D326">XLOOKUP($A326,Facebook_follows_raw!$A$4:$A1000,Facebook_follows_raw!$B$4:$B1000)</f>
        <v>#N/A</v>
      </c>
      <c r="E326" s="26" t="str">
        <f t="array" ref="E326">XLOOKUP($A326,Facebook_interactions_raw!$A$4:$A1000,Facebook_interactions_raw!$B$4:$B1000)</f>
        <v>#N/A</v>
      </c>
      <c r="F326" s="26" t="str">
        <f t="array" ref="F326">XLOOKUP($A326,Facebook_reach_raw!$A$4:$A1000,Facebook_reach_raw!$B$4:$B1000)</f>
        <v>#N/A</v>
      </c>
    </row>
    <row r="327">
      <c r="A327" s="30" t="str">
        <f>Facebook_reach_raw!$A329</f>
        <v/>
      </c>
      <c r="B327" s="29" t="str">
        <f>Facebook_interactions_raw!$A329</f>
        <v/>
      </c>
      <c r="C327" s="26" t="str">
        <f t="shared" si="1"/>
        <v/>
      </c>
      <c r="D327" s="26" t="str">
        <f t="array" ref="D327">XLOOKUP($A327,Facebook_follows_raw!$A$4:$A1000,Facebook_follows_raw!$B$4:$B1000)</f>
        <v>#N/A</v>
      </c>
      <c r="E327" s="26" t="str">
        <f t="array" ref="E327">XLOOKUP($A327,Facebook_interactions_raw!$A$4:$A1000,Facebook_interactions_raw!$B$4:$B1000)</f>
        <v>#N/A</v>
      </c>
      <c r="F327" s="26" t="str">
        <f t="array" ref="F327">XLOOKUP($A327,Facebook_reach_raw!$A$4:$A1000,Facebook_reach_raw!$B$4:$B1000)</f>
        <v>#N/A</v>
      </c>
    </row>
    <row r="328">
      <c r="A328" s="30" t="str">
        <f>Facebook_reach_raw!$A330</f>
        <v/>
      </c>
      <c r="B328" s="29" t="str">
        <f>Facebook_interactions_raw!$A330</f>
        <v/>
      </c>
      <c r="C328" s="26" t="str">
        <f t="shared" si="1"/>
        <v/>
      </c>
      <c r="D328" s="26" t="str">
        <f t="array" ref="D328">XLOOKUP($A328,Facebook_follows_raw!$A$4:$A1000,Facebook_follows_raw!$B$4:$B1000)</f>
        <v>#N/A</v>
      </c>
      <c r="E328" s="26" t="str">
        <f t="array" ref="E328">XLOOKUP($A328,Facebook_interactions_raw!$A$4:$A1000,Facebook_interactions_raw!$B$4:$B1000)</f>
        <v>#N/A</v>
      </c>
      <c r="F328" s="26" t="str">
        <f t="array" ref="F328">XLOOKUP($A328,Facebook_reach_raw!$A$4:$A1000,Facebook_reach_raw!$B$4:$B1000)</f>
        <v>#N/A</v>
      </c>
    </row>
    <row r="329">
      <c r="A329" s="30" t="str">
        <f>Facebook_reach_raw!$A331</f>
        <v/>
      </c>
      <c r="B329" s="29" t="str">
        <f>Facebook_interactions_raw!$A331</f>
        <v/>
      </c>
      <c r="C329" s="26" t="str">
        <f t="shared" si="1"/>
        <v/>
      </c>
      <c r="D329" s="26" t="str">
        <f t="array" ref="D329">XLOOKUP($A329,Facebook_follows_raw!$A$4:$A1000,Facebook_follows_raw!$B$4:$B1000)</f>
        <v>#N/A</v>
      </c>
      <c r="E329" s="26" t="str">
        <f t="array" ref="E329">XLOOKUP($A329,Facebook_interactions_raw!$A$4:$A1000,Facebook_interactions_raw!$B$4:$B1000)</f>
        <v>#N/A</v>
      </c>
      <c r="F329" s="26" t="str">
        <f t="array" ref="F329">XLOOKUP($A329,Facebook_reach_raw!$A$4:$A1000,Facebook_reach_raw!$B$4:$B1000)</f>
        <v>#N/A</v>
      </c>
    </row>
    <row r="330">
      <c r="A330" s="30" t="str">
        <f>Facebook_reach_raw!$A332</f>
        <v/>
      </c>
      <c r="B330" s="29" t="str">
        <f>Facebook_interactions_raw!$A332</f>
        <v/>
      </c>
      <c r="C330" s="26" t="str">
        <f t="shared" si="1"/>
        <v/>
      </c>
      <c r="D330" s="26" t="str">
        <f t="array" ref="D330">XLOOKUP($A330,Facebook_follows_raw!$A$4:$A1000,Facebook_follows_raw!$B$4:$B1000)</f>
        <v>#N/A</v>
      </c>
      <c r="E330" s="26" t="str">
        <f t="array" ref="E330">XLOOKUP($A330,Facebook_interactions_raw!$A$4:$A1000,Facebook_interactions_raw!$B$4:$B1000)</f>
        <v>#N/A</v>
      </c>
      <c r="F330" s="26" t="str">
        <f t="array" ref="F330">XLOOKUP($A330,Facebook_reach_raw!$A$4:$A1000,Facebook_reach_raw!$B$4:$B1000)</f>
        <v>#N/A</v>
      </c>
    </row>
    <row r="331">
      <c r="A331" s="30" t="str">
        <f>Facebook_reach_raw!$A333</f>
        <v/>
      </c>
      <c r="B331" s="29" t="str">
        <f>Facebook_interactions_raw!$A333</f>
        <v/>
      </c>
      <c r="C331" s="26" t="str">
        <f t="shared" si="1"/>
        <v/>
      </c>
      <c r="D331" s="26" t="str">
        <f t="array" ref="D331">XLOOKUP($A331,Facebook_follows_raw!$A$4:$A1000,Facebook_follows_raw!$B$4:$B1000)</f>
        <v>#N/A</v>
      </c>
      <c r="E331" s="26" t="str">
        <f t="array" ref="E331">XLOOKUP($A331,Facebook_interactions_raw!$A$4:$A1000,Facebook_interactions_raw!$B$4:$B1000)</f>
        <v>#N/A</v>
      </c>
      <c r="F331" s="26" t="str">
        <f t="array" ref="F331">XLOOKUP($A331,Facebook_reach_raw!$A$4:$A1000,Facebook_reach_raw!$B$4:$B1000)</f>
        <v>#N/A</v>
      </c>
    </row>
    <row r="332">
      <c r="A332" s="30" t="str">
        <f>Facebook_reach_raw!$A334</f>
        <v/>
      </c>
      <c r="B332" s="29" t="str">
        <f>Facebook_interactions_raw!$A334</f>
        <v/>
      </c>
      <c r="C332" s="26" t="str">
        <f t="shared" si="1"/>
        <v/>
      </c>
      <c r="D332" s="26" t="str">
        <f t="array" ref="D332">XLOOKUP($A332,Facebook_follows_raw!$A$4:$A1000,Facebook_follows_raw!$B$4:$B1000)</f>
        <v>#N/A</v>
      </c>
      <c r="E332" s="26" t="str">
        <f t="array" ref="E332">XLOOKUP($A332,Facebook_interactions_raw!$A$4:$A1000,Facebook_interactions_raw!$B$4:$B1000)</f>
        <v>#N/A</v>
      </c>
      <c r="F332" s="26" t="str">
        <f t="array" ref="F332">XLOOKUP($A332,Facebook_reach_raw!$A$4:$A1000,Facebook_reach_raw!$B$4:$B1000)</f>
        <v>#N/A</v>
      </c>
    </row>
    <row r="333">
      <c r="A333" s="30" t="str">
        <f>Facebook_reach_raw!$A335</f>
        <v/>
      </c>
      <c r="B333" s="29" t="str">
        <f>Facebook_interactions_raw!$A335</f>
        <v/>
      </c>
      <c r="C333" s="26" t="str">
        <f t="shared" si="1"/>
        <v/>
      </c>
      <c r="D333" s="26" t="str">
        <f t="array" ref="D333">XLOOKUP($A333,Facebook_follows_raw!$A$4:$A1000,Facebook_follows_raw!$B$4:$B1000)</f>
        <v>#N/A</v>
      </c>
      <c r="E333" s="26" t="str">
        <f t="array" ref="E333">XLOOKUP($A333,Facebook_interactions_raw!$A$4:$A1000,Facebook_interactions_raw!$B$4:$B1000)</f>
        <v>#N/A</v>
      </c>
      <c r="F333" s="26" t="str">
        <f t="array" ref="F333">XLOOKUP($A333,Facebook_reach_raw!$A$4:$A1000,Facebook_reach_raw!$B$4:$B1000)</f>
        <v>#N/A</v>
      </c>
    </row>
    <row r="334">
      <c r="A334" s="30" t="str">
        <f>Facebook_reach_raw!$A336</f>
        <v/>
      </c>
      <c r="B334" s="29" t="str">
        <f>Facebook_interactions_raw!$A336</f>
        <v/>
      </c>
      <c r="C334" s="26" t="str">
        <f t="shared" si="1"/>
        <v/>
      </c>
      <c r="D334" s="26" t="str">
        <f t="array" ref="D334">XLOOKUP($A334,Facebook_follows_raw!$A$4:$A1000,Facebook_follows_raw!$B$4:$B1000)</f>
        <v>#N/A</v>
      </c>
      <c r="E334" s="26" t="str">
        <f t="array" ref="E334">XLOOKUP($A334,Facebook_interactions_raw!$A$4:$A1000,Facebook_interactions_raw!$B$4:$B1000)</f>
        <v>#N/A</v>
      </c>
      <c r="F334" s="26" t="str">
        <f t="array" ref="F334">XLOOKUP($A334,Facebook_reach_raw!$A$4:$A1000,Facebook_reach_raw!$B$4:$B1000)</f>
        <v>#N/A</v>
      </c>
    </row>
    <row r="335">
      <c r="A335" s="30" t="str">
        <f>Facebook_reach_raw!$A337</f>
        <v/>
      </c>
      <c r="B335" s="29" t="str">
        <f>Facebook_interactions_raw!$A337</f>
        <v/>
      </c>
      <c r="C335" s="26" t="str">
        <f t="shared" si="1"/>
        <v/>
      </c>
      <c r="D335" s="26" t="str">
        <f t="array" ref="D335">XLOOKUP($A335,Facebook_follows_raw!$A$4:$A1000,Facebook_follows_raw!$B$4:$B1000)</f>
        <v>#N/A</v>
      </c>
      <c r="E335" s="26" t="str">
        <f t="array" ref="E335">XLOOKUP($A335,Facebook_interactions_raw!$A$4:$A1000,Facebook_interactions_raw!$B$4:$B1000)</f>
        <v>#N/A</v>
      </c>
      <c r="F335" s="26" t="str">
        <f t="array" ref="F335">XLOOKUP($A335,Facebook_reach_raw!$A$4:$A1000,Facebook_reach_raw!$B$4:$B1000)</f>
        <v>#N/A</v>
      </c>
    </row>
    <row r="336">
      <c r="A336" s="30" t="str">
        <f>Facebook_reach_raw!$A338</f>
        <v/>
      </c>
      <c r="B336" s="29" t="str">
        <f>Facebook_interactions_raw!$A338</f>
        <v/>
      </c>
      <c r="C336" s="26" t="str">
        <f t="shared" si="1"/>
        <v/>
      </c>
      <c r="D336" s="26" t="str">
        <f t="array" ref="D336">XLOOKUP($A336,Facebook_follows_raw!$A$4:$A1000,Facebook_follows_raw!$B$4:$B1000)</f>
        <v>#N/A</v>
      </c>
      <c r="E336" s="26" t="str">
        <f t="array" ref="E336">XLOOKUP($A336,Facebook_interactions_raw!$A$4:$A1000,Facebook_interactions_raw!$B$4:$B1000)</f>
        <v>#N/A</v>
      </c>
      <c r="F336" s="26" t="str">
        <f t="array" ref="F336">XLOOKUP($A336,Facebook_reach_raw!$A$4:$A1000,Facebook_reach_raw!$B$4:$B1000)</f>
        <v>#N/A</v>
      </c>
    </row>
    <row r="337">
      <c r="A337" s="30" t="str">
        <f>Facebook_reach_raw!$A339</f>
        <v/>
      </c>
      <c r="B337" s="29" t="str">
        <f>Facebook_interactions_raw!$A339</f>
        <v/>
      </c>
      <c r="C337" s="26" t="str">
        <f t="shared" si="1"/>
        <v/>
      </c>
      <c r="D337" s="26" t="str">
        <f t="array" ref="D337">XLOOKUP($A337,Facebook_follows_raw!$A$4:$A1000,Facebook_follows_raw!$B$4:$B1000)</f>
        <v>#N/A</v>
      </c>
      <c r="E337" s="26" t="str">
        <f t="array" ref="E337">XLOOKUP($A337,Facebook_interactions_raw!$A$4:$A1000,Facebook_interactions_raw!$B$4:$B1000)</f>
        <v>#N/A</v>
      </c>
      <c r="F337" s="26" t="str">
        <f t="array" ref="F337">XLOOKUP($A337,Facebook_reach_raw!$A$4:$A1000,Facebook_reach_raw!$B$4:$B1000)</f>
        <v>#N/A</v>
      </c>
    </row>
    <row r="338">
      <c r="A338" s="30" t="str">
        <f>Facebook_reach_raw!$A340</f>
        <v/>
      </c>
      <c r="B338" s="29" t="str">
        <f>Facebook_interactions_raw!$A340</f>
        <v/>
      </c>
      <c r="C338" s="26" t="str">
        <f t="shared" si="1"/>
        <v/>
      </c>
      <c r="D338" s="26" t="str">
        <f t="array" ref="D338">XLOOKUP($A338,Facebook_follows_raw!$A$4:$A1000,Facebook_follows_raw!$B$4:$B1000)</f>
        <v>#N/A</v>
      </c>
      <c r="E338" s="26" t="str">
        <f t="array" ref="E338">XLOOKUP($A338,Facebook_interactions_raw!$A$4:$A1000,Facebook_interactions_raw!$B$4:$B1000)</f>
        <v>#N/A</v>
      </c>
      <c r="F338" s="26" t="str">
        <f t="array" ref="F338">XLOOKUP($A338,Facebook_reach_raw!$A$4:$A1000,Facebook_reach_raw!$B$4:$B1000)</f>
        <v>#N/A</v>
      </c>
    </row>
    <row r="339">
      <c r="A339" s="30" t="str">
        <f>Facebook_reach_raw!$A341</f>
        <v/>
      </c>
      <c r="B339" s="29" t="str">
        <f>Facebook_interactions_raw!$A341</f>
        <v/>
      </c>
      <c r="C339" s="26" t="str">
        <f t="shared" si="1"/>
        <v/>
      </c>
      <c r="D339" s="26" t="str">
        <f t="array" ref="D339">XLOOKUP($A339,Facebook_follows_raw!$A$4:$A1000,Facebook_follows_raw!$B$4:$B1000)</f>
        <v>#N/A</v>
      </c>
      <c r="E339" s="26" t="str">
        <f t="array" ref="E339">XLOOKUP($A339,Facebook_interactions_raw!$A$4:$A1000,Facebook_interactions_raw!$B$4:$B1000)</f>
        <v>#N/A</v>
      </c>
      <c r="F339" s="26" t="str">
        <f t="array" ref="F339">XLOOKUP($A339,Facebook_reach_raw!$A$4:$A1000,Facebook_reach_raw!$B$4:$B1000)</f>
        <v>#N/A</v>
      </c>
    </row>
    <row r="340">
      <c r="A340" s="30" t="str">
        <f>Facebook_reach_raw!$A342</f>
        <v/>
      </c>
      <c r="B340" s="29" t="str">
        <f>Facebook_interactions_raw!$A342</f>
        <v/>
      </c>
      <c r="C340" s="26" t="str">
        <f t="shared" si="1"/>
        <v/>
      </c>
      <c r="D340" s="26" t="str">
        <f t="array" ref="D340">XLOOKUP($A340,Facebook_follows_raw!$A$4:$A1000,Facebook_follows_raw!$B$4:$B1000)</f>
        <v>#N/A</v>
      </c>
      <c r="E340" s="26" t="str">
        <f t="array" ref="E340">XLOOKUP($A340,Facebook_interactions_raw!$A$4:$A1000,Facebook_interactions_raw!$B$4:$B1000)</f>
        <v>#N/A</v>
      </c>
      <c r="F340" s="26" t="str">
        <f t="array" ref="F340">XLOOKUP($A340,Facebook_reach_raw!$A$4:$A1000,Facebook_reach_raw!$B$4:$B1000)</f>
        <v>#N/A</v>
      </c>
    </row>
    <row r="341">
      <c r="A341" s="30" t="str">
        <f>Facebook_reach_raw!$A343</f>
        <v/>
      </c>
      <c r="B341" s="29" t="str">
        <f>Facebook_interactions_raw!$A343</f>
        <v/>
      </c>
      <c r="C341" s="26" t="str">
        <f t="shared" si="1"/>
        <v/>
      </c>
      <c r="D341" s="26" t="str">
        <f t="array" ref="D341">XLOOKUP($A341,Facebook_follows_raw!$A$4:$A1000,Facebook_follows_raw!$B$4:$B1000)</f>
        <v>#N/A</v>
      </c>
      <c r="E341" s="26" t="str">
        <f t="array" ref="E341">XLOOKUP($A341,Facebook_interactions_raw!$A$4:$A1000,Facebook_interactions_raw!$B$4:$B1000)</f>
        <v>#N/A</v>
      </c>
      <c r="F341" s="26" t="str">
        <f t="array" ref="F341">XLOOKUP($A341,Facebook_reach_raw!$A$4:$A1000,Facebook_reach_raw!$B$4:$B1000)</f>
        <v>#N/A</v>
      </c>
    </row>
    <row r="342">
      <c r="A342" s="30" t="str">
        <f>Facebook_reach_raw!$A344</f>
        <v/>
      </c>
      <c r="B342" s="29" t="str">
        <f>Facebook_interactions_raw!$A344</f>
        <v/>
      </c>
      <c r="C342" s="26" t="str">
        <f t="shared" si="1"/>
        <v/>
      </c>
      <c r="D342" s="26" t="str">
        <f t="array" ref="D342">XLOOKUP($A342,Facebook_follows_raw!$A$4:$A1000,Facebook_follows_raw!$B$4:$B1000)</f>
        <v>#N/A</v>
      </c>
      <c r="E342" s="26" t="str">
        <f t="array" ref="E342">XLOOKUP($A342,Facebook_interactions_raw!$A$4:$A1000,Facebook_interactions_raw!$B$4:$B1000)</f>
        <v>#N/A</v>
      </c>
      <c r="F342" s="26" t="str">
        <f t="array" ref="F342">XLOOKUP($A342,Facebook_reach_raw!$A$4:$A1000,Facebook_reach_raw!$B$4:$B1000)</f>
        <v>#N/A</v>
      </c>
    </row>
    <row r="343">
      <c r="A343" s="30" t="str">
        <f>Facebook_reach_raw!$A345</f>
        <v/>
      </c>
      <c r="B343" s="29" t="str">
        <f>Facebook_interactions_raw!$A345</f>
        <v/>
      </c>
      <c r="C343" s="26" t="str">
        <f t="shared" si="1"/>
        <v/>
      </c>
      <c r="D343" s="26" t="str">
        <f t="array" ref="D343">XLOOKUP($A343,Facebook_follows_raw!$A$4:$A1000,Facebook_follows_raw!$B$4:$B1000)</f>
        <v>#N/A</v>
      </c>
      <c r="E343" s="26" t="str">
        <f t="array" ref="E343">XLOOKUP($A343,Facebook_interactions_raw!$A$4:$A1000,Facebook_interactions_raw!$B$4:$B1000)</f>
        <v>#N/A</v>
      </c>
      <c r="F343" s="26" t="str">
        <f t="array" ref="F343">XLOOKUP($A343,Facebook_reach_raw!$A$4:$A1000,Facebook_reach_raw!$B$4:$B1000)</f>
        <v>#N/A</v>
      </c>
    </row>
    <row r="344">
      <c r="A344" s="30" t="str">
        <f>Facebook_reach_raw!$A346</f>
        <v/>
      </c>
      <c r="B344" s="29" t="str">
        <f>Facebook_interactions_raw!$A346</f>
        <v/>
      </c>
      <c r="C344" s="26" t="str">
        <f t="shared" si="1"/>
        <v/>
      </c>
      <c r="D344" s="26" t="str">
        <f t="array" ref="D344">XLOOKUP($A344,Facebook_follows_raw!$A$4:$A1000,Facebook_follows_raw!$B$4:$B1000)</f>
        <v>#N/A</v>
      </c>
      <c r="E344" s="26" t="str">
        <f t="array" ref="E344">XLOOKUP($A344,Facebook_interactions_raw!$A$4:$A1000,Facebook_interactions_raw!$B$4:$B1000)</f>
        <v>#N/A</v>
      </c>
      <c r="F344" s="26" t="str">
        <f t="array" ref="F344">XLOOKUP($A344,Facebook_reach_raw!$A$4:$A1000,Facebook_reach_raw!$B$4:$B1000)</f>
        <v>#N/A</v>
      </c>
    </row>
    <row r="345">
      <c r="A345" s="30" t="str">
        <f>Facebook_reach_raw!$A347</f>
        <v/>
      </c>
      <c r="B345" s="29" t="str">
        <f>Facebook_interactions_raw!$A347</f>
        <v/>
      </c>
      <c r="C345" s="26" t="str">
        <f t="shared" si="1"/>
        <v/>
      </c>
      <c r="D345" s="26" t="str">
        <f t="array" ref="D345">XLOOKUP($A345,Facebook_follows_raw!$A$4:$A1000,Facebook_follows_raw!$B$4:$B1000)</f>
        <v>#N/A</v>
      </c>
      <c r="E345" s="26" t="str">
        <f t="array" ref="E345">XLOOKUP($A345,Facebook_interactions_raw!$A$4:$A1000,Facebook_interactions_raw!$B$4:$B1000)</f>
        <v>#N/A</v>
      </c>
      <c r="F345" s="26" t="str">
        <f t="array" ref="F345">XLOOKUP($A345,Facebook_reach_raw!$A$4:$A1000,Facebook_reach_raw!$B$4:$B1000)</f>
        <v>#N/A</v>
      </c>
    </row>
    <row r="346">
      <c r="A346" s="30" t="str">
        <f>Facebook_reach_raw!$A348</f>
        <v/>
      </c>
      <c r="B346" s="29" t="str">
        <f>Facebook_interactions_raw!$A348</f>
        <v/>
      </c>
      <c r="C346" s="26" t="str">
        <f t="shared" si="1"/>
        <v/>
      </c>
      <c r="D346" s="26" t="str">
        <f t="array" ref="D346">XLOOKUP($A346,Facebook_follows_raw!$A$4:$A1000,Facebook_follows_raw!$B$4:$B1000)</f>
        <v>#N/A</v>
      </c>
      <c r="E346" s="26" t="str">
        <f t="array" ref="E346">XLOOKUP($A346,Facebook_interactions_raw!$A$4:$A1000,Facebook_interactions_raw!$B$4:$B1000)</f>
        <v>#N/A</v>
      </c>
      <c r="F346" s="26" t="str">
        <f t="array" ref="F346">XLOOKUP($A346,Facebook_reach_raw!$A$4:$A1000,Facebook_reach_raw!$B$4:$B1000)</f>
        <v>#N/A</v>
      </c>
    </row>
    <row r="347">
      <c r="A347" s="30" t="str">
        <f>Facebook_reach_raw!$A349</f>
        <v/>
      </c>
      <c r="B347" s="29" t="str">
        <f>Facebook_interactions_raw!$A349</f>
        <v/>
      </c>
      <c r="C347" s="26" t="str">
        <f t="shared" si="1"/>
        <v/>
      </c>
      <c r="D347" s="26" t="str">
        <f t="array" ref="D347">XLOOKUP($A347,Facebook_follows_raw!$A$4:$A1000,Facebook_follows_raw!$B$4:$B1000)</f>
        <v>#N/A</v>
      </c>
      <c r="E347" s="26" t="str">
        <f t="array" ref="E347">XLOOKUP($A347,Facebook_interactions_raw!$A$4:$A1000,Facebook_interactions_raw!$B$4:$B1000)</f>
        <v>#N/A</v>
      </c>
      <c r="F347" s="26" t="str">
        <f t="array" ref="F347">XLOOKUP($A347,Facebook_reach_raw!$A$4:$A1000,Facebook_reach_raw!$B$4:$B1000)</f>
        <v>#N/A</v>
      </c>
    </row>
    <row r="348">
      <c r="A348" s="30" t="str">
        <f>Facebook_reach_raw!$A350</f>
        <v/>
      </c>
      <c r="B348" s="29" t="str">
        <f>Facebook_interactions_raw!$A350</f>
        <v/>
      </c>
      <c r="C348" s="26" t="str">
        <f t="shared" si="1"/>
        <v/>
      </c>
      <c r="D348" s="26" t="str">
        <f t="array" ref="D348">XLOOKUP($A348,Facebook_follows_raw!$A$4:$A1000,Facebook_follows_raw!$B$4:$B1000)</f>
        <v>#N/A</v>
      </c>
      <c r="E348" s="26" t="str">
        <f t="array" ref="E348">XLOOKUP($A348,Facebook_interactions_raw!$A$4:$A1000,Facebook_interactions_raw!$B$4:$B1000)</f>
        <v>#N/A</v>
      </c>
      <c r="F348" s="26" t="str">
        <f t="array" ref="F348">XLOOKUP($A348,Facebook_reach_raw!$A$4:$A1000,Facebook_reach_raw!$B$4:$B1000)</f>
        <v>#N/A</v>
      </c>
    </row>
    <row r="349">
      <c r="A349" s="30" t="str">
        <f>Facebook_reach_raw!$A351</f>
        <v/>
      </c>
      <c r="B349" s="29" t="str">
        <f>Facebook_interactions_raw!$A351</f>
        <v/>
      </c>
      <c r="C349" s="26" t="str">
        <f t="shared" si="1"/>
        <v/>
      </c>
      <c r="D349" s="26" t="str">
        <f t="array" ref="D349">XLOOKUP($A349,Facebook_follows_raw!$A$4:$A1000,Facebook_follows_raw!$B$4:$B1000)</f>
        <v>#N/A</v>
      </c>
      <c r="E349" s="26" t="str">
        <f t="array" ref="E349">XLOOKUP($A349,Facebook_interactions_raw!$A$4:$A1000,Facebook_interactions_raw!$B$4:$B1000)</f>
        <v>#N/A</v>
      </c>
      <c r="F349" s="26" t="str">
        <f t="array" ref="F349">XLOOKUP($A349,Facebook_reach_raw!$A$4:$A1000,Facebook_reach_raw!$B$4:$B1000)</f>
        <v>#N/A</v>
      </c>
    </row>
    <row r="350">
      <c r="A350" s="30" t="str">
        <f>Facebook_reach_raw!$A352</f>
        <v/>
      </c>
      <c r="B350" s="29" t="str">
        <f>Facebook_interactions_raw!$A352</f>
        <v/>
      </c>
      <c r="C350" s="26" t="str">
        <f t="shared" si="1"/>
        <v/>
      </c>
      <c r="D350" s="26" t="str">
        <f t="array" ref="D350">XLOOKUP($A350,Facebook_follows_raw!$A$4:$A1000,Facebook_follows_raw!$B$4:$B1000)</f>
        <v>#N/A</v>
      </c>
      <c r="E350" s="26" t="str">
        <f t="array" ref="E350">XLOOKUP($A350,Facebook_interactions_raw!$A$4:$A1000,Facebook_interactions_raw!$B$4:$B1000)</f>
        <v>#N/A</v>
      </c>
      <c r="F350" s="26" t="str">
        <f t="array" ref="F350">XLOOKUP($A350,Facebook_reach_raw!$A$4:$A1000,Facebook_reach_raw!$B$4:$B1000)</f>
        <v>#N/A</v>
      </c>
    </row>
    <row r="351">
      <c r="A351" s="30" t="str">
        <f>Facebook_reach_raw!$A353</f>
        <v/>
      </c>
      <c r="B351" s="29" t="str">
        <f>Facebook_interactions_raw!$A353</f>
        <v/>
      </c>
      <c r="C351" s="26" t="str">
        <f t="shared" si="1"/>
        <v/>
      </c>
      <c r="D351" s="26" t="str">
        <f t="array" ref="D351">XLOOKUP($A351,Facebook_follows_raw!$A$4:$A1000,Facebook_follows_raw!$B$4:$B1000)</f>
        <v>#N/A</v>
      </c>
      <c r="E351" s="26" t="str">
        <f t="array" ref="E351">XLOOKUP($A351,Facebook_interactions_raw!$A$4:$A1000,Facebook_interactions_raw!$B$4:$B1000)</f>
        <v>#N/A</v>
      </c>
      <c r="F351" s="26" t="str">
        <f t="array" ref="F351">XLOOKUP($A351,Facebook_reach_raw!$A$4:$A1000,Facebook_reach_raw!$B$4:$B1000)</f>
        <v>#N/A</v>
      </c>
    </row>
    <row r="352">
      <c r="A352" s="30" t="str">
        <f>Facebook_reach_raw!$A354</f>
        <v/>
      </c>
      <c r="B352" s="29" t="str">
        <f>Facebook_interactions_raw!$A354</f>
        <v/>
      </c>
      <c r="C352" s="26" t="str">
        <f t="shared" si="1"/>
        <v/>
      </c>
      <c r="D352" s="26" t="str">
        <f t="array" ref="D352">XLOOKUP($A352,Facebook_follows_raw!$A$4:$A1000,Facebook_follows_raw!$B$4:$B1000)</f>
        <v>#N/A</v>
      </c>
      <c r="E352" s="26" t="str">
        <f t="array" ref="E352">XLOOKUP($A352,Facebook_interactions_raw!$A$4:$A1000,Facebook_interactions_raw!$B$4:$B1000)</f>
        <v>#N/A</v>
      </c>
      <c r="F352" s="26" t="str">
        <f t="array" ref="F352">XLOOKUP($A352,Facebook_reach_raw!$A$4:$A1000,Facebook_reach_raw!$B$4:$B1000)</f>
        <v>#N/A</v>
      </c>
    </row>
    <row r="353">
      <c r="A353" s="30" t="str">
        <f>Facebook_reach_raw!$A355</f>
        <v/>
      </c>
      <c r="B353" s="29" t="str">
        <f>Facebook_interactions_raw!$A355</f>
        <v/>
      </c>
      <c r="C353" s="26" t="str">
        <f t="shared" si="1"/>
        <v/>
      </c>
      <c r="D353" s="26" t="str">
        <f t="array" ref="D353">XLOOKUP($A353,Facebook_follows_raw!$A$4:$A1000,Facebook_follows_raw!$B$4:$B1000)</f>
        <v>#N/A</v>
      </c>
      <c r="E353" s="26" t="str">
        <f t="array" ref="E353">XLOOKUP($A353,Facebook_interactions_raw!$A$4:$A1000,Facebook_interactions_raw!$B$4:$B1000)</f>
        <v>#N/A</v>
      </c>
      <c r="F353" s="26" t="str">
        <f t="array" ref="F353">XLOOKUP($A353,Facebook_reach_raw!$A$4:$A1000,Facebook_reach_raw!$B$4:$B1000)</f>
        <v>#N/A</v>
      </c>
    </row>
    <row r="354">
      <c r="A354" s="30" t="str">
        <f>Facebook_reach_raw!$A356</f>
        <v/>
      </c>
      <c r="B354" s="29" t="str">
        <f>Facebook_interactions_raw!$A356</f>
        <v/>
      </c>
      <c r="C354" s="26" t="str">
        <f t="shared" si="1"/>
        <v/>
      </c>
      <c r="D354" s="26" t="str">
        <f t="array" ref="D354">XLOOKUP($A354,Facebook_follows_raw!$A$4:$A1000,Facebook_follows_raw!$B$4:$B1000)</f>
        <v>#N/A</v>
      </c>
      <c r="E354" s="26" t="str">
        <f t="array" ref="E354">XLOOKUP($A354,Facebook_interactions_raw!$A$4:$A1000,Facebook_interactions_raw!$B$4:$B1000)</f>
        <v>#N/A</v>
      </c>
      <c r="F354" s="26" t="str">
        <f t="array" ref="F354">XLOOKUP($A354,Facebook_reach_raw!$A$4:$A1000,Facebook_reach_raw!$B$4:$B1000)</f>
        <v>#N/A</v>
      </c>
    </row>
    <row r="355">
      <c r="A355" s="30" t="str">
        <f>Facebook_reach_raw!$A357</f>
        <v/>
      </c>
      <c r="B355" s="29" t="str">
        <f>Facebook_interactions_raw!$A357</f>
        <v/>
      </c>
      <c r="C355" s="26" t="str">
        <f t="shared" si="1"/>
        <v/>
      </c>
      <c r="D355" s="26" t="str">
        <f t="array" ref="D355">XLOOKUP($A355,Facebook_follows_raw!$A$4:$A1000,Facebook_follows_raw!$B$4:$B1000)</f>
        <v>#N/A</v>
      </c>
      <c r="E355" s="26" t="str">
        <f t="array" ref="E355">XLOOKUP($A355,Facebook_interactions_raw!$A$4:$A1000,Facebook_interactions_raw!$B$4:$B1000)</f>
        <v>#N/A</v>
      </c>
      <c r="F355" s="26" t="str">
        <f t="array" ref="F355">XLOOKUP($A355,Facebook_reach_raw!$A$4:$A1000,Facebook_reach_raw!$B$4:$B1000)</f>
        <v>#N/A</v>
      </c>
    </row>
    <row r="356">
      <c r="A356" s="30" t="str">
        <f>Facebook_reach_raw!$A358</f>
        <v/>
      </c>
      <c r="B356" s="29" t="str">
        <f>Facebook_interactions_raw!$A358</f>
        <v/>
      </c>
      <c r="C356" s="26" t="str">
        <f t="shared" si="1"/>
        <v/>
      </c>
      <c r="D356" s="26" t="str">
        <f t="array" ref="D356">XLOOKUP($A356,Facebook_follows_raw!$A$4:$A1000,Facebook_follows_raw!$B$4:$B1000)</f>
        <v>#N/A</v>
      </c>
      <c r="E356" s="26" t="str">
        <f t="array" ref="E356">XLOOKUP($A356,Facebook_interactions_raw!$A$4:$A1000,Facebook_interactions_raw!$B$4:$B1000)</f>
        <v>#N/A</v>
      </c>
      <c r="F356" s="26" t="str">
        <f t="array" ref="F356">XLOOKUP($A356,Facebook_reach_raw!$A$4:$A1000,Facebook_reach_raw!$B$4:$B1000)</f>
        <v>#N/A</v>
      </c>
    </row>
    <row r="357">
      <c r="A357" s="30" t="str">
        <f>Facebook_reach_raw!$A359</f>
        <v/>
      </c>
      <c r="B357" s="29" t="str">
        <f>Facebook_interactions_raw!$A359</f>
        <v/>
      </c>
      <c r="C357" s="26" t="str">
        <f t="shared" si="1"/>
        <v/>
      </c>
      <c r="D357" s="26" t="str">
        <f t="array" ref="D357">XLOOKUP($A357,Facebook_follows_raw!$A$4:$A1000,Facebook_follows_raw!$B$4:$B1000)</f>
        <v>#N/A</v>
      </c>
      <c r="E357" s="26" t="str">
        <f t="array" ref="E357">XLOOKUP($A357,Facebook_interactions_raw!$A$4:$A1000,Facebook_interactions_raw!$B$4:$B1000)</f>
        <v>#N/A</v>
      </c>
      <c r="F357" s="26" t="str">
        <f t="array" ref="F357">XLOOKUP($A357,Facebook_reach_raw!$A$4:$A1000,Facebook_reach_raw!$B$4:$B1000)</f>
        <v>#N/A</v>
      </c>
    </row>
    <row r="358">
      <c r="A358" s="30" t="str">
        <f>Facebook_reach_raw!$A360</f>
        <v/>
      </c>
      <c r="B358" s="29" t="str">
        <f>Facebook_interactions_raw!$A360</f>
        <v/>
      </c>
      <c r="C358" s="26" t="str">
        <f t="shared" si="1"/>
        <v/>
      </c>
      <c r="D358" s="26" t="str">
        <f t="array" ref="D358">XLOOKUP($A358,Facebook_follows_raw!$A$4:$A1000,Facebook_follows_raw!$B$4:$B1000)</f>
        <v>#N/A</v>
      </c>
      <c r="E358" s="26" t="str">
        <f t="array" ref="E358">XLOOKUP($A358,Facebook_interactions_raw!$A$4:$A1000,Facebook_interactions_raw!$B$4:$B1000)</f>
        <v>#N/A</v>
      </c>
      <c r="F358" s="26" t="str">
        <f t="array" ref="F358">XLOOKUP($A358,Facebook_reach_raw!$A$4:$A1000,Facebook_reach_raw!$B$4:$B1000)</f>
        <v>#N/A</v>
      </c>
    </row>
    <row r="359">
      <c r="A359" s="30" t="str">
        <f>Facebook_reach_raw!$A361</f>
        <v/>
      </c>
      <c r="B359" s="29" t="str">
        <f>Facebook_interactions_raw!$A361</f>
        <v/>
      </c>
      <c r="C359" s="26" t="str">
        <f t="shared" si="1"/>
        <v/>
      </c>
      <c r="D359" s="26" t="str">
        <f t="array" ref="D359">XLOOKUP($A359,Facebook_follows_raw!$A$4:$A1000,Facebook_follows_raw!$B$4:$B1000)</f>
        <v>#N/A</v>
      </c>
      <c r="E359" s="26" t="str">
        <f t="array" ref="E359">XLOOKUP($A359,Facebook_interactions_raw!$A$4:$A1000,Facebook_interactions_raw!$B$4:$B1000)</f>
        <v>#N/A</v>
      </c>
      <c r="F359" s="26" t="str">
        <f t="array" ref="F359">XLOOKUP($A359,Facebook_reach_raw!$A$4:$A1000,Facebook_reach_raw!$B$4:$B1000)</f>
        <v>#N/A</v>
      </c>
    </row>
    <row r="360">
      <c r="A360" s="30" t="str">
        <f>Facebook_reach_raw!$A362</f>
        <v/>
      </c>
      <c r="B360" s="29" t="str">
        <f>Facebook_interactions_raw!$A362</f>
        <v/>
      </c>
      <c r="C360" s="26" t="str">
        <f t="shared" si="1"/>
        <v/>
      </c>
      <c r="D360" s="26" t="str">
        <f t="array" ref="D360">XLOOKUP($A360,Facebook_follows_raw!$A$4:$A1000,Facebook_follows_raw!$B$4:$B1000)</f>
        <v>#N/A</v>
      </c>
      <c r="E360" s="26" t="str">
        <f t="array" ref="E360">XLOOKUP($A360,Facebook_interactions_raw!$A$4:$A1000,Facebook_interactions_raw!$B$4:$B1000)</f>
        <v>#N/A</v>
      </c>
      <c r="F360" s="26" t="str">
        <f t="array" ref="F360">XLOOKUP($A360,Facebook_reach_raw!$A$4:$A1000,Facebook_reach_raw!$B$4:$B1000)</f>
        <v>#N/A</v>
      </c>
    </row>
    <row r="361">
      <c r="A361" s="30" t="str">
        <f>Facebook_reach_raw!$A363</f>
        <v/>
      </c>
      <c r="B361" s="29" t="str">
        <f>Facebook_interactions_raw!$A363</f>
        <v/>
      </c>
      <c r="C361" s="26" t="str">
        <f t="shared" si="1"/>
        <v/>
      </c>
      <c r="D361" s="26" t="str">
        <f t="array" ref="D361">XLOOKUP($A361,Facebook_follows_raw!$A$4:$A1000,Facebook_follows_raw!$B$4:$B1000)</f>
        <v>#N/A</v>
      </c>
      <c r="E361" s="26" t="str">
        <f t="array" ref="E361">XLOOKUP($A361,Facebook_interactions_raw!$A$4:$A1000,Facebook_interactions_raw!$B$4:$B1000)</f>
        <v>#N/A</v>
      </c>
      <c r="F361" s="26" t="str">
        <f t="array" ref="F361">XLOOKUP($A361,Facebook_reach_raw!$A$4:$A1000,Facebook_reach_raw!$B$4:$B1000)</f>
        <v>#N/A</v>
      </c>
    </row>
    <row r="362">
      <c r="A362" s="30" t="str">
        <f>Facebook_reach_raw!$A364</f>
        <v/>
      </c>
      <c r="B362" s="29" t="str">
        <f>Facebook_interactions_raw!$A364</f>
        <v/>
      </c>
      <c r="C362" s="26" t="str">
        <f t="shared" si="1"/>
        <v/>
      </c>
      <c r="D362" s="26" t="str">
        <f t="array" ref="D362">XLOOKUP($A362,Facebook_follows_raw!$A$4:$A1000,Facebook_follows_raw!$B$4:$B1000)</f>
        <v>#N/A</v>
      </c>
      <c r="E362" s="26" t="str">
        <f t="array" ref="E362">XLOOKUP($A362,Facebook_interactions_raw!$A$4:$A1000,Facebook_interactions_raw!$B$4:$B1000)</f>
        <v>#N/A</v>
      </c>
      <c r="F362" s="26" t="str">
        <f t="array" ref="F362">XLOOKUP($A362,Facebook_reach_raw!$A$4:$A1000,Facebook_reach_raw!$B$4:$B1000)</f>
        <v>#N/A</v>
      </c>
    </row>
    <row r="363">
      <c r="A363" s="30" t="str">
        <f>Facebook_reach_raw!$A365</f>
        <v/>
      </c>
      <c r="B363" s="29" t="str">
        <f>Facebook_interactions_raw!$A365</f>
        <v/>
      </c>
      <c r="C363" s="26" t="str">
        <f t="shared" si="1"/>
        <v/>
      </c>
      <c r="D363" s="26" t="str">
        <f t="array" ref="D363">XLOOKUP($A363,Facebook_follows_raw!$A$4:$A1000,Facebook_follows_raw!$B$4:$B1000)</f>
        <v>#N/A</v>
      </c>
      <c r="E363" s="26" t="str">
        <f t="array" ref="E363">XLOOKUP($A363,Facebook_interactions_raw!$A$4:$A1000,Facebook_interactions_raw!$B$4:$B1000)</f>
        <v>#N/A</v>
      </c>
      <c r="F363" s="26" t="str">
        <f t="array" ref="F363">XLOOKUP($A363,Facebook_reach_raw!$A$4:$A1000,Facebook_reach_raw!$B$4:$B1000)</f>
        <v>#N/A</v>
      </c>
    </row>
    <row r="364">
      <c r="A364" s="30" t="str">
        <f>Facebook_reach_raw!$A366</f>
        <v/>
      </c>
      <c r="B364" s="29" t="str">
        <f>Facebook_interactions_raw!$A366</f>
        <v/>
      </c>
      <c r="C364" s="26" t="str">
        <f t="shared" si="1"/>
        <v/>
      </c>
      <c r="D364" s="26" t="str">
        <f t="array" ref="D364">XLOOKUP($A364,Facebook_follows_raw!$A$4:$A1000,Facebook_follows_raw!$B$4:$B1000)</f>
        <v>#N/A</v>
      </c>
      <c r="E364" s="26" t="str">
        <f t="array" ref="E364">XLOOKUP($A364,Facebook_interactions_raw!$A$4:$A1000,Facebook_interactions_raw!$B$4:$B1000)</f>
        <v>#N/A</v>
      </c>
      <c r="F364" s="26" t="str">
        <f t="array" ref="F364">XLOOKUP($A364,Facebook_reach_raw!$A$4:$A1000,Facebook_reach_raw!$B$4:$B1000)</f>
        <v>#N/A</v>
      </c>
    </row>
    <row r="365">
      <c r="A365" s="30" t="str">
        <f>Facebook_reach_raw!$A367</f>
        <v/>
      </c>
      <c r="B365" s="29" t="str">
        <f>Facebook_interactions_raw!$A367</f>
        <v/>
      </c>
      <c r="C365" s="26" t="str">
        <f t="shared" si="1"/>
        <v/>
      </c>
      <c r="D365" s="26" t="str">
        <f t="array" ref="D365">XLOOKUP($A365,Facebook_follows_raw!$A$4:$A1000,Facebook_follows_raw!$B$4:$B1000)</f>
        <v>#N/A</v>
      </c>
      <c r="E365" s="26" t="str">
        <f t="array" ref="E365">XLOOKUP($A365,Facebook_interactions_raw!$A$4:$A1000,Facebook_interactions_raw!$B$4:$B1000)</f>
        <v>#N/A</v>
      </c>
      <c r="F365" s="26" t="str">
        <f t="array" ref="F365">XLOOKUP($A365,Facebook_reach_raw!$A$4:$A1000,Facebook_reach_raw!$B$4:$B1000)</f>
        <v>#N/A</v>
      </c>
    </row>
    <row r="366">
      <c r="A366" s="30" t="str">
        <f>Facebook_reach_raw!$A368</f>
        <v/>
      </c>
      <c r="B366" s="29" t="str">
        <f>Facebook_interactions_raw!$A368</f>
        <v/>
      </c>
      <c r="C366" s="26" t="str">
        <f t="shared" si="1"/>
        <v/>
      </c>
      <c r="D366" s="26" t="str">
        <f t="array" ref="D366">XLOOKUP($A366,Facebook_follows_raw!$A$4:$A1000,Facebook_follows_raw!$B$4:$B1000)</f>
        <v>#N/A</v>
      </c>
      <c r="E366" s="26" t="str">
        <f t="array" ref="E366">XLOOKUP($A366,Facebook_interactions_raw!$A$4:$A1000,Facebook_interactions_raw!$B$4:$B1000)</f>
        <v>#N/A</v>
      </c>
      <c r="F366" s="26" t="str">
        <f t="array" ref="F366">XLOOKUP($A366,Facebook_reach_raw!$A$4:$A1000,Facebook_reach_raw!$B$4:$B1000)</f>
        <v>#N/A</v>
      </c>
    </row>
    <row r="367">
      <c r="A367" s="30" t="str">
        <f>Facebook_reach_raw!$A369</f>
        <v/>
      </c>
      <c r="B367" s="29" t="str">
        <f>Facebook_interactions_raw!$A369</f>
        <v/>
      </c>
      <c r="C367" s="26" t="str">
        <f t="shared" si="1"/>
        <v/>
      </c>
      <c r="D367" s="26" t="str">
        <f t="array" ref="D367">XLOOKUP($A367,Facebook_follows_raw!$A$4:$A1000,Facebook_follows_raw!$B$4:$B1000)</f>
        <v>#N/A</v>
      </c>
      <c r="E367" s="26" t="str">
        <f t="array" ref="E367">XLOOKUP($A367,Facebook_interactions_raw!$A$4:$A1000,Facebook_interactions_raw!$B$4:$B1000)</f>
        <v>#N/A</v>
      </c>
      <c r="F367" s="26" t="str">
        <f t="array" ref="F367">XLOOKUP($A367,Facebook_reach_raw!$A$4:$A1000,Facebook_reach_raw!$B$4:$B1000)</f>
        <v>#N/A</v>
      </c>
    </row>
    <row r="368">
      <c r="A368" s="30" t="str">
        <f>Facebook_reach_raw!$A370</f>
        <v/>
      </c>
      <c r="B368" s="29" t="str">
        <f>Facebook_interactions_raw!$A370</f>
        <v/>
      </c>
      <c r="C368" s="26" t="str">
        <f t="shared" si="1"/>
        <v/>
      </c>
      <c r="D368" s="26" t="str">
        <f t="array" ref="D368">XLOOKUP($A368,Facebook_follows_raw!$A$4:$A1000,Facebook_follows_raw!$B$4:$B1000)</f>
        <v>#N/A</v>
      </c>
      <c r="E368" s="26" t="str">
        <f t="array" ref="E368">XLOOKUP($A368,Facebook_interactions_raw!$A$4:$A1000,Facebook_interactions_raw!$B$4:$B1000)</f>
        <v>#N/A</v>
      </c>
      <c r="F368" s="26" t="str">
        <f t="array" ref="F368">XLOOKUP($A368,Facebook_reach_raw!$A$4:$A1000,Facebook_reach_raw!$B$4:$B1000)</f>
        <v>#N/A</v>
      </c>
    </row>
    <row r="369">
      <c r="A369" s="30" t="str">
        <f>Facebook_reach_raw!$A371</f>
        <v/>
      </c>
      <c r="B369" s="29" t="str">
        <f>Facebook_interactions_raw!$A371</f>
        <v/>
      </c>
      <c r="C369" s="26" t="str">
        <f t="shared" si="1"/>
        <v/>
      </c>
      <c r="D369" s="26" t="str">
        <f t="array" ref="D369">XLOOKUP($A369,Facebook_follows_raw!$A$4:$A1000,Facebook_follows_raw!$B$4:$B1000)</f>
        <v>#N/A</v>
      </c>
      <c r="E369" s="26" t="str">
        <f t="array" ref="E369">XLOOKUP($A369,Facebook_interactions_raw!$A$4:$A1000,Facebook_interactions_raw!$B$4:$B1000)</f>
        <v>#N/A</v>
      </c>
      <c r="F369" s="26" t="str">
        <f t="array" ref="F369">XLOOKUP($A369,Facebook_reach_raw!$A$4:$A1000,Facebook_reach_raw!$B$4:$B1000)</f>
        <v>#N/A</v>
      </c>
    </row>
    <row r="370">
      <c r="A370" s="30" t="str">
        <f>Facebook_reach_raw!$A372</f>
        <v/>
      </c>
      <c r="B370" s="29" t="str">
        <f>Facebook_interactions_raw!$A372</f>
        <v/>
      </c>
      <c r="C370" s="26" t="str">
        <f t="shared" si="1"/>
        <v/>
      </c>
      <c r="D370" s="26" t="str">
        <f t="array" ref="D370">XLOOKUP($A370,Facebook_follows_raw!$A$4:$A1000,Facebook_follows_raw!$B$4:$B1000)</f>
        <v>#N/A</v>
      </c>
      <c r="E370" s="26" t="str">
        <f t="array" ref="E370">XLOOKUP($A370,Facebook_interactions_raw!$A$4:$A1000,Facebook_interactions_raw!$B$4:$B1000)</f>
        <v>#N/A</v>
      </c>
      <c r="F370" s="26" t="str">
        <f t="array" ref="F370">XLOOKUP($A370,Facebook_reach_raw!$A$4:$A1000,Facebook_reach_raw!$B$4:$B1000)</f>
        <v>#N/A</v>
      </c>
    </row>
    <row r="371">
      <c r="A371" s="30" t="str">
        <f>Facebook_reach_raw!$A373</f>
        <v/>
      </c>
      <c r="B371" s="29" t="str">
        <f>Facebook_interactions_raw!$A373</f>
        <v/>
      </c>
      <c r="C371" s="26" t="str">
        <f t="shared" si="1"/>
        <v/>
      </c>
      <c r="D371" s="26" t="str">
        <f t="array" ref="D371">XLOOKUP($A371,Facebook_follows_raw!$A$4:$A1000,Facebook_follows_raw!$B$4:$B1000)</f>
        <v>#N/A</v>
      </c>
      <c r="E371" s="26" t="str">
        <f t="array" ref="E371">XLOOKUP($A371,Facebook_interactions_raw!$A$4:$A1000,Facebook_interactions_raw!$B$4:$B1000)</f>
        <v>#N/A</v>
      </c>
      <c r="F371" s="26" t="str">
        <f t="array" ref="F371">XLOOKUP($A371,Facebook_reach_raw!$A$4:$A1000,Facebook_reach_raw!$B$4:$B1000)</f>
        <v>#N/A</v>
      </c>
    </row>
    <row r="372">
      <c r="A372" s="30" t="str">
        <f>Facebook_reach_raw!$A374</f>
        <v/>
      </c>
      <c r="B372" s="29" t="str">
        <f>Facebook_interactions_raw!$A374</f>
        <v/>
      </c>
      <c r="C372" s="26" t="str">
        <f t="shared" si="1"/>
        <v/>
      </c>
      <c r="D372" s="26" t="str">
        <f t="array" ref="D372">XLOOKUP($A372,Facebook_follows_raw!$A$4:$A1000,Facebook_follows_raw!$B$4:$B1000)</f>
        <v>#N/A</v>
      </c>
      <c r="E372" s="26" t="str">
        <f t="array" ref="E372">XLOOKUP($A372,Facebook_interactions_raw!$A$4:$A1000,Facebook_interactions_raw!$B$4:$B1000)</f>
        <v>#N/A</v>
      </c>
      <c r="F372" s="26" t="str">
        <f t="array" ref="F372">XLOOKUP($A372,Facebook_reach_raw!$A$4:$A1000,Facebook_reach_raw!$B$4:$B1000)</f>
        <v>#N/A</v>
      </c>
    </row>
    <row r="373">
      <c r="A373" s="30" t="str">
        <f>Facebook_reach_raw!$A375</f>
        <v/>
      </c>
      <c r="B373" s="29" t="str">
        <f>Facebook_interactions_raw!$A375</f>
        <v/>
      </c>
      <c r="C373" s="26" t="str">
        <f t="shared" si="1"/>
        <v/>
      </c>
      <c r="D373" s="26" t="str">
        <f t="array" ref="D373">XLOOKUP($A373,Facebook_follows_raw!$A$4:$A1000,Facebook_follows_raw!$B$4:$B1000)</f>
        <v>#N/A</v>
      </c>
      <c r="E373" s="26" t="str">
        <f t="array" ref="E373">XLOOKUP($A373,Facebook_interactions_raw!$A$4:$A1000,Facebook_interactions_raw!$B$4:$B1000)</f>
        <v>#N/A</v>
      </c>
      <c r="F373" s="26" t="str">
        <f t="array" ref="F373">XLOOKUP($A373,Facebook_reach_raw!$A$4:$A1000,Facebook_reach_raw!$B$4:$B1000)</f>
        <v>#N/A</v>
      </c>
    </row>
    <row r="374">
      <c r="A374" s="30" t="str">
        <f>Facebook_reach_raw!$A376</f>
        <v/>
      </c>
      <c r="B374" s="29" t="str">
        <f>Facebook_interactions_raw!$A376</f>
        <v/>
      </c>
      <c r="C374" s="26" t="str">
        <f t="shared" si="1"/>
        <v/>
      </c>
      <c r="D374" s="26" t="str">
        <f t="array" ref="D374">XLOOKUP($A374,Facebook_follows_raw!$A$4:$A1000,Facebook_follows_raw!$B$4:$B1000)</f>
        <v>#N/A</v>
      </c>
      <c r="E374" s="26" t="str">
        <f t="array" ref="E374">XLOOKUP($A374,Facebook_interactions_raw!$A$4:$A1000,Facebook_interactions_raw!$B$4:$B1000)</f>
        <v>#N/A</v>
      </c>
      <c r="F374" s="26" t="str">
        <f t="array" ref="F374">XLOOKUP($A374,Facebook_reach_raw!$A$4:$A1000,Facebook_reach_raw!$B$4:$B1000)</f>
        <v>#N/A</v>
      </c>
    </row>
    <row r="375">
      <c r="A375" s="30" t="str">
        <f>Facebook_reach_raw!$A377</f>
        <v/>
      </c>
      <c r="B375" s="29" t="str">
        <f>Facebook_interactions_raw!$A377</f>
        <v/>
      </c>
      <c r="C375" s="26" t="str">
        <f t="shared" si="1"/>
        <v/>
      </c>
      <c r="D375" s="26" t="str">
        <f t="array" ref="D375">XLOOKUP($A375,Facebook_follows_raw!$A$4:$A1000,Facebook_follows_raw!$B$4:$B1000)</f>
        <v>#N/A</v>
      </c>
      <c r="E375" s="26" t="str">
        <f t="array" ref="E375">XLOOKUP($A375,Facebook_interactions_raw!$A$4:$A1000,Facebook_interactions_raw!$B$4:$B1000)</f>
        <v>#N/A</v>
      </c>
      <c r="F375" s="26" t="str">
        <f t="array" ref="F375">XLOOKUP($A375,Facebook_reach_raw!$A$4:$A1000,Facebook_reach_raw!$B$4:$B1000)</f>
        <v>#N/A</v>
      </c>
    </row>
    <row r="376">
      <c r="A376" s="30" t="str">
        <f>Facebook_reach_raw!$A378</f>
        <v/>
      </c>
      <c r="B376" s="29" t="str">
        <f>Facebook_interactions_raw!$A378</f>
        <v/>
      </c>
      <c r="C376" s="26" t="str">
        <f t="shared" si="1"/>
        <v/>
      </c>
      <c r="D376" s="26" t="str">
        <f t="array" ref="D376">XLOOKUP($A376,Facebook_follows_raw!$A$4:$A1000,Facebook_follows_raw!$B$4:$B1000)</f>
        <v>#N/A</v>
      </c>
      <c r="E376" s="26" t="str">
        <f t="array" ref="E376">XLOOKUP($A376,Facebook_interactions_raw!$A$4:$A1000,Facebook_interactions_raw!$B$4:$B1000)</f>
        <v>#N/A</v>
      </c>
      <c r="F376" s="26" t="str">
        <f t="array" ref="F376">XLOOKUP($A376,Facebook_reach_raw!$A$4:$A1000,Facebook_reach_raw!$B$4:$B1000)</f>
        <v>#N/A</v>
      </c>
    </row>
    <row r="377">
      <c r="A377" s="30" t="str">
        <f>Facebook_reach_raw!$A379</f>
        <v/>
      </c>
      <c r="B377" s="29" t="str">
        <f>Facebook_interactions_raw!$A379</f>
        <v/>
      </c>
      <c r="C377" s="26" t="str">
        <f t="shared" si="1"/>
        <v/>
      </c>
      <c r="D377" s="26" t="str">
        <f t="array" ref="D377">XLOOKUP($A377,Facebook_follows_raw!$A$4:$A1000,Facebook_follows_raw!$B$4:$B1000)</f>
        <v>#N/A</v>
      </c>
      <c r="E377" s="26" t="str">
        <f t="array" ref="E377">XLOOKUP($A377,Facebook_interactions_raw!$A$4:$A1000,Facebook_interactions_raw!$B$4:$B1000)</f>
        <v>#N/A</v>
      </c>
      <c r="F377" s="26" t="str">
        <f t="array" ref="F377">XLOOKUP($A377,Facebook_reach_raw!$A$4:$A1000,Facebook_reach_raw!$B$4:$B1000)</f>
        <v>#N/A</v>
      </c>
    </row>
    <row r="378">
      <c r="A378" s="30" t="str">
        <f>Facebook_reach_raw!$A380</f>
        <v/>
      </c>
      <c r="B378" s="29" t="str">
        <f>Facebook_interactions_raw!$A380</f>
        <v/>
      </c>
      <c r="C378" s="26" t="str">
        <f t="shared" si="1"/>
        <v/>
      </c>
      <c r="D378" s="26" t="str">
        <f t="array" ref="D378">XLOOKUP($A378,Facebook_follows_raw!$A$4:$A1000,Facebook_follows_raw!$B$4:$B1000)</f>
        <v>#N/A</v>
      </c>
      <c r="E378" s="26" t="str">
        <f t="array" ref="E378">XLOOKUP($A378,Facebook_interactions_raw!$A$4:$A1000,Facebook_interactions_raw!$B$4:$B1000)</f>
        <v>#N/A</v>
      </c>
      <c r="F378" s="26" t="str">
        <f t="array" ref="F378">XLOOKUP($A378,Facebook_reach_raw!$A$4:$A1000,Facebook_reach_raw!$B$4:$B1000)</f>
        <v>#N/A</v>
      </c>
    </row>
    <row r="379">
      <c r="A379" s="30" t="str">
        <f>Facebook_reach_raw!$A381</f>
        <v/>
      </c>
      <c r="B379" s="29" t="str">
        <f>Facebook_interactions_raw!$A381</f>
        <v/>
      </c>
      <c r="C379" s="26" t="str">
        <f t="shared" si="1"/>
        <v/>
      </c>
      <c r="D379" s="26" t="str">
        <f t="array" ref="D379">XLOOKUP($A379,Facebook_follows_raw!$A$4:$A1000,Facebook_follows_raw!$B$4:$B1000)</f>
        <v>#N/A</v>
      </c>
      <c r="E379" s="26" t="str">
        <f t="array" ref="E379">XLOOKUP($A379,Facebook_interactions_raw!$A$4:$A1000,Facebook_interactions_raw!$B$4:$B1000)</f>
        <v>#N/A</v>
      </c>
      <c r="F379" s="26" t="str">
        <f t="array" ref="F379">XLOOKUP($A379,Facebook_reach_raw!$A$4:$A1000,Facebook_reach_raw!$B$4:$B1000)</f>
        <v>#N/A</v>
      </c>
    </row>
    <row r="380">
      <c r="A380" s="30" t="str">
        <f>Facebook_reach_raw!$A382</f>
        <v/>
      </c>
      <c r="B380" s="29" t="str">
        <f>Facebook_interactions_raw!$A382</f>
        <v/>
      </c>
      <c r="C380" s="26" t="str">
        <f t="shared" si="1"/>
        <v/>
      </c>
      <c r="D380" s="26" t="str">
        <f t="array" ref="D380">XLOOKUP($A380,Facebook_follows_raw!$A$4:$A1000,Facebook_follows_raw!$B$4:$B1000)</f>
        <v>#N/A</v>
      </c>
      <c r="E380" s="26" t="str">
        <f t="array" ref="E380">XLOOKUP($A380,Facebook_interactions_raw!$A$4:$A1000,Facebook_interactions_raw!$B$4:$B1000)</f>
        <v>#N/A</v>
      </c>
      <c r="F380" s="26" t="str">
        <f t="array" ref="F380">XLOOKUP($A380,Facebook_reach_raw!$A$4:$A1000,Facebook_reach_raw!$B$4:$B1000)</f>
        <v>#N/A</v>
      </c>
    </row>
    <row r="381">
      <c r="A381" s="30" t="str">
        <f>Facebook_reach_raw!$A383</f>
        <v/>
      </c>
      <c r="B381" s="29" t="str">
        <f>Facebook_interactions_raw!$A383</f>
        <v/>
      </c>
      <c r="C381" s="26" t="str">
        <f t="shared" si="1"/>
        <v/>
      </c>
      <c r="D381" s="26" t="str">
        <f t="array" ref="D381">XLOOKUP($A381,Facebook_follows_raw!$A$4:$A1000,Facebook_follows_raw!$B$4:$B1000)</f>
        <v>#N/A</v>
      </c>
      <c r="E381" s="26" t="str">
        <f t="array" ref="E381">XLOOKUP($A381,Facebook_interactions_raw!$A$4:$A1000,Facebook_interactions_raw!$B$4:$B1000)</f>
        <v>#N/A</v>
      </c>
      <c r="F381" s="26" t="str">
        <f t="array" ref="F381">XLOOKUP($A381,Facebook_reach_raw!$A$4:$A1000,Facebook_reach_raw!$B$4:$B1000)</f>
        <v>#N/A</v>
      </c>
    </row>
    <row r="382">
      <c r="A382" s="30" t="str">
        <f>Facebook_reach_raw!$A384</f>
        <v/>
      </c>
      <c r="B382" s="29" t="str">
        <f>Facebook_interactions_raw!$A384</f>
        <v/>
      </c>
      <c r="C382" s="26" t="str">
        <f t="shared" si="1"/>
        <v/>
      </c>
      <c r="D382" s="26" t="str">
        <f t="array" ref="D382">XLOOKUP($A382,Facebook_follows_raw!$A$4:$A1000,Facebook_follows_raw!$B$4:$B1000)</f>
        <v>#N/A</v>
      </c>
      <c r="E382" s="26" t="str">
        <f t="array" ref="E382">XLOOKUP($A382,Facebook_interactions_raw!$A$4:$A1000,Facebook_interactions_raw!$B$4:$B1000)</f>
        <v>#N/A</v>
      </c>
      <c r="F382" s="26" t="str">
        <f t="array" ref="F382">XLOOKUP($A382,Facebook_reach_raw!$A$4:$A1000,Facebook_reach_raw!$B$4:$B1000)</f>
        <v>#N/A</v>
      </c>
    </row>
    <row r="383">
      <c r="A383" s="30" t="str">
        <f>Facebook_reach_raw!$A385</f>
        <v/>
      </c>
      <c r="B383" s="29" t="str">
        <f>Facebook_interactions_raw!$A385</f>
        <v/>
      </c>
      <c r="C383" s="26" t="str">
        <f t="shared" si="1"/>
        <v/>
      </c>
      <c r="D383" s="26" t="str">
        <f t="array" ref="D383">XLOOKUP($A383,Facebook_follows_raw!$A$4:$A1000,Facebook_follows_raw!$B$4:$B1000)</f>
        <v>#N/A</v>
      </c>
      <c r="E383" s="26" t="str">
        <f t="array" ref="E383">XLOOKUP($A383,Facebook_interactions_raw!$A$4:$A1000,Facebook_interactions_raw!$B$4:$B1000)</f>
        <v>#N/A</v>
      </c>
      <c r="F383" s="26" t="str">
        <f t="array" ref="F383">XLOOKUP($A383,Facebook_reach_raw!$A$4:$A1000,Facebook_reach_raw!$B$4:$B1000)</f>
        <v>#N/A</v>
      </c>
    </row>
    <row r="384">
      <c r="A384" s="30" t="str">
        <f>Facebook_reach_raw!$A386</f>
        <v/>
      </c>
      <c r="B384" s="29" t="str">
        <f>Facebook_interactions_raw!$A386</f>
        <v/>
      </c>
      <c r="C384" s="26" t="str">
        <f t="shared" si="1"/>
        <v/>
      </c>
      <c r="D384" s="26" t="str">
        <f t="array" ref="D384">XLOOKUP($A384,Facebook_follows_raw!$A$4:$A1000,Facebook_follows_raw!$B$4:$B1000)</f>
        <v>#N/A</v>
      </c>
      <c r="E384" s="26" t="str">
        <f t="array" ref="E384">XLOOKUP($A384,Facebook_interactions_raw!$A$4:$A1000,Facebook_interactions_raw!$B$4:$B1000)</f>
        <v>#N/A</v>
      </c>
      <c r="F384" s="26" t="str">
        <f t="array" ref="F384">XLOOKUP($A384,Facebook_reach_raw!$A$4:$A1000,Facebook_reach_raw!$B$4:$B1000)</f>
        <v>#N/A</v>
      </c>
    </row>
    <row r="385">
      <c r="A385" s="30" t="str">
        <f>Facebook_reach_raw!$A387</f>
        <v/>
      </c>
      <c r="B385" s="29" t="str">
        <f>Facebook_interactions_raw!$A387</f>
        <v/>
      </c>
      <c r="C385" s="26" t="str">
        <f t="shared" si="1"/>
        <v/>
      </c>
      <c r="D385" s="26" t="str">
        <f t="array" ref="D385">XLOOKUP($A385,Facebook_follows_raw!$A$4:$A1000,Facebook_follows_raw!$B$4:$B1000)</f>
        <v>#N/A</v>
      </c>
      <c r="E385" s="26" t="str">
        <f t="array" ref="E385">XLOOKUP($A385,Facebook_interactions_raw!$A$4:$A1000,Facebook_interactions_raw!$B$4:$B1000)</f>
        <v>#N/A</v>
      </c>
      <c r="F385" s="26" t="str">
        <f t="array" ref="F385">XLOOKUP($A385,Facebook_reach_raw!$A$4:$A1000,Facebook_reach_raw!$B$4:$B1000)</f>
        <v>#N/A</v>
      </c>
    </row>
    <row r="386">
      <c r="A386" s="30" t="str">
        <f>Facebook_reach_raw!$A388</f>
        <v/>
      </c>
      <c r="B386" s="29" t="str">
        <f>Facebook_interactions_raw!$A388</f>
        <v/>
      </c>
      <c r="C386" s="26" t="str">
        <f t="shared" si="1"/>
        <v/>
      </c>
      <c r="D386" s="26" t="str">
        <f t="array" ref="D386">XLOOKUP($A386,Facebook_follows_raw!$A$4:$A1000,Facebook_follows_raw!$B$4:$B1000)</f>
        <v>#N/A</v>
      </c>
      <c r="E386" s="26" t="str">
        <f t="array" ref="E386">XLOOKUP($A386,Facebook_interactions_raw!$A$4:$A1000,Facebook_interactions_raw!$B$4:$B1000)</f>
        <v>#N/A</v>
      </c>
      <c r="F386" s="26" t="str">
        <f t="array" ref="F386">XLOOKUP($A386,Facebook_reach_raw!$A$4:$A1000,Facebook_reach_raw!$B$4:$B1000)</f>
        <v>#N/A</v>
      </c>
    </row>
    <row r="387">
      <c r="A387" s="30" t="str">
        <f>Facebook_reach_raw!$A389</f>
        <v/>
      </c>
      <c r="B387" s="29" t="str">
        <f>Facebook_interactions_raw!$A389</f>
        <v/>
      </c>
      <c r="C387" s="26" t="str">
        <f t="shared" si="1"/>
        <v/>
      </c>
      <c r="D387" s="26" t="str">
        <f t="array" ref="D387">XLOOKUP($A387,Facebook_follows_raw!$A$4:$A1000,Facebook_follows_raw!$B$4:$B1000)</f>
        <v>#N/A</v>
      </c>
      <c r="E387" s="26" t="str">
        <f t="array" ref="E387">XLOOKUP($A387,Facebook_interactions_raw!$A$4:$A1000,Facebook_interactions_raw!$B$4:$B1000)</f>
        <v>#N/A</v>
      </c>
      <c r="F387" s="26" t="str">
        <f t="array" ref="F387">XLOOKUP($A387,Facebook_reach_raw!$A$4:$A1000,Facebook_reach_raw!$B$4:$B1000)</f>
        <v>#N/A</v>
      </c>
    </row>
    <row r="388">
      <c r="A388" s="30" t="str">
        <f>Facebook_reach_raw!$A390</f>
        <v/>
      </c>
      <c r="B388" s="29" t="str">
        <f>Facebook_interactions_raw!$A390</f>
        <v/>
      </c>
      <c r="C388" s="26" t="str">
        <f t="shared" si="1"/>
        <v/>
      </c>
      <c r="D388" s="26" t="str">
        <f t="array" ref="D388">XLOOKUP($A388,Facebook_follows_raw!$A$4:$A1000,Facebook_follows_raw!$B$4:$B1000)</f>
        <v>#N/A</v>
      </c>
      <c r="E388" s="26" t="str">
        <f t="array" ref="E388">XLOOKUP($A388,Facebook_interactions_raw!$A$4:$A1000,Facebook_interactions_raw!$B$4:$B1000)</f>
        <v>#N/A</v>
      </c>
      <c r="F388" s="26" t="str">
        <f t="array" ref="F388">XLOOKUP($A388,Facebook_reach_raw!$A$4:$A1000,Facebook_reach_raw!$B$4:$B1000)</f>
        <v>#N/A</v>
      </c>
    </row>
    <row r="389">
      <c r="A389" s="30" t="str">
        <f>Facebook_reach_raw!$A391</f>
        <v/>
      </c>
      <c r="B389" s="29" t="str">
        <f>Facebook_interactions_raw!$A391</f>
        <v/>
      </c>
      <c r="C389" s="26" t="str">
        <f t="shared" si="1"/>
        <v/>
      </c>
      <c r="D389" s="26" t="str">
        <f t="array" ref="D389">XLOOKUP($A389,Facebook_follows_raw!$A$4:$A1000,Facebook_follows_raw!$B$4:$B1000)</f>
        <v>#N/A</v>
      </c>
      <c r="E389" s="26" t="str">
        <f t="array" ref="E389">XLOOKUP($A389,Facebook_interactions_raw!$A$4:$A1000,Facebook_interactions_raw!$B$4:$B1000)</f>
        <v>#N/A</v>
      </c>
      <c r="F389" s="26" t="str">
        <f t="array" ref="F389">XLOOKUP($A389,Facebook_reach_raw!$A$4:$A1000,Facebook_reach_raw!$B$4:$B1000)</f>
        <v>#N/A</v>
      </c>
    </row>
    <row r="390">
      <c r="A390" s="30" t="str">
        <f>Facebook_reach_raw!$A392</f>
        <v/>
      </c>
      <c r="B390" s="29" t="str">
        <f>Facebook_interactions_raw!$A392</f>
        <v/>
      </c>
      <c r="C390" s="26" t="str">
        <f t="shared" si="1"/>
        <v/>
      </c>
      <c r="D390" s="26" t="str">
        <f t="array" ref="D390">XLOOKUP($A390,Facebook_follows_raw!$A$4:$A1000,Facebook_follows_raw!$B$4:$B1000)</f>
        <v>#N/A</v>
      </c>
      <c r="E390" s="26" t="str">
        <f t="array" ref="E390">XLOOKUP($A390,Facebook_interactions_raw!$A$4:$A1000,Facebook_interactions_raw!$B$4:$B1000)</f>
        <v>#N/A</v>
      </c>
      <c r="F390" s="26" t="str">
        <f t="array" ref="F390">XLOOKUP($A390,Facebook_reach_raw!$A$4:$A1000,Facebook_reach_raw!$B$4:$B1000)</f>
        <v>#N/A</v>
      </c>
    </row>
    <row r="391">
      <c r="A391" s="30" t="str">
        <f>Facebook_reach_raw!$A393</f>
        <v/>
      </c>
      <c r="B391" s="29" t="str">
        <f>Facebook_interactions_raw!$A393</f>
        <v/>
      </c>
      <c r="C391" s="26" t="str">
        <f t="shared" si="1"/>
        <v/>
      </c>
      <c r="D391" s="26" t="str">
        <f t="array" ref="D391">XLOOKUP($A391,Facebook_follows_raw!$A$4:$A1000,Facebook_follows_raw!$B$4:$B1000)</f>
        <v>#N/A</v>
      </c>
      <c r="E391" s="26" t="str">
        <f t="array" ref="E391">XLOOKUP($A391,Facebook_interactions_raw!$A$4:$A1000,Facebook_interactions_raw!$B$4:$B1000)</f>
        <v>#N/A</v>
      </c>
      <c r="F391" s="26" t="str">
        <f t="array" ref="F391">XLOOKUP($A391,Facebook_reach_raw!$A$4:$A1000,Facebook_reach_raw!$B$4:$B1000)</f>
        <v>#N/A</v>
      </c>
    </row>
    <row r="392">
      <c r="A392" s="30" t="str">
        <f>Facebook_reach_raw!$A394</f>
        <v/>
      </c>
      <c r="B392" s="29" t="str">
        <f>Facebook_interactions_raw!$A394</f>
        <v/>
      </c>
      <c r="C392" s="26" t="str">
        <f t="shared" si="1"/>
        <v/>
      </c>
      <c r="D392" s="26" t="str">
        <f t="array" ref="D392">XLOOKUP($A392,Facebook_follows_raw!$A$4:$A1000,Facebook_follows_raw!$B$4:$B1000)</f>
        <v>#N/A</v>
      </c>
      <c r="E392" s="26" t="str">
        <f t="array" ref="E392">XLOOKUP($A392,Facebook_interactions_raw!$A$4:$A1000,Facebook_interactions_raw!$B$4:$B1000)</f>
        <v>#N/A</v>
      </c>
      <c r="F392" s="26" t="str">
        <f t="array" ref="F392">XLOOKUP($A392,Facebook_reach_raw!$A$4:$A1000,Facebook_reach_raw!$B$4:$B1000)</f>
        <v>#N/A</v>
      </c>
    </row>
    <row r="393">
      <c r="A393" s="30" t="str">
        <f>Facebook_reach_raw!$A395</f>
        <v/>
      </c>
      <c r="B393" s="29" t="str">
        <f>Facebook_interactions_raw!$A395</f>
        <v/>
      </c>
      <c r="C393" s="26" t="str">
        <f t="shared" si="1"/>
        <v/>
      </c>
      <c r="D393" s="26" t="str">
        <f t="array" ref="D393">XLOOKUP($A393,Facebook_follows_raw!$A$4:$A1000,Facebook_follows_raw!$B$4:$B1000)</f>
        <v>#N/A</v>
      </c>
      <c r="E393" s="26" t="str">
        <f t="array" ref="E393">XLOOKUP($A393,Facebook_interactions_raw!$A$4:$A1000,Facebook_interactions_raw!$B$4:$B1000)</f>
        <v>#N/A</v>
      </c>
      <c r="F393" s="26" t="str">
        <f t="array" ref="F393">XLOOKUP($A393,Facebook_reach_raw!$A$4:$A1000,Facebook_reach_raw!$B$4:$B1000)</f>
        <v>#N/A</v>
      </c>
    </row>
    <row r="394">
      <c r="A394" s="30" t="str">
        <f>Facebook_reach_raw!$A396</f>
        <v/>
      </c>
      <c r="B394" s="29" t="str">
        <f>Facebook_interactions_raw!$A396</f>
        <v/>
      </c>
      <c r="C394" s="26" t="str">
        <f t="shared" si="1"/>
        <v/>
      </c>
      <c r="D394" s="26" t="str">
        <f t="array" ref="D394">XLOOKUP($A394,Facebook_follows_raw!$A$4:$A1000,Facebook_follows_raw!$B$4:$B1000)</f>
        <v>#N/A</v>
      </c>
      <c r="E394" s="26" t="str">
        <f t="array" ref="E394">XLOOKUP($A394,Facebook_interactions_raw!$A$4:$A1000,Facebook_interactions_raw!$B$4:$B1000)</f>
        <v>#N/A</v>
      </c>
      <c r="F394" s="26" t="str">
        <f t="array" ref="F394">XLOOKUP($A394,Facebook_reach_raw!$A$4:$A1000,Facebook_reach_raw!$B$4:$B1000)</f>
        <v>#N/A</v>
      </c>
    </row>
    <row r="395">
      <c r="A395" s="30" t="str">
        <f>Facebook_reach_raw!$A397</f>
        <v/>
      </c>
      <c r="B395" s="29" t="str">
        <f>Facebook_interactions_raw!$A397</f>
        <v/>
      </c>
      <c r="C395" s="26" t="str">
        <f t="shared" si="1"/>
        <v/>
      </c>
      <c r="D395" s="26" t="str">
        <f t="array" ref="D395">XLOOKUP($A395,Facebook_follows_raw!$A$4:$A1000,Facebook_follows_raw!$B$4:$B1000)</f>
        <v>#N/A</v>
      </c>
      <c r="E395" s="26" t="str">
        <f t="array" ref="E395">XLOOKUP($A395,Facebook_interactions_raw!$A$4:$A1000,Facebook_interactions_raw!$B$4:$B1000)</f>
        <v>#N/A</v>
      </c>
      <c r="F395" s="26" t="str">
        <f t="array" ref="F395">XLOOKUP($A395,Facebook_reach_raw!$A$4:$A1000,Facebook_reach_raw!$B$4:$B1000)</f>
        <v>#N/A</v>
      </c>
    </row>
    <row r="396">
      <c r="A396" s="30" t="str">
        <f>Facebook_reach_raw!$A398</f>
        <v/>
      </c>
      <c r="B396" s="29" t="str">
        <f>Facebook_interactions_raw!$A398</f>
        <v/>
      </c>
      <c r="C396" s="26" t="str">
        <f t="shared" si="1"/>
        <v/>
      </c>
      <c r="D396" s="26" t="str">
        <f t="array" ref="D396">XLOOKUP($A396,Facebook_follows_raw!$A$4:$A1000,Facebook_follows_raw!$B$4:$B1000)</f>
        <v>#N/A</v>
      </c>
      <c r="E396" s="26" t="str">
        <f t="array" ref="E396">XLOOKUP($A396,Facebook_interactions_raw!$A$4:$A1000,Facebook_interactions_raw!$B$4:$B1000)</f>
        <v>#N/A</v>
      </c>
      <c r="F396" s="26" t="str">
        <f t="array" ref="F396">XLOOKUP($A396,Facebook_reach_raw!$A$4:$A1000,Facebook_reach_raw!$B$4:$B1000)</f>
        <v>#N/A</v>
      </c>
    </row>
    <row r="397">
      <c r="A397" s="30" t="str">
        <f>Facebook_reach_raw!$A399</f>
        <v/>
      </c>
      <c r="B397" s="29" t="str">
        <f>Facebook_interactions_raw!$A399</f>
        <v/>
      </c>
      <c r="C397" s="26" t="str">
        <f t="shared" si="1"/>
        <v/>
      </c>
      <c r="D397" s="26" t="str">
        <f t="array" ref="D397">XLOOKUP($A397,Facebook_follows_raw!$A$4:$A1000,Facebook_follows_raw!$B$4:$B1000)</f>
        <v>#N/A</v>
      </c>
      <c r="E397" s="26" t="str">
        <f t="array" ref="E397">XLOOKUP($A397,Facebook_interactions_raw!$A$4:$A1000,Facebook_interactions_raw!$B$4:$B1000)</f>
        <v>#N/A</v>
      </c>
      <c r="F397" s="26" t="str">
        <f t="array" ref="F397">XLOOKUP($A397,Facebook_reach_raw!$A$4:$A1000,Facebook_reach_raw!$B$4:$B1000)</f>
        <v>#N/A</v>
      </c>
    </row>
    <row r="398">
      <c r="A398" s="30" t="str">
        <f>Facebook_reach_raw!$A400</f>
        <v/>
      </c>
      <c r="B398" s="29" t="str">
        <f>Facebook_interactions_raw!$A400</f>
        <v/>
      </c>
      <c r="C398" s="26" t="str">
        <f t="shared" si="1"/>
        <v/>
      </c>
      <c r="D398" s="26" t="str">
        <f t="array" ref="D398">XLOOKUP($A398,Facebook_follows_raw!$A$4:$A1000,Facebook_follows_raw!$B$4:$B1000)</f>
        <v>#N/A</v>
      </c>
      <c r="E398" s="26" t="str">
        <f t="array" ref="E398">XLOOKUP($A398,Facebook_interactions_raw!$A$4:$A1000,Facebook_interactions_raw!$B$4:$B1000)</f>
        <v>#N/A</v>
      </c>
      <c r="F398" s="26" t="str">
        <f t="array" ref="F398">XLOOKUP($A398,Facebook_reach_raw!$A$4:$A1000,Facebook_reach_raw!$B$4:$B1000)</f>
        <v>#N/A</v>
      </c>
    </row>
    <row r="399">
      <c r="A399" s="30" t="str">
        <f>Facebook_reach_raw!$A401</f>
        <v/>
      </c>
      <c r="B399" s="29" t="str">
        <f>Facebook_interactions_raw!$A401</f>
        <v/>
      </c>
      <c r="C399" s="26" t="str">
        <f t="shared" si="1"/>
        <v/>
      </c>
      <c r="D399" s="26" t="str">
        <f t="array" ref="D399">XLOOKUP($A399,Facebook_follows_raw!$A$4:$A1000,Facebook_follows_raw!$B$4:$B1000)</f>
        <v>#N/A</v>
      </c>
      <c r="E399" s="26" t="str">
        <f t="array" ref="E399">XLOOKUP($A399,Facebook_interactions_raw!$A$4:$A1000,Facebook_interactions_raw!$B$4:$B1000)</f>
        <v>#N/A</v>
      </c>
      <c r="F399" s="26" t="str">
        <f t="array" ref="F399">XLOOKUP($A399,Facebook_reach_raw!$A$4:$A1000,Facebook_reach_raw!$B$4:$B1000)</f>
        <v>#N/A</v>
      </c>
    </row>
    <row r="400">
      <c r="A400" s="30" t="str">
        <f>Facebook_reach_raw!$A402</f>
        <v/>
      </c>
      <c r="B400" s="29" t="str">
        <f>Facebook_interactions_raw!$A402</f>
        <v/>
      </c>
      <c r="C400" s="26" t="str">
        <f t="shared" si="1"/>
        <v/>
      </c>
      <c r="D400" s="26" t="str">
        <f t="array" ref="D400">XLOOKUP($A400,Facebook_follows_raw!$A$4:$A1000,Facebook_follows_raw!$B$4:$B1000)</f>
        <v>#N/A</v>
      </c>
      <c r="E400" s="26" t="str">
        <f t="array" ref="E400">XLOOKUP($A400,Facebook_interactions_raw!$A$4:$A1000,Facebook_interactions_raw!$B$4:$B1000)</f>
        <v>#N/A</v>
      </c>
      <c r="F400" s="26" t="str">
        <f t="array" ref="F400">XLOOKUP($A400,Facebook_reach_raw!$A$4:$A1000,Facebook_reach_raw!$B$4:$B1000)</f>
        <v>#N/A</v>
      </c>
    </row>
    <row r="401">
      <c r="A401" s="30" t="str">
        <f>Facebook_reach_raw!$A403</f>
        <v/>
      </c>
      <c r="B401" s="29" t="str">
        <f>Facebook_interactions_raw!$A403</f>
        <v/>
      </c>
      <c r="C401" s="26" t="str">
        <f t="shared" si="1"/>
        <v/>
      </c>
      <c r="D401" s="26" t="str">
        <f t="array" ref="D401">XLOOKUP($A401,Facebook_follows_raw!$A$4:$A1000,Facebook_follows_raw!$B$4:$B1000)</f>
        <v>#N/A</v>
      </c>
      <c r="E401" s="26" t="str">
        <f t="array" ref="E401">XLOOKUP($A401,Facebook_interactions_raw!$A$4:$A1000,Facebook_interactions_raw!$B$4:$B1000)</f>
        <v>#N/A</v>
      </c>
      <c r="F401" s="26" t="str">
        <f t="array" ref="F401">XLOOKUP($A401,Facebook_reach_raw!$A$4:$A1000,Facebook_reach_raw!$B$4:$B1000)</f>
        <v>#N/A</v>
      </c>
    </row>
    <row r="402">
      <c r="A402" s="30" t="str">
        <f>Facebook_reach_raw!$A404</f>
        <v/>
      </c>
      <c r="B402" s="29" t="str">
        <f>Facebook_interactions_raw!$A404</f>
        <v/>
      </c>
      <c r="C402" s="26" t="str">
        <f t="shared" si="1"/>
        <v/>
      </c>
      <c r="D402" s="26" t="str">
        <f t="array" ref="D402">XLOOKUP($A402,Facebook_follows_raw!$A$4:$A1000,Facebook_follows_raw!$B$4:$B1000)</f>
        <v>#N/A</v>
      </c>
      <c r="E402" s="26" t="str">
        <f t="array" ref="E402">XLOOKUP($A402,Facebook_interactions_raw!$A$4:$A1000,Facebook_interactions_raw!$B$4:$B1000)</f>
        <v>#N/A</v>
      </c>
      <c r="F402" s="26" t="str">
        <f t="array" ref="F402">XLOOKUP($A402,Facebook_reach_raw!$A$4:$A1000,Facebook_reach_raw!$B$4:$B1000)</f>
        <v>#N/A</v>
      </c>
    </row>
    <row r="403">
      <c r="A403" s="30" t="str">
        <f>Facebook_reach_raw!$A405</f>
        <v/>
      </c>
      <c r="B403" s="29" t="str">
        <f>Facebook_interactions_raw!$A405</f>
        <v/>
      </c>
      <c r="C403" s="26" t="str">
        <f t="shared" si="1"/>
        <v/>
      </c>
      <c r="D403" s="26" t="str">
        <f t="array" ref="D403">XLOOKUP($A403,Facebook_follows_raw!$A$4:$A1000,Facebook_follows_raw!$B$4:$B1000)</f>
        <v>#N/A</v>
      </c>
      <c r="E403" s="26" t="str">
        <f t="array" ref="E403">XLOOKUP($A403,Facebook_interactions_raw!$A$4:$A1000,Facebook_interactions_raw!$B$4:$B1000)</f>
        <v>#N/A</v>
      </c>
      <c r="F403" s="26" t="str">
        <f t="array" ref="F403">XLOOKUP($A403,Facebook_reach_raw!$A$4:$A1000,Facebook_reach_raw!$B$4:$B1000)</f>
        <v>#N/A</v>
      </c>
    </row>
    <row r="404">
      <c r="A404" s="30" t="str">
        <f>Facebook_reach_raw!$A406</f>
        <v/>
      </c>
      <c r="B404" s="29" t="str">
        <f>Facebook_interactions_raw!$A406</f>
        <v/>
      </c>
      <c r="C404" s="26" t="str">
        <f t="shared" si="1"/>
        <v/>
      </c>
      <c r="D404" s="26" t="str">
        <f t="array" ref="D404">XLOOKUP($A404,Facebook_follows_raw!$A$4:$A1000,Facebook_follows_raw!$B$4:$B1000)</f>
        <v>#N/A</v>
      </c>
      <c r="E404" s="26" t="str">
        <f t="array" ref="E404">XLOOKUP($A404,Facebook_interactions_raw!$A$4:$A1000,Facebook_interactions_raw!$B$4:$B1000)</f>
        <v>#N/A</v>
      </c>
      <c r="F404" s="26" t="str">
        <f t="array" ref="F404">XLOOKUP($A404,Facebook_reach_raw!$A$4:$A1000,Facebook_reach_raw!$B$4:$B1000)</f>
        <v>#N/A</v>
      </c>
    </row>
    <row r="405">
      <c r="A405" s="30" t="str">
        <f>Facebook_reach_raw!$A407</f>
        <v/>
      </c>
      <c r="B405" s="29" t="str">
        <f>Facebook_interactions_raw!$A407</f>
        <v/>
      </c>
      <c r="C405" s="26" t="str">
        <f t="shared" si="1"/>
        <v/>
      </c>
      <c r="D405" s="26" t="str">
        <f t="array" ref="D405">XLOOKUP($A405,Facebook_follows_raw!$A$4:$A1000,Facebook_follows_raw!$B$4:$B1000)</f>
        <v>#N/A</v>
      </c>
      <c r="E405" s="26" t="str">
        <f t="array" ref="E405">XLOOKUP($A405,Facebook_interactions_raw!$A$4:$A1000,Facebook_interactions_raw!$B$4:$B1000)</f>
        <v>#N/A</v>
      </c>
      <c r="F405" s="26" t="str">
        <f t="array" ref="F405">XLOOKUP($A405,Facebook_reach_raw!$A$4:$A1000,Facebook_reach_raw!$B$4:$B1000)</f>
        <v>#N/A</v>
      </c>
    </row>
    <row r="406">
      <c r="A406" s="30" t="str">
        <f>Facebook_reach_raw!$A408</f>
        <v/>
      </c>
      <c r="B406" s="29" t="str">
        <f>Facebook_interactions_raw!$A408</f>
        <v/>
      </c>
      <c r="C406" s="26" t="str">
        <f t="shared" si="1"/>
        <v/>
      </c>
      <c r="D406" s="26" t="str">
        <f t="array" ref="D406">XLOOKUP($A406,Facebook_follows_raw!$A$4:$A1000,Facebook_follows_raw!$B$4:$B1000)</f>
        <v>#N/A</v>
      </c>
      <c r="E406" s="26" t="str">
        <f t="array" ref="E406">XLOOKUP($A406,Facebook_interactions_raw!$A$4:$A1000,Facebook_interactions_raw!$B$4:$B1000)</f>
        <v>#N/A</v>
      </c>
      <c r="F406" s="26" t="str">
        <f t="array" ref="F406">XLOOKUP($A406,Facebook_reach_raw!$A$4:$A1000,Facebook_reach_raw!$B$4:$B1000)</f>
        <v>#N/A</v>
      </c>
    </row>
    <row r="407">
      <c r="A407" s="30" t="str">
        <f>Facebook_reach_raw!$A409</f>
        <v/>
      </c>
      <c r="B407" s="29" t="str">
        <f>Facebook_interactions_raw!$A409</f>
        <v/>
      </c>
      <c r="C407" s="26" t="str">
        <f t="shared" si="1"/>
        <v/>
      </c>
      <c r="D407" s="26" t="str">
        <f t="array" ref="D407">XLOOKUP($A407,Facebook_follows_raw!$A$4:$A1000,Facebook_follows_raw!$B$4:$B1000)</f>
        <v>#N/A</v>
      </c>
      <c r="E407" s="26" t="str">
        <f t="array" ref="E407">XLOOKUP($A407,Facebook_interactions_raw!$A$4:$A1000,Facebook_interactions_raw!$B$4:$B1000)</f>
        <v>#N/A</v>
      </c>
      <c r="F407" s="26" t="str">
        <f t="array" ref="F407">XLOOKUP($A407,Facebook_reach_raw!$A$4:$A1000,Facebook_reach_raw!$B$4:$B1000)</f>
        <v>#N/A</v>
      </c>
    </row>
    <row r="408">
      <c r="A408" s="30" t="str">
        <f>Facebook_reach_raw!$A410</f>
        <v/>
      </c>
      <c r="B408" s="29" t="str">
        <f>Facebook_interactions_raw!$A410</f>
        <v/>
      </c>
      <c r="C408" s="26" t="str">
        <f t="shared" si="1"/>
        <v/>
      </c>
      <c r="D408" s="26" t="str">
        <f t="array" ref="D408">XLOOKUP($A408,Facebook_follows_raw!$A$4:$A1000,Facebook_follows_raw!$B$4:$B1000)</f>
        <v>#N/A</v>
      </c>
      <c r="E408" s="26" t="str">
        <f t="array" ref="E408">XLOOKUP($A408,Facebook_interactions_raw!$A$4:$A1000,Facebook_interactions_raw!$B$4:$B1000)</f>
        <v>#N/A</v>
      </c>
      <c r="F408" s="26" t="str">
        <f t="array" ref="F408">XLOOKUP($A408,Facebook_reach_raw!$A$4:$A1000,Facebook_reach_raw!$B$4:$B1000)</f>
        <v>#N/A</v>
      </c>
    </row>
    <row r="409">
      <c r="A409" s="30" t="str">
        <f>Facebook_reach_raw!$A411</f>
        <v/>
      </c>
      <c r="B409" s="29" t="str">
        <f>Facebook_interactions_raw!$A411</f>
        <v/>
      </c>
      <c r="C409" s="26" t="str">
        <f t="shared" si="1"/>
        <v/>
      </c>
      <c r="D409" s="26" t="str">
        <f t="array" ref="D409">XLOOKUP($A409,Facebook_follows_raw!$A$4:$A1000,Facebook_follows_raw!$B$4:$B1000)</f>
        <v>#N/A</v>
      </c>
      <c r="E409" s="26" t="str">
        <f t="array" ref="E409">XLOOKUP($A409,Facebook_interactions_raw!$A$4:$A1000,Facebook_interactions_raw!$B$4:$B1000)</f>
        <v>#N/A</v>
      </c>
      <c r="F409" s="26" t="str">
        <f t="array" ref="F409">XLOOKUP($A409,Facebook_reach_raw!$A$4:$A1000,Facebook_reach_raw!$B$4:$B1000)</f>
        <v>#N/A</v>
      </c>
    </row>
    <row r="410">
      <c r="A410" s="30" t="str">
        <f>Facebook_reach_raw!$A412</f>
        <v/>
      </c>
      <c r="B410" s="29" t="str">
        <f>Facebook_interactions_raw!$A412</f>
        <v/>
      </c>
      <c r="C410" s="26" t="str">
        <f t="shared" si="1"/>
        <v/>
      </c>
      <c r="D410" s="26" t="str">
        <f t="array" ref="D410">XLOOKUP($A410,Facebook_follows_raw!$A$4:$A1000,Facebook_follows_raw!$B$4:$B1000)</f>
        <v>#N/A</v>
      </c>
      <c r="E410" s="26" t="str">
        <f t="array" ref="E410">XLOOKUP($A410,Facebook_interactions_raw!$A$4:$A1000,Facebook_interactions_raw!$B$4:$B1000)</f>
        <v>#N/A</v>
      </c>
      <c r="F410" s="26" t="str">
        <f t="array" ref="F410">XLOOKUP($A410,Facebook_reach_raw!$A$4:$A1000,Facebook_reach_raw!$B$4:$B1000)</f>
        <v>#N/A</v>
      </c>
    </row>
    <row r="411">
      <c r="A411" s="30" t="str">
        <f>Facebook_reach_raw!$A413</f>
        <v/>
      </c>
      <c r="B411" s="29" t="str">
        <f>Facebook_interactions_raw!$A413</f>
        <v/>
      </c>
      <c r="C411" s="26" t="str">
        <f t="shared" si="1"/>
        <v/>
      </c>
      <c r="D411" s="26" t="str">
        <f t="array" ref="D411">XLOOKUP($A411,Facebook_follows_raw!$A$4:$A1000,Facebook_follows_raw!$B$4:$B1000)</f>
        <v>#N/A</v>
      </c>
      <c r="E411" s="26" t="str">
        <f t="array" ref="E411">XLOOKUP($A411,Facebook_interactions_raw!$A$4:$A1000,Facebook_interactions_raw!$B$4:$B1000)</f>
        <v>#N/A</v>
      </c>
      <c r="F411" s="26" t="str">
        <f t="array" ref="F411">XLOOKUP($A411,Facebook_reach_raw!$A$4:$A1000,Facebook_reach_raw!$B$4:$B1000)</f>
        <v>#N/A</v>
      </c>
    </row>
    <row r="412">
      <c r="A412" s="30" t="str">
        <f>Facebook_reach_raw!$A414</f>
        <v/>
      </c>
      <c r="B412" s="29" t="str">
        <f>Facebook_interactions_raw!$A414</f>
        <v/>
      </c>
      <c r="C412" s="26" t="str">
        <f t="shared" si="1"/>
        <v/>
      </c>
      <c r="D412" s="26" t="str">
        <f t="array" ref="D412">XLOOKUP($A412,Facebook_follows_raw!$A$4:$A1000,Facebook_follows_raw!$B$4:$B1000)</f>
        <v>#N/A</v>
      </c>
      <c r="E412" s="26" t="str">
        <f t="array" ref="E412">XLOOKUP($A412,Facebook_interactions_raw!$A$4:$A1000,Facebook_interactions_raw!$B$4:$B1000)</f>
        <v>#N/A</v>
      </c>
      <c r="F412" s="26" t="str">
        <f t="array" ref="F412">XLOOKUP($A412,Facebook_reach_raw!$A$4:$A1000,Facebook_reach_raw!$B$4:$B1000)</f>
        <v>#N/A</v>
      </c>
    </row>
    <row r="413">
      <c r="A413" s="30" t="str">
        <f>Facebook_reach_raw!$A415</f>
        <v/>
      </c>
      <c r="B413" s="29" t="str">
        <f>Facebook_interactions_raw!$A415</f>
        <v/>
      </c>
      <c r="C413" s="26" t="str">
        <f t="shared" si="1"/>
        <v/>
      </c>
      <c r="D413" s="26" t="str">
        <f t="array" ref="D413">XLOOKUP($A413,Facebook_follows_raw!$A$4:$A1000,Facebook_follows_raw!$B$4:$B1000)</f>
        <v>#N/A</v>
      </c>
      <c r="E413" s="26" t="str">
        <f t="array" ref="E413">XLOOKUP($A413,Facebook_interactions_raw!$A$4:$A1000,Facebook_interactions_raw!$B$4:$B1000)</f>
        <v>#N/A</v>
      </c>
      <c r="F413" s="26" t="str">
        <f t="array" ref="F413">XLOOKUP($A413,Facebook_reach_raw!$A$4:$A1000,Facebook_reach_raw!$B$4:$B1000)</f>
        <v>#N/A</v>
      </c>
    </row>
    <row r="414">
      <c r="A414" s="30" t="str">
        <f>Facebook_reach_raw!$A416</f>
        <v/>
      </c>
      <c r="B414" s="29" t="str">
        <f>Facebook_interactions_raw!$A416</f>
        <v/>
      </c>
      <c r="C414" s="26" t="str">
        <f t="shared" si="1"/>
        <v/>
      </c>
      <c r="D414" s="26" t="str">
        <f t="array" ref="D414">XLOOKUP($A414,Facebook_follows_raw!$A$4:$A1000,Facebook_follows_raw!$B$4:$B1000)</f>
        <v>#N/A</v>
      </c>
      <c r="E414" s="26" t="str">
        <f t="array" ref="E414">XLOOKUP($A414,Facebook_interactions_raw!$A$4:$A1000,Facebook_interactions_raw!$B$4:$B1000)</f>
        <v>#N/A</v>
      </c>
      <c r="F414" s="26" t="str">
        <f t="array" ref="F414">XLOOKUP($A414,Facebook_reach_raw!$A$4:$A1000,Facebook_reach_raw!$B$4:$B1000)</f>
        <v>#N/A</v>
      </c>
    </row>
    <row r="415">
      <c r="A415" s="30" t="str">
        <f>Facebook_reach_raw!$A417</f>
        <v/>
      </c>
      <c r="B415" s="29" t="str">
        <f>Facebook_interactions_raw!$A417</f>
        <v/>
      </c>
      <c r="C415" s="26" t="str">
        <f t="shared" si="1"/>
        <v/>
      </c>
      <c r="D415" s="26" t="str">
        <f t="array" ref="D415">XLOOKUP($A415,Facebook_follows_raw!$A$4:$A1000,Facebook_follows_raw!$B$4:$B1000)</f>
        <v>#N/A</v>
      </c>
      <c r="E415" s="26" t="str">
        <f t="array" ref="E415">XLOOKUP($A415,Facebook_interactions_raw!$A$4:$A1000,Facebook_interactions_raw!$B$4:$B1000)</f>
        <v>#N/A</v>
      </c>
      <c r="F415" s="26" t="str">
        <f t="array" ref="F415">XLOOKUP($A415,Facebook_reach_raw!$A$4:$A1000,Facebook_reach_raw!$B$4:$B1000)</f>
        <v>#N/A</v>
      </c>
    </row>
    <row r="416">
      <c r="A416" s="30" t="str">
        <f>Facebook_reach_raw!$A418</f>
        <v/>
      </c>
      <c r="B416" s="29" t="str">
        <f>Facebook_interactions_raw!$A418</f>
        <v/>
      </c>
      <c r="C416" s="26" t="str">
        <f t="shared" si="1"/>
        <v/>
      </c>
      <c r="D416" s="26" t="str">
        <f t="array" ref="D416">XLOOKUP($A416,Facebook_follows_raw!$A$4:$A1000,Facebook_follows_raw!$B$4:$B1000)</f>
        <v>#N/A</v>
      </c>
      <c r="E416" s="26" t="str">
        <f t="array" ref="E416">XLOOKUP($A416,Facebook_interactions_raw!$A$4:$A1000,Facebook_interactions_raw!$B$4:$B1000)</f>
        <v>#N/A</v>
      </c>
      <c r="F416" s="26" t="str">
        <f t="array" ref="F416">XLOOKUP($A416,Facebook_reach_raw!$A$4:$A1000,Facebook_reach_raw!$B$4:$B1000)</f>
        <v>#N/A</v>
      </c>
    </row>
    <row r="417">
      <c r="A417" s="30" t="str">
        <f>Facebook_reach_raw!$A419</f>
        <v/>
      </c>
      <c r="B417" s="29" t="str">
        <f>Facebook_interactions_raw!$A419</f>
        <v/>
      </c>
      <c r="C417" s="26" t="str">
        <f t="shared" si="1"/>
        <v/>
      </c>
      <c r="D417" s="26" t="str">
        <f t="array" ref="D417">XLOOKUP($A417,Facebook_follows_raw!$A$4:$A1000,Facebook_follows_raw!$B$4:$B1000)</f>
        <v>#N/A</v>
      </c>
      <c r="E417" s="26" t="str">
        <f t="array" ref="E417">XLOOKUP($A417,Facebook_interactions_raw!$A$4:$A1000,Facebook_interactions_raw!$B$4:$B1000)</f>
        <v>#N/A</v>
      </c>
      <c r="F417" s="26" t="str">
        <f t="array" ref="F417">XLOOKUP($A417,Facebook_reach_raw!$A$4:$A1000,Facebook_reach_raw!$B$4:$B1000)</f>
        <v>#N/A</v>
      </c>
    </row>
    <row r="418">
      <c r="A418" s="30" t="str">
        <f>Facebook_reach_raw!$A420</f>
        <v/>
      </c>
      <c r="B418" s="29" t="str">
        <f>Facebook_interactions_raw!$A420</f>
        <v/>
      </c>
      <c r="C418" s="26" t="str">
        <f t="shared" si="1"/>
        <v/>
      </c>
      <c r="D418" s="26" t="str">
        <f t="array" ref="D418">XLOOKUP($A418,Facebook_follows_raw!$A$4:$A1000,Facebook_follows_raw!$B$4:$B1000)</f>
        <v>#N/A</v>
      </c>
      <c r="E418" s="26" t="str">
        <f t="array" ref="E418">XLOOKUP($A418,Facebook_interactions_raw!$A$4:$A1000,Facebook_interactions_raw!$B$4:$B1000)</f>
        <v>#N/A</v>
      </c>
      <c r="F418" s="26" t="str">
        <f t="array" ref="F418">XLOOKUP($A418,Facebook_reach_raw!$A$4:$A1000,Facebook_reach_raw!$B$4:$B1000)</f>
        <v>#N/A</v>
      </c>
    </row>
    <row r="419">
      <c r="A419" s="30" t="str">
        <f>Facebook_reach_raw!$A421</f>
        <v/>
      </c>
      <c r="B419" s="29" t="str">
        <f>Facebook_interactions_raw!$A421</f>
        <v/>
      </c>
      <c r="C419" s="26" t="str">
        <f t="shared" si="1"/>
        <v/>
      </c>
      <c r="D419" s="26" t="str">
        <f t="array" ref="D419">XLOOKUP($A419,Facebook_follows_raw!$A$4:$A1000,Facebook_follows_raw!$B$4:$B1000)</f>
        <v>#N/A</v>
      </c>
      <c r="E419" s="26" t="str">
        <f t="array" ref="E419">XLOOKUP($A419,Facebook_interactions_raw!$A$4:$A1000,Facebook_interactions_raw!$B$4:$B1000)</f>
        <v>#N/A</v>
      </c>
      <c r="F419" s="26" t="str">
        <f t="array" ref="F419">XLOOKUP($A419,Facebook_reach_raw!$A$4:$A1000,Facebook_reach_raw!$B$4:$B1000)</f>
        <v>#N/A</v>
      </c>
    </row>
    <row r="420">
      <c r="A420" s="30" t="str">
        <f>Facebook_reach_raw!$A422</f>
        <v/>
      </c>
      <c r="B420" s="29" t="str">
        <f>Facebook_interactions_raw!$A422</f>
        <v/>
      </c>
      <c r="C420" s="26" t="str">
        <f t="shared" si="1"/>
        <v/>
      </c>
      <c r="D420" s="26" t="str">
        <f t="array" ref="D420">XLOOKUP($A420,Facebook_follows_raw!$A$4:$A1000,Facebook_follows_raw!$B$4:$B1000)</f>
        <v>#N/A</v>
      </c>
      <c r="E420" s="26" t="str">
        <f t="array" ref="E420">XLOOKUP($A420,Facebook_interactions_raw!$A$4:$A1000,Facebook_interactions_raw!$B$4:$B1000)</f>
        <v>#N/A</v>
      </c>
      <c r="F420" s="26" t="str">
        <f t="array" ref="F420">XLOOKUP($A420,Facebook_reach_raw!$A$4:$A1000,Facebook_reach_raw!$B$4:$B1000)</f>
        <v>#N/A</v>
      </c>
    </row>
    <row r="421">
      <c r="A421" s="30" t="str">
        <f>Facebook_reach_raw!$A423</f>
        <v/>
      </c>
      <c r="B421" s="29" t="str">
        <f>Facebook_interactions_raw!$A423</f>
        <v/>
      </c>
      <c r="C421" s="26" t="str">
        <f t="shared" si="1"/>
        <v/>
      </c>
      <c r="D421" s="26" t="str">
        <f t="array" ref="D421">XLOOKUP($A421,Facebook_follows_raw!$A$4:$A1000,Facebook_follows_raw!$B$4:$B1000)</f>
        <v>#N/A</v>
      </c>
      <c r="E421" s="26" t="str">
        <f t="array" ref="E421">XLOOKUP($A421,Facebook_interactions_raw!$A$4:$A1000,Facebook_interactions_raw!$B$4:$B1000)</f>
        <v>#N/A</v>
      </c>
      <c r="F421" s="26" t="str">
        <f t="array" ref="F421">XLOOKUP($A421,Facebook_reach_raw!$A$4:$A1000,Facebook_reach_raw!$B$4:$B1000)</f>
        <v>#N/A</v>
      </c>
    </row>
    <row r="422">
      <c r="A422" s="30" t="str">
        <f>Facebook_reach_raw!$A424</f>
        <v/>
      </c>
      <c r="B422" s="29" t="str">
        <f>Facebook_interactions_raw!$A424</f>
        <v/>
      </c>
      <c r="C422" s="26" t="str">
        <f t="shared" si="1"/>
        <v/>
      </c>
      <c r="D422" s="26" t="str">
        <f t="array" ref="D422">XLOOKUP($A422,Facebook_follows_raw!$A$4:$A1000,Facebook_follows_raw!$B$4:$B1000)</f>
        <v>#N/A</v>
      </c>
      <c r="E422" s="26" t="str">
        <f t="array" ref="E422">XLOOKUP($A422,Facebook_interactions_raw!$A$4:$A1000,Facebook_interactions_raw!$B$4:$B1000)</f>
        <v>#N/A</v>
      </c>
      <c r="F422" s="26" t="str">
        <f t="array" ref="F422">XLOOKUP($A422,Facebook_reach_raw!$A$4:$A1000,Facebook_reach_raw!$B$4:$B1000)</f>
        <v>#N/A</v>
      </c>
    </row>
    <row r="423">
      <c r="A423" s="30" t="str">
        <f>Facebook_reach_raw!$A425</f>
        <v/>
      </c>
      <c r="B423" s="29" t="str">
        <f>Facebook_interactions_raw!$A425</f>
        <v/>
      </c>
      <c r="C423" s="26" t="str">
        <f t="shared" si="1"/>
        <v/>
      </c>
      <c r="D423" s="26" t="str">
        <f t="array" ref="D423">XLOOKUP($A423,Facebook_follows_raw!$A$4:$A1000,Facebook_follows_raw!$B$4:$B1000)</f>
        <v>#N/A</v>
      </c>
      <c r="E423" s="26" t="str">
        <f t="array" ref="E423">XLOOKUP($A423,Facebook_interactions_raw!$A$4:$A1000,Facebook_interactions_raw!$B$4:$B1000)</f>
        <v>#N/A</v>
      </c>
      <c r="F423" s="26" t="str">
        <f t="array" ref="F423">XLOOKUP($A423,Facebook_reach_raw!$A$4:$A1000,Facebook_reach_raw!$B$4:$B1000)</f>
        <v>#N/A</v>
      </c>
    </row>
    <row r="424">
      <c r="A424" s="30" t="str">
        <f>Facebook_reach_raw!$A426</f>
        <v/>
      </c>
      <c r="B424" s="29" t="str">
        <f>Facebook_interactions_raw!$A426</f>
        <v/>
      </c>
      <c r="C424" s="26" t="str">
        <f t="shared" si="1"/>
        <v/>
      </c>
      <c r="D424" s="26" t="str">
        <f t="array" ref="D424">XLOOKUP($A424,Facebook_follows_raw!$A$4:$A1000,Facebook_follows_raw!$B$4:$B1000)</f>
        <v>#N/A</v>
      </c>
      <c r="E424" s="26" t="str">
        <f t="array" ref="E424">XLOOKUP($A424,Facebook_interactions_raw!$A$4:$A1000,Facebook_interactions_raw!$B$4:$B1000)</f>
        <v>#N/A</v>
      </c>
      <c r="F424" s="26" t="str">
        <f t="array" ref="F424">XLOOKUP($A424,Facebook_reach_raw!$A$4:$A1000,Facebook_reach_raw!$B$4:$B1000)</f>
        <v>#N/A</v>
      </c>
    </row>
    <row r="425">
      <c r="A425" s="30" t="str">
        <f>Facebook_reach_raw!$A427</f>
        <v/>
      </c>
      <c r="B425" s="29" t="str">
        <f>Facebook_interactions_raw!$A427</f>
        <v/>
      </c>
      <c r="C425" s="26" t="str">
        <f t="shared" si="1"/>
        <v/>
      </c>
      <c r="D425" s="26" t="str">
        <f t="array" ref="D425">XLOOKUP($A425,Facebook_follows_raw!$A$4:$A1000,Facebook_follows_raw!$B$4:$B1000)</f>
        <v>#N/A</v>
      </c>
      <c r="E425" s="26" t="str">
        <f t="array" ref="E425">XLOOKUP($A425,Facebook_interactions_raw!$A$4:$A1000,Facebook_interactions_raw!$B$4:$B1000)</f>
        <v>#N/A</v>
      </c>
      <c r="F425" s="26" t="str">
        <f t="array" ref="F425">XLOOKUP($A425,Facebook_reach_raw!$A$4:$A1000,Facebook_reach_raw!$B$4:$B1000)</f>
        <v>#N/A</v>
      </c>
    </row>
    <row r="426">
      <c r="A426" s="30" t="str">
        <f>Facebook_reach_raw!$A428</f>
        <v/>
      </c>
      <c r="B426" s="29" t="str">
        <f>Facebook_interactions_raw!$A428</f>
        <v/>
      </c>
      <c r="C426" s="26" t="str">
        <f t="shared" si="1"/>
        <v/>
      </c>
      <c r="D426" s="26" t="str">
        <f t="array" ref="D426">XLOOKUP($A426,Facebook_follows_raw!$A$4:$A1000,Facebook_follows_raw!$B$4:$B1000)</f>
        <v>#N/A</v>
      </c>
      <c r="E426" s="26" t="str">
        <f t="array" ref="E426">XLOOKUP($A426,Facebook_interactions_raw!$A$4:$A1000,Facebook_interactions_raw!$B$4:$B1000)</f>
        <v>#N/A</v>
      </c>
      <c r="F426" s="26" t="str">
        <f t="array" ref="F426">XLOOKUP($A426,Facebook_reach_raw!$A$4:$A1000,Facebook_reach_raw!$B$4:$B1000)</f>
        <v>#N/A</v>
      </c>
    </row>
    <row r="427">
      <c r="A427" s="30" t="str">
        <f>Facebook_reach_raw!$A429</f>
        <v/>
      </c>
      <c r="B427" s="29" t="str">
        <f>Facebook_interactions_raw!$A429</f>
        <v/>
      </c>
      <c r="C427" s="26" t="str">
        <f t="shared" si="1"/>
        <v/>
      </c>
      <c r="D427" s="26" t="str">
        <f t="array" ref="D427">XLOOKUP($A427,Facebook_follows_raw!$A$4:$A1000,Facebook_follows_raw!$B$4:$B1000)</f>
        <v>#N/A</v>
      </c>
      <c r="E427" s="26" t="str">
        <f t="array" ref="E427">XLOOKUP($A427,Facebook_interactions_raw!$A$4:$A1000,Facebook_interactions_raw!$B$4:$B1000)</f>
        <v>#N/A</v>
      </c>
      <c r="F427" s="26" t="str">
        <f t="array" ref="F427">XLOOKUP($A427,Facebook_reach_raw!$A$4:$A1000,Facebook_reach_raw!$B$4:$B1000)</f>
        <v>#N/A</v>
      </c>
    </row>
    <row r="428">
      <c r="A428" s="30" t="str">
        <f>Facebook_reach_raw!$A430</f>
        <v/>
      </c>
      <c r="B428" s="29" t="str">
        <f>Facebook_interactions_raw!$A430</f>
        <v/>
      </c>
      <c r="C428" s="26" t="str">
        <f t="shared" si="1"/>
        <v/>
      </c>
      <c r="D428" s="26" t="str">
        <f t="array" ref="D428">XLOOKUP($A428,Facebook_follows_raw!$A$4:$A1000,Facebook_follows_raw!$B$4:$B1000)</f>
        <v>#N/A</v>
      </c>
      <c r="E428" s="26" t="str">
        <f t="array" ref="E428">XLOOKUP($A428,Facebook_interactions_raw!$A$4:$A1000,Facebook_interactions_raw!$B$4:$B1000)</f>
        <v>#N/A</v>
      </c>
      <c r="F428" s="26" t="str">
        <f t="array" ref="F428">XLOOKUP($A428,Facebook_reach_raw!$A$4:$A1000,Facebook_reach_raw!$B$4:$B1000)</f>
        <v>#N/A</v>
      </c>
    </row>
    <row r="429">
      <c r="A429" s="30" t="str">
        <f>Facebook_reach_raw!$A431</f>
        <v/>
      </c>
      <c r="B429" s="29" t="str">
        <f>Facebook_interactions_raw!$A431</f>
        <v/>
      </c>
      <c r="C429" s="26" t="str">
        <f t="shared" si="1"/>
        <v/>
      </c>
      <c r="D429" s="26" t="str">
        <f t="array" ref="D429">XLOOKUP($A429,Facebook_follows_raw!$A$4:$A1000,Facebook_follows_raw!$B$4:$B1000)</f>
        <v>#N/A</v>
      </c>
      <c r="E429" s="26" t="str">
        <f t="array" ref="E429">XLOOKUP($A429,Facebook_interactions_raw!$A$4:$A1000,Facebook_interactions_raw!$B$4:$B1000)</f>
        <v>#N/A</v>
      </c>
      <c r="F429" s="26" t="str">
        <f t="array" ref="F429">XLOOKUP($A429,Facebook_reach_raw!$A$4:$A1000,Facebook_reach_raw!$B$4:$B1000)</f>
        <v>#N/A</v>
      </c>
    </row>
    <row r="430">
      <c r="A430" s="30" t="str">
        <f>Facebook_reach_raw!$A432</f>
        <v/>
      </c>
      <c r="B430" s="29" t="str">
        <f>Facebook_interactions_raw!$A432</f>
        <v/>
      </c>
      <c r="C430" s="26" t="str">
        <f t="shared" si="1"/>
        <v/>
      </c>
      <c r="D430" s="26" t="str">
        <f t="array" ref="D430">XLOOKUP($A430,Facebook_follows_raw!$A$4:$A1000,Facebook_follows_raw!$B$4:$B1000)</f>
        <v>#N/A</v>
      </c>
      <c r="E430" s="26" t="str">
        <f t="array" ref="E430">XLOOKUP($A430,Facebook_interactions_raw!$A$4:$A1000,Facebook_interactions_raw!$B$4:$B1000)</f>
        <v>#N/A</v>
      </c>
      <c r="F430" s="26" t="str">
        <f t="array" ref="F430">XLOOKUP($A430,Facebook_reach_raw!$A$4:$A1000,Facebook_reach_raw!$B$4:$B1000)</f>
        <v>#N/A</v>
      </c>
    </row>
    <row r="431">
      <c r="A431" s="30" t="str">
        <f>Facebook_reach_raw!$A433</f>
        <v/>
      </c>
      <c r="B431" s="29" t="str">
        <f>Facebook_interactions_raw!$A433</f>
        <v/>
      </c>
      <c r="C431" s="26" t="str">
        <f t="shared" si="1"/>
        <v/>
      </c>
      <c r="D431" s="26" t="str">
        <f t="array" ref="D431">XLOOKUP($A431,Facebook_follows_raw!$A$4:$A1000,Facebook_follows_raw!$B$4:$B1000)</f>
        <v>#N/A</v>
      </c>
      <c r="E431" s="26" t="str">
        <f t="array" ref="E431">XLOOKUP($A431,Facebook_interactions_raw!$A$4:$A1000,Facebook_interactions_raw!$B$4:$B1000)</f>
        <v>#N/A</v>
      </c>
      <c r="F431" s="26" t="str">
        <f t="array" ref="F431">XLOOKUP($A431,Facebook_reach_raw!$A$4:$A1000,Facebook_reach_raw!$B$4:$B1000)</f>
        <v>#N/A</v>
      </c>
    </row>
    <row r="432">
      <c r="A432" s="30" t="str">
        <f>Facebook_reach_raw!$A434</f>
        <v/>
      </c>
      <c r="B432" s="29" t="str">
        <f>Facebook_interactions_raw!$A434</f>
        <v/>
      </c>
      <c r="C432" s="26" t="str">
        <f t="shared" si="1"/>
        <v/>
      </c>
      <c r="D432" s="26" t="str">
        <f t="array" ref="D432">XLOOKUP($A432,Facebook_follows_raw!$A$4:$A1000,Facebook_follows_raw!$B$4:$B1000)</f>
        <v>#N/A</v>
      </c>
      <c r="E432" s="26" t="str">
        <f t="array" ref="E432">XLOOKUP($A432,Facebook_interactions_raw!$A$4:$A1000,Facebook_interactions_raw!$B$4:$B1000)</f>
        <v>#N/A</v>
      </c>
      <c r="F432" s="26" t="str">
        <f t="array" ref="F432">XLOOKUP($A432,Facebook_reach_raw!$A$4:$A1000,Facebook_reach_raw!$B$4:$B1000)</f>
        <v>#N/A</v>
      </c>
    </row>
    <row r="433">
      <c r="A433" s="30" t="str">
        <f>Facebook_reach_raw!$A435</f>
        <v/>
      </c>
      <c r="B433" s="29" t="str">
        <f>Facebook_interactions_raw!$A435</f>
        <v/>
      </c>
      <c r="C433" s="26" t="str">
        <f t="shared" si="1"/>
        <v/>
      </c>
      <c r="D433" s="26" t="str">
        <f t="array" ref="D433">XLOOKUP($A433,Facebook_follows_raw!$A$4:$A1000,Facebook_follows_raw!$B$4:$B1000)</f>
        <v>#N/A</v>
      </c>
      <c r="E433" s="26" t="str">
        <f t="array" ref="E433">XLOOKUP($A433,Facebook_interactions_raw!$A$4:$A1000,Facebook_interactions_raw!$B$4:$B1000)</f>
        <v>#N/A</v>
      </c>
      <c r="F433" s="26" t="str">
        <f t="array" ref="F433">XLOOKUP($A433,Facebook_reach_raw!$A$4:$A1000,Facebook_reach_raw!$B$4:$B1000)</f>
        <v>#N/A</v>
      </c>
    </row>
    <row r="434">
      <c r="A434" s="30" t="str">
        <f>Facebook_reach_raw!$A436</f>
        <v/>
      </c>
      <c r="B434" s="29" t="str">
        <f>Facebook_interactions_raw!$A436</f>
        <v/>
      </c>
      <c r="C434" s="26" t="str">
        <f t="shared" si="1"/>
        <v/>
      </c>
      <c r="D434" s="26" t="str">
        <f t="array" ref="D434">XLOOKUP($A434,Facebook_follows_raw!$A$4:$A1000,Facebook_follows_raw!$B$4:$B1000)</f>
        <v>#N/A</v>
      </c>
      <c r="E434" s="26" t="str">
        <f t="array" ref="E434">XLOOKUP($A434,Facebook_interactions_raw!$A$4:$A1000,Facebook_interactions_raw!$B$4:$B1000)</f>
        <v>#N/A</v>
      </c>
      <c r="F434" s="26" t="str">
        <f t="array" ref="F434">XLOOKUP($A434,Facebook_reach_raw!$A$4:$A1000,Facebook_reach_raw!$B$4:$B1000)</f>
        <v>#N/A</v>
      </c>
    </row>
    <row r="435">
      <c r="A435" s="30" t="str">
        <f>Facebook_reach_raw!$A437</f>
        <v/>
      </c>
      <c r="B435" s="29" t="str">
        <f>Facebook_interactions_raw!$A437</f>
        <v/>
      </c>
      <c r="C435" s="26" t="str">
        <f t="shared" si="1"/>
        <v/>
      </c>
      <c r="D435" s="26" t="str">
        <f t="array" ref="D435">XLOOKUP($A435,Facebook_follows_raw!$A$4:$A1000,Facebook_follows_raw!$B$4:$B1000)</f>
        <v>#N/A</v>
      </c>
      <c r="E435" s="26" t="str">
        <f t="array" ref="E435">XLOOKUP($A435,Facebook_interactions_raw!$A$4:$A1000,Facebook_interactions_raw!$B$4:$B1000)</f>
        <v>#N/A</v>
      </c>
      <c r="F435" s="26" t="str">
        <f t="array" ref="F435">XLOOKUP($A435,Facebook_reach_raw!$A$4:$A1000,Facebook_reach_raw!$B$4:$B1000)</f>
        <v>#N/A</v>
      </c>
    </row>
    <row r="436">
      <c r="A436" s="30" t="str">
        <f>Facebook_reach_raw!$A438</f>
        <v/>
      </c>
      <c r="B436" s="29" t="str">
        <f>Facebook_interactions_raw!$A438</f>
        <v/>
      </c>
      <c r="C436" s="26" t="str">
        <f t="shared" si="1"/>
        <v/>
      </c>
      <c r="D436" s="26" t="str">
        <f t="array" ref="D436">XLOOKUP($A436,Facebook_follows_raw!$A$4:$A1000,Facebook_follows_raw!$B$4:$B1000)</f>
        <v>#N/A</v>
      </c>
      <c r="E436" s="26" t="str">
        <f t="array" ref="E436">XLOOKUP($A436,Facebook_interactions_raw!$A$4:$A1000,Facebook_interactions_raw!$B$4:$B1000)</f>
        <v>#N/A</v>
      </c>
      <c r="F436" s="26" t="str">
        <f t="array" ref="F436">XLOOKUP($A436,Facebook_reach_raw!$A$4:$A1000,Facebook_reach_raw!$B$4:$B1000)</f>
        <v>#N/A</v>
      </c>
    </row>
    <row r="437">
      <c r="A437" s="30" t="str">
        <f>Facebook_reach_raw!$A439</f>
        <v/>
      </c>
      <c r="B437" s="29" t="str">
        <f>Facebook_interactions_raw!$A439</f>
        <v/>
      </c>
      <c r="C437" s="26" t="str">
        <f t="shared" si="1"/>
        <v/>
      </c>
      <c r="D437" s="26" t="str">
        <f t="array" ref="D437">XLOOKUP($A437,Facebook_follows_raw!$A$4:$A1000,Facebook_follows_raw!$B$4:$B1000)</f>
        <v>#N/A</v>
      </c>
      <c r="E437" s="26" t="str">
        <f t="array" ref="E437">XLOOKUP($A437,Facebook_interactions_raw!$A$4:$A1000,Facebook_interactions_raw!$B$4:$B1000)</f>
        <v>#N/A</v>
      </c>
      <c r="F437" s="26" t="str">
        <f t="array" ref="F437">XLOOKUP($A437,Facebook_reach_raw!$A$4:$A1000,Facebook_reach_raw!$B$4:$B1000)</f>
        <v>#N/A</v>
      </c>
    </row>
    <row r="438">
      <c r="A438" s="30" t="str">
        <f>Facebook_reach_raw!$A440</f>
        <v/>
      </c>
      <c r="B438" s="29" t="str">
        <f>Facebook_interactions_raw!$A440</f>
        <v/>
      </c>
      <c r="C438" s="26" t="str">
        <f t="shared" si="1"/>
        <v/>
      </c>
      <c r="D438" s="26" t="str">
        <f t="array" ref="D438">XLOOKUP($A438,Facebook_follows_raw!$A$4:$A1000,Facebook_follows_raw!$B$4:$B1000)</f>
        <v>#N/A</v>
      </c>
      <c r="E438" s="26" t="str">
        <f t="array" ref="E438">XLOOKUP($A438,Facebook_interactions_raw!$A$4:$A1000,Facebook_interactions_raw!$B$4:$B1000)</f>
        <v>#N/A</v>
      </c>
      <c r="F438" s="26" t="str">
        <f t="array" ref="F438">XLOOKUP($A438,Facebook_reach_raw!$A$4:$A1000,Facebook_reach_raw!$B$4:$B1000)</f>
        <v>#N/A</v>
      </c>
    </row>
    <row r="439">
      <c r="A439" s="30" t="str">
        <f>Facebook_reach_raw!$A441</f>
        <v/>
      </c>
      <c r="B439" s="29" t="str">
        <f>Facebook_interactions_raw!$A441</f>
        <v/>
      </c>
      <c r="C439" s="26" t="str">
        <f t="shared" si="1"/>
        <v/>
      </c>
      <c r="D439" s="26" t="str">
        <f t="array" ref="D439">XLOOKUP($A439,Facebook_follows_raw!$A$4:$A1000,Facebook_follows_raw!$B$4:$B1000)</f>
        <v>#N/A</v>
      </c>
      <c r="E439" s="26" t="str">
        <f t="array" ref="E439">XLOOKUP($A439,Facebook_interactions_raw!$A$4:$A1000,Facebook_interactions_raw!$B$4:$B1000)</f>
        <v>#N/A</v>
      </c>
      <c r="F439" s="26" t="str">
        <f t="array" ref="F439">XLOOKUP($A439,Facebook_reach_raw!$A$4:$A1000,Facebook_reach_raw!$B$4:$B1000)</f>
        <v>#N/A</v>
      </c>
    </row>
    <row r="440">
      <c r="A440" s="30" t="str">
        <f>Facebook_reach_raw!$A442</f>
        <v/>
      </c>
      <c r="B440" s="29" t="str">
        <f>Facebook_interactions_raw!$A442</f>
        <v/>
      </c>
      <c r="C440" s="26" t="str">
        <f t="shared" si="1"/>
        <v/>
      </c>
      <c r="D440" s="26" t="str">
        <f t="array" ref="D440">XLOOKUP($A440,Facebook_follows_raw!$A$4:$A1000,Facebook_follows_raw!$B$4:$B1000)</f>
        <v>#N/A</v>
      </c>
      <c r="E440" s="26" t="str">
        <f t="array" ref="E440">XLOOKUP($A440,Facebook_interactions_raw!$A$4:$A1000,Facebook_interactions_raw!$B$4:$B1000)</f>
        <v>#N/A</v>
      </c>
      <c r="F440" s="26" t="str">
        <f t="array" ref="F440">XLOOKUP($A440,Facebook_reach_raw!$A$4:$A1000,Facebook_reach_raw!$B$4:$B1000)</f>
        <v>#N/A</v>
      </c>
    </row>
    <row r="441">
      <c r="A441" s="30" t="str">
        <f>Facebook_reach_raw!$A443</f>
        <v/>
      </c>
      <c r="B441" s="29" t="str">
        <f>Facebook_interactions_raw!$A443</f>
        <v/>
      </c>
      <c r="C441" s="26" t="str">
        <f t="shared" si="1"/>
        <v/>
      </c>
      <c r="D441" s="26" t="str">
        <f t="array" ref="D441">XLOOKUP($A441,Facebook_follows_raw!$A$4:$A1000,Facebook_follows_raw!$B$4:$B1000)</f>
        <v>#N/A</v>
      </c>
      <c r="E441" s="26" t="str">
        <f t="array" ref="E441">XLOOKUP($A441,Facebook_interactions_raw!$A$4:$A1000,Facebook_interactions_raw!$B$4:$B1000)</f>
        <v>#N/A</v>
      </c>
      <c r="F441" s="26" t="str">
        <f t="array" ref="F441">XLOOKUP($A441,Facebook_reach_raw!$A$4:$A1000,Facebook_reach_raw!$B$4:$B1000)</f>
        <v>#N/A</v>
      </c>
    </row>
    <row r="442">
      <c r="A442" s="30" t="str">
        <f>Facebook_reach_raw!$A444</f>
        <v/>
      </c>
      <c r="B442" s="29" t="str">
        <f>Facebook_interactions_raw!$A444</f>
        <v/>
      </c>
      <c r="C442" s="26" t="str">
        <f t="shared" si="1"/>
        <v/>
      </c>
      <c r="D442" s="26" t="str">
        <f t="array" ref="D442">XLOOKUP($A442,Facebook_follows_raw!$A$4:$A1000,Facebook_follows_raw!$B$4:$B1000)</f>
        <v>#N/A</v>
      </c>
      <c r="E442" s="26" t="str">
        <f t="array" ref="E442">XLOOKUP($A442,Facebook_interactions_raw!$A$4:$A1000,Facebook_interactions_raw!$B$4:$B1000)</f>
        <v>#N/A</v>
      </c>
      <c r="F442" s="26" t="str">
        <f t="array" ref="F442">XLOOKUP($A442,Facebook_reach_raw!$A$4:$A1000,Facebook_reach_raw!$B$4:$B1000)</f>
        <v>#N/A</v>
      </c>
    </row>
    <row r="443">
      <c r="A443" s="30" t="str">
        <f>Facebook_reach_raw!$A445</f>
        <v/>
      </c>
      <c r="B443" s="29" t="str">
        <f>Facebook_interactions_raw!$A445</f>
        <v/>
      </c>
      <c r="C443" s="26" t="str">
        <f t="shared" si="1"/>
        <v/>
      </c>
      <c r="D443" s="26" t="str">
        <f t="array" ref="D443">XLOOKUP($A443,Facebook_follows_raw!$A$4:$A1000,Facebook_follows_raw!$B$4:$B1000)</f>
        <v>#N/A</v>
      </c>
      <c r="E443" s="26" t="str">
        <f t="array" ref="E443">XLOOKUP($A443,Facebook_interactions_raw!$A$4:$A1000,Facebook_interactions_raw!$B$4:$B1000)</f>
        <v>#N/A</v>
      </c>
      <c r="F443" s="26" t="str">
        <f t="array" ref="F443">XLOOKUP($A443,Facebook_reach_raw!$A$4:$A1000,Facebook_reach_raw!$B$4:$B1000)</f>
        <v>#N/A</v>
      </c>
    </row>
    <row r="444">
      <c r="A444" s="30" t="str">
        <f>Facebook_reach_raw!$A446</f>
        <v/>
      </c>
      <c r="B444" s="29" t="str">
        <f>Facebook_interactions_raw!$A446</f>
        <v/>
      </c>
      <c r="C444" s="26" t="str">
        <f t="shared" si="1"/>
        <v/>
      </c>
      <c r="D444" s="26" t="str">
        <f t="array" ref="D444">XLOOKUP($A444,Facebook_follows_raw!$A$4:$A1000,Facebook_follows_raw!$B$4:$B1000)</f>
        <v>#N/A</v>
      </c>
      <c r="E444" s="26" t="str">
        <f t="array" ref="E444">XLOOKUP($A444,Facebook_interactions_raw!$A$4:$A1000,Facebook_interactions_raw!$B$4:$B1000)</f>
        <v>#N/A</v>
      </c>
      <c r="F444" s="26" t="str">
        <f t="array" ref="F444">XLOOKUP($A444,Facebook_reach_raw!$A$4:$A1000,Facebook_reach_raw!$B$4:$B1000)</f>
        <v>#N/A</v>
      </c>
    </row>
    <row r="445">
      <c r="A445" s="30" t="str">
        <f>Facebook_reach_raw!$A447</f>
        <v/>
      </c>
      <c r="B445" s="29" t="str">
        <f>Facebook_interactions_raw!$A447</f>
        <v/>
      </c>
      <c r="C445" s="26" t="str">
        <f t="shared" si="1"/>
        <v/>
      </c>
      <c r="D445" s="26" t="str">
        <f t="array" ref="D445">XLOOKUP($A445,Facebook_follows_raw!$A$4:$A1000,Facebook_follows_raw!$B$4:$B1000)</f>
        <v>#N/A</v>
      </c>
      <c r="E445" s="26" t="str">
        <f t="array" ref="E445">XLOOKUP($A445,Facebook_interactions_raw!$A$4:$A1000,Facebook_interactions_raw!$B$4:$B1000)</f>
        <v>#N/A</v>
      </c>
      <c r="F445" s="26" t="str">
        <f t="array" ref="F445">XLOOKUP($A445,Facebook_reach_raw!$A$4:$A1000,Facebook_reach_raw!$B$4:$B1000)</f>
        <v>#N/A</v>
      </c>
    </row>
    <row r="446">
      <c r="A446" s="30" t="str">
        <f>Facebook_reach_raw!$A448</f>
        <v/>
      </c>
      <c r="B446" s="29" t="str">
        <f>Facebook_interactions_raw!$A448</f>
        <v/>
      </c>
      <c r="C446" s="26" t="str">
        <f t="shared" si="1"/>
        <v/>
      </c>
      <c r="D446" s="26" t="str">
        <f t="array" ref="D446">XLOOKUP($A446,Facebook_follows_raw!$A$4:$A1000,Facebook_follows_raw!$B$4:$B1000)</f>
        <v>#N/A</v>
      </c>
      <c r="E446" s="26" t="str">
        <f t="array" ref="E446">XLOOKUP($A446,Facebook_interactions_raw!$A$4:$A1000,Facebook_interactions_raw!$B$4:$B1000)</f>
        <v>#N/A</v>
      </c>
      <c r="F446" s="26" t="str">
        <f t="array" ref="F446">XLOOKUP($A446,Facebook_reach_raw!$A$4:$A1000,Facebook_reach_raw!$B$4:$B1000)</f>
        <v>#N/A</v>
      </c>
    </row>
    <row r="447">
      <c r="A447" s="30" t="str">
        <f>Facebook_reach_raw!$A449</f>
        <v/>
      </c>
      <c r="B447" s="29" t="str">
        <f>Facebook_interactions_raw!$A449</f>
        <v/>
      </c>
      <c r="C447" s="26" t="str">
        <f t="shared" si="1"/>
        <v/>
      </c>
      <c r="D447" s="26" t="str">
        <f t="array" ref="D447">XLOOKUP($A447,Facebook_follows_raw!$A$4:$A1000,Facebook_follows_raw!$B$4:$B1000)</f>
        <v>#N/A</v>
      </c>
      <c r="E447" s="26" t="str">
        <f t="array" ref="E447">XLOOKUP($A447,Facebook_interactions_raw!$A$4:$A1000,Facebook_interactions_raw!$B$4:$B1000)</f>
        <v>#N/A</v>
      </c>
      <c r="F447" s="26" t="str">
        <f t="array" ref="F447">XLOOKUP($A447,Facebook_reach_raw!$A$4:$A1000,Facebook_reach_raw!$B$4:$B1000)</f>
        <v>#N/A</v>
      </c>
    </row>
    <row r="448">
      <c r="A448" s="30" t="str">
        <f>Facebook_reach_raw!$A450</f>
        <v/>
      </c>
      <c r="B448" s="29" t="str">
        <f>Facebook_interactions_raw!$A450</f>
        <v/>
      </c>
      <c r="C448" s="26" t="str">
        <f t="shared" si="1"/>
        <v/>
      </c>
      <c r="D448" s="26" t="str">
        <f t="array" ref="D448">XLOOKUP($A448,Facebook_follows_raw!$A$4:$A1000,Facebook_follows_raw!$B$4:$B1000)</f>
        <v>#N/A</v>
      </c>
      <c r="E448" s="26" t="str">
        <f t="array" ref="E448">XLOOKUP($A448,Facebook_interactions_raw!$A$4:$A1000,Facebook_interactions_raw!$B$4:$B1000)</f>
        <v>#N/A</v>
      </c>
      <c r="F448" s="26" t="str">
        <f t="array" ref="F448">XLOOKUP($A448,Facebook_reach_raw!$A$4:$A1000,Facebook_reach_raw!$B$4:$B1000)</f>
        <v>#N/A</v>
      </c>
    </row>
    <row r="449">
      <c r="A449" s="30" t="str">
        <f>Facebook_reach_raw!$A451</f>
        <v/>
      </c>
      <c r="B449" s="29" t="str">
        <f>Facebook_interactions_raw!$A451</f>
        <v/>
      </c>
      <c r="C449" s="26" t="str">
        <f t="shared" si="1"/>
        <v/>
      </c>
      <c r="D449" s="26" t="str">
        <f t="array" ref="D449">XLOOKUP($A449,Facebook_follows_raw!$A$4:$A1000,Facebook_follows_raw!$B$4:$B1000)</f>
        <v>#N/A</v>
      </c>
      <c r="E449" s="26" t="str">
        <f t="array" ref="E449">XLOOKUP($A449,Facebook_interactions_raw!$A$4:$A1000,Facebook_interactions_raw!$B$4:$B1000)</f>
        <v>#N/A</v>
      </c>
      <c r="F449" s="26" t="str">
        <f t="array" ref="F449">XLOOKUP($A449,Facebook_reach_raw!$A$4:$A1000,Facebook_reach_raw!$B$4:$B1000)</f>
        <v>#N/A</v>
      </c>
    </row>
    <row r="450">
      <c r="A450" s="30" t="str">
        <f>Facebook_reach_raw!$A452</f>
        <v/>
      </c>
      <c r="B450" s="29" t="str">
        <f>Facebook_interactions_raw!$A452</f>
        <v/>
      </c>
      <c r="C450" s="26" t="str">
        <f t="shared" si="1"/>
        <v/>
      </c>
      <c r="D450" s="26" t="str">
        <f t="array" ref="D450">XLOOKUP($A450,Facebook_follows_raw!$A$4:$A1000,Facebook_follows_raw!$B$4:$B1000)</f>
        <v>#N/A</v>
      </c>
      <c r="E450" s="26" t="str">
        <f t="array" ref="E450">XLOOKUP($A450,Facebook_interactions_raw!$A$4:$A1000,Facebook_interactions_raw!$B$4:$B1000)</f>
        <v>#N/A</v>
      </c>
      <c r="F450" s="26" t="str">
        <f t="array" ref="F450">XLOOKUP($A450,Facebook_reach_raw!$A$4:$A1000,Facebook_reach_raw!$B$4:$B1000)</f>
        <v>#N/A</v>
      </c>
    </row>
    <row r="451">
      <c r="A451" s="30" t="str">
        <f>Facebook_reach_raw!$A453</f>
        <v/>
      </c>
      <c r="B451" s="29" t="str">
        <f>Facebook_interactions_raw!$A453</f>
        <v/>
      </c>
      <c r="C451" s="26" t="str">
        <f t="shared" si="1"/>
        <v/>
      </c>
      <c r="D451" s="26" t="str">
        <f t="array" ref="D451">XLOOKUP($A451,Facebook_follows_raw!$A$4:$A1000,Facebook_follows_raw!$B$4:$B1000)</f>
        <v>#N/A</v>
      </c>
      <c r="E451" s="26" t="str">
        <f t="array" ref="E451">XLOOKUP($A451,Facebook_interactions_raw!$A$4:$A1000,Facebook_interactions_raw!$B$4:$B1000)</f>
        <v>#N/A</v>
      </c>
      <c r="F451" s="26" t="str">
        <f t="array" ref="F451">XLOOKUP($A451,Facebook_reach_raw!$A$4:$A1000,Facebook_reach_raw!$B$4:$B1000)</f>
        <v>#N/A</v>
      </c>
    </row>
    <row r="452">
      <c r="A452" s="30" t="str">
        <f>Facebook_reach_raw!$A454</f>
        <v/>
      </c>
      <c r="B452" s="29" t="str">
        <f>Facebook_interactions_raw!$A454</f>
        <v/>
      </c>
      <c r="C452" s="26" t="str">
        <f t="shared" si="1"/>
        <v/>
      </c>
      <c r="D452" s="26" t="str">
        <f t="array" ref="D452">XLOOKUP($A452,Facebook_follows_raw!$A$4:$A1000,Facebook_follows_raw!$B$4:$B1000)</f>
        <v>#N/A</v>
      </c>
      <c r="E452" s="26" t="str">
        <f t="array" ref="E452">XLOOKUP($A452,Facebook_interactions_raw!$A$4:$A1000,Facebook_interactions_raw!$B$4:$B1000)</f>
        <v>#N/A</v>
      </c>
      <c r="F452" s="26" t="str">
        <f t="array" ref="F452">XLOOKUP($A452,Facebook_reach_raw!$A$4:$A1000,Facebook_reach_raw!$B$4:$B1000)</f>
        <v>#N/A</v>
      </c>
    </row>
    <row r="453">
      <c r="A453" s="30" t="str">
        <f>Facebook_reach_raw!$A455</f>
        <v/>
      </c>
      <c r="B453" s="29" t="str">
        <f>Facebook_interactions_raw!$A455</f>
        <v/>
      </c>
      <c r="C453" s="26" t="str">
        <f t="shared" si="1"/>
        <v/>
      </c>
      <c r="D453" s="26" t="str">
        <f t="array" ref="D453">XLOOKUP($A453,Facebook_follows_raw!$A$4:$A1000,Facebook_follows_raw!$B$4:$B1000)</f>
        <v>#N/A</v>
      </c>
      <c r="E453" s="26" t="str">
        <f t="array" ref="E453">XLOOKUP($A453,Facebook_interactions_raw!$A$4:$A1000,Facebook_interactions_raw!$B$4:$B1000)</f>
        <v>#N/A</v>
      </c>
      <c r="F453" s="26" t="str">
        <f t="array" ref="F453">XLOOKUP($A453,Facebook_reach_raw!$A$4:$A1000,Facebook_reach_raw!$B$4:$B1000)</f>
        <v>#N/A</v>
      </c>
    </row>
    <row r="454">
      <c r="A454" s="30" t="str">
        <f>Facebook_reach_raw!$A456</f>
        <v/>
      </c>
      <c r="B454" s="29" t="str">
        <f>Facebook_interactions_raw!$A456</f>
        <v/>
      </c>
      <c r="C454" s="26" t="str">
        <f t="shared" si="1"/>
        <v/>
      </c>
      <c r="D454" s="26" t="str">
        <f t="array" ref="D454">XLOOKUP($A454,Facebook_follows_raw!$A$4:$A1000,Facebook_follows_raw!$B$4:$B1000)</f>
        <v>#N/A</v>
      </c>
      <c r="E454" s="26" t="str">
        <f t="array" ref="E454">XLOOKUP($A454,Facebook_interactions_raw!$A$4:$A1000,Facebook_interactions_raw!$B$4:$B1000)</f>
        <v>#N/A</v>
      </c>
      <c r="F454" s="26" t="str">
        <f t="array" ref="F454">XLOOKUP($A454,Facebook_reach_raw!$A$4:$A1000,Facebook_reach_raw!$B$4:$B1000)</f>
        <v>#N/A</v>
      </c>
    </row>
    <row r="455">
      <c r="A455" s="30" t="str">
        <f>Facebook_reach_raw!$A457</f>
        <v/>
      </c>
      <c r="B455" s="29" t="str">
        <f>Facebook_interactions_raw!$A457</f>
        <v/>
      </c>
      <c r="C455" s="26" t="str">
        <f t="shared" si="1"/>
        <v/>
      </c>
      <c r="D455" s="26" t="str">
        <f t="array" ref="D455">XLOOKUP($A455,Facebook_follows_raw!$A$4:$A1000,Facebook_follows_raw!$B$4:$B1000)</f>
        <v>#N/A</v>
      </c>
      <c r="E455" s="26" t="str">
        <f t="array" ref="E455">XLOOKUP($A455,Facebook_interactions_raw!$A$4:$A1000,Facebook_interactions_raw!$B$4:$B1000)</f>
        <v>#N/A</v>
      </c>
      <c r="F455" s="26" t="str">
        <f t="array" ref="F455">XLOOKUP($A455,Facebook_reach_raw!$A$4:$A1000,Facebook_reach_raw!$B$4:$B1000)</f>
        <v>#N/A</v>
      </c>
    </row>
    <row r="456">
      <c r="A456" s="30" t="str">
        <f>Facebook_reach_raw!$A458</f>
        <v/>
      </c>
      <c r="B456" s="29" t="str">
        <f>Facebook_interactions_raw!$A458</f>
        <v/>
      </c>
      <c r="C456" s="26" t="str">
        <f t="shared" si="1"/>
        <v/>
      </c>
      <c r="D456" s="26" t="str">
        <f t="array" ref="D456">XLOOKUP($A456,Facebook_follows_raw!$A$4:$A1000,Facebook_follows_raw!$B$4:$B1000)</f>
        <v>#N/A</v>
      </c>
      <c r="E456" s="26" t="str">
        <f t="array" ref="E456">XLOOKUP($A456,Facebook_interactions_raw!$A$4:$A1000,Facebook_interactions_raw!$B$4:$B1000)</f>
        <v>#N/A</v>
      </c>
      <c r="F456" s="26" t="str">
        <f t="array" ref="F456">XLOOKUP($A456,Facebook_reach_raw!$A$4:$A1000,Facebook_reach_raw!$B$4:$B1000)</f>
        <v>#N/A</v>
      </c>
    </row>
    <row r="457">
      <c r="A457" s="30" t="str">
        <f>Facebook_reach_raw!$A459</f>
        <v/>
      </c>
      <c r="B457" s="29" t="str">
        <f>Facebook_interactions_raw!$A459</f>
        <v/>
      </c>
      <c r="C457" s="26" t="str">
        <f t="shared" si="1"/>
        <v/>
      </c>
      <c r="D457" s="26" t="str">
        <f t="array" ref="D457">XLOOKUP($A457,Facebook_follows_raw!$A$4:$A1000,Facebook_follows_raw!$B$4:$B1000)</f>
        <v>#N/A</v>
      </c>
      <c r="E457" s="26" t="str">
        <f t="array" ref="E457">XLOOKUP($A457,Facebook_interactions_raw!$A$4:$A1000,Facebook_interactions_raw!$B$4:$B1000)</f>
        <v>#N/A</v>
      </c>
      <c r="F457" s="26" t="str">
        <f t="array" ref="F457">XLOOKUP($A457,Facebook_reach_raw!$A$4:$A1000,Facebook_reach_raw!$B$4:$B1000)</f>
        <v>#N/A</v>
      </c>
    </row>
    <row r="458">
      <c r="A458" s="30" t="str">
        <f>Facebook_reach_raw!$A460</f>
        <v/>
      </c>
      <c r="B458" s="29" t="str">
        <f>Facebook_interactions_raw!$A460</f>
        <v/>
      </c>
      <c r="C458" s="26" t="str">
        <f t="shared" si="1"/>
        <v/>
      </c>
      <c r="D458" s="26" t="str">
        <f t="array" ref="D458">XLOOKUP($A458,Facebook_follows_raw!$A$4:$A1000,Facebook_follows_raw!$B$4:$B1000)</f>
        <v>#N/A</v>
      </c>
      <c r="E458" s="26" t="str">
        <f t="array" ref="E458">XLOOKUP($A458,Facebook_interactions_raw!$A$4:$A1000,Facebook_interactions_raw!$B$4:$B1000)</f>
        <v>#N/A</v>
      </c>
      <c r="F458" s="26" t="str">
        <f t="array" ref="F458">XLOOKUP($A458,Facebook_reach_raw!$A$4:$A1000,Facebook_reach_raw!$B$4:$B1000)</f>
        <v>#N/A</v>
      </c>
    </row>
    <row r="459">
      <c r="A459" s="30" t="str">
        <f>Facebook_reach_raw!$A461</f>
        <v/>
      </c>
      <c r="B459" s="29" t="str">
        <f>Facebook_interactions_raw!$A461</f>
        <v/>
      </c>
      <c r="C459" s="26" t="str">
        <f t="shared" si="1"/>
        <v/>
      </c>
      <c r="D459" s="26" t="str">
        <f t="array" ref="D459">XLOOKUP($A459,Facebook_follows_raw!$A$4:$A1000,Facebook_follows_raw!$B$4:$B1000)</f>
        <v>#N/A</v>
      </c>
      <c r="E459" s="26" t="str">
        <f t="array" ref="E459">XLOOKUP($A459,Facebook_interactions_raw!$A$4:$A1000,Facebook_interactions_raw!$B$4:$B1000)</f>
        <v>#N/A</v>
      </c>
      <c r="F459" s="26" t="str">
        <f t="array" ref="F459">XLOOKUP($A459,Facebook_reach_raw!$A$4:$A1000,Facebook_reach_raw!$B$4:$B1000)</f>
        <v>#N/A</v>
      </c>
    </row>
    <row r="460">
      <c r="A460" s="30" t="str">
        <f>Facebook_reach_raw!$A462</f>
        <v/>
      </c>
      <c r="B460" s="29" t="str">
        <f>Facebook_interactions_raw!$A462</f>
        <v/>
      </c>
      <c r="C460" s="26" t="str">
        <f t="shared" si="1"/>
        <v/>
      </c>
      <c r="D460" s="26" t="str">
        <f t="array" ref="D460">XLOOKUP($A460,Facebook_follows_raw!$A$4:$A1000,Facebook_follows_raw!$B$4:$B1000)</f>
        <v>#N/A</v>
      </c>
      <c r="E460" s="26" t="str">
        <f t="array" ref="E460">XLOOKUP($A460,Facebook_interactions_raw!$A$4:$A1000,Facebook_interactions_raw!$B$4:$B1000)</f>
        <v>#N/A</v>
      </c>
      <c r="F460" s="26" t="str">
        <f t="array" ref="F460">XLOOKUP($A460,Facebook_reach_raw!$A$4:$A1000,Facebook_reach_raw!$B$4:$B1000)</f>
        <v>#N/A</v>
      </c>
    </row>
    <row r="461">
      <c r="A461" s="30" t="str">
        <f>Facebook_reach_raw!$A463</f>
        <v/>
      </c>
      <c r="B461" s="29" t="str">
        <f>Facebook_interactions_raw!$A463</f>
        <v/>
      </c>
      <c r="C461" s="26" t="str">
        <f t="shared" si="1"/>
        <v/>
      </c>
      <c r="D461" s="26" t="str">
        <f t="array" ref="D461">XLOOKUP($A461,Facebook_follows_raw!$A$4:$A1000,Facebook_follows_raw!$B$4:$B1000)</f>
        <v>#N/A</v>
      </c>
      <c r="E461" s="26" t="str">
        <f t="array" ref="E461">XLOOKUP($A461,Facebook_interactions_raw!$A$4:$A1000,Facebook_interactions_raw!$B$4:$B1000)</f>
        <v>#N/A</v>
      </c>
      <c r="F461" s="26" t="str">
        <f t="array" ref="F461">XLOOKUP($A461,Facebook_reach_raw!$A$4:$A1000,Facebook_reach_raw!$B$4:$B1000)</f>
        <v>#N/A</v>
      </c>
    </row>
    <row r="462">
      <c r="A462" s="30" t="str">
        <f>Facebook_reach_raw!$A464</f>
        <v/>
      </c>
      <c r="B462" s="29" t="str">
        <f>Facebook_interactions_raw!$A464</f>
        <v/>
      </c>
      <c r="C462" s="26" t="str">
        <f t="shared" si="1"/>
        <v/>
      </c>
      <c r="D462" s="26" t="str">
        <f t="array" ref="D462">XLOOKUP($A462,Facebook_follows_raw!$A$4:$A1000,Facebook_follows_raw!$B$4:$B1000)</f>
        <v>#N/A</v>
      </c>
      <c r="E462" s="26" t="str">
        <f t="array" ref="E462">XLOOKUP($A462,Facebook_interactions_raw!$A$4:$A1000,Facebook_interactions_raw!$B$4:$B1000)</f>
        <v>#N/A</v>
      </c>
      <c r="F462" s="26" t="str">
        <f t="array" ref="F462">XLOOKUP($A462,Facebook_reach_raw!$A$4:$A1000,Facebook_reach_raw!$B$4:$B1000)</f>
        <v>#N/A</v>
      </c>
    </row>
    <row r="463">
      <c r="A463" s="30" t="str">
        <f>Facebook_reach_raw!$A465</f>
        <v/>
      </c>
      <c r="B463" s="29" t="str">
        <f>Facebook_interactions_raw!$A465</f>
        <v/>
      </c>
      <c r="C463" s="26" t="str">
        <f t="shared" si="1"/>
        <v/>
      </c>
      <c r="D463" s="26" t="str">
        <f t="array" ref="D463">XLOOKUP($A463,Facebook_follows_raw!$A$4:$A1000,Facebook_follows_raw!$B$4:$B1000)</f>
        <v>#N/A</v>
      </c>
      <c r="E463" s="26" t="str">
        <f t="array" ref="E463">XLOOKUP($A463,Facebook_interactions_raw!$A$4:$A1000,Facebook_interactions_raw!$B$4:$B1000)</f>
        <v>#N/A</v>
      </c>
      <c r="F463" s="26" t="str">
        <f t="array" ref="F463">XLOOKUP($A463,Facebook_reach_raw!$A$4:$A1000,Facebook_reach_raw!$B$4:$B1000)</f>
        <v>#N/A</v>
      </c>
    </row>
    <row r="464">
      <c r="A464" s="30" t="str">
        <f>Facebook_reach_raw!$A466</f>
        <v/>
      </c>
      <c r="B464" s="29" t="str">
        <f>Facebook_interactions_raw!$A466</f>
        <v/>
      </c>
      <c r="C464" s="26" t="str">
        <f t="shared" si="1"/>
        <v/>
      </c>
      <c r="D464" s="26" t="str">
        <f t="array" ref="D464">XLOOKUP($A464,Facebook_follows_raw!$A$4:$A1000,Facebook_follows_raw!$B$4:$B1000)</f>
        <v>#N/A</v>
      </c>
      <c r="E464" s="26" t="str">
        <f t="array" ref="E464">XLOOKUP($A464,Facebook_interactions_raw!$A$4:$A1000,Facebook_interactions_raw!$B$4:$B1000)</f>
        <v>#N/A</v>
      </c>
      <c r="F464" s="26" t="str">
        <f t="array" ref="F464">XLOOKUP($A464,Facebook_reach_raw!$A$4:$A1000,Facebook_reach_raw!$B$4:$B1000)</f>
        <v>#N/A</v>
      </c>
    </row>
    <row r="465">
      <c r="A465" s="30" t="str">
        <f>Facebook_reach_raw!$A467</f>
        <v/>
      </c>
      <c r="B465" s="29" t="str">
        <f>Facebook_interactions_raw!$A467</f>
        <v/>
      </c>
      <c r="C465" s="26" t="str">
        <f t="shared" si="1"/>
        <v/>
      </c>
      <c r="D465" s="26" t="str">
        <f t="array" ref="D465">XLOOKUP($A465,Facebook_follows_raw!$A$4:$A1000,Facebook_follows_raw!$B$4:$B1000)</f>
        <v>#N/A</v>
      </c>
      <c r="E465" s="26" t="str">
        <f t="array" ref="E465">XLOOKUP($A465,Facebook_interactions_raw!$A$4:$A1000,Facebook_interactions_raw!$B$4:$B1000)</f>
        <v>#N/A</v>
      </c>
      <c r="F465" s="26" t="str">
        <f t="array" ref="F465">XLOOKUP($A465,Facebook_reach_raw!$A$4:$A1000,Facebook_reach_raw!$B$4:$B1000)</f>
        <v>#N/A</v>
      </c>
    </row>
    <row r="466">
      <c r="A466" s="30" t="str">
        <f>Facebook_reach_raw!$A468</f>
        <v/>
      </c>
      <c r="B466" s="29" t="str">
        <f>Facebook_interactions_raw!$A468</f>
        <v/>
      </c>
      <c r="C466" s="26" t="str">
        <f t="shared" si="1"/>
        <v/>
      </c>
      <c r="D466" s="26" t="str">
        <f t="array" ref="D466">XLOOKUP($A466,Facebook_follows_raw!$A$4:$A1000,Facebook_follows_raw!$B$4:$B1000)</f>
        <v>#N/A</v>
      </c>
      <c r="E466" s="26" t="str">
        <f t="array" ref="E466">XLOOKUP($A466,Facebook_interactions_raw!$A$4:$A1000,Facebook_interactions_raw!$B$4:$B1000)</f>
        <v>#N/A</v>
      </c>
      <c r="F466" s="26" t="str">
        <f t="array" ref="F466">XLOOKUP($A466,Facebook_reach_raw!$A$4:$A1000,Facebook_reach_raw!$B$4:$B1000)</f>
        <v>#N/A</v>
      </c>
    </row>
    <row r="467">
      <c r="A467" s="30" t="str">
        <f>Facebook_reach_raw!$A469</f>
        <v/>
      </c>
      <c r="B467" s="29" t="str">
        <f>Facebook_interactions_raw!$A469</f>
        <v/>
      </c>
      <c r="C467" s="26" t="str">
        <f t="shared" si="1"/>
        <v/>
      </c>
      <c r="D467" s="26" t="str">
        <f t="array" ref="D467">XLOOKUP($A467,Facebook_follows_raw!$A$4:$A1000,Facebook_follows_raw!$B$4:$B1000)</f>
        <v>#N/A</v>
      </c>
      <c r="E467" s="26" t="str">
        <f t="array" ref="E467">XLOOKUP($A467,Facebook_interactions_raw!$A$4:$A1000,Facebook_interactions_raw!$B$4:$B1000)</f>
        <v>#N/A</v>
      </c>
      <c r="F467" s="26" t="str">
        <f t="array" ref="F467">XLOOKUP($A467,Facebook_reach_raw!$A$4:$A1000,Facebook_reach_raw!$B$4:$B1000)</f>
        <v>#N/A</v>
      </c>
    </row>
    <row r="468">
      <c r="A468" s="30" t="str">
        <f>Facebook_reach_raw!$A470</f>
        <v/>
      </c>
      <c r="B468" s="29" t="str">
        <f>Facebook_interactions_raw!$A470</f>
        <v/>
      </c>
      <c r="C468" s="26" t="str">
        <f t="shared" si="1"/>
        <v/>
      </c>
      <c r="D468" s="26" t="str">
        <f t="array" ref="D468">XLOOKUP($A468,Facebook_follows_raw!$A$4:$A1000,Facebook_follows_raw!$B$4:$B1000)</f>
        <v>#N/A</v>
      </c>
      <c r="E468" s="26" t="str">
        <f t="array" ref="E468">XLOOKUP($A468,Facebook_interactions_raw!$A$4:$A1000,Facebook_interactions_raw!$B$4:$B1000)</f>
        <v>#N/A</v>
      </c>
      <c r="F468" s="26" t="str">
        <f t="array" ref="F468">XLOOKUP($A468,Facebook_reach_raw!$A$4:$A1000,Facebook_reach_raw!$B$4:$B1000)</f>
        <v>#N/A</v>
      </c>
    </row>
    <row r="469">
      <c r="A469" s="30" t="str">
        <f>Facebook_reach_raw!$A471</f>
        <v/>
      </c>
      <c r="B469" s="29" t="str">
        <f>Facebook_interactions_raw!$A471</f>
        <v/>
      </c>
      <c r="C469" s="26" t="str">
        <f t="shared" si="1"/>
        <v/>
      </c>
      <c r="D469" s="26" t="str">
        <f t="array" ref="D469">XLOOKUP($A469,Facebook_follows_raw!$A$4:$A1000,Facebook_follows_raw!$B$4:$B1000)</f>
        <v>#N/A</v>
      </c>
      <c r="E469" s="26" t="str">
        <f t="array" ref="E469">XLOOKUP($A469,Facebook_interactions_raw!$A$4:$A1000,Facebook_interactions_raw!$B$4:$B1000)</f>
        <v>#N/A</v>
      </c>
      <c r="F469" s="26" t="str">
        <f t="array" ref="F469">XLOOKUP($A469,Facebook_reach_raw!$A$4:$A1000,Facebook_reach_raw!$B$4:$B1000)</f>
        <v>#N/A</v>
      </c>
    </row>
    <row r="470">
      <c r="A470" s="30" t="str">
        <f>Facebook_reach_raw!$A472</f>
        <v/>
      </c>
      <c r="B470" s="29" t="str">
        <f>Facebook_interactions_raw!$A472</f>
        <v/>
      </c>
      <c r="C470" s="26" t="str">
        <f t="shared" si="1"/>
        <v/>
      </c>
      <c r="D470" s="26" t="str">
        <f t="array" ref="D470">XLOOKUP($A470,Facebook_follows_raw!$A$4:$A1000,Facebook_follows_raw!$B$4:$B1000)</f>
        <v>#N/A</v>
      </c>
      <c r="E470" s="26" t="str">
        <f t="array" ref="E470">XLOOKUP($A470,Facebook_interactions_raw!$A$4:$A1000,Facebook_interactions_raw!$B$4:$B1000)</f>
        <v>#N/A</v>
      </c>
      <c r="F470" s="26" t="str">
        <f t="array" ref="F470">XLOOKUP($A470,Facebook_reach_raw!$A$4:$A1000,Facebook_reach_raw!$B$4:$B1000)</f>
        <v>#N/A</v>
      </c>
    </row>
    <row r="471">
      <c r="A471" s="30" t="str">
        <f>Facebook_reach_raw!$A473</f>
        <v/>
      </c>
      <c r="B471" s="29" t="str">
        <f>Facebook_interactions_raw!$A473</f>
        <v/>
      </c>
      <c r="C471" s="26" t="str">
        <f t="shared" si="1"/>
        <v/>
      </c>
      <c r="D471" s="26" t="str">
        <f t="array" ref="D471">XLOOKUP($A471,Facebook_follows_raw!$A$4:$A1000,Facebook_follows_raw!$B$4:$B1000)</f>
        <v>#N/A</v>
      </c>
      <c r="E471" s="26" t="str">
        <f t="array" ref="E471">XLOOKUP($A471,Facebook_interactions_raw!$A$4:$A1000,Facebook_interactions_raw!$B$4:$B1000)</f>
        <v>#N/A</v>
      </c>
      <c r="F471" s="26" t="str">
        <f t="array" ref="F471">XLOOKUP($A471,Facebook_reach_raw!$A$4:$A1000,Facebook_reach_raw!$B$4:$B1000)</f>
        <v>#N/A</v>
      </c>
    </row>
    <row r="472">
      <c r="A472" s="30" t="str">
        <f>Facebook_reach_raw!$A474</f>
        <v/>
      </c>
      <c r="B472" s="29" t="str">
        <f>Facebook_interactions_raw!$A474</f>
        <v/>
      </c>
      <c r="C472" s="26" t="str">
        <f t="shared" si="1"/>
        <v/>
      </c>
      <c r="D472" s="26" t="str">
        <f t="array" ref="D472">XLOOKUP($A472,Facebook_follows_raw!$A$4:$A1000,Facebook_follows_raw!$B$4:$B1000)</f>
        <v>#N/A</v>
      </c>
      <c r="E472" s="26" t="str">
        <f t="array" ref="E472">XLOOKUP($A472,Facebook_interactions_raw!$A$4:$A1000,Facebook_interactions_raw!$B$4:$B1000)</f>
        <v>#N/A</v>
      </c>
      <c r="F472" s="26" t="str">
        <f t="array" ref="F472">XLOOKUP($A472,Facebook_reach_raw!$A$4:$A1000,Facebook_reach_raw!$B$4:$B1000)</f>
        <v>#N/A</v>
      </c>
    </row>
    <row r="473">
      <c r="A473" s="30" t="str">
        <f>Facebook_reach_raw!$A475</f>
        <v/>
      </c>
      <c r="B473" s="29" t="str">
        <f>Facebook_interactions_raw!$A475</f>
        <v/>
      </c>
      <c r="C473" s="26" t="str">
        <f t="shared" si="1"/>
        <v/>
      </c>
      <c r="D473" s="26" t="str">
        <f t="array" ref="D473">XLOOKUP($A473,Facebook_follows_raw!$A$4:$A1000,Facebook_follows_raw!$B$4:$B1000)</f>
        <v>#N/A</v>
      </c>
      <c r="E473" s="26" t="str">
        <f t="array" ref="E473">XLOOKUP($A473,Facebook_interactions_raw!$A$4:$A1000,Facebook_interactions_raw!$B$4:$B1000)</f>
        <v>#N/A</v>
      </c>
      <c r="F473" s="26" t="str">
        <f t="array" ref="F473">XLOOKUP($A473,Facebook_reach_raw!$A$4:$A1000,Facebook_reach_raw!$B$4:$B1000)</f>
        <v>#N/A</v>
      </c>
    </row>
    <row r="474">
      <c r="A474" s="30" t="str">
        <f>Facebook_reach_raw!$A476</f>
        <v/>
      </c>
      <c r="B474" s="29" t="str">
        <f>Facebook_interactions_raw!$A476</f>
        <v/>
      </c>
      <c r="C474" s="26" t="str">
        <f t="shared" si="1"/>
        <v/>
      </c>
      <c r="D474" s="26" t="str">
        <f t="array" ref="D474">XLOOKUP($A474,Facebook_follows_raw!$A$4:$A1000,Facebook_follows_raw!$B$4:$B1000)</f>
        <v>#N/A</v>
      </c>
      <c r="E474" s="26" t="str">
        <f t="array" ref="E474">XLOOKUP($A474,Facebook_interactions_raw!$A$4:$A1000,Facebook_interactions_raw!$B$4:$B1000)</f>
        <v>#N/A</v>
      </c>
      <c r="F474" s="26" t="str">
        <f t="array" ref="F474">XLOOKUP($A474,Facebook_reach_raw!$A$4:$A1000,Facebook_reach_raw!$B$4:$B1000)</f>
        <v>#N/A</v>
      </c>
    </row>
    <row r="475">
      <c r="A475" s="30" t="str">
        <f>Facebook_reach_raw!$A477</f>
        <v/>
      </c>
      <c r="B475" s="29" t="str">
        <f>Facebook_interactions_raw!$A477</f>
        <v/>
      </c>
      <c r="C475" s="26" t="str">
        <f t="shared" si="1"/>
        <v/>
      </c>
      <c r="D475" s="26" t="str">
        <f t="array" ref="D475">XLOOKUP($A475,Facebook_follows_raw!$A$4:$A1000,Facebook_follows_raw!$B$4:$B1000)</f>
        <v>#N/A</v>
      </c>
      <c r="E475" s="26" t="str">
        <f t="array" ref="E475">XLOOKUP($A475,Facebook_interactions_raw!$A$4:$A1000,Facebook_interactions_raw!$B$4:$B1000)</f>
        <v>#N/A</v>
      </c>
      <c r="F475" s="26" t="str">
        <f t="array" ref="F475">XLOOKUP($A475,Facebook_reach_raw!$A$4:$A1000,Facebook_reach_raw!$B$4:$B1000)</f>
        <v>#N/A</v>
      </c>
    </row>
    <row r="476">
      <c r="A476" s="30" t="str">
        <f>Facebook_reach_raw!$A478</f>
        <v/>
      </c>
      <c r="B476" s="29" t="str">
        <f>Facebook_interactions_raw!$A478</f>
        <v/>
      </c>
      <c r="C476" s="26" t="str">
        <f t="shared" si="1"/>
        <v/>
      </c>
      <c r="D476" s="26" t="str">
        <f t="array" ref="D476">XLOOKUP($A476,Facebook_follows_raw!$A$4:$A1000,Facebook_follows_raw!$B$4:$B1000)</f>
        <v>#N/A</v>
      </c>
      <c r="E476" s="26" t="str">
        <f t="array" ref="E476">XLOOKUP($A476,Facebook_interactions_raw!$A$4:$A1000,Facebook_interactions_raw!$B$4:$B1000)</f>
        <v>#N/A</v>
      </c>
      <c r="F476" s="26" t="str">
        <f t="array" ref="F476">XLOOKUP($A476,Facebook_reach_raw!$A$4:$A1000,Facebook_reach_raw!$B$4:$B1000)</f>
        <v>#N/A</v>
      </c>
    </row>
    <row r="477">
      <c r="A477" s="30" t="str">
        <f>Facebook_reach_raw!$A479</f>
        <v/>
      </c>
      <c r="B477" s="29" t="str">
        <f>Facebook_interactions_raw!$A479</f>
        <v/>
      </c>
      <c r="C477" s="26" t="str">
        <f t="shared" si="1"/>
        <v/>
      </c>
      <c r="D477" s="26" t="str">
        <f t="array" ref="D477">XLOOKUP($A477,Facebook_follows_raw!$A$4:$A1000,Facebook_follows_raw!$B$4:$B1000)</f>
        <v>#N/A</v>
      </c>
      <c r="E477" s="26" t="str">
        <f t="array" ref="E477">XLOOKUP($A477,Facebook_interactions_raw!$A$4:$A1000,Facebook_interactions_raw!$B$4:$B1000)</f>
        <v>#N/A</v>
      </c>
      <c r="F477" s="26" t="str">
        <f t="array" ref="F477">XLOOKUP($A477,Facebook_reach_raw!$A$4:$A1000,Facebook_reach_raw!$B$4:$B1000)</f>
        <v>#N/A</v>
      </c>
    </row>
    <row r="478">
      <c r="A478" s="30" t="str">
        <f>Facebook_reach_raw!$A480</f>
        <v/>
      </c>
      <c r="B478" s="29" t="str">
        <f>Facebook_interactions_raw!$A480</f>
        <v/>
      </c>
      <c r="C478" s="26" t="str">
        <f t="shared" si="1"/>
        <v/>
      </c>
      <c r="D478" s="26" t="str">
        <f t="array" ref="D478">XLOOKUP($A478,Facebook_follows_raw!$A$4:$A1000,Facebook_follows_raw!$B$4:$B1000)</f>
        <v>#N/A</v>
      </c>
      <c r="E478" s="26" t="str">
        <f t="array" ref="E478">XLOOKUP($A478,Facebook_interactions_raw!$A$4:$A1000,Facebook_interactions_raw!$B$4:$B1000)</f>
        <v>#N/A</v>
      </c>
      <c r="F478" s="26" t="str">
        <f t="array" ref="F478">XLOOKUP($A478,Facebook_reach_raw!$A$4:$A1000,Facebook_reach_raw!$B$4:$B1000)</f>
        <v>#N/A</v>
      </c>
    </row>
    <row r="479">
      <c r="A479" s="30" t="str">
        <f>Facebook_reach_raw!$A481</f>
        <v/>
      </c>
      <c r="B479" s="29" t="str">
        <f>Facebook_interactions_raw!$A481</f>
        <v/>
      </c>
      <c r="C479" s="26" t="str">
        <f t="shared" si="1"/>
        <v/>
      </c>
      <c r="D479" s="26" t="str">
        <f t="array" ref="D479">XLOOKUP($A479,Facebook_follows_raw!$A$4:$A1000,Facebook_follows_raw!$B$4:$B1000)</f>
        <v>#N/A</v>
      </c>
      <c r="E479" s="26" t="str">
        <f t="array" ref="E479">XLOOKUP($A479,Facebook_interactions_raw!$A$4:$A1000,Facebook_interactions_raw!$B$4:$B1000)</f>
        <v>#N/A</v>
      </c>
      <c r="F479" s="26" t="str">
        <f t="array" ref="F479">XLOOKUP($A479,Facebook_reach_raw!$A$4:$A1000,Facebook_reach_raw!$B$4:$B1000)</f>
        <v>#N/A</v>
      </c>
    </row>
    <row r="480">
      <c r="A480" s="30" t="str">
        <f>Facebook_reach_raw!$A482</f>
        <v/>
      </c>
      <c r="B480" s="29" t="str">
        <f>Facebook_interactions_raw!$A482</f>
        <v/>
      </c>
      <c r="C480" s="26" t="str">
        <f t="shared" si="1"/>
        <v/>
      </c>
      <c r="D480" s="26" t="str">
        <f t="array" ref="D480">XLOOKUP($A480,Facebook_follows_raw!$A$4:$A1000,Facebook_follows_raw!$B$4:$B1000)</f>
        <v>#N/A</v>
      </c>
      <c r="E480" s="26" t="str">
        <f t="array" ref="E480">XLOOKUP($A480,Facebook_interactions_raw!$A$4:$A1000,Facebook_interactions_raw!$B$4:$B1000)</f>
        <v>#N/A</v>
      </c>
      <c r="F480" s="26" t="str">
        <f t="array" ref="F480">XLOOKUP($A480,Facebook_reach_raw!$A$4:$A1000,Facebook_reach_raw!$B$4:$B1000)</f>
        <v>#N/A</v>
      </c>
    </row>
    <row r="481">
      <c r="A481" s="30" t="str">
        <f>Facebook_reach_raw!$A483</f>
        <v/>
      </c>
      <c r="B481" s="29" t="str">
        <f>Facebook_interactions_raw!$A483</f>
        <v/>
      </c>
      <c r="C481" s="26" t="str">
        <f t="shared" si="1"/>
        <v/>
      </c>
      <c r="D481" s="26" t="str">
        <f t="array" ref="D481">XLOOKUP($A481,Facebook_follows_raw!$A$4:$A1000,Facebook_follows_raw!$B$4:$B1000)</f>
        <v>#N/A</v>
      </c>
      <c r="E481" s="26" t="str">
        <f t="array" ref="E481">XLOOKUP($A481,Facebook_interactions_raw!$A$4:$A1000,Facebook_interactions_raw!$B$4:$B1000)</f>
        <v>#N/A</v>
      </c>
      <c r="F481" s="26" t="str">
        <f t="array" ref="F481">XLOOKUP($A481,Facebook_reach_raw!$A$4:$A1000,Facebook_reach_raw!$B$4:$B1000)</f>
        <v>#N/A</v>
      </c>
    </row>
    <row r="482">
      <c r="A482" s="30" t="str">
        <f>Facebook_reach_raw!$A484</f>
        <v/>
      </c>
      <c r="B482" s="29" t="str">
        <f>Facebook_interactions_raw!$A484</f>
        <v/>
      </c>
      <c r="C482" s="26" t="str">
        <f t="shared" si="1"/>
        <v/>
      </c>
      <c r="D482" s="26" t="str">
        <f t="array" ref="D482">XLOOKUP($A482,Facebook_follows_raw!$A$4:$A1000,Facebook_follows_raw!$B$4:$B1000)</f>
        <v>#N/A</v>
      </c>
      <c r="E482" s="26" t="str">
        <f t="array" ref="E482">XLOOKUP($A482,Facebook_interactions_raw!$A$4:$A1000,Facebook_interactions_raw!$B$4:$B1000)</f>
        <v>#N/A</v>
      </c>
      <c r="F482" s="26" t="str">
        <f t="array" ref="F482">XLOOKUP($A482,Facebook_reach_raw!$A$4:$A1000,Facebook_reach_raw!$B$4:$B1000)</f>
        <v>#N/A</v>
      </c>
    </row>
    <row r="483">
      <c r="A483" s="30" t="str">
        <f>Facebook_reach_raw!$A485</f>
        <v/>
      </c>
      <c r="B483" s="29" t="str">
        <f>Facebook_interactions_raw!$A485</f>
        <v/>
      </c>
      <c r="C483" s="26" t="str">
        <f t="shared" si="1"/>
        <v/>
      </c>
      <c r="D483" s="26" t="str">
        <f t="array" ref="D483">XLOOKUP($A483,Facebook_follows_raw!$A$4:$A1000,Facebook_follows_raw!$B$4:$B1000)</f>
        <v>#N/A</v>
      </c>
      <c r="E483" s="26" t="str">
        <f t="array" ref="E483">XLOOKUP($A483,Facebook_interactions_raw!$A$4:$A1000,Facebook_interactions_raw!$B$4:$B1000)</f>
        <v>#N/A</v>
      </c>
      <c r="F483" s="26" t="str">
        <f t="array" ref="F483">XLOOKUP($A483,Facebook_reach_raw!$A$4:$A1000,Facebook_reach_raw!$B$4:$B1000)</f>
        <v>#N/A</v>
      </c>
    </row>
    <row r="484">
      <c r="A484" s="30" t="str">
        <f>Facebook_reach_raw!$A486</f>
        <v/>
      </c>
      <c r="B484" s="29" t="str">
        <f>Facebook_interactions_raw!$A486</f>
        <v/>
      </c>
      <c r="C484" s="26" t="str">
        <f t="shared" si="1"/>
        <v/>
      </c>
      <c r="D484" s="26" t="str">
        <f t="array" ref="D484">XLOOKUP($A484,Facebook_follows_raw!$A$4:$A1000,Facebook_follows_raw!$B$4:$B1000)</f>
        <v>#N/A</v>
      </c>
      <c r="E484" s="26" t="str">
        <f t="array" ref="E484">XLOOKUP($A484,Facebook_interactions_raw!$A$4:$A1000,Facebook_interactions_raw!$B$4:$B1000)</f>
        <v>#N/A</v>
      </c>
      <c r="F484" s="26" t="str">
        <f t="array" ref="F484">XLOOKUP($A484,Facebook_reach_raw!$A$4:$A1000,Facebook_reach_raw!$B$4:$B1000)</f>
        <v>#N/A</v>
      </c>
    </row>
    <row r="485">
      <c r="A485" s="30" t="str">
        <f>Facebook_reach_raw!$A487</f>
        <v/>
      </c>
      <c r="B485" s="29" t="str">
        <f>Facebook_interactions_raw!$A487</f>
        <v/>
      </c>
      <c r="C485" s="26" t="str">
        <f t="shared" si="1"/>
        <v/>
      </c>
      <c r="D485" s="26" t="str">
        <f t="array" ref="D485">XLOOKUP($A485,Facebook_follows_raw!$A$4:$A1000,Facebook_follows_raw!$B$4:$B1000)</f>
        <v>#N/A</v>
      </c>
      <c r="E485" s="26" t="str">
        <f t="array" ref="E485">XLOOKUP($A485,Facebook_interactions_raw!$A$4:$A1000,Facebook_interactions_raw!$B$4:$B1000)</f>
        <v>#N/A</v>
      </c>
      <c r="F485" s="26" t="str">
        <f t="array" ref="F485">XLOOKUP($A485,Facebook_reach_raw!$A$4:$A1000,Facebook_reach_raw!$B$4:$B1000)</f>
        <v>#N/A</v>
      </c>
    </row>
    <row r="486">
      <c r="A486" s="30" t="str">
        <f>Facebook_reach_raw!$A488</f>
        <v/>
      </c>
      <c r="B486" s="29" t="str">
        <f>Facebook_interactions_raw!$A488</f>
        <v/>
      </c>
      <c r="C486" s="26" t="str">
        <f t="shared" si="1"/>
        <v/>
      </c>
      <c r="D486" s="26" t="str">
        <f t="array" ref="D486">XLOOKUP($A486,Facebook_follows_raw!$A$4:$A1000,Facebook_follows_raw!$B$4:$B1000)</f>
        <v>#N/A</v>
      </c>
      <c r="E486" s="26" t="str">
        <f t="array" ref="E486">XLOOKUP($A486,Facebook_interactions_raw!$A$4:$A1000,Facebook_interactions_raw!$B$4:$B1000)</f>
        <v>#N/A</v>
      </c>
      <c r="F486" s="26" t="str">
        <f t="array" ref="F486">XLOOKUP($A486,Facebook_reach_raw!$A$4:$A1000,Facebook_reach_raw!$B$4:$B1000)</f>
        <v>#N/A</v>
      </c>
    </row>
    <row r="487">
      <c r="A487" s="30" t="str">
        <f>Facebook_reach_raw!$A489</f>
        <v/>
      </c>
      <c r="B487" s="29" t="str">
        <f>Facebook_interactions_raw!$A489</f>
        <v/>
      </c>
      <c r="C487" s="26" t="str">
        <f t="shared" si="1"/>
        <v/>
      </c>
      <c r="D487" s="26" t="str">
        <f t="array" ref="D487">XLOOKUP($A487,Facebook_follows_raw!$A$4:$A1000,Facebook_follows_raw!$B$4:$B1000)</f>
        <v>#N/A</v>
      </c>
      <c r="E487" s="26" t="str">
        <f t="array" ref="E487">XLOOKUP($A487,Facebook_interactions_raw!$A$4:$A1000,Facebook_interactions_raw!$B$4:$B1000)</f>
        <v>#N/A</v>
      </c>
      <c r="F487" s="26" t="str">
        <f t="array" ref="F487">XLOOKUP($A487,Facebook_reach_raw!$A$4:$A1000,Facebook_reach_raw!$B$4:$B1000)</f>
        <v>#N/A</v>
      </c>
    </row>
    <row r="488">
      <c r="A488" s="30" t="str">
        <f>Facebook_reach_raw!$A490</f>
        <v/>
      </c>
      <c r="B488" s="29" t="str">
        <f>Facebook_interactions_raw!$A490</f>
        <v/>
      </c>
      <c r="C488" s="26" t="str">
        <f t="shared" si="1"/>
        <v/>
      </c>
      <c r="D488" s="26" t="str">
        <f t="array" ref="D488">XLOOKUP($A488,Facebook_follows_raw!$A$4:$A1000,Facebook_follows_raw!$B$4:$B1000)</f>
        <v>#N/A</v>
      </c>
      <c r="E488" s="26" t="str">
        <f t="array" ref="E488">XLOOKUP($A488,Facebook_interactions_raw!$A$4:$A1000,Facebook_interactions_raw!$B$4:$B1000)</f>
        <v>#N/A</v>
      </c>
      <c r="F488" s="26" t="str">
        <f t="array" ref="F488">XLOOKUP($A488,Facebook_reach_raw!$A$4:$A1000,Facebook_reach_raw!$B$4:$B1000)</f>
        <v>#N/A</v>
      </c>
    </row>
    <row r="489">
      <c r="A489" s="30" t="str">
        <f>Facebook_reach_raw!$A491</f>
        <v/>
      </c>
      <c r="B489" s="29" t="str">
        <f>Facebook_interactions_raw!$A491</f>
        <v/>
      </c>
      <c r="C489" s="26" t="str">
        <f t="shared" si="1"/>
        <v/>
      </c>
      <c r="D489" s="26" t="str">
        <f t="array" ref="D489">XLOOKUP($A489,Facebook_follows_raw!$A$4:$A1000,Facebook_follows_raw!$B$4:$B1000)</f>
        <v>#N/A</v>
      </c>
      <c r="E489" s="26" t="str">
        <f t="array" ref="E489">XLOOKUP($A489,Facebook_interactions_raw!$A$4:$A1000,Facebook_interactions_raw!$B$4:$B1000)</f>
        <v>#N/A</v>
      </c>
      <c r="F489" s="26" t="str">
        <f t="array" ref="F489">XLOOKUP($A489,Facebook_reach_raw!$A$4:$A1000,Facebook_reach_raw!$B$4:$B1000)</f>
        <v>#N/A</v>
      </c>
    </row>
    <row r="490">
      <c r="A490" s="30" t="str">
        <f>Facebook_reach_raw!$A492</f>
        <v/>
      </c>
      <c r="B490" s="29" t="str">
        <f>Facebook_interactions_raw!$A492</f>
        <v/>
      </c>
      <c r="C490" s="26" t="str">
        <f t="shared" si="1"/>
        <v/>
      </c>
      <c r="D490" s="26" t="str">
        <f t="array" ref="D490">XLOOKUP($A490,Facebook_follows_raw!$A$4:$A1000,Facebook_follows_raw!$B$4:$B1000)</f>
        <v>#N/A</v>
      </c>
      <c r="E490" s="26" t="str">
        <f t="array" ref="E490">XLOOKUP($A490,Facebook_interactions_raw!$A$4:$A1000,Facebook_interactions_raw!$B$4:$B1000)</f>
        <v>#N/A</v>
      </c>
      <c r="F490" s="26" t="str">
        <f t="array" ref="F490">XLOOKUP($A490,Facebook_reach_raw!$A$4:$A1000,Facebook_reach_raw!$B$4:$B1000)</f>
        <v>#N/A</v>
      </c>
    </row>
    <row r="491">
      <c r="A491" s="30" t="str">
        <f>Facebook_reach_raw!$A493</f>
        <v/>
      </c>
      <c r="B491" s="29" t="str">
        <f>Facebook_interactions_raw!$A493</f>
        <v/>
      </c>
      <c r="C491" s="26" t="str">
        <f t="shared" si="1"/>
        <v/>
      </c>
      <c r="D491" s="26" t="str">
        <f t="array" ref="D491">XLOOKUP($A491,Facebook_follows_raw!$A$4:$A1000,Facebook_follows_raw!$B$4:$B1000)</f>
        <v>#N/A</v>
      </c>
      <c r="E491" s="26" t="str">
        <f t="array" ref="E491">XLOOKUP($A491,Facebook_interactions_raw!$A$4:$A1000,Facebook_interactions_raw!$B$4:$B1000)</f>
        <v>#N/A</v>
      </c>
      <c r="F491" s="26" t="str">
        <f t="array" ref="F491">XLOOKUP($A491,Facebook_reach_raw!$A$4:$A1000,Facebook_reach_raw!$B$4:$B1000)</f>
        <v>#N/A</v>
      </c>
    </row>
    <row r="492">
      <c r="A492" s="30" t="str">
        <f>Facebook_reach_raw!$A494</f>
        <v/>
      </c>
      <c r="B492" s="29" t="str">
        <f>Facebook_interactions_raw!$A494</f>
        <v/>
      </c>
      <c r="C492" s="26" t="str">
        <f t="shared" si="1"/>
        <v/>
      </c>
      <c r="D492" s="26" t="str">
        <f t="array" ref="D492">XLOOKUP($A492,Facebook_follows_raw!$A$4:$A1000,Facebook_follows_raw!$B$4:$B1000)</f>
        <v>#N/A</v>
      </c>
      <c r="E492" s="26" t="str">
        <f t="array" ref="E492">XLOOKUP($A492,Facebook_interactions_raw!$A$4:$A1000,Facebook_interactions_raw!$B$4:$B1000)</f>
        <v>#N/A</v>
      </c>
      <c r="F492" s="26" t="str">
        <f t="array" ref="F492">XLOOKUP($A492,Facebook_reach_raw!$A$4:$A1000,Facebook_reach_raw!$B$4:$B1000)</f>
        <v>#N/A</v>
      </c>
    </row>
    <row r="493">
      <c r="A493" s="30" t="str">
        <f>Facebook_reach_raw!$A495</f>
        <v/>
      </c>
      <c r="B493" s="29" t="str">
        <f>Facebook_interactions_raw!$A495</f>
        <v/>
      </c>
      <c r="C493" s="26" t="str">
        <f t="shared" si="1"/>
        <v/>
      </c>
      <c r="D493" s="26" t="str">
        <f t="array" ref="D493">XLOOKUP($A493,Facebook_follows_raw!$A$4:$A1000,Facebook_follows_raw!$B$4:$B1000)</f>
        <v>#N/A</v>
      </c>
      <c r="E493" s="26" t="str">
        <f t="array" ref="E493">XLOOKUP($A493,Facebook_interactions_raw!$A$4:$A1000,Facebook_interactions_raw!$B$4:$B1000)</f>
        <v>#N/A</v>
      </c>
      <c r="F493" s="26" t="str">
        <f t="array" ref="F493">XLOOKUP($A493,Facebook_reach_raw!$A$4:$A1000,Facebook_reach_raw!$B$4:$B1000)</f>
        <v>#N/A</v>
      </c>
    </row>
    <row r="494">
      <c r="A494" s="30" t="str">
        <f>Facebook_reach_raw!$A496</f>
        <v/>
      </c>
      <c r="B494" s="29" t="str">
        <f>Facebook_interactions_raw!$A496</f>
        <v/>
      </c>
      <c r="C494" s="26" t="str">
        <f t="shared" si="1"/>
        <v/>
      </c>
      <c r="D494" s="26" t="str">
        <f t="array" ref="D494">XLOOKUP($A494,Facebook_follows_raw!$A$4:$A1000,Facebook_follows_raw!$B$4:$B1000)</f>
        <v>#N/A</v>
      </c>
      <c r="E494" s="26" t="str">
        <f t="array" ref="E494">XLOOKUP($A494,Facebook_interactions_raw!$A$4:$A1000,Facebook_interactions_raw!$B$4:$B1000)</f>
        <v>#N/A</v>
      </c>
      <c r="F494" s="26" t="str">
        <f t="array" ref="F494">XLOOKUP($A494,Facebook_reach_raw!$A$4:$A1000,Facebook_reach_raw!$B$4:$B1000)</f>
        <v>#N/A</v>
      </c>
    </row>
    <row r="495">
      <c r="A495" s="30" t="str">
        <f>Facebook_reach_raw!$A497</f>
        <v/>
      </c>
      <c r="B495" s="29" t="str">
        <f>Facebook_interactions_raw!$A497</f>
        <v/>
      </c>
      <c r="C495" s="26" t="str">
        <f t="shared" si="1"/>
        <v/>
      </c>
      <c r="D495" s="26" t="str">
        <f t="array" ref="D495">XLOOKUP($A495,Facebook_follows_raw!$A$4:$A1000,Facebook_follows_raw!$B$4:$B1000)</f>
        <v>#N/A</v>
      </c>
      <c r="E495" s="26" t="str">
        <f t="array" ref="E495">XLOOKUP($A495,Facebook_interactions_raw!$A$4:$A1000,Facebook_interactions_raw!$B$4:$B1000)</f>
        <v>#N/A</v>
      </c>
      <c r="F495" s="26" t="str">
        <f t="array" ref="F495">XLOOKUP($A495,Facebook_reach_raw!$A$4:$A1000,Facebook_reach_raw!$B$4:$B1000)</f>
        <v>#N/A</v>
      </c>
    </row>
    <row r="496">
      <c r="A496" s="30" t="str">
        <f>Facebook_reach_raw!$A498</f>
        <v/>
      </c>
      <c r="B496" s="29" t="str">
        <f>Facebook_interactions_raw!$A498</f>
        <v/>
      </c>
      <c r="C496" s="26" t="str">
        <f t="shared" si="1"/>
        <v/>
      </c>
      <c r="D496" s="26" t="str">
        <f t="array" ref="D496">XLOOKUP($A496,Facebook_follows_raw!$A$4:$A1000,Facebook_follows_raw!$B$4:$B1000)</f>
        <v>#N/A</v>
      </c>
      <c r="E496" s="26" t="str">
        <f t="array" ref="E496">XLOOKUP($A496,Facebook_interactions_raw!$A$4:$A1000,Facebook_interactions_raw!$B$4:$B1000)</f>
        <v>#N/A</v>
      </c>
      <c r="F496" s="26" t="str">
        <f t="array" ref="F496">XLOOKUP($A496,Facebook_reach_raw!$A$4:$A1000,Facebook_reach_raw!$B$4:$B1000)</f>
        <v>#N/A</v>
      </c>
    </row>
    <row r="497">
      <c r="A497" s="30" t="str">
        <f>Facebook_reach_raw!$A499</f>
        <v/>
      </c>
      <c r="B497" s="29" t="str">
        <f>Facebook_interactions_raw!$A499</f>
        <v/>
      </c>
      <c r="C497" s="26" t="str">
        <f t="shared" si="1"/>
        <v/>
      </c>
      <c r="D497" s="26" t="str">
        <f t="array" ref="D497">XLOOKUP($A497,Facebook_follows_raw!$A$4:$A1000,Facebook_follows_raw!$B$4:$B1000)</f>
        <v>#N/A</v>
      </c>
      <c r="E497" s="26" t="str">
        <f t="array" ref="E497">XLOOKUP($A497,Facebook_interactions_raw!$A$4:$A1000,Facebook_interactions_raw!$B$4:$B1000)</f>
        <v>#N/A</v>
      </c>
      <c r="F497" s="26" t="str">
        <f t="array" ref="F497">XLOOKUP($A497,Facebook_reach_raw!$A$4:$A1000,Facebook_reach_raw!$B$4:$B1000)</f>
        <v>#N/A</v>
      </c>
    </row>
    <row r="498">
      <c r="A498" s="30" t="str">
        <f>Facebook_reach_raw!$A500</f>
        <v/>
      </c>
      <c r="B498" s="29" t="str">
        <f>Facebook_interactions_raw!$A500</f>
        <v/>
      </c>
      <c r="C498" s="26" t="str">
        <f t="shared" si="1"/>
        <v/>
      </c>
      <c r="D498" s="26" t="str">
        <f t="array" ref="D498">XLOOKUP($A498,Facebook_follows_raw!$A$4:$A1000,Facebook_follows_raw!$B$4:$B1000)</f>
        <v>#N/A</v>
      </c>
      <c r="E498" s="26" t="str">
        <f t="array" ref="E498">XLOOKUP($A498,Facebook_interactions_raw!$A$4:$A1000,Facebook_interactions_raw!$B$4:$B1000)</f>
        <v>#N/A</v>
      </c>
      <c r="F498" s="26" t="str">
        <f t="array" ref="F498">XLOOKUP($A498,Facebook_reach_raw!$A$4:$A1000,Facebook_reach_raw!$B$4:$B1000)</f>
        <v>#N/A</v>
      </c>
    </row>
    <row r="499">
      <c r="A499" s="30" t="str">
        <f>Facebook_reach_raw!$A501</f>
        <v/>
      </c>
      <c r="B499" s="29" t="str">
        <f>Facebook_interactions_raw!$A501</f>
        <v/>
      </c>
      <c r="C499" s="26" t="str">
        <f t="shared" si="1"/>
        <v/>
      </c>
      <c r="D499" s="26" t="str">
        <f t="array" ref="D499">XLOOKUP($A499,Facebook_follows_raw!$A$4:$A1000,Facebook_follows_raw!$B$4:$B1000)</f>
        <v>#N/A</v>
      </c>
      <c r="E499" s="26" t="str">
        <f t="array" ref="E499">XLOOKUP($A499,Facebook_interactions_raw!$A$4:$A1000,Facebook_interactions_raw!$B$4:$B1000)</f>
        <v>#N/A</v>
      </c>
      <c r="F499" s="26" t="str">
        <f t="array" ref="F499">XLOOKUP($A499,Facebook_reach_raw!$A$4:$A1000,Facebook_reach_raw!$B$4:$B1000)</f>
        <v>#N/A</v>
      </c>
    </row>
    <row r="500">
      <c r="A500" s="30" t="str">
        <f>Facebook_reach_raw!$A502</f>
        <v/>
      </c>
      <c r="B500" s="29" t="str">
        <f>Facebook_interactions_raw!$A502</f>
        <v/>
      </c>
      <c r="C500" s="26" t="str">
        <f t="shared" si="1"/>
        <v/>
      </c>
      <c r="D500" s="26" t="str">
        <f t="array" ref="D500">XLOOKUP($A500,Facebook_follows_raw!$A$4:$A1000,Facebook_follows_raw!$B$4:$B1000)</f>
        <v>#N/A</v>
      </c>
      <c r="E500" s="26" t="str">
        <f t="array" ref="E500">XLOOKUP($A500,Facebook_interactions_raw!$A$4:$A1000,Facebook_interactions_raw!$B$4:$B1000)</f>
        <v>#N/A</v>
      </c>
      <c r="F500" s="26" t="str">
        <f t="array" ref="F500">XLOOKUP($A500,Facebook_reach_raw!$A$4:$A1000,Facebook_reach_raw!$B$4:$B1000)</f>
        <v>#N/A</v>
      </c>
    </row>
    <row r="501">
      <c r="A501" s="30" t="str">
        <f>Facebook_reach_raw!$A503</f>
        <v/>
      </c>
      <c r="B501" s="29" t="str">
        <f>Facebook_interactions_raw!$A503</f>
        <v/>
      </c>
      <c r="C501" s="26" t="str">
        <f t="shared" si="1"/>
        <v/>
      </c>
      <c r="D501" s="26" t="str">
        <f t="array" ref="D501">XLOOKUP($A501,Facebook_follows_raw!$A$4:$A1000,Facebook_follows_raw!$B$4:$B1000)</f>
        <v>#N/A</v>
      </c>
      <c r="E501" s="26" t="str">
        <f t="array" ref="E501">XLOOKUP($A501,Facebook_interactions_raw!$A$4:$A1000,Facebook_interactions_raw!$B$4:$B1000)</f>
        <v>#N/A</v>
      </c>
      <c r="F501" s="26" t="str">
        <f t="array" ref="F501">XLOOKUP($A501,Facebook_reach_raw!$A$4:$A1000,Facebook_reach_raw!$B$4:$B1000)</f>
        <v>#N/A</v>
      </c>
    </row>
    <row r="502">
      <c r="A502" s="30" t="str">
        <f>Facebook_reach_raw!$A504</f>
        <v/>
      </c>
      <c r="B502" s="29" t="str">
        <f>Facebook_interactions_raw!$A504</f>
        <v/>
      </c>
      <c r="C502" s="26" t="str">
        <f t="shared" si="1"/>
        <v/>
      </c>
      <c r="D502" s="26" t="str">
        <f t="array" ref="D502">XLOOKUP($A502,Facebook_follows_raw!$A$4:$A1000,Facebook_follows_raw!$B$4:$B1000)</f>
        <v>#N/A</v>
      </c>
      <c r="E502" s="26" t="str">
        <f t="array" ref="E502">XLOOKUP($A502,Facebook_interactions_raw!$A$4:$A1000,Facebook_interactions_raw!$B$4:$B1000)</f>
        <v>#N/A</v>
      </c>
      <c r="F502" s="26" t="str">
        <f t="array" ref="F502">XLOOKUP($A502,Facebook_reach_raw!$A$4:$A1000,Facebook_reach_raw!$B$4:$B1000)</f>
        <v>#N/A</v>
      </c>
    </row>
    <row r="503">
      <c r="A503" s="30" t="str">
        <f>Facebook_reach_raw!$A505</f>
        <v/>
      </c>
      <c r="B503" s="29" t="str">
        <f>Facebook_interactions_raw!$A505</f>
        <v/>
      </c>
      <c r="C503" s="26" t="str">
        <f t="shared" si="1"/>
        <v/>
      </c>
      <c r="D503" s="26" t="str">
        <f t="array" ref="D503">XLOOKUP($A503,Facebook_follows_raw!$A$4:$A1000,Facebook_follows_raw!$B$4:$B1000)</f>
        <v>#N/A</v>
      </c>
      <c r="E503" s="26" t="str">
        <f t="array" ref="E503">XLOOKUP($A503,Facebook_interactions_raw!$A$4:$A1000,Facebook_interactions_raw!$B$4:$B1000)</f>
        <v>#N/A</v>
      </c>
      <c r="F503" s="26" t="str">
        <f t="array" ref="F503">XLOOKUP($A503,Facebook_reach_raw!$A$4:$A1000,Facebook_reach_raw!$B$4:$B1000)</f>
        <v>#N/A</v>
      </c>
    </row>
    <row r="504">
      <c r="A504" s="30" t="str">
        <f>Facebook_reach_raw!$A506</f>
        <v/>
      </c>
      <c r="B504" s="29" t="str">
        <f>Facebook_interactions_raw!$A506</f>
        <v/>
      </c>
      <c r="C504" s="26" t="str">
        <f t="shared" si="1"/>
        <v/>
      </c>
      <c r="D504" s="26" t="str">
        <f t="array" ref="D504">XLOOKUP($A504,Facebook_follows_raw!$A$4:$A1000,Facebook_follows_raw!$B$4:$B1000)</f>
        <v>#N/A</v>
      </c>
      <c r="E504" s="26" t="str">
        <f t="array" ref="E504">XLOOKUP($A504,Facebook_interactions_raw!$A$4:$A1000,Facebook_interactions_raw!$B$4:$B1000)</f>
        <v>#N/A</v>
      </c>
      <c r="F504" s="26" t="str">
        <f t="array" ref="F504">XLOOKUP($A504,Facebook_reach_raw!$A$4:$A1000,Facebook_reach_raw!$B$4:$B1000)</f>
        <v>#N/A</v>
      </c>
    </row>
    <row r="505">
      <c r="A505" s="30" t="str">
        <f>Facebook_reach_raw!$A507</f>
        <v/>
      </c>
      <c r="B505" s="29" t="str">
        <f>Facebook_interactions_raw!$A507</f>
        <v/>
      </c>
      <c r="C505" s="26" t="str">
        <f t="shared" si="1"/>
        <v/>
      </c>
      <c r="D505" s="26" t="str">
        <f t="array" ref="D505">XLOOKUP($A505,Facebook_follows_raw!$A$4:$A1000,Facebook_follows_raw!$B$4:$B1000)</f>
        <v>#N/A</v>
      </c>
      <c r="E505" s="26" t="str">
        <f t="array" ref="E505">XLOOKUP($A505,Facebook_interactions_raw!$A$4:$A1000,Facebook_interactions_raw!$B$4:$B1000)</f>
        <v>#N/A</v>
      </c>
      <c r="F505" s="26" t="str">
        <f t="array" ref="F505">XLOOKUP($A505,Facebook_reach_raw!$A$4:$A1000,Facebook_reach_raw!$B$4:$B1000)</f>
        <v>#N/A</v>
      </c>
    </row>
    <row r="506">
      <c r="A506" s="30" t="str">
        <f>Facebook_reach_raw!$A508</f>
        <v/>
      </c>
      <c r="B506" s="29" t="str">
        <f>Facebook_interactions_raw!$A508</f>
        <v/>
      </c>
      <c r="C506" s="26" t="str">
        <f t="shared" si="1"/>
        <v/>
      </c>
      <c r="D506" s="26" t="str">
        <f t="array" ref="D506">XLOOKUP($A506,Facebook_follows_raw!$A$4:$A1000,Facebook_follows_raw!$B$4:$B1000)</f>
        <v>#N/A</v>
      </c>
      <c r="E506" s="26" t="str">
        <f t="array" ref="E506">XLOOKUP($A506,Facebook_interactions_raw!$A$4:$A1000,Facebook_interactions_raw!$B$4:$B1000)</f>
        <v>#N/A</v>
      </c>
      <c r="F506" s="26" t="str">
        <f t="array" ref="F506">XLOOKUP($A506,Facebook_reach_raw!$A$4:$A1000,Facebook_reach_raw!$B$4:$B1000)</f>
        <v>#N/A</v>
      </c>
    </row>
    <row r="507">
      <c r="A507" s="30" t="str">
        <f>Facebook_reach_raw!$A509</f>
        <v/>
      </c>
      <c r="B507" s="29" t="str">
        <f>Facebook_interactions_raw!$A509</f>
        <v/>
      </c>
      <c r="C507" s="26" t="str">
        <f t="shared" si="1"/>
        <v/>
      </c>
      <c r="D507" s="26" t="str">
        <f t="array" ref="D507">XLOOKUP($A507,Facebook_follows_raw!$A$4:$A1000,Facebook_follows_raw!$B$4:$B1000)</f>
        <v>#N/A</v>
      </c>
      <c r="E507" s="26" t="str">
        <f t="array" ref="E507">XLOOKUP($A507,Facebook_interactions_raw!$A$4:$A1000,Facebook_interactions_raw!$B$4:$B1000)</f>
        <v>#N/A</v>
      </c>
      <c r="F507" s="26" t="str">
        <f t="array" ref="F507">XLOOKUP($A507,Facebook_reach_raw!$A$4:$A1000,Facebook_reach_raw!$B$4:$B1000)</f>
        <v>#N/A</v>
      </c>
    </row>
    <row r="508">
      <c r="A508" s="30" t="str">
        <f>Facebook_reach_raw!$A510</f>
        <v/>
      </c>
      <c r="B508" s="29" t="str">
        <f>Facebook_interactions_raw!$A510</f>
        <v/>
      </c>
      <c r="C508" s="26" t="str">
        <f t="shared" si="1"/>
        <v/>
      </c>
      <c r="D508" s="26" t="str">
        <f t="array" ref="D508">XLOOKUP($A508,Facebook_follows_raw!$A$4:$A1000,Facebook_follows_raw!$B$4:$B1000)</f>
        <v>#N/A</v>
      </c>
      <c r="E508" s="26" t="str">
        <f t="array" ref="E508">XLOOKUP($A508,Facebook_interactions_raw!$A$4:$A1000,Facebook_interactions_raw!$B$4:$B1000)</f>
        <v>#N/A</v>
      </c>
      <c r="F508" s="26" t="str">
        <f t="array" ref="F508">XLOOKUP($A508,Facebook_reach_raw!$A$4:$A1000,Facebook_reach_raw!$B$4:$B1000)</f>
        <v>#N/A</v>
      </c>
    </row>
    <row r="509">
      <c r="A509" s="30" t="str">
        <f>Facebook_reach_raw!$A511</f>
        <v/>
      </c>
      <c r="B509" s="29" t="str">
        <f>Facebook_interactions_raw!$A511</f>
        <v/>
      </c>
      <c r="C509" s="26" t="str">
        <f t="shared" si="1"/>
        <v/>
      </c>
      <c r="D509" s="26" t="str">
        <f t="array" ref="D509">XLOOKUP($A509,Facebook_follows_raw!$A$4:$A1000,Facebook_follows_raw!$B$4:$B1000)</f>
        <v>#N/A</v>
      </c>
      <c r="E509" s="26" t="str">
        <f t="array" ref="E509">XLOOKUP($A509,Facebook_interactions_raw!$A$4:$A1000,Facebook_interactions_raw!$B$4:$B1000)</f>
        <v>#N/A</v>
      </c>
      <c r="F509" s="26" t="str">
        <f t="array" ref="F509">XLOOKUP($A509,Facebook_reach_raw!$A$4:$A1000,Facebook_reach_raw!$B$4:$B1000)</f>
        <v>#N/A</v>
      </c>
    </row>
    <row r="510">
      <c r="A510" s="30" t="str">
        <f>Facebook_reach_raw!$A512</f>
        <v/>
      </c>
      <c r="B510" s="29" t="str">
        <f>Facebook_interactions_raw!$A512</f>
        <v/>
      </c>
      <c r="C510" s="26" t="str">
        <f t="shared" si="1"/>
        <v/>
      </c>
      <c r="D510" s="26" t="str">
        <f t="array" ref="D510">XLOOKUP($A510,Facebook_follows_raw!$A$4:$A1000,Facebook_follows_raw!$B$4:$B1000)</f>
        <v>#N/A</v>
      </c>
      <c r="E510" s="26" t="str">
        <f t="array" ref="E510">XLOOKUP($A510,Facebook_interactions_raw!$A$4:$A1000,Facebook_interactions_raw!$B$4:$B1000)</f>
        <v>#N/A</v>
      </c>
      <c r="F510" s="26" t="str">
        <f t="array" ref="F510">XLOOKUP($A510,Facebook_reach_raw!$A$4:$A1000,Facebook_reach_raw!$B$4:$B1000)</f>
        <v>#N/A</v>
      </c>
    </row>
    <row r="511">
      <c r="A511" s="30" t="str">
        <f>Facebook_reach_raw!$A513</f>
        <v/>
      </c>
      <c r="B511" s="29" t="str">
        <f>Facebook_interactions_raw!$A513</f>
        <v/>
      </c>
      <c r="C511" s="26" t="str">
        <f t="shared" si="1"/>
        <v/>
      </c>
      <c r="D511" s="26" t="str">
        <f t="array" ref="D511">XLOOKUP($A511,Facebook_follows_raw!$A$4:$A1000,Facebook_follows_raw!$B$4:$B1000)</f>
        <v>#N/A</v>
      </c>
      <c r="E511" s="26" t="str">
        <f t="array" ref="E511">XLOOKUP($A511,Facebook_interactions_raw!$A$4:$A1000,Facebook_interactions_raw!$B$4:$B1000)</f>
        <v>#N/A</v>
      </c>
      <c r="F511" s="26" t="str">
        <f t="array" ref="F511">XLOOKUP($A511,Facebook_reach_raw!$A$4:$A1000,Facebook_reach_raw!$B$4:$B1000)</f>
        <v>#N/A</v>
      </c>
    </row>
    <row r="512">
      <c r="A512" s="30" t="str">
        <f>Facebook_reach_raw!$A514</f>
        <v/>
      </c>
      <c r="B512" s="29" t="str">
        <f>Facebook_interactions_raw!$A514</f>
        <v/>
      </c>
      <c r="C512" s="26" t="str">
        <f t="shared" si="1"/>
        <v/>
      </c>
      <c r="D512" s="26" t="str">
        <f t="array" ref="D512">XLOOKUP($A512,Facebook_follows_raw!$A$4:$A1000,Facebook_follows_raw!$B$4:$B1000)</f>
        <v>#N/A</v>
      </c>
      <c r="E512" s="26" t="str">
        <f t="array" ref="E512">XLOOKUP($A512,Facebook_interactions_raw!$A$4:$A1000,Facebook_interactions_raw!$B$4:$B1000)</f>
        <v>#N/A</v>
      </c>
      <c r="F512" s="26" t="str">
        <f t="array" ref="F512">XLOOKUP($A512,Facebook_reach_raw!$A$4:$A1000,Facebook_reach_raw!$B$4:$B1000)</f>
        <v>#N/A</v>
      </c>
    </row>
    <row r="513">
      <c r="A513" s="30" t="str">
        <f>Facebook_reach_raw!$A515</f>
        <v/>
      </c>
      <c r="B513" s="29" t="str">
        <f>Facebook_interactions_raw!$A515</f>
        <v/>
      </c>
      <c r="C513" s="26" t="str">
        <f t="shared" si="1"/>
        <v/>
      </c>
      <c r="D513" s="26" t="str">
        <f t="array" ref="D513">XLOOKUP($A513,Facebook_follows_raw!$A$4:$A1000,Facebook_follows_raw!$B$4:$B1000)</f>
        <v>#N/A</v>
      </c>
      <c r="E513" s="26" t="str">
        <f t="array" ref="E513">XLOOKUP($A513,Facebook_interactions_raw!$A$4:$A1000,Facebook_interactions_raw!$B$4:$B1000)</f>
        <v>#N/A</v>
      </c>
      <c r="F513" s="26" t="str">
        <f t="array" ref="F513">XLOOKUP($A513,Facebook_reach_raw!$A$4:$A1000,Facebook_reach_raw!$B$4:$B1000)</f>
        <v>#N/A</v>
      </c>
    </row>
    <row r="514">
      <c r="A514" s="30" t="str">
        <f>Facebook_reach_raw!$A516</f>
        <v/>
      </c>
      <c r="B514" s="29" t="str">
        <f>Facebook_interactions_raw!$A516</f>
        <v/>
      </c>
      <c r="C514" s="26" t="str">
        <f t="shared" si="1"/>
        <v/>
      </c>
      <c r="D514" s="26" t="str">
        <f t="array" ref="D514">XLOOKUP($A514,Facebook_follows_raw!$A$4:$A1000,Facebook_follows_raw!$B$4:$B1000)</f>
        <v>#N/A</v>
      </c>
      <c r="E514" s="26" t="str">
        <f t="array" ref="E514">XLOOKUP($A514,Facebook_interactions_raw!$A$4:$A1000,Facebook_interactions_raw!$B$4:$B1000)</f>
        <v>#N/A</v>
      </c>
      <c r="F514" s="26" t="str">
        <f t="array" ref="F514">XLOOKUP($A514,Facebook_reach_raw!$A$4:$A1000,Facebook_reach_raw!$B$4:$B1000)</f>
        <v>#N/A</v>
      </c>
    </row>
    <row r="515">
      <c r="A515" s="30" t="str">
        <f>Facebook_reach_raw!$A517</f>
        <v/>
      </c>
      <c r="B515" s="29" t="str">
        <f>Facebook_interactions_raw!$A517</f>
        <v/>
      </c>
      <c r="C515" s="26" t="str">
        <f t="shared" si="1"/>
        <v/>
      </c>
      <c r="D515" s="26" t="str">
        <f t="array" ref="D515">XLOOKUP($A515,Facebook_follows_raw!$A$4:$A1000,Facebook_follows_raw!$B$4:$B1000)</f>
        <v>#N/A</v>
      </c>
      <c r="E515" s="26" t="str">
        <f t="array" ref="E515">XLOOKUP($A515,Facebook_interactions_raw!$A$4:$A1000,Facebook_interactions_raw!$B$4:$B1000)</f>
        <v>#N/A</v>
      </c>
      <c r="F515" s="26" t="str">
        <f t="array" ref="F515">XLOOKUP($A515,Facebook_reach_raw!$A$4:$A1000,Facebook_reach_raw!$B$4:$B1000)</f>
        <v>#N/A</v>
      </c>
    </row>
    <row r="516">
      <c r="A516" s="30" t="str">
        <f>Facebook_reach_raw!$A518</f>
        <v/>
      </c>
      <c r="B516" s="29" t="str">
        <f>Facebook_interactions_raw!$A518</f>
        <v/>
      </c>
      <c r="C516" s="26" t="str">
        <f t="shared" si="1"/>
        <v/>
      </c>
      <c r="D516" s="26" t="str">
        <f t="array" ref="D516">XLOOKUP($A516,Facebook_follows_raw!$A$4:$A1000,Facebook_follows_raw!$B$4:$B1000)</f>
        <v>#N/A</v>
      </c>
      <c r="E516" s="26" t="str">
        <f t="array" ref="E516">XLOOKUP($A516,Facebook_interactions_raw!$A$4:$A1000,Facebook_interactions_raw!$B$4:$B1000)</f>
        <v>#N/A</v>
      </c>
      <c r="F516" s="26" t="str">
        <f t="array" ref="F516">XLOOKUP($A516,Facebook_reach_raw!$A$4:$A1000,Facebook_reach_raw!$B$4:$B1000)</f>
        <v>#N/A</v>
      </c>
    </row>
    <row r="517">
      <c r="A517" s="30" t="str">
        <f>Facebook_reach_raw!$A519</f>
        <v/>
      </c>
      <c r="B517" s="29" t="str">
        <f>Facebook_interactions_raw!$A519</f>
        <v/>
      </c>
      <c r="C517" s="26" t="str">
        <f t="shared" si="1"/>
        <v/>
      </c>
      <c r="D517" s="26" t="str">
        <f t="array" ref="D517">XLOOKUP($A517,Facebook_follows_raw!$A$4:$A1000,Facebook_follows_raw!$B$4:$B1000)</f>
        <v>#N/A</v>
      </c>
      <c r="E517" s="26" t="str">
        <f t="array" ref="E517">XLOOKUP($A517,Facebook_interactions_raw!$A$4:$A1000,Facebook_interactions_raw!$B$4:$B1000)</f>
        <v>#N/A</v>
      </c>
      <c r="F517" s="26" t="str">
        <f t="array" ref="F517">XLOOKUP($A517,Facebook_reach_raw!$A$4:$A1000,Facebook_reach_raw!$B$4:$B1000)</f>
        <v>#N/A</v>
      </c>
    </row>
    <row r="518">
      <c r="A518" s="30" t="str">
        <f>Facebook_reach_raw!$A520</f>
        <v/>
      </c>
      <c r="B518" s="29" t="str">
        <f>Facebook_interactions_raw!$A520</f>
        <v/>
      </c>
      <c r="C518" s="26" t="str">
        <f t="shared" si="1"/>
        <v/>
      </c>
      <c r="D518" s="26" t="str">
        <f t="array" ref="D518">XLOOKUP($A518,Facebook_follows_raw!$A$4:$A1000,Facebook_follows_raw!$B$4:$B1000)</f>
        <v>#N/A</v>
      </c>
      <c r="E518" s="26" t="str">
        <f t="array" ref="E518">XLOOKUP($A518,Facebook_interactions_raw!$A$4:$A1000,Facebook_interactions_raw!$B$4:$B1000)</f>
        <v>#N/A</v>
      </c>
      <c r="F518" s="26" t="str">
        <f t="array" ref="F518">XLOOKUP($A518,Facebook_reach_raw!$A$4:$A1000,Facebook_reach_raw!$B$4:$B1000)</f>
        <v>#N/A</v>
      </c>
    </row>
    <row r="519">
      <c r="A519" s="30" t="str">
        <f>Facebook_reach_raw!$A521</f>
        <v/>
      </c>
      <c r="B519" s="29" t="str">
        <f>Facebook_interactions_raw!$A521</f>
        <v/>
      </c>
      <c r="C519" s="26" t="str">
        <f t="shared" si="1"/>
        <v/>
      </c>
      <c r="D519" s="26" t="str">
        <f t="array" ref="D519">XLOOKUP($A519,Facebook_follows_raw!$A$4:$A1000,Facebook_follows_raw!$B$4:$B1000)</f>
        <v>#N/A</v>
      </c>
      <c r="E519" s="26" t="str">
        <f t="array" ref="E519">XLOOKUP($A519,Facebook_interactions_raw!$A$4:$A1000,Facebook_interactions_raw!$B$4:$B1000)</f>
        <v>#N/A</v>
      </c>
      <c r="F519" s="26" t="str">
        <f t="array" ref="F519">XLOOKUP($A519,Facebook_reach_raw!$A$4:$A1000,Facebook_reach_raw!$B$4:$B1000)</f>
        <v>#N/A</v>
      </c>
    </row>
    <row r="520">
      <c r="A520" s="30" t="str">
        <f>Facebook_reach_raw!$A522</f>
        <v/>
      </c>
      <c r="B520" s="29" t="str">
        <f>Facebook_interactions_raw!$A522</f>
        <v/>
      </c>
      <c r="C520" s="26" t="str">
        <f t="shared" si="1"/>
        <v/>
      </c>
      <c r="D520" s="26" t="str">
        <f t="array" ref="D520">XLOOKUP($A520,Facebook_follows_raw!$A$4:$A1000,Facebook_follows_raw!$B$4:$B1000)</f>
        <v>#N/A</v>
      </c>
      <c r="E520" s="26" t="str">
        <f t="array" ref="E520">XLOOKUP($A520,Facebook_interactions_raw!$A$4:$A1000,Facebook_interactions_raw!$B$4:$B1000)</f>
        <v>#N/A</v>
      </c>
      <c r="F520" s="26" t="str">
        <f t="array" ref="F520">XLOOKUP($A520,Facebook_reach_raw!$A$4:$A1000,Facebook_reach_raw!$B$4:$B1000)</f>
        <v>#N/A</v>
      </c>
    </row>
    <row r="521">
      <c r="A521" s="30" t="str">
        <f>Facebook_reach_raw!$A523</f>
        <v/>
      </c>
      <c r="B521" s="29" t="str">
        <f>Facebook_interactions_raw!$A523</f>
        <v/>
      </c>
      <c r="C521" s="26" t="str">
        <f t="shared" si="1"/>
        <v/>
      </c>
      <c r="D521" s="26" t="str">
        <f t="array" ref="D521">XLOOKUP($A521,Facebook_follows_raw!$A$4:$A1000,Facebook_follows_raw!$B$4:$B1000)</f>
        <v>#N/A</v>
      </c>
      <c r="E521" s="26" t="str">
        <f t="array" ref="E521">XLOOKUP($A521,Facebook_interactions_raw!$A$4:$A1000,Facebook_interactions_raw!$B$4:$B1000)</f>
        <v>#N/A</v>
      </c>
      <c r="F521" s="26" t="str">
        <f t="array" ref="F521">XLOOKUP($A521,Facebook_reach_raw!$A$4:$A1000,Facebook_reach_raw!$B$4:$B1000)</f>
        <v>#N/A</v>
      </c>
    </row>
    <row r="522">
      <c r="A522" s="30" t="str">
        <f>Facebook_reach_raw!$A524</f>
        <v/>
      </c>
      <c r="B522" s="29" t="str">
        <f>Facebook_interactions_raw!$A524</f>
        <v/>
      </c>
      <c r="C522" s="26" t="str">
        <f t="shared" si="1"/>
        <v/>
      </c>
      <c r="D522" s="26" t="str">
        <f t="array" ref="D522">XLOOKUP($A522,Facebook_follows_raw!$A$4:$A1000,Facebook_follows_raw!$B$4:$B1000)</f>
        <v>#N/A</v>
      </c>
      <c r="E522" s="26" t="str">
        <f t="array" ref="E522">XLOOKUP($A522,Facebook_interactions_raw!$A$4:$A1000,Facebook_interactions_raw!$B$4:$B1000)</f>
        <v>#N/A</v>
      </c>
      <c r="F522" s="26" t="str">
        <f t="array" ref="F522">XLOOKUP($A522,Facebook_reach_raw!$A$4:$A1000,Facebook_reach_raw!$B$4:$B1000)</f>
        <v>#N/A</v>
      </c>
    </row>
    <row r="523">
      <c r="A523" s="30" t="str">
        <f>Facebook_reach_raw!$A525</f>
        <v/>
      </c>
      <c r="B523" s="29" t="str">
        <f>Facebook_interactions_raw!$A525</f>
        <v/>
      </c>
      <c r="C523" s="26" t="str">
        <f t="shared" si="1"/>
        <v/>
      </c>
      <c r="D523" s="26" t="str">
        <f t="array" ref="D523">XLOOKUP($A523,Facebook_follows_raw!$A$4:$A1000,Facebook_follows_raw!$B$4:$B1000)</f>
        <v>#N/A</v>
      </c>
      <c r="E523" s="26" t="str">
        <f t="array" ref="E523">XLOOKUP($A523,Facebook_interactions_raw!$A$4:$A1000,Facebook_interactions_raw!$B$4:$B1000)</f>
        <v>#N/A</v>
      </c>
      <c r="F523" s="26" t="str">
        <f t="array" ref="F523">XLOOKUP($A523,Facebook_reach_raw!$A$4:$A1000,Facebook_reach_raw!$B$4:$B1000)</f>
        <v>#N/A</v>
      </c>
    </row>
    <row r="524">
      <c r="A524" s="30" t="str">
        <f>Facebook_reach_raw!$A526</f>
        <v/>
      </c>
      <c r="B524" s="29" t="str">
        <f>Facebook_interactions_raw!$A526</f>
        <v/>
      </c>
      <c r="C524" s="26" t="str">
        <f t="shared" si="1"/>
        <v/>
      </c>
      <c r="D524" s="26" t="str">
        <f t="array" ref="D524">XLOOKUP($A524,Facebook_follows_raw!$A$4:$A1000,Facebook_follows_raw!$B$4:$B1000)</f>
        <v>#N/A</v>
      </c>
      <c r="E524" s="26" t="str">
        <f t="array" ref="E524">XLOOKUP($A524,Facebook_interactions_raw!$A$4:$A1000,Facebook_interactions_raw!$B$4:$B1000)</f>
        <v>#N/A</v>
      </c>
      <c r="F524" s="26" t="str">
        <f t="array" ref="F524">XLOOKUP($A524,Facebook_reach_raw!$A$4:$A1000,Facebook_reach_raw!$B$4:$B1000)</f>
        <v>#N/A</v>
      </c>
    </row>
    <row r="525">
      <c r="A525" s="30" t="str">
        <f>Facebook_reach_raw!$A527</f>
        <v/>
      </c>
      <c r="B525" s="29" t="str">
        <f>Facebook_interactions_raw!$A527</f>
        <v/>
      </c>
      <c r="C525" s="26" t="str">
        <f t="shared" si="1"/>
        <v/>
      </c>
      <c r="D525" s="26" t="str">
        <f t="array" ref="D525">XLOOKUP($A525,Facebook_follows_raw!$A$4:$A1000,Facebook_follows_raw!$B$4:$B1000)</f>
        <v>#N/A</v>
      </c>
      <c r="E525" s="26" t="str">
        <f t="array" ref="E525">XLOOKUP($A525,Facebook_interactions_raw!$A$4:$A1000,Facebook_interactions_raw!$B$4:$B1000)</f>
        <v>#N/A</v>
      </c>
      <c r="F525" s="26" t="str">
        <f t="array" ref="F525">XLOOKUP($A525,Facebook_reach_raw!$A$4:$A1000,Facebook_reach_raw!$B$4:$B1000)</f>
        <v>#N/A</v>
      </c>
    </row>
    <row r="526">
      <c r="A526" s="30" t="str">
        <f>Facebook_reach_raw!$A528</f>
        <v/>
      </c>
      <c r="B526" s="29" t="str">
        <f>Facebook_interactions_raw!$A528</f>
        <v/>
      </c>
      <c r="C526" s="26" t="str">
        <f t="shared" si="1"/>
        <v/>
      </c>
      <c r="D526" s="26" t="str">
        <f t="array" ref="D526">XLOOKUP($A526,Facebook_follows_raw!$A$4:$A1000,Facebook_follows_raw!$B$4:$B1000)</f>
        <v>#N/A</v>
      </c>
      <c r="E526" s="26" t="str">
        <f t="array" ref="E526">XLOOKUP($A526,Facebook_interactions_raw!$A$4:$A1000,Facebook_interactions_raw!$B$4:$B1000)</f>
        <v>#N/A</v>
      </c>
      <c r="F526" s="26" t="str">
        <f t="array" ref="F526">XLOOKUP($A526,Facebook_reach_raw!$A$4:$A1000,Facebook_reach_raw!$B$4:$B1000)</f>
        <v>#N/A</v>
      </c>
    </row>
    <row r="527">
      <c r="A527" s="30" t="str">
        <f>Facebook_reach_raw!$A529</f>
        <v/>
      </c>
      <c r="B527" s="29" t="str">
        <f>Facebook_interactions_raw!$A529</f>
        <v/>
      </c>
      <c r="C527" s="26" t="str">
        <f t="shared" si="1"/>
        <v/>
      </c>
      <c r="D527" s="26" t="str">
        <f t="array" ref="D527">XLOOKUP($A527,Facebook_follows_raw!$A$4:$A1000,Facebook_follows_raw!$B$4:$B1000)</f>
        <v>#N/A</v>
      </c>
      <c r="E527" s="26" t="str">
        <f t="array" ref="E527">XLOOKUP($A527,Facebook_interactions_raw!$A$4:$A1000,Facebook_interactions_raw!$B$4:$B1000)</f>
        <v>#N/A</v>
      </c>
      <c r="F527" s="26" t="str">
        <f t="array" ref="F527">XLOOKUP($A527,Facebook_reach_raw!$A$4:$A1000,Facebook_reach_raw!$B$4:$B1000)</f>
        <v>#N/A</v>
      </c>
    </row>
    <row r="528">
      <c r="A528" s="30" t="str">
        <f>Facebook_reach_raw!$A530</f>
        <v/>
      </c>
      <c r="B528" s="29" t="str">
        <f>Facebook_interactions_raw!$A530</f>
        <v/>
      </c>
      <c r="C528" s="26" t="str">
        <f t="shared" si="1"/>
        <v/>
      </c>
      <c r="D528" s="26" t="str">
        <f t="array" ref="D528">XLOOKUP($A528,Facebook_follows_raw!$A$4:$A1000,Facebook_follows_raw!$B$4:$B1000)</f>
        <v>#N/A</v>
      </c>
      <c r="E528" s="26" t="str">
        <f t="array" ref="E528">XLOOKUP($A528,Facebook_interactions_raw!$A$4:$A1000,Facebook_interactions_raw!$B$4:$B1000)</f>
        <v>#N/A</v>
      </c>
      <c r="F528" s="26" t="str">
        <f t="array" ref="F528">XLOOKUP($A528,Facebook_reach_raw!$A$4:$A1000,Facebook_reach_raw!$B$4:$B1000)</f>
        <v>#N/A</v>
      </c>
    </row>
    <row r="529">
      <c r="A529" s="30" t="str">
        <f>Facebook_reach_raw!$A531</f>
        <v/>
      </c>
      <c r="B529" s="29" t="str">
        <f>Facebook_interactions_raw!$A531</f>
        <v/>
      </c>
      <c r="C529" s="26" t="str">
        <f t="shared" si="1"/>
        <v/>
      </c>
      <c r="D529" s="26" t="str">
        <f t="array" ref="D529">XLOOKUP($A529,Facebook_follows_raw!$A$4:$A1000,Facebook_follows_raw!$B$4:$B1000)</f>
        <v>#N/A</v>
      </c>
      <c r="E529" s="26" t="str">
        <f t="array" ref="E529">XLOOKUP($A529,Facebook_interactions_raw!$A$4:$A1000,Facebook_interactions_raw!$B$4:$B1000)</f>
        <v>#N/A</v>
      </c>
      <c r="F529" s="26" t="str">
        <f t="array" ref="F529">XLOOKUP($A529,Facebook_reach_raw!$A$4:$A1000,Facebook_reach_raw!$B$4:$B1000)</f>
        <v>#N/A</v>
      </c>
    </row>
    <row r="530">
      <c r="A530" s="30" t="str">
        <f>Facebook_reach_raw!$A532</f>
        <v/>
      </c>
      <c r="B530" s="29" t="str">
        <f>Facebook_interactions_raw!$A532</f>
        <v/>
      </c>
      <c r="C530" s="26" t="str">
        <f t="shared" si="1"/>
        <v/>
      </c>
      <c r="D530" s="26" t="str">
        <f t="array" ref="D530">XLOOKUP($A530,Facebook_follows_raw!$A$4:$A1000,Facebook_follows_raw!$B$4:$B1000)</f>
        <v>#N/A</v>
      </c>
      <c r="E530" s="26" t="str">
        <f t="array" ref="E530">XLOOKUP($A530,Facebook_interactions_raw!$A$4:$A1000,Facebook_interactions_raw!$B$4:$B1000)</f>
        <v>#N/A</v>
      </c>
      <c r="F530" s="26" t="str">
        <f t="array" ref="F530">XLOOKUP($A530,Facebook_reach_raw!$A$4:$A1000,Facebook_reach_raw!$B$4:$B1000)</f>
        <v>#N/A</v>
      </c>
    </row>
    <row r="531">
      <c r="A531" s="30" t="str">
        <f>Facebook_reach_raw!$A533</f>
        <v/>
      </c>
      <c r="B531" s="29" t="str">
        <f>Facebook_interactions_raw!$A533</f>
        <v/>
      </c>
      <c r="C531" s="26" t="str">
        <f t="shared" si="1"/>
        <v/>
      </c>
      <c r="D531" s="26" t="str">
        <f t="array" ref="D531">XLOOKUP($A531,Facebook_follows_raw!$A$4:$A1000,Facebook_follows_raw!$B$4:$B1000)</f>
        <v>#N/A</v>
      </c>
      <c r="E531" s="26" t="str">
        <f t="array" ref="E531">XLOOKUP($A531,Facebook_interactions_raw!$A$4:$A1000,Facebook_interactions_raw!$B$4:$B1000)</f>
        <v>#N/A</v>
      </c>
      <c r="F531" s="26" t="str">
        <f t="array" ref="F531">XLOOKUP($A531,Facebook_reach_raw!$A$4:$A1000,Facebook_reach_raw!$B$4:$B1000)</f>
        <v>#N/A</v>
      </c>
    </row>
    <row r="532">
      <c r="A532" s="30" t="str">
        <f>Facebook_reach_raw!$A534</f>
        <v/>
      </c>
      <c r="B532" s="29" t="str">
        <f>Facebook_interactions_raw!$A534</f>
        <v/>
      </c>
      <c r="C532" s="26" t="str">
        <f t="shared" si="1"/>
        <v/>
      </c>
      <c r="D532" s="26" t="str">
        <f t="array" ref="D532">XLOOKUP($A532,Facebook_follows_raw!$A$4:$A1000,Facebook_follows_raw!$B$4:$B1000)</f>
        <v>#N/A</v>
      </c>
      <c r="E532" s="26" t="str">
        <f t="array" ref="E532">XLOOKUP($A532,Facebook_interactions_raw!$A$4:$A1000,Facebook_interactions_raw!$B$4:$B1000)</f>
        <v>#N/A</v>
      </c>
      <c r="F532" s="26" t="str">
        <f t="array" ref="F532">XLOOKUP($A532,Facebook_reach_raw!$A$4:$A1000,Facebook_reach_raw!$B$4:$B1000)</f>
        <v>#N/A</v>
      </c>
    </row>
    <row r="533">
      <c r="A533" s="30" t="str">
        <f>Facebook_reach_raw!$A535</f>
        <v/>
      </c>
      <c r="B533" s="29" t="str">
        <f>Facebook_interactions_raw!$A535</f>
        <v/>
      </c>
      <c r="C533" s="26" t="str">
        <f t="shared" si="1"/>
        <v/>
      </c>
      <c r="D533" s="26" t="str">
        <f t="array" ref="D533">XLOOKUP($A533,Facebook_follows_raw!$A$4:$A1000,Facebook_follows_raw!$B$4:$B1000)</f>
        <v>#N/A</v>
      </c>
      <c r="E533" s="26" t="str">
        <f t="array" ref="E533">XLOOKUP($A533,Facebook_interactions_raw!$A$4:$A1000,Facebook_interactions_raw!$B$4:$B1000)</f>
        <v>#N/A</v>
      </c>
      <c r="F533" s="26" t="str">
        <f t="array" ref="F533">XLOOKUP($A533,Facebook_reach_raw!$A$4:$A1000,Facebook_reach_raw!$B$4:$B1000)</f>
        <v>#N/A</v>
      </c>
    </row>
    <row r="534">
      <c r="A534" s="30" t="str">
        <f>Facebook_reach_raw!$A536</f>
        <v/>
      </c>
      <c r="B534" s="29" t="str">
        <f>Facebook_interactions_raw!$A536</f>
        <v/>
      </c>
      <c r="C534" s="26" t="str">
        <f t="shared" si="1"/>
        <v/>
      </c>
      <c r="D534" s="26" t="str">
        <f t="array" ref="D534">XLOOKUP($A534,Facebook_follows_raw!$A$4:$A1000,Facebook_follows_raw!$B$4:$B1000)</f>
        <v>#N/A</v>
      </c>
      <c r="E534" s="26" t="str">
        <f t="array" ref="E534">XLOOKUP($A534,Facebook_interactions_raw!$A$4:$A1000,Facebook_interactions_raw!$B$4:$B1000)</f>
        <v>#N/A</v>
      </c>
      <c r="F534" s="26" t="str">
        <f t="array" ref="F534">XLOOKUP($A534,Facebook_reach_raw!$A$4:$A1000,Facebook_reach_raw!$B$4:$B1000)</f>
        <v>#N/A</v>
      </c>
    </row>
    <row r="535">
      <c r="A535" s="30" t="str">
        <f>Facebook_reach_raw!$A537</f>
        <v/>
      </c>
      <c r="B535" s="29" t="str">
        <f>Facebook_interactions_raw!$A537</f>
        <v/>
      </c>
      <c r="C535" s="26" t="str">
        <f t="shared" si="1"/>
        <v/>
      </c>
      <c r="D535" s="26" t="str">
        <f t="array" ref="D535">XLOOKUP($A535,Facebook_follows_raw!$A$4:$A1000,Facebook_follows_raw!$B$4:$B1000)</f>
        <v>#N/A</v>
      </c>
      <c r="E535" s="26" t="str">
        <f t="array" ref="E535">XLOOKUP($A535,Facebook_interactions_raw!$A$4:$A1000,Facebook_interactions_raw!$B$4:$B1000)</f>
        <v>#N/A</v>
      </c>
      <c r="F535" s="26" t="str">
        <f t="array" ref="F535">XLOOKUP($A535,Facebook_reach_raw!$A$4:$A1000,Facebook_reach_raw!$B$4:$B1000)</f>
        <v>#N/A</v>
      </c>
    </row>
    <row r="536">
      <c r="A536" s="30" t="str">
        <f>Facebook_reach_raw!$A538</f>
        <v/>
      </c>
      <c r="B536" s="29" t="str">
        <f>Facebook_interactions_raw!$A538</f>
        <v/>
      </c>
      <c r="C536" s="26" t="str">
        <f t="shared" si="1"/>
        <v/>
      </c>
      <c r="D536" s="26" t="str">
        <f t="array" ref="D536">XLOOKUP($A536,Facebook_follows_raw!$A$4:$A1000,Facebook_follows_raw!$B$4:$B1000)</f>
        <v>#N/A</v>
      </c>
      <c r="E536" s="26" t="str">
        <f t="array" ref="E536">XLOOKUP($A536,Facebook_interactions_raw!$A$4:$A1000,Facebook_interactions_raw!$B$4:$B1000)</f>
        <v>#N/A</v>
      </c>
      <c r="F536" s="26" t="str">
        <f t="array" ref="F536">XLOOKUP($A536,Facebook_reach_raw!$A$4:$A1000,Facebook_reach_raw!$B$4:$B1000)</f>
        <v>#N/A</v>
      </c>
    </row>
    <row r="537">
      <c r="A537" s="30" t="str">
        <f>Facebook_reach_raw!$A539</f>
        <v/>
      </c>
      <c r="B537" s="29" t="str">
        <f>Facebook_interactions_raw!$A539</f>
        <v/>
      </c>
      <c r="C537" s="26" t="str">
        <f t="shared" si="1"/>
        <v/>
      </c>
      <c r="D537" s="26" t="str">
        <f t="array" ref="D537">XLOOKUP($A537,Facebook_follows_raw!$A$4:$A1000,Facebook_follows_raw!$B$4:$B1000)</f>
        <v>#N/A</v>
      </c>
      <c r="E537" s="26" t="str">
        <f t="array" ref="E537">XLOOKUP($A537,Facebook_interactions_raw!$A$4:$A1000,Facebook_interactions_raw!$B$4:$B1000)</f>
        <v>#N/A</v>
      </c>
      <c r="F537" s="26" t="str">
        <f t="array" ref="F537">XLOOKUP($A537,Facebook_reach_raw!$A$4:$A1000,Facebook_reach_raw!$B$4:$B1000)</f>
        <v>#N/A</v>
      </c>
    </row>
    <row r="538">
      <c r="A538" s="30" t="str">
        <f>Facebook_reach_raw!$A540</f>
        <v/>
      </c>
      <c r="B538" s="29" t="str">
        <f>Facebook_interactions_raw!$A540</f>
        <v/>
      </c>
      <c r="C538" s="26" t="str">
        <f t="shared" si="1"/>
        <v/>
      </c>
      <c r="D538" s="26" t="str">
        <f t="array" ref="D538">XLOOKUP($A538,Facebook_follows_raw!$A$4:$A1000,Facebook_follows_raw!$B$4:$B1000)</f>
        <v>#N/A</v>
      </c>
      <c r="E538" s="26" t="str">
        <f t="array" ref="E538">XLOOKUP($A538,Facebook_interactions_raw!$A$4:$A1000,Facebook_interactions_raw!$B$4:$B1000)</f>
        <v>#N/A</v>
      </c>
      <c r="F538" s="26" t="str">
        <f t="array" ref="F538">XLOOKUP($A538,Facebook_reach_raw!$A$4:$A1000,Facebook_reach_raw!$B$4:$B1000)</f>
        <v>#N/A</v>
      </c>
    </row>
    <row r="539">
      <c r="A539" s="30" t="str">
        <f>Facebook_reach_raw!$A541</f>
        <v/>
      </c>
      <c r="B539" s="29" t="str">
        <f>Facebook_interactions_raw!$A541</f>
        <v/>
      </c>
      <c r="C539" s="26" t="str">
        <f t="shared" si="1"/>
        <v/>
      </c>
      <c r="D539" s="26" t="str">
        <f t="array" ref="D539">XLOOKUP($A539,Facebook_follows_raw!$A$4:$A1000,Facebook_follows_raw!$B$4:$B1000)</f>
        <v>#N/A</v>
      </c>
      <c r="E539" s="26" t="str">
        <f t="array" ref="E539">XLOOKUP($A539,Facebook_interactions_raw!$A$4:$A1000,Facebook_interactions_raw!$B$4:$B1000)</f>
        <v>#N/A</v>
      </c>
      <c r="F539" s="26" t="str">
        <f t="array" ref="F539">XLOOKUP($A539,Facebook_reach_raw!$A$4:$A1000,Facebook_reach_raw!$B$4:$B1000)</f>
        <v>#N/A</v>
      </c>
    </row>
    <row r="540">
      <c r="A540" s="30" t="str">
        <f>Facebook_reach_raw!$A542</f>
        <v/>
      </c>
      <c r="B540" s="29" t="str">
        <f>Facebook_interactions_raw!$A542</f>
        <v/>
      </c>
      <c r="C540" s="26" t="str">
        <f t="shared" si="1"/>
        <v/>
      </c>
      <c r="D540" s="26" t="str">
        <f t="array" ref="D540">XLOOKUP($A540,Facebook_follows_raw!$A$4:$A1000,Facebook_follows_raw!$B$4:$B1000)</f>
        <v>#N/A</v>
      </c>
      <c r="E540" s="26" t="str">
        <f t="array" ref="E540">XLOOKUP($A540,Facebook_interactions_raw!$A$4:$A1000,Facebook_interactions_raw!$B$4:$B1000)</f>
        <v>#N/A</v>
      </c>
      <c r="F540" s="26" t="str">
        <f t="array" ref="F540">XLOOKUP($A540,Facebook_reach_raw!$A$4:$A1000,Facebook_reach_raw!$B$4:$B1000)</f>
        <v>#N/A</v>
      </c>
    </row>
    <row r="541">
      <c r="A541" s="30" t="str">
        <f>Facebook_reach_raw!$A543</f>
        <v/>
      </c>
      <c r="B541" s="29" t="str">
        <f>Facebook_interactions_raw!$A543</f>
        <v/>
      </c>
      <c r="C541" s="26" t="str">
        <f t="shared" si="1"/>
        <v/>
      </c>
      <c r="D541" s="26" t="str">
        <f t="array" ref="D541">XLOOKUP($A541,Facebook_follows_raw!$A$4:$A1000,Facebook_follows_raw!$B$4:$B1000)</f>
        <v>#N/A</v>
      </c>
      <c r="E541" s="26" t="str">
        <f t="array" ref="E541">XLOOKUP($A541,Facebook_interactions_raw!$A$4:$A1000,Facebook_interactions_raw!$B$4:$B1000)</f>
        <v>#N/A</v>
      </c>
      <c r="F541" s="26" t="str">
        <f t="array" ref="F541">XLOOKUP($A541,Facebook_reach_raw!$A$4:$A1000,Facebook_reach_raw!$B$4:$B1000)</f>
        <v>#N/A</v>
      </c>
    </row>
    <row r="542">
      <c r="A542" s="30" t="str">
        <f>Facebook_reach_raw!$A544</f>
        <v/>
      </c>
      <c r="B542" s="29" t="str">
        <f>Facebook_interactions_raw!$A544</f>
        <v/>
      </c>
      <c r="C542" s="26" t="str">
        <f t="shared" si="1"/>
        <v/>
      </c>
      <c r="D542" s="26" t="str">
        <f t="array" ref="D542">XLOOKUP($A542,Facebook_follows_raw!$A$4:$A1000,Facebook_follows_raw!$B$4:$B1000)</f>
        <v>#N/A</v>
      </c>
      <c r="E542" s="26" t="str">
        <f t="array" ref="E542">XLOOKUP($A542,Facebook_interactions_raw!$A$4:$A1000,Facebook_interactions_raw!$B$4:$B1000)</f>
        <v>#N/A</v>
      </c>
      <c r="F542" s="26" t="str">
        <f t="array" ref="F542">XLOOKUP($A542,Facebook_reach_raw!$A$4:$A1000,Facebook_reach_raw!$B$4:$B1000)</f>
        <v>#N/A</v>
      </c>
    </row>
    <row r="543">
      <c r="A543" s="30" t="str">
        <f>Facebook_reach_raw!$A545</f>
        <v/>
      </c>
      <c r="B543" s="29" t="str">
        <f>Facebook_interactions_raw!$A545</f>
        <v/>
      </c>
      <c r="C543" s="26" t="str">
        <f t="shared" si="1"/>
        <v/>
      </c>
      <c r="D543" s="26" t="str">
        <f t="array" ref="D543">XLOOKUP($A543,Facebook_follows_raw!$A$4:$A1000,Facebook_follows_raw!$B$4:$B1000)</f>
        <v>#N/A</v>
      </c>
      <c r="E543" s="26" t="str">
        <f t="array" ref="E543">XLOOKUP($A543,Facebook_interactions_raw!$A$4:$A1000,Facebook_interactions_raw!$B$4:$B1000)</f>
        <v>#N/A</v>
      </c>
      <c r="F543" s="26" t="str">
        <f t="array" ref="F543">XLOOKUP($A543,Facebook_reach_raw!$A$4:$A1000,Facebook_reach_raw!$B$4:$B1000)</f>
        <v>#N/A</v>
      </c>
    </row>
    <row r="544">
      <c r="A544" s="30" t="str">
        <f>Facebook_reach_raw!$A546</f>
        <v/>
      </c>
      <c r="B544" s="29" t="str">
        <f>Facebook_interactions_raw!$A546</f>
        <v/>
      </c>
      <c r="C544" s="26" t="str">
        <f t="shared" si="1"/>
        <v/>
      </c>
      <c r="D544" s="26" t="str">
        <f t="array" ref="D544">XLOOKUP($A544,Facebook_follows_raw!$A$4:$A1000,Facebook_follows_raw!$B$4:$B1000)</f>
        <v>#N/A</v>
      </c>
      <c r="E544" s="26" t="str">
        <f t="array" ref="E544">XLOOKUP($A544,Facebook_interactions_raw!$A$4:$A1000,Facebook_interactions_raw!$B$4:$B1000)</f>
        <v>#N/A</v>
      </c>
      <c r="F544" s="26" t="str">
        <f t="array" ref="F544">XLOOKUP($A544,Facebook_reach_raw!$A$4:$A1000,Facebook_reach_raw!$B$4:$B1000)</f>
        <v>#N/A</v>
      </c>
    </row>
    <row r="545">
      <c r="A545" s="30" t="str">
        <f>Facebook_reach_raw!$A547</f>
        <v/>
      </c>
      <c r="B545" s="29" t="str">
        <f>Facebook_interactions_raw!$A547</f>
        <v/>
      </c>
      <c r="C545" s="26" t="str">
        <f t="shared" si="1"/>
        <v/>
      </c>
      <c r="D545" s="26" t="str">
        <f t="array" ref="D545">XLOOKUP($A545,Facebook_follows_raw!$A$4:$A1000,Facebook_follows_raw!$B$4:$B1000)</f>
        <v>#N/A</v>
      </c>
      <c r="E545" s="26" t="str">
        <f t="array" ref="E545">XLOOKUP($A545,Facebook_interactions_raw!$A$4:$A1000,Facebook_interactions_raw!$B$4:$B1000)</f>
        <v>#N/A</v>
      </c>
      <c r="F545" s="26" t="str">
        <f t="array" ref="F545">XLOOKUP($A545,Facebook_reach_raw!$A$4:$A1000,Facebook_reach_raw!$B$4:$B1000)</f>
        <v>#N/A</v>
      </c>
    </row>
    <row r="546">
      <c r="A546" s="30" t="str">
        <f>Facebook_reach_raw!$A548</f>
        <v/>
      </c>
      <c r="B546" s="29" t="str">
        <f>Facebook_interactions_raw!$A548</f>
        <v/>
      </c>
      <c r="C546" s="26" t="str">
        <f t="shared" si="1"/>
        <v/>
      </c>
      <c r="D546" s="26" t="str">
        <f t="array" ref="D546">XLOOKUP($A546,Facebook_follows_raw!$A$4:$A1000,Facebook_follows_raw!$B$4:$B1000)</f>
        <v>#N/A</v>
      </c>
      <c r="E546" s="26" t="str">
        <f t="array" ref="E546">XLOOKUP($A546,Facebook_interactions_raw!$A$4:$A1000,Facebook_interactions_raw!$B$4:$B1000)</f>
        <v>#N/A</v>
      </c>
      <c r="F546" s="26" t="str">
        <f t="array" ref="F546">XLOOKUP($A546,Facebook_reach_raw!$A$4:$A1000,Facebook_reach_raw!$B$4:$B1000)</f>
        <v>#N/A</v>
      </c>
    </row>
    <row r="547">
      <c r="A547" s="30" t="str">
        <f>Facebook_reach_raw!$A549</f>
        <v/>
      </c>
      <c r="B547" s="29" t="str">
        <f>Facebook_interactions_raw!$A549</f>
        <v/>
      </c>
      <c r="C547" s="26" t="str">
        <f t="shared" si="1"/>
        <v/>
      </c>
      <c r="D547" s="26" t="str">
        <f t="array" ref="D547">XLOOKUP($A547,Facebook_follows_raw!$A$4:$A1000,Facebook_follows_raw!$B$4:$B1000)</f>
        <v>#N/A</v>
      </c>
      <c r="E547" s="26" t="str">
        <f t="array" ref="E547">XLOOKUP($A547,Facebook_interactions_raw!$A$4:$A1000,Facebook_interactions_raw!$B$4:$B1000)</f>
        <v>#N/A</v>
      </c>
      <c r="F547" s="26" t="str">
        <f t="array" ref="F547">XLOOKUP($A547,Facebook_reach_raw!$A$4:$A1000,Facebook_reach_raw!$B$4:$B1000)</f>
        <v>#N/A</v>
      </c>
    </row>
    <row r="548">
      <c r="A548" s="30" t="str">
        <f>Facebook_reach_raw!$A550</f>
        <v/>
      </c>
      <c r="B548" s="29" t="str">
        <f>Facebook_interactions_raw!$A550</f>
        <v/>
      </c>
      <c r="C548" s="26" t="str">
        <f t="shared" si="1"/>
        <v/>
      </c>
      <c r="D548" s="26" t="str">
        <f t="array" ref="D548">XLOOKUP($A548,Facebook_follows_raw!$A$4:$A1000,Facebook_follows_raw!$B$4:$B1000)</f>
        <v>#N/A</v>
      </c>
      <c r="E548" s="26" t="str">
        <f t="array" ref="E548">XLOOKUP($A548,Facebook_interactions_raw!$A$4:$A1000,Facebook_interactions_raw!$B$4:$B1000)</f>
        <v>#N/A</v>
      </c>
      <c r="F548" s="26" t="str">
        <f t="array" ref="F548">XLOOKUP($A548,Facebook_reach_raw!$A$4:$A1000,Facebook_reach_raw!$B$4:$B1000)</f>
        <v>#N/A</v>
      </c>
    </row>
    <row r="549">
      <c r="A549" s="30" t="str">
        <f>Facebook_reach_raw!$A551</f>
        <v/>
      </c>
      <c r="B549" s="29" t="str">
        <f>Facebook_interactions_raw!$A551</f>
        <v/>
      </c>
      <c r="C549" s="26" t="str">
        <f t="shared" si="1"/>
        <v/>
      </c>
      <c r="D549" s="26" t="str">
        <f t="array" ref="D549">XLOOKUP($A549,Facebook_follows_raw!$A$4:$A1000,Facebook_follows_raw!$B$4:$B1000)</f>
        <v>#N/A</v>
      </c>
      <c r="E549" s="26" t="str">
        <f t="array" ref="E549">XLOOKUP($A549,Facebook_interactions_raw!$A$4:$A1000,Facebook_interactions_raw!$B$4:$B1000)</f>
        <v>#N/A</v>
      </c>
      <c r="F549" s="26" t="str">
        <f t="array" ref="F549">XLOOKUP($A549,Facebook_reach_raw!$A$4:$A1000,Facebook_reach_raw!$B$4:$B1000)</f>
        <v>#N/A</v>
      </c>
    </row>
    <row r="550">
      <c r="A550" s="30" t="str">
        <f>Facebook_reach_raw!$A552</f>
        <v/>
      </c>
      <c r="B550" s="29" t="str">
        <f>Facebook_interactions_raw!$A552</f>
        <v/>
      </c>
      <c r="C550" s="26" t="str">
        <f t="shared" si="1"/>
        <v/>
      </c>
      <c r="D550" s="26" t="str">
        <f t="array" ref="D550">XLOOKUP($A550,Facebook_follows_raw!$A$4:$A1000,Facebook_follows_raw!$B$4:$B1000)</f>
        <v>#N/A</v>
      </c>
      <c r="E550" s="26" t="str">
        <f t="array" ref="E550">XLOOKUP($A550,Facebook_interactions_raw!$A$4:$A1000,Facebook_interactions_raw!$B$4:$B1000)</f>
        <v>#N/A</v>
      </c>
      <c r="F550" s="26" t="str">
        <f t="array" ref="F550">XLOOKUP($A550,Facebook_reach_raw!$A$4:$A1000,Facebook_reach_raw!$B$4:$B1000)</f>
        <v>#N/A</v>
      </c>
    </row>
    <row r="551">
      <c r="A551" s="30" t="str">
        <f>Facebook_reach_raw!$A553</f>
        <v/>
      </c>
      <c r="B551" s="29" t="str">
        <f>Facebook_interactions_raw!$A553</f>
        <v/>
      </c>
      <c r="C551" s="26" t="str">
        <f t="shared" si="1"/>
        <v/>
      </c>
      <c r="D551" s="26" t="str">
        <f t="array" ref="D551">XLOOKUP($A551,Facebook_follows_raw!$A$4:$A1000,Facebook_follows_raw!$B$4:$B1000)</f>
        <v>#N/A</v>
      </c>
      <c r="E551" s="26" t="str">
        <f t="array" ref="E551">XLOOKUP($A551,Facebook_interactions_raw!$A$4:$A1000,Facebook_interactions_raw!$B$4:$B1000)</f>
        <v>#N/A</v>
      </c>
      <c r="F551" s="26" t="str">
        <f t="array" ref="F551">XLOOKUP($A551,Facebook_reach_raw!$A$4:$A1000,Facebook_reach_raw!$B$4:$B1000)</f>
        <v>#N/A</v>
      </c>
    </row>
    <row r="552">
      <c r="A552" s="30" t="str">
        <f>Facebook_reach_raw!$A554</f>
        <v/>
      </c>
      <c r="B552" s="29" t="str">
        <f>Facebook_interactions_raw!$A554</f>
        <v/>
      </c>
      <c r="C552" s="26" t="str">
        <f t="shared" si="1"/>
        <v/>
      </c>
      <c r="D552" s="26" t="str">
        <f t="array" ref="D552">XLOOKUP($A552,Facebook_follows_raw!$A$4:$A1000,Facebook_follows_raw!$B$4:$B1000)</f>
        <v>#N/A</v>
      </c>
      <c r="E552" s="26" t="str">
        <f t="array" ref="E552">XLOOKUP($A552,Facebook_interactions_raw!$A$4:$A1000,Facebook_interactions_raw!$B$4:$B1000)</f>
        <v>#N/A</v>
      </c>
      <c r="F552" s="26" t="str">
        <f t="array" ref="F552">XLOOKUP($A552,Facebook_reach_raw!$A$4:$A1000,Facebook_reach_raw!$B$4:$B1000)</f>
        <v>#N/A</v>
      </c>
    </row>
    <row r="553">
      <c r="A553" s="30" t="str">
        <f>Facebook_reach_raw!$A555</f>
        <v/>
      </c>
      <c r="B553" s="29" t="str">
        <f>Facebook_interactions_raw!$A555</f>
        <v/>
      </c>
      <c r="C553" s="26" t="str">
        <f t="shared" si="1"/>
        <v/>
      </c>
      <c r="D553" s="26" t="str">
        <f t="array" ref="D553">XLOOKUP($A553,Facebook_follows_raw!$A$4:$A1000,Facebook_follows_raw!$B$4:$B1000)</f>
        <v>#N/A</v>
      </c>
      <c r="E553" s="26" t="str">
        <f t="array" ref="E553">XLOOKUP($A553,Facebook_interactions_raw!$A$4:$A1000,Facebook_interactions_raw!$B$4:$B1000)</f>
        <v>#N/A</v>
      </c>
      <c r="F553" s="26" t="str">
        <f t="array" ref="F553">XLOOKUP($A553,Facebook_reach_raw!$A$4:$A1000,Facebook_reach_raw!$B$4:$B1000)</f>
        <v>#N/A</v>
      </c>
    </row>
    <row r="554">
      <c r="A554" s="30" t="str">
        <f>Facebook_reach_raw!$A556</f>
        <v/>
      </c>
      <c r="B554" s="29" t="str">
        <f>Facebook_interactions_raw!$A556</f>
        <v/>
      </c>
      <c r="C554" s="26" t="str">
        <f t="shared" si="1"/>
        <v/>
      </c>
      <c r="D554" s="26" t="str">
        <f t="array" ref="D554">XLOOKUP($A554,Facebook_follows_raw!$A$4:$A1000,Facebook_follows_raw!$B$4:$B1000)</f>
        <v>#N/A</v>
      </c>
      <c r="E554" s="26" t="str">
        <f t="array" ref="E554">XLOOKUP($A554,Facebook_interactions_raw!$A$4:$A1000,Facebook_interactions_raw!$B$4:$B1000)</f>
        <v>#N/A</v>
      </c>
      <c r="F554" s="26" t="str">
        <f t="array" ref="F554">XLOOKUP($A554,Facebook_reach_raw!$A$4:$A1000,Facebook_reach_raw!$B$4:$B1000)</f>
        <v>#N/A</v>
      </c>
    </row>
    <row r="555">
      <c r="A555" s="30" t="str">
        <f>Facebook_reach_raw!$A557</f>
        <v/>
      </c>
      <c r="B555" s="29" t="str">
        <f>Facebook_interactions_raw!$A557</f>
        <v/>
      </c>
      <c r="C555" s="26" t="str">
        <f t="shared" si="1"/>
        <v/>
      </c>
      <c r="D555" s="26" t="str">
        <f t="array" ref="D555">XLOOKUP($A555,Facebook_follows_raw!$A$4:$A1000,Facebook_follows_raw!$B$4:$B1000)</f>
        <v>#N/A</v>
      </c>
      <c r="E555" s="26" t="str">
        <f t="array" ref="E555">XLOOKUP($A555,Facebook_interactions_raw!$A$4:$A1000,Facebook_interactions_raw!$B$4:$B1000)</f>
        <v>#N/A</v>
      </c>
      <c r="F555" s="26" t="str">
        <f t="array" ref="F555">XLOOKUP($A555,Facebook_reach_raw!$A$4:$A1000,Facebook_reach_raw!$B$4:$B1000)</f>
        <v>#N/A</v>
      </c>
    </row>
    <row r="556">
      <c r="A556" s="30" t="str">
        <f>Facebook_reach_raw!$A558</f>
        <v/>
      </c>
      <c r="B556" s="29" t="str">
        <f>Facebook_interactions_raw!$A558</f>
        <v/>
      </c>
      <c r="C556" s="26" t="str">
        <f t="shared" si="1"/>
        <v/>
      </c>
      <c r="D556" s="26" t="str">
        <f t="array" ref="D556">XLOOKUP($A556,Facebook_follows_raw!$A$4:$A1000,Facebook_follows_raw!$B$4:$B1000)</f>
        <v>#N/A</v>
      </c>
      <c r="E556" s="26" t="str">
        <f t="array" ref="E556">XLOOKUP($A556,Facebook_interactions_raw!$A$4:$A1000,Facebook_interactions_raw!$B$4:$B1000)</f>
        <v>#N/A</v>
      </c>
      <c r="F556" s="26" t="str">
        <f t="array" ref="F556">XLOOKUP($A556,Facebook_reach_raw!$A$4:$A1000,Facebook_reach_raw!$B$4:$B1000)</f>
        <v>#N/A</v>
      </c>
    </row>
    <row r="557">
      <c r="A557" s="30" t="str">
        <f>Facebook_reach_raw!$A559</f>
        <v/>
      </c>
      <c r="B557" s="29" t="str">
        <f>Facebook_interactions_raw!$A559</f>
        <v/>
      </c>
      <c r="C557" s="26" t="str">
        <f t="shared" si="1"/>
        <v/>
      </c>
      <c r="D557" s="26" t="str">
        <f t="array" ref="D557">XLOOKUP($A557,Facebook_follows_raw!$A$4:$A1000,Facebook_follows_raw!$B$4:$B1000)</f>
        <v>#N/A</v>
      </c>
      <c r="E557" s="26" t="str">
        <f t="array" ref="E557">XLOOKUP($A557,Facebook_interactions_raw!$A$4:$A1000,Facebook_interactions_raw!$B$4:$B1000)</f>
        <v>#N/A</v>
      </c>
      <c r="F557" s="26" t="str">
        <f t="array" ref="F557">XLOOKUP($A557,Facebook_reach_raw!$A$4:$A1000,Facebook_reach_raw!$B$4:$B1000)</f>
        <v>#N/A</v>
      </c>
    </row>
    <row r="558">
      <c r="A558" s="30" t="str">
        <f>Facebook_reach_raw!$A560</f>
        <v/>
      </c>
      <c r="B558" s="29" t="str">
        <f>Facebook_interactions_raw!$A560</f>
        <v/>
      </c>
      <c r="C558" s="26" t="str">
        <f t="shared" si="1"/>
        <v/>
      </c>
      <c r="D558" s="26" t="str">
        <f t="array" ref="D558">XLOOKUP($A558,Facebook_follows_raw!$A$4:$A1000,Facebook_follows_raw!$B$4:$B1000)</f>
        <v>#N/A</v>
      </c>
      <c r="E558" s="26" t="str">
        <f t="array" ref="E558">XLOOKUP($A558,Facebook_interactions_raw!$A$4:$A1000,Facebook_interactions_raw!$B$4:$B1000)</f>
        <v>#N/A</v>
      </c>
      <c r="F558" s="26" t="str">
        <f t="array" ref="F558">XLOOKUP($A558,Facebook_reach_raw!$A$4:$A1000,Facebook_reach_raw!$B$4:$B1000)</f>
        <v>#N/A</v>
      </c>
    </row>
    <row r="559">
      <c r="A559" s="30" t="str">
        <f>Facebook_reach_raw!$A561</f>
        <v/>
      </c>
      <c r="B559" s="29" t="str">
        <f>Facebook_interactions_raw!$A561</f>
        <v/>
      </c>
      <c r="C559" s="26" t="str">
        <f t="shared" si="1"/>
        <v/>
      </c>
      <c r="D559" s="26" t="str">
        <f t="array" ref="D559">XLOOKUP($A559,Facebook_follows_raw!$A$4:$A1000,Facebook_follows_raw!$B$4:$B1000)</f>
        <v>#N/A</v>
      </c>
      <c r="E559" s="26" t="str">
        <f t="array" ref="E559">XLOOKUP($A559,Facebook_interactions_raw!$A$4:$A1000,Facebook_interactions_raw!$B$4:$B1000)</f>
        <v>#N/A</v>
      </c>
      <c r="F559" s="26" t="str">
        <f t="array" ref="F559">XLOOKUP($A559,Facebook_reach_raw!$A$4:$A1000,Facebook_reach_raw!$B$4:$B1000)</f>
        <v>#N/A</v>
      </c>
    </row>
    <row r="560">
      <c r="A560" s="30" t="str">
        <f>Facebook_reach_raw!$A562</f>
        <v/>
      </c>
      <c r="B560" s="29" t="str">
        <f>Facebook_interactions_raw!$A562</f>
        <v/>
      </c>
      <c r="C560" s="26" t="str">
        <f t="shared" si="1"/>
        <v/>
      </c>
      <c r="D560" s="26" t="str">
        <f t="array" ref="D560">XLOOKUP($A560,Facebook_follows_raw!$A$4:$A1000,Facebook_follows_raw!$B$4:$B1000)</f>
        <v>#N/A</v>
      </c>
      <c r="E560" s="26" t="str">
        <f t="array" ref="E560">XLOOKUP($A560,Facebook_interactions_raw!$A$4:$A1000,Facebook_interactions_raw!$B$4:$B1000)</f>
        <v>#N/A</v>
      </c>
      <c r="F560" s="26" t="str">
        <f t="array" ref="F560">XLOOKUP($A560,Facebook_reach_raw!$A$4:$A1000,Facebook_reach_raw!$B$4:$B1000)</f>
        <v>#N/A</v>
      </c>
    </row>
    <row r="561">
      <c r="A561" s="30" t="str">
        <f>Facebook_reach_raw!$A563</f>
        <v/>
      </c>
      <c r="B561" s="29" t="str">
        <f>Facebook_interactions_raw!$A563</f>
        <v/>
      </c>
      <c r="C561" s="26" t="str">
        <f t="shared" si="1"/>
        <v/>
      </c>
      <c r="D561" s="26" t="str">
        <f t="array" ref="D561">XLOOKUP($A561,Facebook_follows_raw!$A$4:$A1000,Facebook_follows_raw!$B$4:$B1000)</f>
        <v>#N/A</v>
      </c>
      <c r="E561" s="26" t="str">
        <f t="array" ref="E561">XLOOKUP($A561,Facebook_interactions_raw!$A$4:$A1000,Facebook_interactions_raw!$B$4:$B1000)</f>
        <v>#N/A</v>
      </c>
      <c r="F561" s="26" t="str">
        <f t="array" ref="F561">XLOOKUP($A561,Facebook_reach_raw!$A$4:$A1000,Facebook_reach_raw!$B$4:$B1000)</f>
        <v>#N/A</v>
      </c>
    </row>
    <row r="562">
      <c r="A562" s="30" t="str">
        <f>Facebook_reach_raw!$A564</f>
        <v/>
      </c>
      <c r="B562" s="29" t="str">
        <f>Facebook_interactions_raw!$A564</f>
        <v/>
      </c>
      <c r="C562" s="26" t="str">
        <f t="shared" si="1"/>
        <v/>
      </c>
      <c r="D562" s="26" t="str">
        <f t="array" ref="D562">XLOOKUP($A562,Facebook_follows_raw!$A$4:$A1000,Facebook_follows_raw!$B$4:$B1000)</f>
        <v>#N/A</v>
      </c>
      <c r="E562" s="26" t="str">
        <f t="array" ref="E562">XLOOKUP($A562,Facebook_interactions_raw!$A$4:$A1000,Facebook_interactions_raw!$B$4:$B1000)</f>
        <v>#N/A</v>
      </c>
      <c r="F562" s="26" t="str">
        <f t="array" ref="F562">XLOOKUP($A562,Facebook_reach_raw!$A$4:$A1000,Facebook_reach_raw!$B$4:$B1000)</f>
        <v>#N/A</v>
      </c>
    </row>
    <row r="563">
      <c r="A563" s="30" t="str">
        <f>Facebook_reach_raw!$A565</f>
        <v/>
      </c>
      <c r="B563" s="29" t="str">
        <f>Facebook_interactions_raw!$A565</f>
        <v/>
      </c>
      <c r="C563" s="26" t="str">
        <f t="shared" si="1"/>
        <v/>
      </c>
      <c r="D563" s="26" t="str">
        <f t="array" ref="D563">XLOOKUP($A563,Facebook_follows_raw!$A$4:$A1000,Facebook_follows_raw!$B$4:$B1000)</f>
        <v>#N/A</v>
      </c>
      <c r="E563" s="26" t="str">
        <f t="array" ref="E563">XLOOKUP($A563,Facebook_interactions_raw!$A$4:$A1000,Facebook_interactions_raw!$B$4:$B1000)</f>
        <v>#N/A</v>
      </c>
      <c r="F563" s="26" t="str">
        <f t="array" ref="F563">XLOOKUP($A563,Facebook_reach_raw!$A$4:$A1000,Facebook_reach_raw!$B$4:$B1000)</f>
        <v>#N/A</v>
      </c>
    </row>
    <row r="564">
      <c r="A564" s="30" t="str">
        <f>Facebook_reach_raw!$A566</f>
        <v/>
      </c>
      <c r="B564" s="29" t="str">
        <f>Facebook_interactions_raw!$A566</f>
        <v/>
      </c>
      <c r="C564" s="26" t="str">
        <f t="shared" si="1"/>
        <v/>
      </c>
      <c r="D564" s="26" t="str">
        <f t="array" ref="D564">XLOOKUP($A564,Facebook_follows_raw!$A$4:$A1000,Facebook_follows_raw!$B$4:$B1000)</f>
        <v>#N/A</v>
      </c>
      <c r="E564" s="26" t="str">
        <f t="array" ref="E564">XLOOKUP($A564,Facebook_interactions_raw!$A$4:$A1000,Facebook_interactions_raw!$B$4:$B1000)</f>
        <v>#N/A</v>
      </c>
      <c r="F564" s="26" t="str">
        <f t="array" ref="F564">XLOOKUP($A564,Facebook_reach_raw!$A$4:$A1000,Facebook_reach_raw!$B$4:$B1000)</f>
        <v>#N/A</v>
      </c>
    </row>
    <row r="565">
      <c r="A565" s="30" t="str">
        <f>Facebook_reach_raw!$A567</f>
        <v/>
      </c>
      <c r="B565" s="29" t="str">
        <f>Facebook_interactions_raw!$A567</f>
        <v/>
      </c>
      <c r="C565" s="26" t="str">
        <f t="shared" si="1"/>
        <v/>
      </c>
      <c r="D565" s="26" t="str">
        <f t="array" ref="D565">XLOOKUP($A565,Facebook_follows_raw!$A$4:$A1000,Facebook_follows_raw!$B$4:$B1000)</f>
        <v>#N/A</v>
      </c>
      <c r="E565" s="26" t="str">
        <f t="array" ref="E565">XLOOKUP($A565,Facebook_interactions_raw!$A$4:$A1000,Facebook_interactions_raw!$B$4:$B1000)</f>
        <v>#N/A</v>
      </c>
      <c r="F565" s="26" t="str">
        <f t="array" ref="F565">XLOOKUP($A565,Facebook_reach_raw!$A$4:$A1000,Facebook_reach_raw!$B$4:$B1000)</f>
        <v>#N/A</v>
      </c>
    </row>
    <row r="566">
      <c r="A566" s="30" t="str">
        <f>Facebook_reach_raw!$A568</f>
        <v/>
      </c>
      <c r="B566" s="29" t="str">
        <f>Facebook_interactions_raw!$A568</f>
        <v/>
      </c>
      <c r="C566" s="26" t="str">
        <f t="shared" si="1"/>
        <v/>
      </c>
      <c r="D566" s="26" t="str">
        <f t="array" ref="D566">XLOOKUP($A566,Facebook_follows_raw!$A$4:$A1000,Facebook_follows_raw!$B$4:$B1000)</f>
        <v>#N/A</v>
      </c>
      <c r="E566" s="26" t="str">
        <f t="array" ref="E566">XLOOKUP($A566,Facebook_interactions_raw!$A$4:$A1000,Facebook_interactions_raw!$B$4:$B1000)</f>
        <v>#N/A</v>
      </c>
      <c r="F566" s="26" t="str">
        <f t="array" ref="F566">XLOOKUP($A566,Facebook_reach_raw!$A$4:$A1000,Facebook_reach_raw!$B$4:$B1000)</f>
        <v>#N/A</v>
      </c>
    </row>
    <row r="567">
      <c r="A567" s="30" t="str">
        <f>Facebook_reach_raw!$A569</f>
        <v/>
      </c>
      <c r="B567" s="29" t="str">
        <f>Facebook_interactions_raw!$A569</f>
        <v/>
      </c>
      <c r="C567" s="26" t="str">
        <f t="shared" si="1"/>
        <v/>
      </c>
      <c r="D567" s="26" t="str">
        <f t="array" ref="D567">XLOOKUP($A567,Facebook_follows_raw!$A$4:$A1000,Facebook_follows_raw!$B$4:$B1000)</f>
        <v>#N/A</v>
      </c>
      <c r="E567" s="26" t="str">
        <f t="array" ref="E567">XLOOKUP($A567,Facebook_interactions_raw!$A$4:$A1000,Facebook_interactions_raw!$B$4:$B1000)</f>
        <v>#N/A</v>
      </c>
      <c r="F567" s="26" t="str">
        <f t="array" ref="F567">XLOOKUP($A567,Facebook_reach_raw!$A$4:$A1000,Facebook_reach_raw!$B$4:$B1000)</f>
        <v>#N/A</v>
      </c>
    </row>
    <row r="568">
      <c r="A568" s="30" t="str">
        <f>Facebook_reach_raw!$A570</f>
        <v/>
      </c>
      <c r="B568" s="29" t="str">
        <f>Facebook_interactions_raw!$A570</f>
        <v/>
      </c>
      <c r="C568" s="26" t="str">
        <f t="shared" si="1"/>
        <v/>
      </c>
      <c r="D568" s="26" t="str">
        <f t="array" ref="D568">XLOOKUP($A568,Facebook_follows_raw!$A$4:$A1000,Facebook_follows_raw!$B$4:$B1000)</f>
        <v>#N/A</v>
      </c>
      <c r="E568" s="26" t="str">
        <f t="array" ref="E568">XLOOKUP($A568,Facebook_interactions_raw!$A$4:$A1000,Facebook_interactions_raw!$B$4:$B1000)</f>
        <v>#N/A</v>
      </c>
      <c r="F568" s="26" t="str">
        <f t="array" ref="F568">XLOOKUP($A568,Facebook_reach_raw!$A$4:$A1000,Facebook_reach_raw!$B$4:$B1000)</f>
        <v>#N/A</v>
      </c>
    </row>
    <row r="569">
      <c r="A569" s="30" t="str">
        <f>Facebook_reach_raw!$A571</f>
        <v/>
      </c>
      <c r="B569" s="29" t="str">
        <f>Facebook_interactions_raw!$A571</f>
        <v/>
      </c>
      <c r="C569" s="26" t="str">
        <f t="shared" si="1"/>
        <v/>
      </c>
      <c r="D569" s="26" t="str">
        <f t="array" ref="D569">XLOOKUP($A569,Facebook_follows_raw!$A$4:$A1000,Facebook_follows_raw!$B$4:$B1000)</f>
        <v>#N/A</v>
      </c>
      <c r="E569" s="26" t="str">
        <f t="array" ref="E569">XLOOKUP($A569,Facebook_interactions_raw!$A$4:$A1000,Facebook_interactions_raw!$B$4:$B1000)</f>
        <v>#N/A</v>
      </c>
      <c r="F569" s="26" t="str">
        <f t="array" ref="F569">XLOOKUP($A569,Facebook_reach_raw!$A$4:$A1000,Facebook_reach_raw!$B$4:$B1000)</f>
        <v>#N/A</v>
      </c>
    </row>
    <row r="570">
      <c r="A570" s="30" t="str">
        <f>Facebook_reach_raw!$A572</f>
        <v/>
      </c>
      <c r="B570" s="29" t="str">
        <f>Facebook_interactions_raw!$A572</f>
        <v/>
      </c>
      <c r="C570" s="26" t="str">
        <f t="shared" si="1"/>
        <v/>
      </c>
      <c r="D570" s="26" t="str">
        <f t="array" ref="D570">XLOOKUP($A570,Facebook_follows_raw!$A$4:$A1000,Facebook_follows_raw!$B$4:$B1000)</f>
        <v>#N/A</v>
      </c>
      <c r="E570" s="26" t="str">
        <f t="array" ref="E570">XLOOKUP($A570,Facebook_interactions_raw!$A$4:$A1000,Facebook_interactions_raw!$B$4:$B1000)</f>
        <v>#N/A</v>
      </c>
      <c r="F570" s="26" t="str">
        <f t="array" ref="F570">XLOOKUP($A570,Facebook_reach_raw!$A$4:$A1000,Facebook_reach_raw!$B$4:$B1000)</f>
        <v>#N/A</v>
      </c>
    </row>
    <row r="571">
      <c r="A571" s="30" t="str">
        <f>Facebook_reach_raw!$A573</f>
        <v/>
      </c>
      <c r="B571" s="29" t="str">
        <f>Facebook_interactions_raw!$A573</f>
        <v/>
      </c>
      <c r="C571" s="26" t="str">
        <f t="shared" si="1"/>
        <v/>
      </c>
      <c r="D571" s="26" t="str">
        <f t="array" ref="D571">XLOOKUP($A571,Facebook_follows_raw!$A$4:$A1000,Facebook_follows_raw!$B$4:$B1000)</f>
        <v>#N/A</v>
      </c>
      <c r="E571" s="26" t="str">
        <f t="array" ref="E571">XLOOKUP($A571,Facebook_interactions_raw!$A$4:$A1000,Facebook_interactions_raw!$B$4:$B1000)</f>
        <v>#N/A</v>
      </c>
      <c r="F571" s="26" t="str">
        <f t="array" ref="F571">XLOOKUP($A571,Facebook_reach_raw!$A$4:$A1000,Facebook_reach_raw!$B$4:$B1000)</f>
        <v>#N/A</v>
      </c>
    </row>
    <row r="572">
      <c r="A572" s="30" t="str">
        <f>Facebook_reach_raw!$A574</f>
        <v/>
      </c>
      <c r="B572" s="29" t="str">
        <f>Facebook_interactions_raw!$A574</f>
        <v/>
      </c>
      <c r="C572" s="26" t="str">
        <f t="shared" si="1"/>
        <v/>
      </c>
      <c r="D572" s="26" t="str">
        <f t="array" ref="D572">XLOOKUP($A572,Facebook_follows_raw!$A$4:$A1000,Facebook_follows_raw!$B$4:$B1000)</f>
        <v>#N/A</v>
      </c>
      <c r="E572" s="26" t="str">
        <f t="array" ref="E572">XLOOKUP($A572,Facebook_interactions_raw!$A$4:$A1000,Facebook_interactions_raw!$B$4:$B1000)</f>
        <v>#N/A</v>
      </c>
      <c r="F572" s="26" t="str">
        <f t="array" ref="F572">XLOOKUP($A572,Facebook_reach_raw!$A$4:$A1000,Facebook_reach_raw!$B$4:$B1000)</f>
        <v>#N/A</v>
      </c>
    </row>
    <row r="573">
      <c r="A573" s="30" t="str">
        <f>Facebook_reach_raw!$A575</f>
        <v/>
      </c>
      <c r="B573" s="29" t="str">
        <f>Facebook_interactions_raw!$A575</f>
        <v/>
      </c>
      <c r="C573" s="26" t="str">
        <f t="shared" si="1"/>
        <v/>
      </c>
      <c r="D573" s="26" t="str">
        <f t="array" ref="D573">XLOOKUP($A573,Facebook_follows_raw!$A$4:$A1000,Facebook_follows_raw!$B$4:$B1000)</f>
        <v>#N/A</v>
      </c>
      <c r="E573" s="26" t="str">
        <f t="array" ref="E573">XLOOKUP($A573,Facebook_interactions_raw!$A$4:$A1000,Facebook_interactions_raw!$B$4:$B1000)</f>
        <v>#N/A</v>
      </c>
      <c r="F573" s="26" t="str">
        <f t="array" ref="F573">XLOOKUP($A573,Facebook_reach_raw!$A$4:$A1000,Facebook_reach_raw!$B$4:$B1000)</f>
        <v>#N/A</v>
      </c>
    </row>
    <row r="574">
      <c r="A574" s="30" t="str">
        <f>Facebook_reach_raw!$A576</f>
        <v/>
      </c>
      <c r="B574" s="29" t="str">
        <f>Facebook_interactions_raw!$A576</f>
        <v/>
      </c>
      <c r="C574" s="26" t="str">
        <f t="shared" si="1"/>
        <v/>
      </c>
      <c r="D574" s="26" t="str">
        <f t="array" ref="D574">XLOOKUP($A574,Facebook_follows_raw!$A$4:$A1000,Facebook_follows_raw!$B$4:$B1000)</f>
        <v>#N/A</v>
      </c>
      <c r="E574" s="26" t="str">
        <f t="array" ref="E574">XLOOKUP($A574,Facebook_interactions_raw!$A$4:$A1000,Facebook_interactions_raw!$B$4:$B1000)</f>
        <v>#N/A</v>
      </c>
      <c r="F574" s="26" t="str">
        <f t="array" ref="F574">XLOOKUP($A574,Facebook_reach_raw!$A$4:$A1000,Facebook_reach_raw!$B$4:$B1000)</f>
        <v>#N/A</v>
      </c>
    </row>
    <row r="575">
      <c r="A575" s="30" t="str">
        <f>Facebook_reach_raw!$A577</f>
        <v/>
      </c>
      <c r="B575" s="29" t="str">
        <f>Facebook_interactions_raw!$A577</f>
        <v/>
      </c>
      <c r="C575" s="26" t="str">
        <f t="shared" si="1"/>
        <v/>
      </c>
      <c r="D575" s="26" t="str">
        <f t="array" ref="D575">XLOOKUP($A575,Facebook_follows_raw!$A$4:$A1000,Facebook_follows_raw!$B$4:$B1000)</f>
        <v>#N/A</v>
      </c>
      <c r="E575" s="26" t="str">
        <f t="array" ref="E575">XLOOKUP($A575,Facebook_interactions_raw!$A$4:$A1000,Facebook_interactions_raw!$B$4:$B1000)</f>
        <v>#N/A</v>
      </c>
      <c r="F575" s="26" t="str">
        <f t="array" ref="F575">XLOOKUP($A575,Facebook_reach_raw!$A$4:$A1000,Facebook_reach_raw!$B$4:$B1000)</f>
        <v>#N/A</v>
      </c>
    </row>
    <row r="576">
      <c r="A576" s="30" t="str">
        <f>Facebook_reach_raw!$A578</f>
        <v/>
      </c>
      <c r="B576" s="29" t="str">
        <f>Facebook_interactions_raw!$A578</f>
        <v/>
      </c>
      <c r="C576" s="26" t="str">
        <f t="shared" si="1"/>
        <v/>
      </c>
      <c r="D576" s="26" t="str">
        <f t="array" ref="D576">XLOOKUP($A576,Facebook_follows_raw!$A$4:$A1000,Facebook_follows_raw!$B$4:$B1000)</f>
        <v>#N/A</v>
      </c>
      <c r="E576" s="26" t="str">
        <f t="array" ref="E576">XLOOKUP($A576,Facebook_interactions_raw!$A$4:$A1000,Facebook_interactions_raw!$B$4:$B1000)</f>
        <v>#N/A</v>
      </c>
      <c r="F576" s="26" t="str">
        <f t="array" ref="F576">XLOOKUP($A576,Facebook_reach_raw!$A$4:$A1000,Facebook_reach_raw!$B$4:$B1000)</f>
        <v>#N/A</v>
      </c>
    </row>
    <row r="577">
      <c r="A577" s="30" t="str">
        <f>Facebook_reach_raw!$A579</f>
        <v/>
      </c>
      <c r="B577" s="29" t="str">
        <f>Facebook_interactions_raw!$A579</f>
        <v/>
      </c>
      <c r="C577" s="26" t="str">
        <f t="shared" si="1"/>
        <v/>
      </c>
      <c r="D577" s="26" t="str">
        <f t="array" ref="D577">XLOOKUP($A577,Facebook_follows_raw!$A$4:$A1000,Facebook_follows_raw!$B$4:$B1000)</f>
        <v>#N/A</v>
      </c>
      <c r="E577" s="26" t="str">
        <f t="array" ref="E577">XLOOKUP($A577,Facebook_interactions_raw!$A$4:$A1000,Facebook_interactions_raw!$B$4:$B1000)</f>
        <v>#N/A</v>
      </c>
      <c r="F577" s="26" t="str">
        <f t="array" ref="F577">XLOOKUP($A577,Facebook_reach_raw!$A$4:$A1000,Facebook_reach_raw!$B$4:$B1000)</f>
        <v>#N/A</v>
      </c>
    </row>
    <row r="578">
      <c r="A578" s="30" t="str">
        <f>Facebook_reach_raw!$A580</f>
        <v/>
      </c>
      <c r="B578" s="29" t="str">
        <f>Facebook_interactions_raw!$A580</f>
        <v/>
      </c>
      <c r="C578" s="26" t="str">
        <f t="shared" si="1"/>
        <v/>
      </c>
      <c r="D578" s="26" t="str">
        <f t="array" ref="D578">XLOOKUP($A578,Facebook_follows_raw!$A$4:$A1000,Facebook_follows_raw!$B$4:$B1000)</f>
        <v>#N/A</v>
      </c>
      <c r="E578" s="26" t="str">
        <f t="array" ref="E578">XLOOKUP($A578,Facebook_interactions_raw!$A$4:$A1000,Facebook_interactions_raw!$B$4:$B1000)</f>
        <v>#N/A</v>
      </c>
      <c r="F578" s="26" t="str">
        <f t="array" ref="F578">XLOOKUP($A578,Facebook_reach_raw!$A$4:$A1000,Facebook_reach_raw!$B$4:$B1000)</f>
        <v>#N/A</v>
      </c>
    </row>
    <row r="579">
      <c r="A579" s="30" t="str">
        <f>Facebook_reach_raw!$A581</f>
        <v/>
      </c>
      <c r="B579" s="29" t="str">
        <f>Facebook_interactions_raw!$A581</f>
        <v/>
      </c>
      <c r="C579" s="26" t="str">
        <f t="shared" si="1"/>
        <v/>
      </c>
      <c r="D579" s="26" t="str">
        <f t="array" ref="D579">XLOOKUP($A579,Facebook_follows_raw!$A$4:$A1000,Facebook_follows_raw!$B$4:$B1000)</f>
        <v>#N/A</v>
      </c>
      <c r="E579" s="26" t="str">
        <f t="array" ref="E579">XLOOKUP($A579,Facebook_interactions_raw!$A$4:$A1000,Facebook_interactions_raw!$B$4:$B1000)</f>
        <v>#N/A</v>
      </c>
      <c r="F579" s="26" t="str">
        <f t="array" ref="F579">XLOOKUP($A579,Facebook_reach_raw!$A$4:$A1000,Facebook_reach_raw!$B$4:$B1000)</f>
        <v>#N/A</v>
      </c>
    </row>
    <row r="580">
      <c r="A580" s="30" t="str">
        <f>Facebook_reach_raw!$A582</f>
        <v/>
      </c>
      <c r="B580" s="29" t="str">
        <f>Facebook_interactions_raw!$A582</f>
        <v/>
      </c>
      <c r="C580" s="26" t="str">
        <f t="shared" si="1"/>
        <v/>
      </c>
      <c r="D580" s="26" t="str">
        <f t="array" ref="D580">XLOOKUP($A580,Facebook_follows_raw!$A$4:$A1000,Facebook_follows_raw!$B$4:$B1000)</f>
        <v>#N/A</v>
      </c>
      <c r="E580" s="26" t="str">
        <f t="array" ref="E580">XLOOKUP($A580,Facebook_interactions_raw!$A$4:$A1000,Facebook_interactions_raw!$B$4:$B1000)</f>
        <v>#N/A</v>
      </c>
      <c r="F580" s="26" t="str">
        <f t="array" ref="F580">XLOOKUP($A580,Facebook_reach_raw!$A$4:$A1000,Facebook_reach_raw!$B$4:$B1000)</f>
        <v>#N/A</v>
      </c>
    </row>
    <row r="581">
      <c r="A581" s="30" t="str">
        <f>Facebook_reach_raw!$A583</f>
        <v/>
      </c>
      <c r="B581" s="29" t="str">
        <f>Facebook_interactions_raw!$A583</f>
        <v/>
      </c>
      <c r="C581" s="26" t="str">
        <f t="shared" si="1"/>
        <v/>
      </c>
      <c r="D581" s="26" t="str">
        <f t="array" ref="D581">XLOOKUP($A581,Facebook_follows_raw!$A$4:$A1000,Facebook_follows_raw!$B$4:$B1000)</f>
        <v>#N/A</v>
      </c>
      <c r="E581" s="26" t="str">
        <f t="array" ref="E581">XLOOKUP($A581,Facebook_interactions_raw!$A$4:$A1000,Facebook_interactions_raw!$B$4:$B1000)</f>
        <v>#N/A</v>
      </c>
      <c r="F581" s="26" t="str">
        <f t="array" ref="F581">XLOOKUP($A581,Facebook_reach_raw!$A$4:$A1000,Facebook_reach_raw!$B$4:$B1000)</f>
        <v>#N/A</v>
      </c>
    </row>
    <row r="582">
      <c r="A582" s="30" t="str">
        <f>Facebook_reach_raw!$A584</f>
        <v/>
      </c>
      <c r="B582" s="29" t="str">
        <f>Facebook_interactions_raw!$A584</f>
        <v/>
      </c>
      <c r="C582" s="26" t="str">
        <f t="shared" si="1"/>
        <v/>
      </c>
      <c r="D582" s="26" t="str">
        <f t="array" ref="D582">XLOOKUP($A582,Facebook_follows_raw!$A$4:$A1000,Facebook_follows_raw!$B$4:$B1000)</f>
        <v>#N/A</v>
      </c>
      <c r="E582" s="26" t="str">
        <f t="array" ref="E582">XLOOKUP($A582,Facebook_interactions_raw!$A$4:$A1000,Facebook_interactions_raw!$B$4:$B1000)</f>
        <v>#N/A</v>
      </c>
      <c r="F582" s="26" t="str">
        <f t="array" ref="F582">XLOOKUP($A582,Facebook_reach_raw!$A$4:$A1000,Facebook_reach_raw!$B$4:$B1000)</f>
        <v>#N/A</v>
      </c>
    </row>
    <row r="583">
      <c r="A583" s="30" t="str">
        <f>Facebook_reach_raw!$A585</f>
        <v/>
      </c>
      <c r="B583" s="29" t="str">
        <f>Facebook_interactions_raw!$A585</f>
        <v/>
      </c>
      <c r="C583" s="26" t="str">
        <f t="shared" si="1"/>
        <v/>
      </c>
      <c r="D583" s="26" t="str">
        <f t="array" ref="D583">XLOOKUP($A583,Facebook_follows_raw!$A$4:$A1000,Facebook_follows_raw!$B$4:$B1000)</f>
        <v>#N/A</v>
      </c>
      <c r="E583" s="26" t="str">
        <f t="array" ref="E583">XLOOKUP($A583,Facebook_interactions_raw!$A$4:$A1000,Facebook_interactions_raw!$B$4:$B1000)</f>
        <v>#N/A</v>
      </c>
      <c r="F583" s="26" t="str">
        <f t="array" ref="F583">XLOOKUP($A583,Facebook_reach_raw!$A$4:$A1000,Facebook_reach_raw!$B$4:$B1000)</f>
        <v>#N/A</v>
      </c>
    </row>
    <row r="584">
      <c r="A584" s="30" t="str">
        <f>Facebook_reach_raw!$A586</f>
        <v/>
      </c>
      <c r="B584" s="29" t="str">
        <f>Facebook_interactions_raw!$A586</f>
        <v/>
      </c>
      <c r="C584" s="26" t="str">
        <f t="shared" si="1"/>
        <v/>
      </c>
      <c r="D584" s="26" t="str">
        <f t="array" ref="D584">XLOOKUP($A584,Facebook_follows_raw!$A$4:$A1000,Facebook_follows_raw!$B$4:$B1000)</f>
        <v>#N/A</v>
      </c>
      <c r="E584" s="26" t="str">
        <f t="array" ref="E584">XLOOKUP($A584,Facebook_interactions_raw!$A$4:$A1000,Facebook_interactions_raw!$B$4:$B1000)</f>
        <v>#N/A</v>
      </c>
      <c r="F584" s="26" t="str">
        <f t="array" ref="F584">XLOOKUP($A584,Facebook_reach_raw!$A$4:$A1000,Facebook_reach_raw!$B$4:$B1000)</f>
        <v>#N/A</v>
      </c>
    </row>
    <row r="585">
      <c r="A585" s="30" t="str">
        <f>Facebook_reach_raw!$A587</f>
        <v/>
      </c>
      <c r="B585" s="29" t="str">
        <f>Facebook_interactions_raw!$A587</f>
        <v/>
      </c>
      <c r="C585" s="26" t="str">
        <f t="shared" si="1"/>
        <v/>
      </c>
      <c r="D585" s="26" t="str">
        <f t="array" ref="D585">XLOOKUP($A585,Facebook_follows_raw!$A$4:$A1000,Facebook_follows_raw!$B$4:$B1000)</f>
        <v>#N/A</v>
      </c>
      <c r="E585" s="26" t="str">
        <f t="array" ref="E585">XLOOKUP($A585,Facebook_interactions_raw!$A$4:$A1000,Facebook_interactions_raw!$B$4:$B1000)</f>
        <v>#N/A</v>
      </c>
      <c r="F585" s="26" t="str">
        <f t="array" ref="F585">XLOOKUP($A585,Facebook_reach_raw!$A$4:$A1000,Facebook_reach_raw!$B$4:$B1000)</f>
        <v>#N/A</v>
      </c>
    </row>
    <row r="586">
      <c r="A586" s="30" t="str">
        <f>Facebook_reach_raw!$A588</f>
        <v/>
      </c>
      <c r="B586" s="29" t="str">
        <f>Facebook_interactions_raw!$A588</f>
        <v/>
      </c>
      <c r="C586" s="26" t="str">
        <f t="shared" si="1"/>
        <v/>
      </c>
      <c r="D586" s="26" t="str">
        <f t="array" ref="D586">XLOOKUP($A586,Facebook_follows_raw!$A$4:$A1000,Facebook_follows_raw!$B$4:$B1000)</f>
        <v>#N/A</v>
      </c>
      <c r="E586" s="26" t="str">
        <f t="array" ref="E586">XLOOKUP($A586,Facebook_interactions_raw!$A$4:$A1000,Facebook_interactions_raw!$B$4:$B1000)</f>
        <v>#N/A</v>
      </c>
      <c r="F586" s="26" t="str">
        <f t="array" ref="F586">XLOOKUP($A586,Facebook_reach_raw!$A$4:$A1000,Facebook_reach_raw!$B$4:$B1000)</f>
        <v>#N/A</v>
      </c>
    </row>
    <row r="587">
      <c r="A587" s="30" t="str">
        <f>Facebook_reach_raw!$A589</f>
        <v/>
      </c>
      <c r="B587" s="29" t="str">
        <f>Facebook_interactions_raw!$A589</f>
        <v/>
      </c>
      <c r="C587" s="26" t="str">
        <f t="shared" si="1"/>
        <v/>
      </c>
      <c r="D587" s="26" t="str">
        <f t="array" ref="D587">XLOOKUP($A587,Facebook_follows_raw!$A$4:$A1000,Facebook_follows_raw!$B$4:$B1000)</f>
        <v>#N/A</v>
      </c>
      <c r="E587" s="26" t="str">
        <f t="array" ref="E587">XLOOKUP($A587,Facebook_interactions_raw!$A$4:$A1000,Facebook_interactions_raw!$B$4:$B1000)</f>
        <v>#N/A</v>
      </c>
      <c r="F587" s="26" t="str">
        <f t="array" ref="F587">XLOOKUP($A587,Facebook_reach_raw!$A$4:$A1000,Facebook_reach_raw!$B$4:$B1000)</f>
        <v>#N/A</v>
      </c>
    </row>
    <row r="588">
      <c r="A588" s="30" t="str">
        <f>Facebook_reach_raw!$A590</f>
        <v/>
      </c>
      <c r="B588" s="29" t="str">
        <f>Facebook_interactions_raw!$A590</f>
        <v/>
      </c>
      <c r="C588" s="26" t="str">
        <f t="shared" si="1"/>
        <v/>
      </c>
      <c r="D588" s="26" t="str">
        <f t="array" ref="D588">XLOOKUP($A588,Facebook_follows_raw!$A$4:$A1000,Facebook_follows_raw!$B$4:$B1000)</f>
        <v>#N/A</v>
      </c>
      <c r="E588" s="26" t="str">
        <f t="array" ref="E588">XLOOKUP($A588,Facebook_interactions_raw!$A$4:$A1000,Facebook_interactions_raw!$B$4:$B1000)</f>
        <v>#N/A</v>
      </c>
      <c r="F588" s="26" t="str">
        <f t="array" ref="F588">XLOOKUP($A588,Facebook_reach_raw!$A$4:$A1000,Facebook_reach_raw!$B$4:$B1000)</f>
        <v>#N/A</v>
      </c>
    </row>
    <row r="589">
      <c r="A589" s="30" t="str">
        <f>Facebook_reach_raw!$A591</f>
        <v/>
      </c>
      <c r="B589" s="29" t="str">
        <f>Facebook_interactions_raw!$A591</f>
        <v/>
      </c>
      <c r="C589" s="26" t="str">
        <f t="shared" si="1"/>
        <v/>
      </c>
      <c r="D589" s="26" t="str">
        <f t="array" ref="D589">XLOOKUP($A589,Facebook_follows_raw!$A$4:$A1000,Facebook_follows_raw!$B$4:$B1000)</f>
        <v>#N/A</v>
      </c>
      <c r="E589" s="26" t="str">
        <f t="array" ref="E589">XLOOKUP($A589,Facebook_interactions_raw!$A$4:$A1000,Facebook_interactions_raw!$B$4:$B1000)</f>
        <v>#N/A</v>
      </c>
      <c r="F589" s="26" t="str">
        <f t="array" ref="F589">XLOOKUP($A589,Facebook_reach_raw!$A$4:$A1000,Facebook_reach_raw!$B$4:$B1000)</f>
        <v>#N/A</v>
      </c>
    </row>
    <row r="590">
      <c r="A590" s="30" t="str">
        <f>Facebook_reach_raw!$A592</f>
        <v/>
      </c>
      <c r="B590" s="29" t="str">
        <f>Facebook_interactions_raw!$A592</f>
        <v/>
      </c>
      <c r="C590" s="26" t="str">
        <f t="shared" si="1"/>
        <v/>
      </c>
      <c r="D590" s="26" t="str">
        <f t="array" ref="D590">XLOOKUP($A590,Facebook_follows_raw!$A$4:$A1000,Facebook_follows_raw!$B$4:$B1000)</f>
        <v>#N/A</v>
      </c>
      <c r="E590" s="26" t="str">
        <f t="array" ref="E590">XLOOKUP($A590,Facebook_interactions_raw!$A$4:$A1000,Facebook_interactions_raw!$B$4:$B1000)</f>
        <v>#N/A</v>
      </c>
      <c r="F590" s="26" t="str">
        <f t="array" ref="F590">XLOOKUP($A590,Facebook_reach_raw!$A$4:$A1000,Facebook_reach_raw!$B$4:$B1000)</f>
        <v>#N/A</v>
      </c>
    </row>
    <row r="591">
      <c r="A591" s="30" t="str">
        <f>Facebook_reach_raw!$A593</f>
        <v/>
      </c>
      <c r="B591" s="29" t="str">
        <f>Facebook_interactions_raw!$A593</f>
        <v/>
      </c>
      <c r="C591" s="26" t="str">
        <f t="shared" si="1"/>
        <v/>
      </c>
      <c r="D591" s="26" t="str">
        <f t="array" ref="D591">XLOOKUP($A591,Facebook_follows_raw!$A$4:$A1000,Facebook_follows_raw!$B$4:$B1000)</f>
        <v>#N/A</v>
      </c>
      <c r="E591" s="26" t="str">
        <f t="array" ref="E591">XLOOKUP($A591,Facebook_interactions_raw!$A$4:$A1000,Facebook_interactions_raw!$B$4:$B1000)</f>
        <v>#N/A</v>
      </c>
      <c r="F591" s="26" t="str">
        <f t="array" ref="F591">XLOOKUP($A591,Facebook_reach_raw!$A$4:$A1000,Facebook_reach_raw!$B$4:$B1000)</f>
        <v>#N/A</v>
      </c>
    </row>
    <row r="592">
      <c r="A592" s="30" t="str">
        <f>Facebook_reach_raw!$A594</f>
        <v/>
      </c>
      <c r="B592" s="29" t="str">
        <f>Facebook_interactions_raw!$A594</f>
        <v/>
      </c>
      <c r="C592" s="26" t="str">
        <f t="shared" si="1"/>
        <v/>
      </c>
      <c r="D592" s="26" t="str">
        <f t="array" ref="D592">XLOOKUP($A592,Facebook_follows_raw!$A$4:$A1000,Facebook_follows_raw!$B$4:$B1000)</f>
        <v>#N/A</v>
      </c>
      <c r="E592" s="26" t="str">
        <f t="array" ref="E592">XLOOKUP($A592,Facebook_interactions_raw!$A$4:$A1000,Facebook_interactions_raw!$B$4:$B1000)</f>
        <v>#N/A</v>
      </c>
      <c r="F592" s="26" t="str">
        <f t="array" ref="F592">XLOOKUP($A592,Facebook_reach_raw!$A$4:$A1000,Facebook_reach_raw!$B$4:$B1000)</f>
        <v>#N/A</v>
      </c>
    </row>
    <row r="593">
      <c r="A593" s="30" t="str">
        <f>Facebook_reach_raw!$A595</f>
        <v/>
      </c>
      <c r="B593" s="29" t="str">
        <f>Facebook_interactions_raw!$A595</f>
        <v/>
      </c>
      <c r="C593" s="26" t="str">
        <f t="shared" si="1"/>
        <v/>
      </c>
      <c r="D593" s="26" t="str">
        <f t="array" ref="D593">XLOOKUP($A593,Facebook_follows_raw!$A$4:$A1000,Facebook_follows_raw!$B$4:$B1000)</f>
        <v>#N/A</v>
      </c>
      <c r="E593" s="26" t="str">
        <f t="array" ref="E593">XLOOKUP($A593,Facebook_interactions_raw!$A$4:$A1000,Facebook_interactions_raw!$B$4:$B1000)</f>
        <v>#N/A</v>
      </c>
      <c r="F593" s="26" t="str">
        <f t="array" ref="F593">XLOOKUP($A593,Facebook_reach_raw!$A$4:$A1000,Facebook_reach_raw!$B$4:$B1000)</f>
        <v>#N/A</v>
      </c>
    </row>
    <row r="594">
      <c r="A594" s="30" t="str">
        <f>Facebook_reach_raw!$A596</f>
        <v/>
      </c>
      <c r="B594" s="29" t="str">
        <f>Facebook_interactions_raw!$A596</f>
        <v/>
      </c>
      <c r="C594" s="26" t="str">
        <f t="shared" si="1"/>
        <v/>
      </c>
      <c r="D594" s="26" t="str">
        <f t="array" ref="D594">XLOOKUP($A594,Facebook_follows_raw!$A$4:$A1000,Facebook_follows_raw!$B$4:$B1000)</f>
        <v>#N/A</v>
      </c>
      <c r="E594" s="26" t="str">
        <f t="array" ref="E594">XLOOKUP($A594,Facebook_interactions_raw!$A$4:$A1000,Facebook_interactions_raw!$B$4:$B1000)</f>
        <v>#N/A</v>
      </c>
      <c r="F594" s="26" t="str">
        <f t="array" ref="F594">XLOOKUP($A594,Facebook_reach_raw!$A$4:$A1000,Facebook_reach_raw!$B$4:$B1000)</f>
        <v>#N/A</v>
      </c>
    </row>
    <row r="595">
      <c r="A595" s="30" t="str">
        <f>Facebook_reach_raw!$A597</f>
        <v/>
      </c>
      <c r="B595" s="29" t="str">
        <f>Facebook_interactions_raw!$A597</f>
        <v/>
      </c>
      <c r="C595" s="26" t="str">
        <f t="shared" si="1"/>
        <v/>
      </c>
      <c r="D595" s="26" t="str">
        <f t="array" ref="D595">XLOOKUP($A595,Facebook_follows_raw!$A$4:$A1000,Facebook_follows_raw!$B$4:$B1000)</f>
        <v>#N/A</v>
      </c>
      <c r="E595" s="26" t="str">
        <f t="array" ref="E595">XLOOKUP($A595,Facebook_interactions_raw!$A$4:$A1000,Facebook_interactions_raw!$B$4:$B1000)</f>
        <v>#N/A</v>
      </c>
      <c r="F595" s="26" t="str">
        <f t="array" ref="F595">XLOOKUP($A595,Facebook_reach_raw!$A$4:$A1000,Facebook_reach_raw!$B$4:$B1000)</f>
        <v>#N/A</v>
      </c>
    </row>
    <row r="596">
      <c r="A596" s="30" t="str">
        <f>Facebook_reach_raw!$A598</f>
        <v/>
      </c>
      <c r="B596" s="29" t="str">
        <f>Facebook_interactions_raw!$A598</f>
        <v/>
      </c>
      <c r="C596" s="26" t="str">
        <f t="shared" si="1"/>
        <v/>
      </c>
      <c r="D596" s="26" t="str">
        <f t="array" ref="D596">XLOOKUP($A596,Facebook_follows_raw!$A$4:$A1000,Facebook_follows_raw!$B$4:$B1000)</f>
        <v>#N/A</v>
      </c>
      <c r="E596" s="26" t="str">
        <f t="array" ref="E596">XLOOKUP($A596,Facebook_interactions_raw!$A$4:$A1000,Facebook_interactions_raw!$B$4:$B1000)</f>
        <v>#N/A</v>
      </c>
      <c r="F596" s="26" t="str">
        <f t="array" ref="F596">XLOOKUP($A596,Facebook_reach_raw!$A$4:$A1000,Facebook_reach_raw!$B$4:$B1000)</f>
        <v>#N/A</v>
      </c>
    </row>
    <row r="597">
      <c r="A597" s="30" t="str">
        <f>Facebook_reach_raw!$A599</f>
        <v/>
      </c>
      <c r="B597" s="29" t="str">
        <f>Facebook_interactions_raw!$A599</f>
        <v/>
      </c>
      <c r="C597" s="26" t="str">
        <f t="shared" si="1"/>
        <v/>
      </c>
      <c r="D597" s="26" t="str">
        <f t="array" ref="D597">XLOOKUP($A597,Facebook_follows_raw!$A$4:$A1000,Facebook_follows_raw!$B$4:$B1000)</f>
        <v>#N/A</v>
      </c>
      <c r="E597" s="26" t="str">
        <f t="array" ref="E597">XLOOKUP($A597,Facebook_interactions_raw!$A$4:$A1000,Facebook_interactions_raw!$B$4:$B1000)</f>
        <v>#N/A</v>
      </c>
      <c r="F597" s="26" t="str">
        <f t="array" ref="F597">XLOOKUP($A597,Facebook_reach_raw!$A$4:$A1000,Facebook_reach_raw!$B$4:$B1000)</f>
        <v>#N/A</v>
      </c>
    </row>
    <row r="598">
      <c r="A598" s="30" t="str">
        <f>Facebook_reach_raw!$A600</f>
        <v/>
      </c>
      <c r="B598" s="29" t="str">
        <f>Facebook_interactions_raw!$A600</f>
        <v/>
      </c>
      <c r="C598" s="26" t="str">
        <f t="shared" si="1"/>
        <v/>
      </c>
      <c r="D598" s="26" t="str">
        <f t="array" ref="D598">XLOOKUP($A598,Facebook_follows_raw!$A$4:$A1000,Facebook_follows_raw!$B$4:$B1000)</f>
        <v>#N/A</v>
      </c>
      <c r="E598" s="26" t="str">
        <f t="array" ref="E598">XLOOKUP($A598,Facebook_interactions_raw!$A$4:$A1000,Facebook_interactions_raw!$B$4:$B1000)</f>
        <v>#N/A</v>
      </c>
      <c r="F598" s="26" t="str">
        <f t="array" ref="F598">XLOOKUP($A598,Facebook_reach_raw!$A$4:$A1000,Facebook_reach_raw!$B$4:$B1000)</f>
        <v>#N/A</v>
      </c>
    </row>
    <row r="599">
      <c r="A599" s="30" t="str">
        <f>Facebook_reach_raw!$A601</f>
        <v/>
      </c>
      <c r="B599" s="29" t="str">
        <f>Facebook_interactions_raw!$A601</f>
        <v/>
      </c>
      <c r="C599" s="26" t="str">
        <f t="shared" si="1"/>
        <v/>
      </c>
      <c r="D599" s="26" t="str">
        <f t="array" ref="D599">XLOOKUP($A599,Facebook_follows_raw!$A$4:$A1000,Facebook_follows_raw!$B$4:$B1000)</f>
        <v>#N/A</v>
      </c>
      <c r="E599" s="26" t="str">
        <f t="array" ref="E599">XLOOKUP($A599,Facebook_interactions_raw!$A$4:$A1000,Facebook_interactions_raw!$B$4:$B1000)</f>
        <v>#N/A</v>
      </c>
      <c r="F599" s="26" t="str">
        <f t="array" ref="F599">XLOOKUP($A599,Facebook_reach_raw!$A$4:$A1000,Facebook_reach_raw!$B$4:$B1000)</f>
        <v>#N/A</v>
      </c>
    </row>
    <row r="600">
      <c r="A600" s="30" t="str">
        <f>Facebook_reach_raw!$A602</f>
        <v/>
      </c>
      <c r="B600" s="29" t="str">
        <f>Facebook_interactions_raw!$A602</f>
        <v/>
      </c>
      <c r="C600" s="26" t="str">
        <f t="shared" si="1"/>
        <v/>
      </c>
      <c r="D600" s="26" t="str">
        <f t="array" ref="D600">XLOOKUP($A600,Facebook_follows_raw!$A$4:$A1000,Facebook_follows_raw!$B$4:$B1000)</f>
        <v>#N/A</v>
      </c>
      <c r="E600" s="26" t="str">
        <f t="array" ref="E600">XLOOKUP($A600,Facebook_interactions_raw!$A$4:$A1000,Facebook_interactions_raw!$B$4:$B1000)</f>
        <v>#N/A</v>
      </c>
      <c r="F600" s="26" t="str">
        <f t="array" ref="F600">XLOOKUP($A600,Facebook_reach_raw!$A$4:$A1000,Facebook_reach_raw!$B$4:$B1000)</f>
        <v>#N/A</v>
      </c>
    </row>
    <row r="601">
      <c r="A601" s="30" t="str">
        <f>Facebook_reach_raw!$A603</f>
        <v/>
      </c>
      <c r="B601" s="29" t="str">
        <f>Facebook_interactions_raw!$A603</f>
        <v/>
      </c>
      <c r="C601" s="26" t="str">
        <f t="shared" si="1"/>
        <v/>
      </c>
      <c r="D601" s="26" t="str">
        <f t="array" ref="D601">XLOOKUP($A601,Facebook_follows_raw!$A$4:$A1000,Facebook_follows_raw!$B$4:$B1000)</f>
        <v>#N/A</v>
      </c>
      <c r="E601" s="26" t="str">
        <f t="array" ref="E601">XLOOKUP($A601,Facebook_interactions_raw!$A$4:$A1000,Facebook_interactions_raw!$B$4:$B1000)</f>
        <v>#N/A</v>
      </c>
      <c r="F601" s="26" t="str">
        <f t="array" ref="F601">XLOOKUP($A601,Facebook_reach_raw!$A$4:$A1000,Facebook_reach_raw!$B$4:$B1000)</f>
        <v>#N/A</v>
      </c>
    </row>
    <row r="602">
      <c r="A602" s="30" t="str">
        <f>Facebook_reach_raw!$A604</f>
        <v/>
      </c>
      <c r="B602" s="29" t="str">
        <f>Facebook_interactions_raw!$A604</f>
        <v/>
      </c>
      <c r="C602" s="26" t="str">
        <f t="shared" si="1"/>
        <v/>
      </c>
      <c r="D602" s="26" t="str">
        <f t="array" ref="D602">XLOOKUP($A602,Facebook_follows_raw!$A$4:$A1000,Facebook_follows_raw!$B$4:$B1000)</f>
        <v>#N/A</v>
      </c>
      <c r="E602" s="26" t="str">
        <f t="array" ref="E602">XLOOKUP($A602,Facebook_interactions_raw!$A$4:$A1000,Facebook_interactions_raw!$B$4:$B1000)</f>
        <v>#N/A</v>
      </c>
      <c r="F602" s="26" t="str">
        <f t="array" ref="F602">XLOOKUP($A602,Facebook_reach_raw!$A$4:$A1000,Facebook_reach_raw!$B$4:$B1000)</f>
        <v>#N/A</v>
      </c>
    </row>
    <row r="603">
      <c r="A603" s="30" t="str">
        <f>Facebook_reach_raw!$A605</f>
        <v/>
      </c>
      <c r="B603" s="29" t="str">
        <f>Facebook_interactions_raw!$A605</f>
        <v/>
      </c>
      <c r="C603" s="26" t="str">
        <f t="shared" si="1"/>
        <v/>
      </c>
      <c r="D603" s="26" t="str">
        <f t="array" ref="D603">XLOOKUP($A603,Facebook_follows_raw!$A$4:$A1000,Facebook_follows_raw!$B$4:$B1000)</f>
        <v>#N/A</v>
      </c>
      <c r="E603" s="26" t="str">
        <f t="array" ref="E603">XLOOKUP($A603,Facebook_interactions_raw!$A$4:$A1000,Facebook_interactions_raw!$B$4:$B1000)</f>
        <v>#N/A</v>
      </c>
      <c r="F603" s="26" t="str">
        <f t="array" ref="F603">XLOOKUP($A603,Facebook_reach_raw!$A$4:$A1000,Facebook_reach_raw!$B$4:$B1000)</f>
        <v>#N/A</v>
      </c>
    </row>
    <row r="604">
      <c r="A604" s="30" t="str">
        <f>Facebook_reach_raw!$A606</f>
        <v/>
      </c>
      <c r="B604" s="29" t="str">
        <f>Facebook_interactions_raw!$A606</f>
        <v/>
      </c>
      <c r="C604" s="26" t="str">
        <f t="shared" si="1"/>
        <v/>
      </c>
      <c r="D604" s="26" t="str">
        <f t="array" ref="D604">XLOOKUP($A604,Facebook_follows_raw!$A$4:$A1000,Facebook_follows_raw!$B$4:$B1000)</f>
        <v>#N/A</v>
      </c>
      <c r="E604" s="26" t="str">
        <f t="array" ref="E604">XLOOKUP($A604,Facebook_interactions_raw!$A$4:$A1000,Facebook_interactions_raw!$B$4:$B1000)</f>
        <v>#N/A</v>
      </c>
      <c r="F604" s="26" t="str">
        <f t="array" ref="F604">XLOOKUP($A604,Facebook_reach_raw!$A$4:$A1000,Facebook_reach_raw!$B$4:$B1000)</f>
        <v>#N/A</v>
      </c>
    </row>
    <row r="605">
      <c r="A605" s="30" t="str">
        <f>Facebook_reach_raw!$A607</f>
        <v/>
      </c>
      <c r="B605" s="29" t="str">
        <f>Facebook_interactions_raw!$A607</f>
        <v/>
      </c>
      <c r="C605" s="26" t="str">
        <f t="shared" si="1"/>
        <v/>
      </c>
      <c r="D605" s="26" t="str">
        <f t="array" ref="D605">XLOOKUP($A605,Facebook_follows_raw!$A$4:$A1000,Facebook_follows_raw!$B$4:$B1000)</f>
        <v>#N/A</v>
      </c>
      <c r="E605" s="26" t="str">
        <f t="array" ref="E605">XLOOKUP($A605,Facebook_interactions_raw!$A$4:$A1000,Facebook_interactions_raw!$B$4:$B1000)</f>
        <v>#N/A</v>
      </c>
      <c r="F605" s="26" t="str">
        <f t="array" ref="F605">XLOOKUP($A605,Facebook_reach_raw!$A$4:$A1000,Facebook_reach_raw!$B$4:$B1000)</f>
        <v>#N/A</v>
      </c>
    </row>
    <row r="606">
      <c r="A606" s="30" t="str">
        <f>Facebook_reach_raw!$A608</f>
        <v/>
      </c>
      <c r="B606" s="29" t="str">
        <f>Facebook_interactions_raw!$A608</f>
        <v/>
      </c>
      <c r="C606" s="26" t="str">
        <f t="shared" si="1"/>
        <v/>
      </c>
      <c r="D606" s="26" t="str">
        <f t="array" ref="D606">XLOOKUP($A606,Facebook_follows_raw!$A$4:$A1000,Facebook_follows_raw!$B$4:$B1000)</f>
        <v>#N/A</v>
      </c>
      <c r="E606" s="26" t="str">
        <f t="array" ref="E606">XLOOKUP($A606,Facebook_interactions_raw!$A$4:$A1000,Facebook_interactions_raw!$B$4:$B1000)</f>
        <v>#N/A</v>
      </c>
      <c r="F606" s="26" t="str">
        <f t="array" ref="F606">XLOOKUP($A606,Facebook_reach_raw!$A$4:$A1000,Facebook_reach_raw!$B$4:$B1000)</f>
        <v>#N/A</v>
      </c>
    </row>
    <row r="607">
      <c r="A607" s="30" t="str">
        <f>Facebook_reach_raw!$A609</f>
        <v/>
      </c>
      <c r="B607" s="29" t="str">
        <f>Facebook_interactions_raw!$A609</f>
        <v/>
      </c>
      <c r="C607" s="26" t="str">
        <f t="shared" si="1"/>
        <v/>
      </c>
      <c r="D607" s="26" t="str">
        <f t="array" ref="D607">XLOOKUP($A607,Facebook_follows_raw!$A$4:$A1000,Facebook_follows_raw!$B$4:$B1000)</f>
        <v>#N/A</v>
      </c>
      <c r="E607" s="26" t="str">
        <f t="array" ref="E607">XLOOKUP($A607,Facebook_interactions_raw!$A$4:$A1000,Facebook_interactions_raw!$B$4:$B1000)</f>
        <v>#N/A</v>
      </c>
      <c r="F607" s="26" t="str">
        <f t="array" ref="F607">XLOOKUP($A607,Facebook_reach_raw!$A$4:$A1000,Facebook_reach_raw!$B$4:$B1000)</f>
        <v>#N/A</v>
      </c>
    </row>
    <row r="608">
      <c r="A608" s="30" t="str">
        <f>Facebook_reach_raw!$A610</f>
        <v/>
      </c>
      <c r="B608" s="29" t="str">
        <f>Facebook_interactions_raw!$A610</f>
        <v/>
      </c>
      <c r="C608" s="26" t="str">
        <f t="shared" si="1"/>
        <v/>
      </c>
      <c r="D608" s="26" t="str">
        <f t="array" ref="D608">XLOOKUP($A608,Facebook_follows_raw!$A$4:$A1000,Facebook_follows_raw!$B$4:$B1000)</f>
        <v>#N/A</v>
      </c>
      <c r="E608" s="26" t="str">
        <f t="array" ref="E608">XLOOKUP($A608,Facebook_interactions_raw!$A$4:$A1000,Facebook_interactions_raw!$B$4:$B1000)</f>
        <v>#N/A</v>
      </c>
      <c r="F608" s="26" t="str">
        <f t="array" ref="F608">XLOOKUP($A608,Facebook_reach_raw!$A$4:$A1000,Facebook_reach_raw!$B$4:$B1000)</f>
        <v>#N/A</v>
      </c>
    </row>
    <row r="609">
      <c r="A609" s="30" t="str">
        <f>Facebook_reach_raw!$A611</f>
        <v/>
      </c>
      <c r="B609" s="29" t="str">
        <f>Facebook_interactions_raw!$A611</f>
        <v/>
      </c>
      <c r="C609" s="26" t="str">
        <f t="shared" si="1"/>
        <v/>
      </c>
      <c r="D609" s="26" t="str">
        <f t="array" ref="D609">XLOOKUP($A609,Facebook_follows_raw!$A$4:$A1000,Facebook_follows_raw!$B$4:$B1000)</f>
        <v>#N/A</v>
      </c>
      <c r="E609" s="26" t="str">
        <f t="array" ref="E609">XLOOKUP($A609,Facebook_interactions_raw!$A$4:$A1000,Facebook_interactions_raw!$B$4:$B1000)</f>
        <v>#N/A</v>
      </c>
      <c r="F609" s="26" t="str">
        <f t="array" ref="F609">XLOOKUP($A609,Facebook_reach_raw!$A$4:$A1000,Facebook_reach_raw!$B$4:$B1000)</f>
        <v>#N/A</v>
      </c>
    </row>
    <row r="610">
      <c r="A610" s="30" t="str">
        <f>Facebook_reach_raw!$A612</f>
        <v/>
      </c>
      <c r="B610" s="29" t="str">
        <f>Facebook_interactions_raw!$A612</f>
        <v/>
      </c>
      <c r="C610" s="26" t="str">
        <f t="shared" si="1"/>
        <v/>
      </c>
      <c r="D610" s="26" t="str">
        <f t="array" ref="D610">XLOOKUP($A610,Facebook_follows_raw!$A$4:$A1000,Facebook_follows_raw!$B$4:$B1000)</f>
        <v>#N/A</v>
      </c>
      <c r="E610" s="26" t="str">
        <f t="array" ref="E610">XLOOKUP($A610,Facebook_interactions_raw!$A$4:$A1000,Facebook_interactions_raw!$B$4:$B1000)</f>
        <v>#N/A</v>
      </c>
      <c r="F610" s="26" t="str">
        <f t="array" ref="F610">XLOOKUP($A610,Facebook_reach_raw!$A$4:$A1000,Facebook_reach_raw!$B$4:$B1000)</f>
        <v>#N/A</v>
      </c>
    </row>
    <row r="611">
      <c r="A611" s="30" t="str">
        <f>Facebook_reach_raw!$A613</f>
        <v/>
      </c>
      <c r="B611" s="29" t="str">
        <f>Facebook_interactions_raw!$A613</f>
        <v/>
      </c>
      <c r="C611" s="26" t="str">
        <f t="shared" si="1"/>
        <v/>
      </c>
      <c r="D611" s="26" t="str">
        <f t="array" ref="D611">XLOOKUP($A611,Facebook_follows_raw!$A$4:$A1000,Facebook_follows_raw!$B$4:$B1000)</f>
        <v>#N/A</v>
      </c>
      <c r="E611" s="26" t="str">
        <f t="array" ref="E611">XLOOKUP($A611,Facebook_interactions_raw!$A$4:$A1000,Facebook_interactions_raw!$B$4:$B1000)</f>
        <v>#N/A</v>
      </c>
      <c r="F611" s="26" t="str">
        <f t="array" ref="F611">XLOOKUP($A611,Facebook_reach_raw!$A$4:$A1000,Facebook_reach_raw!$B$4:$B1000)</f>
        <v>#N/A</v>
      </c>
    </row>
    <row r="612">
      <c r="A612" s="30" t="str">
        <f>Facebook_reach_raw!$A614</f>
        <v/>
      </c>
      <c r="B612" s="29" t="str">
        <f>Facebook_interactions_raw!$A614</f>
        <v/>
      </c>
      <c r="C612" s="26" t="str">
        <f t="shared" si="1"/>
        <v/>
      </c>
      <c r="D612" s="26" t="str">
        <f t="array" ref="D612">XLOOKUP($A612,Facebook_follows_raw!$A$4:$A1000,Facebook_follows_raw!$B$4:$B1000)</f>
        <v>#N/A</v>
      </c>
      <c r="E612" s="26" t="str">
        <f t="array" ref="E612">XLOOKUP($A612,Facebook_interactions_raw!$A$4:$A1000,Facebook_interactions_raw!$B$4:$B1000)</f>
        <v>#N/A</v>
      </c>
      <c r="F612" s="26" t="str">
        <f t="array" ref="F612">XLOOKUP($A612,Facebook_reach_raw!$A$4:$A1000,Facebook_reach_raw!$B$4:$B1000)</f>
        <v>#N/A</v>
      </c>
    </row>
    <row r="613">
      <c r="A613" s="30" t="str">
        <f>Facebook_reach_raw!$A615</f>
        <v/>
      </c>
      <c r="B613" s="29" t="str">
        <f>Facebook_interactions_raw!$A615</f>
        <v/>
      </c>
      <c r="C613" s="26" t="str">
        <f t="shared" si="1"/>
        <v/>
      </c>
      <c r="D613" s="26" t="str">
        <f t="array" ref="D613">XLOOKUP($A613,Facebook_follows_raw!$A$4:$A1000,Facebook_follows_raw!$B$4:$B1000)</f>
        <v>#N/A</v>
      </c>
      <c r="E613" s="26" t="str">
        <f t="array" ref="E613">XLOOKUP($A613,Facebook_interactions_raw!$A$4:$A1000,Facebook_interactions_raw!$B$4:$B1000)</f>
        <v>#N/A</v>
      </c>
      <c r="F613" s="26" t="str">
        <f t="array" ref="F613">XLOOKUP($A613,Facebook_reach_raw!$A$4:$A1000,Facebook_reach_raw!$B$4:$B1000)</f>
        <v>#N/A</v>
      </c>
    </row>
    <row r="614">
      <c r="A614" s="30" t="str">
        <f>Facebook_reach_raw!$A616</f>
        <v/>
      </c>
      <c r="B614" s="29" t="str">
        <f>Facebook_interactions_raw!$A616</f>
        <v/>
      </c>
      <c r="C614" s="26" t="str">
        <f t="shared" si="1"/>
        <v/>
      </c>
      <c r="D614" s="26" t="str">
        <f t="array" ref="D614">XLOOKUP($A614,Facebook_follows_raw!$A$4:$A1000,Facebook_follows_raw!$B$4:$B1000)</f>
        <v>#N/A</v>
      </c>
      <c r="E614" s="26" t="str">
        <f t="array" ref="E614">XLOOKUP($A614,Facebook_interactions_raw!$A$4:$A1000,Facebook_interactions_raw!$B$4:$B1000)</f>
        <v>#N/A</v>
      </c>
      <c r="F614" s="26" t="str">
        <f t="array" ref="F614">XLOOKUP($A614,Facebook_reach_raw!$A$4:$A1000,Facebook_reach_raw!$B$4:$B1000)</f>
        <v>#N/A</v>
      </c>
    </row>
    <row r="615">
      <c r="A615" s="30" t="str">
        <f>Facebook_reach_raw!$A617</f>
        <v/>
      </c>
      <c r="B615" s="29" t="str">
        <f>Facebook_interactions_raw!$A617</f>
        <v/>
      </c>
      <c r="C615" s="26" t="str">
        <f t="shared" si="1"/>
        <v/>
      </c>
      <c r="D615" s="26" t="str">
        <f t="array" ref="D615">XLOOKUP($A615,Facebook_follows_raw!$A$4:$A1000,Facebook_follows_raw!$B$4:$B1000)</f>
        <v>#N/A</v>
      </c>
      <c r="E615" s="26" t="str">
        <f t="array" ref="E615">XLOOKUP($A615,Facebook_interactions_raw!$A$4:$A1000,Facebook_interactions_raw!$B$4:$B1000)</f>
        <v>#N/A</v>
      </c>
      <c r="F615" s="26" t="str">
        <f t="array" ref="F615">XLOOKUP($A615,Facebook_reach_raw!$A$4:$A1000,Facebook_reach_raw!$B$4:$B1000)</f>
        <v>#N/A</v>
      </c>
    </row>
    <row r="616">
      <c r="A616" s="30" t="str">
        <f>Facebook_reach_raw!$A618</f>
        <v/>
      </c>
      <c r="B616" s="29" t="str">
        <f>Facebook_interactions_raw!$A618</f>
        <v/>
      </c>
      <c r="C616" s="26" t="str">
        <f t="shared" si="1"/>
        <v/>
      </c>
      <c r="D616" s="26" t="str">
        <f t="array" ref="D616">XLOOKUP($A616,Facebook_follows_raw!$A$4:$A1000,Facebook_follows_raw!$B$4:$B1000)</f>
        <v>#N/A</v>
      </c>
      <c r="E616" s="26" t="str">
        <f t="array" ref="E616">XLOOKUP($A616,Facebook_interactions_raw!$A$4:$A1000,Facebook_interactions_raw!$B$4:$B1000)</f>
        <v>#N/A</v>
      </c>
      <c r="F616" s="26" t="str">
        <f t="array" ref="F616">XLOOKUP($A616,Facebook_reach_raw!$A$4:$A1000,Facebook_reach_raw!$B$4:$B1000)</f>
        <v>#N/A</v>
      </c>
    </row>
    <row r="617">
      <c r="A617" s="30" t="str">
        <f>Facebook_reach_raw!$A619</f>
        <v/>
      </c>
      <c r="B617" s="29" t="str">
        <f>Facebook_interactions_raw!$A619</f>
        <v/>
      </c>
      <c r="C617" s="26" t="str">
        <f t="shared" si="1"/>
        <v/>
      </c>
      <c r="D617" s="26" t="str">
        <f t="array" ref="D617">XLOOKUP($A617,Facebook_follows_raw!$A$4:$A1000,Facebook_follows_raw!$B$4:$B1000)</f>
        <v>#N/A</v>
      </c>
      <c r="E617" s="26" t="str">
        <f t="array" ref="E617">XLOOKUP($A617,Facebook_interactions_raw!$A$4:$A1000,Facebook_interactions_raw!$B$4:$B1000)</f>
        <v>#N/A</v>
      </c>
      <c r="F617" s="26" t="str">
        <f t="array" ref="F617">XLOOKUP($A617,Facebook_reach_raw!$A$4:$A1000,Facebook_reach_raw!$B$4:$B1000)</f>
        <v>#N/A</v>
      </c>
    </row>
    <row r="618">
      <c r="A618" s="30" t="str">
        <f>Facebook_reach_raw!$A620</f>
        <v/>
      </c>
      <c r="B618" s="29" t="str">
        <f>Facebook_interactions_raw!$A620</f>
        <v/>
      </c>
      <c r="C618" s="26" t="str">
        <f t="shared" si="1"/>
        <v/>
      </c>
      <c r="D618" s="26" t="str">
        <f t="array" ref="D618">XLOOKUP($A618,Facebook_follows_raw!$A$4:$A1000,Facebook_follows_raw!$B$4:$B1000)</f>
        <v>#N/A</v>
      </c>
      <c r="E618" s="26" t="str">
        <f t="array" ref="E618">XLOOKUP($A618,Facebook_interactions_raw!$A$4:$A1000,Facebook_interactions_raw!$B$4:$B1000)</f>
        <v>#N/A</v>
      </c>
      <c r="F618" s="26" t="str">
        <f t="array" ref="F618">XLOOKUP($A618,Facebook_reach_raw!$A$4:$A1000,Facebook_reach_raw!$B$4:$B1000)</f>
        <v>#N/A</v>
      </c>
    </row>
    <row r="619">
      <c r="A619" s="30" t="str">
        <f>Facebook_reach_raw!$A621</f>
        <v/>
      </c>
      <c r="B619" s="29" t="str">
        <f>Facebook_interactions_raw!$A621</f>
        <v/>
      </c>
      <c r="C619" s="26" t="str">
        <f t="shared" si="1"/>
        <v/>
      </c>
      <c r="D619" s="26" t="str">
        <f t="array" ref="D619">XLOOKUP($A619,Facebook_follows_raw!$A$4:$A1000,Facebook_follows_raw!$B$4:$B1000)</f>
        <v>#N/A</v>
      </c>
      <c r="E619" s="26" t="str">
        <f t="array" ref="E619">XLOOKUP($A619,Facebook_interactions_raw!$A$4:$A1000,Facebook_interactions_raw!$B$4:$B1000)</f>
        <v>#N/A</v>
      </c>
      <c r="F619" s="26" t="str">
        <f t="array" ref="F619">XLOOKUP($A619,Facebook_reach_raw!$A$4:$A1000,Facebook_reach_raw!$B$4:$B1000)</f>
        <v>#N/A</v>
      </c>
    </row>
    <row r="620">
      <c r="A620" s="30" t="str">
        <f>Facebook_reach_raw!$A622</f>
        <v/>
      </c>
      <c r="B620" s="29" t="str">
        <f>Facebook_interactions_raw!$A622</f>
        <v/>
      </c>
      <c r="C620" s="26" t="str">
        <f t="shared" si="1"/>
        <v/>
      </c>
      <c r="D620" s="26" t="str">
        <f t="array" ref="D620">XLOOKUP($A620,Facebook_follows_raw!$A$4:$A1000,Facebook_follows_raw!$B$4:$B1000)</f>
        <v>#N/A</v>
      </c>
      <c r="E620" s="26" t="str">
        <f t="array" ref="E620">XLOOKUP($A620,Facebook_interactions_raw!$A$4:$A1000,Facebook_interactions_raw!$B$4:$B1000)</f>
        <v>#N/A</v>
      </c>
      <c r="F620" s="26" t="str">
        <f t="array" ref="F620">XLOOKUP($A620,Facebook_reach_raw!$A$4:$A1000,Facebook_reach_raw!$B$4:$B1000)</f>
        <v>#N/A</v>
      </c>
    </row>
    <row r="621">
      <c r="A621" s="30" t="str">
        <f>Facebook_reach_raw!$A623</f>
        <v/>
      </c>
      <c r="B621" s="29" t="str">
        <f>Facebook_interactions_raw!$A623</f>
        <v/>
      </c>
      <c r="C621" s="26" t="str">
        <f t="shared" si="1"/>
        <v/>
      </c>
      <c r="D621" s="26" t="str">
        <f t="array" ref="D621">XLOOKUP($A621,Facebook_follows_raw!$A$4:$A1000,Facebook_follows_raw!$B$4:$B1000)</f>
        <v>#N/A</v>
      </c>
      <c r="E621" s="26" t="str">
        <f t="array" ref="E621">XLOOKUP($A621,Facebook_interactions_raw!$A$4:$A1000,Facebook_interactions_raw!$B$4:$B1000)</f>
        <v>#N/A</v>
      </c>
      <c r="F621" s="26" t="str">
        <f t="array" ref="F621">XLOOKUP($A621,Facebook_reach_raw!$A$4:$A1000,Facebook_reach_raw!$B$4:$B1000)</f>
        <v>#N/A</v>
      </c>
    </row>
    <row r="622">
      <c r="A622" s="30" t="str">
        <f>Facebook_reach_raw!$A624</f>
        <v/>
      </c>
      <c r="B622" s="29" t="str">
        <f>Facebook_interactions_raw!$A624</f>
        <v/>
      </c>
      <c r="C622" s="26" t="str">
        <f t="shared" si="1"/>
        <v/>
      </c>
      <c r="D622" s="26" t="str">
        <f t="array" ref="D622">XLOOKUP($A622,Facebook_follows_raw!$A$4:$A1000,Facebook_follows_raw!$B$4:$B1000)</f>
        <v>#N/A</v>
      </c>
      <c r="E622" s="26" t="str">
        <f t="array" ref="E622">XLOOKUP($A622,Facebook_interactions_raw!$A$4:$A1000,Facebook_interactions_raw!$B$4:$B1000)</f>
        <v>#N/A</v>
      </c>
      <c r="F622" s="26" t="str">
        <f t="array" ref="F622">XLOOKUP($A622,Facebook_reach_raw!$A$4:$A1000,Facebook_reach_raw!$B$4:$B1000)</f>
        <v>#N/A</v>
      </c>
    </row>
    <row r="623">
      <c r="A623" s="30" t="str">
        <f>Facebook_reach_raw!$A625</f>
        <v/>
      </c>
      <c r="B623" s="29" t="str">
        <f>Facebook_interactions_raw!$A625</f>
        <v/>
      </c>
      <c r="C623" s="26" t="str">
        <f t="shared" si="1"/>
        <v/>
      </c>
      <c r="D623" s="26" t="str">
        <f t="array" ref="D623">XLOOKUP($A623,Facebook_follows_raw!$A$4:$A1000,Facebook_follows_raw!$B$4:$B1000)</f>
        <v>#N/A</v>
      </c>
      <c r="E623" s="26" t="str">
        <f t="array" ref="E623">XLOOKUP($A623,Facebook_interactions_raw!$A$4:$A1000,Facebook_interactions_raw!$B$4:$B1000)</f>
        <v>#N/A</v>
      </c>
      <c r="F623" s="26" t="str">
        <f t="array" ref="F623">XLOOKUP($A623,Facebook_reach_raw!$A$4:$A1000,Facebook_reach_raw!$B$4:$B1000)</f>
        <v>#N/A</v>
      </c>
    </row>
    <row r="624">
      <c r="A624" s="30" t="str">
        <f>Facebook_reach_raw!$A626</f>
        <v/>
      </c>
      <c r="B624" s="29" t="str">
        <f>Facebook_interactions_raw!$A626</f>
        <v/>
      </c>
      <c r="C624" s="26" t="str">
        <f t="shared" si="1"/>
        <v/>
      </c>
      <c r="D624" s="26" t="str">
        <f t="array" ref="D624">XLOOKUP($A624,Facebook_follows_raw!$A$4:$A1000,Facebook_follows_raw!$B$4:$B1000)</f>
        <v>#N/A</v>
      </c>
      <c r="E624" s="26" t="str">
        <f t="array" ref="E624">XLOOKUP($A624,Facebook_interactions_raw!$A$4:$A1000,Facebook_interactions_raw!$B$4:$B1000)</f>
        <v>#N/A</v>
      </c>
      <c r="F624" s="26" t="str">
        <f t="array" ref="F624">XLOOKUP($A624,Facebook_reach_raw!$A$4:$A1000,Facebook_reach_raw!$B$4:$B1000)</f>
        <v>#N/A</v>
      </c>
    </row>
    <row r="625">
      <c r="A625" s="30" t="str">
        <f>Facebook_reach_raw!$A627</f>
        <v/>
      </c>
      <c r="B625" s="29" t="str">
        <f>Facebook_interactions_raw!$A627</f>
        <v/>
      </c>
      <c r="C625" s="26" t="str">
        <f t="shared" si="1"/>
        <v/>
      </c>
      <c r="D625" s="26" t="str">
        <f t="array" ref="D625">XLOOKUP($A625,Facebook_follows_raw!$A$4:$A1000,Facebook_follows_raw!$B$4:$B1000)</f>
        <v>#N/A</v>
      </c>
      <c r="E625" s="26" t="str">
        <f t="array" ref="E625">XLOOKUP($A625,Facebook_interactions_raw!$A$4:$A1000,Facebook_interactions_raw!$B$4:$B1000)</f>
        <v>#N/A</v>
      </c>
      <c r="F625" s="26" t="str">
        <f t="array" ref="F625">XLOOKUP($A625,Facebook_reach_raw!$A$4:$A1000,Facebook_reach_raw!$B$4:$B1000)</f>
        <v>#N/A</v>
      </c>
    </row>
    <row r="626">
      <c r="A626" s="30" t="str">
        <f>Facebook_reach_raw!$A628</f>
        <v/>
      </c>
      <c r="B626" s="29" t="str">
        <f>Facebook_interactions_raw!$A628</f>
        <v/>
      </c>
      <c r="C626" s="26" t="str">
        <f t="shared" si="1"/>
        <v/>
      </c>
      <c r="D626" s="26" t="str">
        <f t="array" ref="D626">XLOOKUP($A626,Facebook_follows_raw!$A$4:$A1000,Facebook_follows_raw!$B$4:$B1000)</f>
        <v>#N/A</v>
      </c>
      <c r="E626" s="26" t="str">
        <f t="array" ref="E626">XLOOKUP($A626,Facebook_interactions_raw!$A$4:$A1000,Facebook_interactions_raw!$B$4:$B1000)</f>
        <v>#N/A</v>
      </c>
      <c r="F626" s="26" t="str">
        <f t="array" ref="F626">XLOOKUP($A626,Facebook_reach_raw!$A$4:$A1000,Facebook_reach_raw!$B$4:$B1000)</f>
        <v>#N/A</v>
      </c>
    </row>
    <row r="627">
      <c r="A627" s="30" t="str">
        <f>Facebook_reach_raw!$A629</f>
        <v/>
      </c>
      <c r="B627" s="29" t="str">
        <f>Facebook_interactions_raw!$A629</f>
        <v/>
      </c>
      <c r="C627" s="26" t="str">
        <f t="shared" si="1"/>
        <v/>
      </c>
      <c r="D627" s="26" t="str">
        <f t="array" ref="D627">XLOOKUP($A627,Facebook_follows_raw!$A$4:$A1000,Facebook_follows_raw!$B$4:$B1000)</f>
        <v>#N/A</v>
      </c>
      <c r="E627" s="26" t="str">
        <f t="array" ref="E627">XLOOKUP($A627,Facebook_interactions_raw!$A$4:$A1000,Facebook_interactions_raw!$B$4:$B1000)</f>
        <v>#N/A</v>
      </c>
      <c r="F627" s="26" t="str">
        <f t="array" ref="F627">XLOOKUP($A627,Facebook_reach_raw!$A$4:$A1000,Facebook_reach_raw!$B$4:$B1000)</f>
        <v>#N/A</v>
      </c>
    </row>
    <row r="628">
      <c r="A628" s="30" t="str">
        <f>Facebook_reach_raw!$A630</f>
        <v/>
      </c>
      <c r="B628" s="29" t="str">
        <f>Facebook_interactions_raw!$A630</f>
        <v/>
      </c>
      <c r="C628" s="26" t="str">
        <f t="shared" si="1"/>
        <v/>
      </c>
      <c r="D628" s="26" t="str">
        <f t="array" ref="D628">XLOOKUP($A628,Facebook_follows_raw!$A$4:$A1000,Facebook_follows_raw!$B$4:$B1000)</f>
        <v>#N/A</v>
      </c>
      <c r="E628" s="26" t="str">
        <f t="array" ref="E628">XLOOKUP($A628,Facebook_interactions_raw!$A$4:$A1000,Facebook_interactions_raw!$B$4:$B1000)</f>
        <v>#N/A</v>
      </c>
      <c r="F628" s="26" t="str">
        <f t="array" ref="F628">XLOOKUP($A628,Facebook_reach_raw!$A$4:$A1000,Facebook_reach_raw!$B$4:$B1000)</f>
        <v>#N/A</v>
      </c>
    </row>
    <row r="629">
      <c r="A629" s="30" t="str">
        <f>Facebook_reach_raw!$A631</f>
        <v/>
      </c>
      <c r="B629" s="29" t="str">
        <f>Facebook_interactions_raw!$A631</f>
        <v/>
      </c>
      <c r="C629" s="26" t="str">
        <f t="shared" si="1"/>
        <v/>
      </c>
      <c r="D629" s="26" t="str">
        <f t="array" ref="D629">XLOOKUP($A629,Facebook_follows_raw!$A$4:$A1000,Facebook_follows_raw!$B$4:$B1000)</f>
        <v>#N/A</v>
      </c>
      <c r="E629" s="26" t="str">
        <f t="array" ref="E629">XLOOKUP($A629,Facebook_interactions_raw!$A$4:$A1000,Facebook_interactions_raw!$B$4:$B1000)</f>
        <v>#N/A</v>
      </c>
      <c r="F629" s="26" t="str">
        <f t="array" ref="F629">XLOOKUP($A629,Facebook_reach_raw!$A$4:$A1000,Facebook_reach_raw!$B$4:$B1000)</f>
        <v>#N/A</v>
      </c>
    </row>
    <row r="630">
      <c r="A630" s="30" t="str">
        <f>Facebook_reach_raw!$A632</f>
        <v/>
      </c>
      <c r="B630" s="29" t="str">
        <f>Facebook_interactions_raw!$A632</f>
        <v/>
      </c>
      <c r="C630" s="26" t="str">
        <f t="shared" si="1"/>
        <v/>
      </c>
      <c r="D630" s="26" t="str">
        <f t="array" ref="D630">XLOOKUP($A630,Facebook_follows_raw!$A$4:$A1000,Facebook_follows_raw!$B$4:$B1000)</f>
        <v>#N/A</v>
      </c>
      <c r="E630" s="26" t="str">
        <f t="array" ref="E630">XLOOKUP($A630,Facebook_interactions_raw!$A$4:$A1000,Facebook_interactions_raw!$B$4:$B1000)</f>
        <v>#N/A</v>
      </c>
      <c r="F630" s="26" t="str">
        <f t="array" ref="F630">XLOOKUP($A630,Facebook_reach_raw!$A$4:$A1000,Facebook_reach_raw!$B$4:$B1000)</f>
        <v>#N/A</v>
      </c>
    </row>
    <row r="631">
      <c r="A631" s="30" t="str">
        <f>Facebook_reach_raw!$A633</f>
        <v/>
      </c>
      <c r="B631" s="29" t="str">
        <f>Facebook_interactions_raw!$A633</f>
        <v/>
      </c>
      <c r="C631" s="26" t="str">
        <f t="shared" si="1"/>
        <v/>
      </c>
      <c r="D631" s="26" t="str">
        <f t="array" ref="D631">XLOOKUP($A631,Facebook_follows_raw!$A$4:$A1000,Facebook_follows_raw!$B$4:$B1000)</f>
        <v>#N/A</v>
      </c>
      <c r="E631" s="26" t="str">
        <f t="array" ref="E631">XLOOKUP($A631,Facebook_interactions_raw!$A$4:$A1000,Facebook_interactions_raw!$B$4:$B1000)</f>
        <v>#N/A</v>
      </c>
      <c r="F631" s="26" t="str">
        <f t="array" ref="F631">XLOOKUP($A631,Facebook_reach_raw!$A$4:$A1000,Facebook_reach_raw!$B$4:$B1000)</f>
        <v>#N/A</v>
      </c>
    </row>
    <row r="632">
      <c r="A632" s="30" t="str">
        <f>Facebook_reach_raw!$A634</f>
        <v/>
      </c>
      <c r="B632" s="29" t="str">
        <f>Facebook_interactions_raw!$A634</f>
        <v/>
      </c>
      <c r="C632" s="26" t="str">
        <f t="shared" si="1"/>
        <v/>
      </c>
      <c r="D632" s="26" t="str">
        <f t="array" ref="D632">XLOOKUP($A632,Facebook_follows_raw!$A$4:$A1000,Facebook_follows_raw!$B$4:$B1000)</f>
        <v>#N/A</v>
      </c>
      <c r="E632" s="26" t="str">
        <f t="array" ref="E632">XLOOKUP($A632,Facebook_interactions_raw!$A$4:$A1000,Facebook_interactions_raw!$B$4:$B1000)</f>
        <v>#N/A</v>
      </c>
      <c r="F632" s="26" t="str">
        <f t="array" ref="F632">XLOOKUP($A632,Facebook_reach_raw!$A$4:$A1000,Facebook_reach_raw!$B$4:$B1000)</f>
        <v>#N/A</v>
      </c>
    </row>
    <row r="633">
      <c r="A633" s="30" t="str">
        <f>Facebook_reach_raw!$A635</f>
        <v/>
      </c>
      <c r="B633" s="29" t="str">
        <f>Facebook_interactions_raw!$A635</f>
        <v/>
      </c>
      <c r="C633" s="26" t="str">
        <f t="shared" si="1"/>
        <v/>
      </c>
      <c r="D633" s="26" t="str">
        <f t="array" ref="D633">XLOOKUP($A633,Facebook_follows_raw!$A$4:$A1000,Facebook_follows_raw!$B$4:$B1000)</f>
        <v>#N/A</v>
      </c>
      <c r="E633" s="26" t="str">
        <f t="array" ref="E633">XLOOKUP($A633,Facebook_interactions_raw!$A$4:$A1000,Facebook_interactions_raw!$B$4:$B1000)</f>
        <v>#N/A</v>
      </c>
      <c r="F633" s="26" t="str">
        <f t="array" ref="F633">XLOOKUP($A633,Facebook_reach_raw!$A$4:$A1000,Facebook_reach_raw!$B$4:$B1000)</f>
        <v>#N/A</v>
      </c>
    </row>
    <row r="634">
      <c r="A634" s="30" t="str">
        <f>Facebook_reach_raw!$A636</f>
        <v/>
      </c>
      <c r="B634" s="29" t="str">
        <f>Facebook_interactions_raw!$A636</f>
        <v/>
      </c>
      <c r="C634" s="26" t="str">
        <f t="shared" si="1"/>
        <v/>
      </c>
      <c r="D634" s="26" t="str">
        <f t="array" ref="D634">XLOOKUP($A634,Facebook_follows_raw!$A$4:$A1000,Facebook_follows_raw!$B$4:$B1000)</f>
        <v>#N/A</v>
      </c>
      <c r="E634" s="26" t="str">
        <f t="array" ref="E634">XLOOKUP($A634,Facebook_interactions_raw!$A$4:$A1000,Facebook_interactions_raw!$B$4:$B1000)</f>
        <v>#N/A</v>
      </c>
      <c r="F634" s="26" t="str">
        <f t="array" ref="F634">XLOOKUP($A634,Facebook_reach_raw!$A$4:$A1000,Facebook_reach_raw!$B$4:$B1000)</f>
        <v>#N/A</v>
      </c>
    </row>
    <row r="635">
      <c r="A635" s="30" t="str">
        <f>Facebook_reach_raw!$A637</f>
        <v/>
      </c>
      <c r="B635" s="29" t="str">
        <f>Facebook_interactions_raw!$A637</f>
        <v/>
      </c>
      <c r="C635" s="26" t="str">
        <f t="shared" si="1"/>
        <v/>
      </c>
      <c r="D635" s="26" t="str">
        <f t="array" ref="D635">XLOOKUP($A635,Facebook_follows_raw!$A$4:$A1000,Facebook_follows_raw!$B$4:$B1000)</f>
        <v>#N/A</v>
      </c>
      <c r="E635" s="26" t="str">
        <f t="array" ref="E635">XLOOKUP($A635,Facebook_interactions_raw!$A$4:$A1000,Facebook_interactions_raw!$B$4:$B1000)</f>
        <v>#N/A</v>
      </c>
      <c r="F635" s="26" t="str">
        <f t="array" ref="F635">XLOOKUP($A635,Facebook_reach_raw!$A$4:$A1000,Facebook_reach_raw!$B$4:$B1000)</f>
        <v>#N/A</v>
      </c>
    </row>
    <row r="636">
      <c r="A636" s="30" t="str">
        <f>Facebook_reach_raw!$A638</f>
        <v/>
      </c>
      <c r="B636" s="29" t="str">
        <f>Facebook_interactions_raw!$A638</f>
        <v/>
      </c>
      <c r="C636" s="26" t="str">
        <f t="shared" si="1"/>
        <v/>
      </c>
      <c r="D636" s="26" t="str">
        <f t="array" ref="D636">XLOOKUP($A636,Facebook_follows_raw!$A$4:$A1000,Facebook_follows_raw!$B$4:$B1000)</f>
        <v>#N/A</v>
      </c>
      <c r="E636" s="26" t="str">
        <f t="array" ref="E636">XLOOKUP($A636,Facebook_interactions_raw!$A$4:$A1000,Facebook_interactions_raw!$B$4:$B1000)</f>
        <v>#N/A</v>
      </c>
      <c r="F636" s="26" t="str">
        <f t="array" ref="F636">XLOOKUP($A636,Facebook_reach_raw!$A$4:$A1000,Facebook_reach_raw!$B$4:$B1000)</f>
        <v>#N/A</v>
      </c>
    </row>
    <row r="637">
      <c r="A637" s="30" t="str">
        <f>Facebook_reach_raw!$A639</f>
        <v/>
      </c>
      <c r="B637" s="29" t="str">
        <f>Facebook_interactions_raw!$A639</f>
        <v/>
      </c>
      <c r="C637" s="26" t="str">
        <f t="shared" si="1"/>
        <v/>
      </c>
      <c r="D637" s="26" t="str">
        <f t="array" ref="D637">XLOOKUP($A637,Facebook_follows_raw!$A$4:$A1000,Facebook_follows_raw!$B$4:$B1000)</f>
        <v>#N/A</v>
      </c>
      <c r="E637" s="26" t="str">
        <f t="array" ref="E637">XLOOKUP($A637,Facebook_interactions_raw!$A$4:$A1000,Facebook_interactions_raw!$B$4:$B1000)</f>
        <v>#N/A</v>
      </c>
      <c r="F637" s="26" t="str">
        <f t="array" ref="F637">XLOOKUP($A637,Facebook_reach_raw!$A$4:$A1000,Facebook_reach_raw!$B$4:$B1000)</f>
        <v>#N/A</v>
      </c>
    </row>
    <row r="638">
      <c r="A638" s="30" t="str">
        <f>Facebook_reach_raw!$A640</f>
        <v/>
      </c>
      <c r="B638" s="29" t="str">
        <f>Facebook_interactions_raw!$A640</f>
        <v/>
      </c>
      <c r="C638" s="26" t="str">
        <f t="shared" si="1"/>
        <v/>
      </c>
      <c r="D638" s="26" t="str">
        <f t="array" ref="D638">XLOOKUP($A638,Facebook_follows_raw!$A$4:$A1000,Facebook_follows_raw!$B$4:$B1000)</f>
        <v>#N/A</v>
      </c>
      <c r="E638" s="26" t="str">
        <f t="array" ref="E638">XLOOKUP($A638,Facebook_interactions_raw!$A$4:$A1000,Facebook_interactions_raw!$B$4:$B1000)</f>
        <v>#N/A</v>
      </c>
      <c r="F638" s="26" t="str">
        <f t="array" ref="F638">XLOOKUP($A638,Facebook_reach_raw!$A$4:$A1000,Facebook_reach_raw!$B$4:$B1000)</f>
        <v>#N/A</v>
      </c>
    </row>
    <row r="639">
      <c r="A639" s="30" t="str">
        <f>Facebook_reach_raw!$A641</f>
        <v/>
      </c>
      <c r="B639" s="29" t="str">
        <f>Facebook_interactions_raw!$A641</f>
        <v/>
      </c>
      <c r="C639" s="26" t="str">
        <f t="shared" si="1"/>
        <v/>
      </c>
      <c r="D639" s="26" t="str">
        <f t="array" ref="D639">XLOOKUP($A639,Facebook_follows_raw!$A$4:$A1000,Facebook_follows_raw!$B$4:$B1000)</f>
        <v>#N/A</v>
      </c>
      <c r="E639" s="26" t="str">
        <f t="array" ref="E639">XLOOKUP($A639,Facebook_interactions_raw!$A$4:$A1000,Facebook_interactions_raw!$B$4:$B1000)</f>
        <v>#N/A</v>
      </c>
      <c r="F639" s="26" t="str">
        <f t="array" ref="F639">XLOOKUP($A639,Facebook_reach_raw!$A$4:$A1000,Facebook_reach_raw!$B$4:$B1000)</f>
        <v>#N/A</v>
      </c>
    </row>
    <row r="640">
      <c r="A640" s="30" t="str">
        <f>Facebook_reach_raw!$A642</f>
        <v/>
      </c>
      <c r="B640" s="29" t="str">
        <f>Facebook_interactions_raw!$A642</f>
        <v/>
      </c>
      <c r="C640" s="26" t="str">
        <f t="shared" si="1"/>
        <v/>
      </c>
      <c r="D640" s="26" t="str">
        <f t="array" ref="D640">XLOOKUP($A640,Facebook_follows_raw!$A$4:$A1000,Facebook_follows_raw!$B$4:$B1000)</f>
        <v>#N/A</v>
      </c>
      <c r="E640" s="26" t="str">
        <f t="array" ref="E640">XLOOKUP($A640,Facebook_interactions_raw!$A$4:$A1000,Facebook_interactions_raw!$B$4:$B1000)</f>
        <v>#N/A</v>
      </c>
      <c r="F640" s="26" t="str">
        <f t="array" ref="F640">XLOOKUP($A640,Facebook_reach_raw!$A$4:$A1000,Facebook_reach_raw!$B$4:$B1000)</f>
        <v>#N/A</v>
      </c>
    </row>
    <row r="641">
      <c r="A641" s="30" t="str">
        <f>Facebook_reach_raw!$A643</f>
        <v/>
      </c>
      <c r="B641" s="29" t="str">
        <f>Facebook_interactions_raw!$A643</f>
        <v/>
      </c>
      <c r="C641" s="26" t="str">
        <f t="shared" si="1"/>
        <v/>
      </c>
      <c r="D641" s="26" t="str">
        <f t="array" ref="D641">XLOOKUP($A641,Facebook_follows_raw!$A$4:$A1000,Facebook_follows_raw!$B$4:$B1000)</f>
        <v>#N/A</v>
      </c>
      <c r="E641" s="26" t="str">
        <f t="array" ref="E641">XLOOKUP($A641,Facebook_interactions_raw!$A$4:$A1000,Facebook_interactions_raw!$B$4:$B1000)</f>
        <v>#N/A</v>
      </c>
      <c r="F641" s="26" t="str">
        <f t="array" ref="F641">XLOOKUP($A641,Facebook_reach_raw!$A$4:$A1000,Facebook_reach_raw!$B$4:$B1000)</f>
        <v>#N/A</v>
      </c>
    </row>
    <row r="642">
      <c r="A642" s="30" t="str">
        <f>Facebook_reach_raw!$A644</f>
        <v/>
      </c>
      <c r="B642" s="29" t="str">
        <f>Facebook_interactions_raw!$A644</f>
        <v/>
      </c>
      <c r="C642" s="26" t="str">
        <f t="shared" si="1"/>
        <v/>
      </c>
      <c r="D642" s="26" t="str">
        <f t="array" ref="D642">XLOOKUP($A642,Facebook_follows_raw!$A$4:$A1000,Facebook_follows_raw!$B$4:$B1000)</f>
        <v>#N/A</v>
      </c>
      <c r="E642" s="26" t="str">
        <f t="array" ref="E642">XLOOKUP($A642,Facebook_interactions_raw!$A$4:$A1000,Facebook_interactions_raw!$B$4:$B1000)</f>
        <v>#N/A</v>
      </c>
      <c r="F642" s="26" t="str">
        <f t="array" ref="F642">XLOOKUP($A642,Facebook_reach_raw!$A$4:$A1000,Facebook_reach_raw!$B$4:$B1000)</f>
        <v>#N/A</v>
      </c>
    </row>
    <row r="643">
      <c r="A643" s="30" t="str">
        <f>Facebook_reach_raw!$A645</f>
        <v/>
      </c>
      <c r="B643" s="29" t="str">
        <f>Facebook_interactions_raw!$A645</f>
        <v/>
      </c>
      <c r="C643" s="26" t="str">
        <f t="shared" si="1"/>
        <v/>
      </c>
      <c r="D643" s="26" t="str">
        <f t="array" ref="D643">XLOOKUP($A643,Facebook_follows_raw!$A$4:$A1000,Facebook_follows_raw!$B$4:$B1000)</f>
        <v>#N/A</v>
      </c>
      <c r="E643" s="26" t="str">
        <f t="array" ref="E643">XLOOKUP($A643,Facebook_interactions_raw!$A$4:$A1000,Facebook_interactions_raw!$B$4:$B1000)</f>
        <v>#N/A</v>
      </c>
      <c r="F643" s="26" t="str">
        <f t="array" ref="F643">XLOOKUP($A643,Facebook_reach_raw!$A$4:$A1000,Facebook_reach_raw!$B$4:$B1000)</f>
        <v>#N/A</v>
      </c>
    </row>
    <row r="644">
      <c r="A644" s="30" t="str">
        <f>Facebook_reach_raw!$A646</f>
        <v/>
      </c>
      <c r="B644" s="29" t="str">
        <f>Facebook_interactions_raw!$A646</f>
        <v/>
      </c>
      <c r="C644" s="26" t="str">
        <f t="shared" si="1"/>
        <v/>
      </c>
      <c r="D644" s="26" t="str">
        <f t="array" ref="D644">XLOOKUP($A644,Facebook_follows_raw!$A$4:$A1000,Facebook_follows_raw!$B$4:$B1000)</f>
        <v>#N/A</v>
      </c>
      <c r="E644" s="26" t="str">
        <f t="array" ref="E644">XLOOKUP($A644,Facebook_interactions_raw!$A$4:$A1000,Facebook_interactions_raw!$B$4:$B1000)</f>
        <v>#N/A</v>
      </c>
      <c r="F644" s="26" t="str">
        <f t="array" ref="F644">XLOOKUP($A644,Facebook_reach_raw!$A$4:$A1000,Facebook_reach_raw!$B$4:$B1000)</f>
        <v>#N/A</v>
      </c>
    </row>
    <row r="645">
      <c r="A645" s="30" t="str">
        <f>Facebook_reach_raw!$A647</f>
        <v/>
      </c>
      <c r="B645" s="29" t="str">
        <f>Facebook_interactions_raw!$A647</f>
        <v/>
      </c>
      <c r="C645" s="26" t="str">
        <f t="shared" si="1"/>
        <v/>
      </c>
      <c r="D645" s="26" t="str">
        <f t="array" ref="D645">XLOOKUP($A645,Facebook_follows_raw!$A$4:$A1000,Facebook_follows_raw!$B$4:$B1000)</f>
        <v>#N/A</v>
      </c>
      <c r="E645" s="26" t="str">
        <f t="array" ref="E645">XLOOKUP($A645,Facebook_interactions_raw!$A$4:$A1000,Facebook_interactions_raw!$B$4:$B1000)</f>
        <v>#N/A</v>
      </c>
      <c r="F645" s="26" t="str">
        <f t="array" ref="F645">XLOOKUP($A645,Facebook_reach_raw!$A$4:$A1000,Facebook_reach_raw!$B$4:$B1000)</f>
        <v>#N/A</v>
      </c>
    </row>
    <row r="646">
      <c r="A646" s="30" t="str">
        <f>Facebook_reach_raw!$A648</f>
        <v/>
      </c>
      <c r="B646" s="29" t="str">
        <f>Facebook_interactions_raw!$A648</f>
        <v/>
      </c>
      <c r="C646" s="26" t="str">
        <f t="shared" si="1"/>
        <v/>
      </c>
      <c r="D646" s="26" t="str">
        <f t="array" ref="D646">XLOOKUP($A646,Facebook_follows_raw!$A$4:$A1000,Facebook_follows_raw!$B$4:$B1000)</f>
        <v>#N/A</v>
      </c>
      <c r="E646" s="26" t="str">
        <f t="array" ref="E646">XLOOKUP($A646,Facebook_interactions_raw!$A$4:$A1000,Facebook_interactions_raw!$B$4:$B1000)</f>
        <v>#N/A</v>
      </c>
      <c r="F646" s="26" t="str">
        <f t="array" ref="F646">XLOOKUP($A646,Facebook_reach_raw!$A$4:$A1000,Facebook_reach_raw!$B$4:$B1000)</f>
        <v>#N/A</v>
      </c>
    </row>
    <row r="647">
      <c r="A647" s="30" t="str">
        <f>Facebook_reach_raw!$A649</f>
        <v/>
      </c>
      <c r="B647" s="29" t="str">
        <f>Facebook_interactions_raw!$A649</f>
        <v/>
      </c>
      <c r="C647" s="26" t="str">
        <f t="shared" si="1"/>
        <v/>
      </c>
      <c r="D647" s="26" t="str">
        <f t="array" ref="D647">XLOOKUP($A647,Facebook_follows_raw!$A$4:$A1000,Facebook_follows_raw!$B$4:$B1000)</f>
        <v>#N/A</v>
      </c>
      <c r="E647" s="26" t="str">
        <f t="array" ref="E647">XLOOKUP($A647,Facebook_interactions_raw!$A$4:$A1000,Facebook_interactions_raw!$B$4:$B1000)</f>
        <v>#N/A</v>
      </c>
      <c r="F647" s="26" t="str">
        <f t="array" ref="F647">XLOOKUP($A647,Facebook_reach_raw!$A$4:$A1000,Facebook_reach_raw!$B$4:$B1000)</f>
        <v>#N/A</v>
      </c>
    </row>
    <row r="648">
      <c r="A648" s="30" t="str">
        <f>Facebook_reach_raw!$A650</f>
        <v/>
      </c>
      <c r="B648" s="29" t="str">
        <f>Facebook_interactions_raw!$A650</f>
        <v/>
      </c>
      <c r="C648" s="26" t="str">
        <f t="shared" si="1"/>
        <v/>
      </c>
      <c r="D648" s="26" t="str">
        <f t="array" ref="D648">XLOOKUP($A648,Facebook_follows_raw!$A$4:$A1000,Facebook_follows_raw!$B$4:$B1000)</f>
        <v>#N/A</v>
      </c>
      <c r="E648" s="26" t="str">
        <f t="array" ref="E648">XLOOKUP($A648,Facebook_interactions_raw!$A$4:$A1000,Facebook_interactions_raw!$B$4:$B1000)</f>
        <v>#N/A</v>
      </c>
      <c r="F648" s="26" t="str">
        <f t="array" ref="F648">XLOOKUP($A648,Facebook_reach_raw!$A$4:$A1000,Facebook_reach_raw!$B$4:$B1000)</f>
        <v>#N/A</v>
      </c>
    </row>
    <row r="649">
      <c r="A649" s="30" t="str">
        <f>Facebook_reach_raw!$A651</f>
        <v/>
      </c>
      <c r="B649" s="29" t="str">
        <f>Facebook_interactions_raw!$A651</f>
        <v/>
      </c>
      <c r="C649" s="26" t="str">
        <f t="shared" si="1"/>
        <v/>
      </c>
      <c r="D649" s="26" t="str">
        <f t="array" ref="D649">XLOOKUP($A649,Facebook_follows_raw!$A$4:$A1000,Facebook_follows_raw!$B$4:$B1000)</f>
        <v>#N/A</v>
      </c>
      <c r="E649" s="26" t="str">
        <f t="array" ref="E649">XLOOKUP($A649,Facebook_interactions_raw!$A$4:$A1000,Facebook_interactions_raw!$B$4:$B1000)</f>
        <v>#N/A</v>
      </c>
      <c r="F649" s="26" t="str">
        <f t="array" ref="F649">XLOOKUP($A649,Facebook_reach_raw!$A$4:$A1000,Facebook_reach_raw!$B$4:$B1000)</f>
        <v>#N/A</v>
      </c>
    </row>
    <row r="650">
      <c r="A650" s="30" t="str">
        <f>Facebook_reach_raw!$A652</f>
        <v/>
      </c>
      <c r="B650" s="29" t="str">
        <f>Facebook_interactions_raw!$A652</f>
        <v/>
      </c>
      <c r="C650" s="26" t="str">
        <f t="shared" si="1"/>
        <v/>
      </c>
      <c r="D650" s="26" t="str">
        <f t="array" ref="D650">XLOOKUP($A650,Facebook_follows_raw!$A$4:$A1000,Facebook_follows_raw!$B$4:$B1000)</f>
        <v>#N/A</v>
      </c>
      <c r="E650" s="26" t="str">
        <f t="array" ref="E650">XLOOKUP($A650,Facebook_interactions_raw!$A$4:$A1000,Facebook_interactions_raw!$B$4:$B1000)</f>
        <v>#N/A</v>
      </c>
      <c r="F650" s="26" t="str">
        <f t="array" ref="F650">XLOOKUP($A650,Facebook_reach_raw!$A$4:$A1000,Facebook_reach_raw!$B$4:$B1000)</f>
        <v>#N/A</v>
      </c>
    </row>
    <row r="651">
      <c r="A651" s="30" t="str">
        <f>Facebook_reach_raw!$A653</f>
        <v/>
      </c>
      <c r="B651" s="29" t="str">
        <f>Facebook_interactions_raw!$A653</f>
        <v/>
      </c>
      <c r="C651" s="26" t="str">
        <f t="shared" si="1"/>
        <v/>
      </c>
      <c r="D651" s="26" t="str">
        <f t="array" ref="D651">XLOOKUP($A651,Facebook_follows_raw!$A$4:$A1000,Facebook_follows_raw!$B$4:$B1000)</f>
        <v>#N/A</v>
      </c>
      <c r="E651" s="26" t="str">
        <f t="array" ref="E651">XLOOKUP($A651,Facebook_interactions_raw!$A$4:$A1000,Facebook_interactions_raw!$B$4:$B1000)</f>
        <v>#N/A</v>
      </c>
      <c r="F651" s="26" t="str">
        <f t="array" ref="F651">XLOOKUP($A651,Facebook_reach_raw!$A$4:$A1000,Facebook_reach_raw!$B$4:$B1000)</f>
        <v>#N/A</v>
      </c>
    </row>
    <row r="652">
      <c r="A652" s="30" t="str">
        <f>Facebook_reach_raw!$A654</f>
        <v/>
      </c>
      <c r="B652" s="29" t="str">
        <f>Facebook_interactions_raw!$A654</f>
        <v/>
      </c>
      <c r="C652" s="26" t="str">
        <f t="shared" si="1"/>
        <v/>
      </c>
      <c r="D652" s="26" t="str">
        <f t="array" ref="D652">XLOOKUP($A652,Facebook_follows_raw!$A$4:$A1000,Facebook_follows_raw!$B$4:$B1000)</f>
        <v>#N/A</v>
      </c>
      <c r="E652" s="26" t="str">
        <f t="array" ref="E652">XLOOKUP($A652,Facebook_interactions_raw!$A$4:$A1000,Facebook_interactions_raw!$B$4:$B1000)</f>
        <v>#N/A</v>
      </c>
      <c r="F652" s="26" t="str">
        <f t="array" ref="F652">XLOOKUP($A652,Facebook_reach_raw!$A$4:$A1000,Facebook_reach_raw!$B$4:$B1000)</f>
        <v>#N/A</v>
      </c>
    </row>
    <row r="653">
      <c r="A653" s="30" t="str">
        <f>Facebook_reach_raw!$A655</f>
        <v/>
      </c>
      <c r="B653" s="29" t="str">
        <f>Facebook_interactions_raw!$A655</f>
        <v/>
      </c>
      <c r="C653" s="26" t="str">
        <f t="shared" si="1"/>
        <v/>
      </c>
      <c r="D653" s="26" t="str">
        <f t="array" ref="D653">XLOOKUP($A653,Facebook_follows_raw!$A$4:$A1000,Facebook_follows_raw!$B$4:$B1000)</f>
        <v>#N/A</v>
      </c>
      <c r="E653" s="26" t="str">
        <f t="array" ref="E653">XLOOKUP($A653,Facebook_interactions_raw!$A$4:$A1000,Facebook_interactions_raw!$B$4:$B1000)</f>
        <v>#N/A</v>
      </c>
      <c r="F653" s="26" t="str">
        <f t="array" ref="F653">XLOOKUP($A653,Facebook_reach_raw!$A$4:$A1000,Facebook_reach_raw!$B$4:$B1000)</f>
        <v>#N/A</v>
      </c>
    </row>
    <row r="654">
      <c r="A654" s="30" t="str">
        <f>Facebook_reach_raw!$A656</f>
        <v/>
      </c>
      <c r="B654" s="29" t="str">
        <f>Facebook_interactions_raw!$A656</f>
        <v/>
      </c>
      <c r="C654" s="26" t="str">
        <f t="shared" si="1"/>
        <v/>
      </c>
      <c r="D654" s="26" t="str">
        <f t="array" ref="D654">XLOOKUP($A654,Facebook_follows_raw!$A$4:$A1000,Facebook_follows_raw!$B$4:$B1000)</f>
        <v>#N/A</v>
      </c>
      <c r="E654" s="26" t="str">
        <f t="array" ref="E654">XLOOKUP($A654,Facebook_interactions_raw!$A$4:$A1000,Facebook_interactions_raw!$B$4:$B1000)</f>
        <v>#N/A</v>
      </c>
      <c r="F654" s="26" t="str">
        <f t="array" ref="F654">XLOOKUP($A654,Facebook_reach_raw!$A$4:$A1000,Facebook_reach_raw!$B$4:$B1000)</f>
        <v>#N/A</v>
      </c>
    </row>
    <row r="655">
      <c r="A655" s="30" t="str">
        <f>Facebook_reach_raw!$A657</f>
        <v/>
      </c>
      <c r="B655" s="29" t="str">
        <f>Facebook_interactions_raw!$A657</f>
        <v/>
      </c>
      <c r="C655" s="26" t="str">
        <f t="shared" si="1"/>
        <v/>
      </c>
      <c r="D655" s="26" t="str">
        <f t="array" ref="D655">XLOOKUP($A655,Facebook_follows_raw!$A$4:$A1000,Facebook_follows_raw!$B$4:$B1000)</f>
        <v>#N/A</v>
      </c>
      <c r="E655" s="26" t="str">
        <f t="array" ref="E655">XLOOKUP($A655,Facebook_interactions_raw!$A$4:$A1000,Facebook_interactions_raw!$B$4:$B1000)</f>
        <v>#N/A</v>
      </c>
      <c r="F655" s="26" t="str">
        <f t="array" ref="F655">XLOOKUP($A655,Facebook_reach_raw!$A$4:$A1000,Facebook_reach_raw!$B$4:$B1000)</f>
        <v>#N/A</v>
      </c>
    </row>
    <row r="656">
      <c r="A656" s="30" t="str">
        <f>Facebook_reach_raw!$A658</f>
        <v/>
      </c>
      <c r="B656" s="29" t="str">
        <f>Facebook_interactions_raw!$A658</f>
        <v/>
      </c>
      <c r="C656" s="26" t="str">
        <f t="shared" si="1"/>
        <v/>
      </c>
      <c r="D656" s="26" t="str">
        <f t="array" ref="D656">XLOOKUP($A656,Facebook_follows_raw!$A$4:$A1000,Facebook_follows_raw!$B$4:$B1000)</f>
        <v>#N/A</v>
      </c>
      <c r="E656" s="26" t="str">
        <f t="array" ref="E656">XLOOKUP($A656,Facebook_interactions_raw!$A$4:$A1000,Facebook_interactions_raw!$B$4:$B1000)</f>
        <v>#N/A</v>
      </c>
      <c r="F656" s="26" t="str">
        <f t="array" ref="F656">XLOOKUP($A656,Facebook_reach_raw!$A$4:$A1000,Facebook_reach_raw!$B$4:$B1000)</f>
        <v>#N/A</v>
      </c>
    </row>
    <row r="657">
      <c r="A657" s="30" t="str">
        <f>Facebook_reach_raw!$A659</f>
        <v/>
      </c>
      <c r="B657" s="29" t="str">
        <f>Facebook_interactions_raw!$A659</f>
        <v/>
      </c>
      <c r="C657" s="26" t="str">
        <f t="shared" si="1"/>
        <v/>
      </c>
      <c r="D657" s="26" t="str">
        <f t="array" ref="D657">XLOOKUP($A657,Facebook_follows_raw!$A$4:$A1000,Facebook_follows_raw!$B$4:$B1000)</f>
        <v>#N/A</v>
      </c>
      <c r="E657" s="26" t="str">
        <f t="array" ref="E657">XLOOKUP($A657,Facebook_interactions_raw!$A$4:$A1000,Facebook_interactions_raw!$B$4:$B1000)</f>
        <v>#N/A</v>
      </c>
      <c r="F657" s="26" t="str">
        <f t="array" ref="F657">XLOOKUP($A657,Facebook_reach_raw!$A$4:$A1000,Facebook_reach_raw!$B$4:$B1000)</f>
        <v>#N/A</v>
      </c>
    </row>
    <row r="658">
      <c r="A658" s="30" t="str">
        <f>Facebook_reach_raw!$A660</f>
        <v/>
      </c>
      <c r="B658" s="29" t="str">
        <f>Facebook_interactions_raw!$A660</f>
        <v/>
      </c>
      <c r="C658" s="26" t="str">
        <f t="shared" si="1"/>
        <v/>
      </c>
      <c r="D658" s="26" t="str">
        <f t="array" ref="D658">XLOOKUP($A658,Facebook_follows_raw!$A$4:$A1000,Facebook_follows_raw!$B$4:$B1000)</f>
        <v>#N/A</v>
      </c>
      <c r="E658" s="26" t="str">
        <f t="array" ref="E658">XLOOKUP($A658,Facebook_interactions_raw!$A$4:$A1000,Facebook_interactions_raw!$B$4:$B1000)</f>
        <v>#N/A</v>
      </c>
      <c r="F658" s="26" t="str">
        <f t="array" ref="F658">XLOOKUP($A658,Facebook_reach_raw!$A$4:$A1000,Facebook_reach_raw!$B$4:$B1000)</f>
        <v>#N/A</v>
      </c>
    </row>
    <row r="659">
      <c r="A659" s="30" t="str">
        <f>Facebook_reach_raw!$A661</f>
        <v/>
      </c>
      <c r="B659" s="29" t="str">
        <f>Facebook_interactions_raw!$A661</f>
        <v/>
      </c>
      <c r="C659" s="26" t="str">
        <f t="shared" si="1"/>
        <v/>
      </c>
      <c r="D659" s="26" t="str">
        <f t="array" ref="D659">XLOOKUP($A659,Facebook_follows_raw!$A$4:$A1000,Facebook_follows_raw!$B$4:$B1000)</f>
        <v>#N/A</v>
      </c>
      <c r="E659" s="26" t="str">
        <f t="array" ref="E659">XLOOKUP($A659,Facebook_interactions_raw!$A$4:$A1000,Facebook_interactions_raw!$B$4:$B1000)</f>
        <v>#N/A</v>
      </c>
      <c r="F659" s="26" t="str">
        <f t="array" ref="F659">XLOOKUP($A659,Facebook_reach_raw!$A$4:$A1000,Facebook_reach_raw!$B$4:$B1000)</f>
        <v>#N/A</v>
      </c>
    </row>
    <row r="660">
      <c r="A660" s="30" t="str">
        <f>Facebook_reach_raw!$A662</f>
        <v/>
      </c>
      <c r="B660" s="29" t="str">
        <f>Facebook_interactions_raw!$A662</f>
        <v/>
      </c>
      <c r="C660" s="26" t="str">
        <f t="shared" si="1"/>
        <v/>
      </c>
      <c r="D660" s="26" t="str">
        <f t="array" ref="D660">XLOOKUP($A660,Facebook_follows_raw!$A$4:$A1000,Facebook_follows_raw!$B$4:$B1000)</f>
        <v>#N/A</v>
      </c>
      <c r="E660" s="26" t="str">
        <f t="array" ref="E660">XLOOKUP($A660,Facebook_interactions_raw!$A$4:$A1000,Facebook_interactions_raw!$B$4:$B1000)</f>
        <v>#N/A</v>
      </c>
      <c r="F660" s="26" t="str">
        <f t="array" ref="F660">XLOOKUP($A660,Facebook_reach_raw!$A$4:$A1000,Facebook_reach_raw!$B$4:$B1000)</f>
        <v>#N/A</v>
      </c>
    </row>
    <row r="661">
      <c r="A661" s="30" t="str">
        <f>Facebook_reach_raw!$A663</f>
        <v/>
      </c>
      <c r="B661" s="29" t="str">
        <f>Facebook_interactions_raw!$A663</f>
        <v/>
      </c>
      <c r="C661" s="26" t="str">
        <f t="shared" si="1"/>
        <v/>
      </c>
      <c r="D661" s="26" t="str">
        <f t="array" ref="D661">XLOOKUP($A661,Facebook_follows_raw!$A$4:$A1000,Facebook_follows_raw!$B$4:$B1000)</f>
        <v>#N/A</v>
      </c>
      <c r="E661" s="26" t="str">
        <f t="array" ref="E661">XLOOKUP($A661,Facebook_interactions_raw!$A$4:$A1000,Facebook_interactions_raw!$B$4:$B1000)</f>
        <v>#N/A</v>
      </c>
      <c r="F661" s="26" t="str">
        <f t="array" ref="F661">XLOOKUP($A661,Facebook_reach_raw!$A$4:$A1000,Facebook_reach_raw!$B$4:$B1000)</f>
        <v>#N/A</v>
      </c>
    </row>
    <row r="662">
      <c r="A662" s="30" t="str">
        <f>Facebook_reach_raw!$A664</f>
        <v/>
      </c>
      <c r="B662" s="29" t="str">
        <f>Facebook_interactions_raw!$A664</f>
        <v/>
      </c>
      <c r="C662" s="26" t="str">
        <f t="shared" si="1"/>
        <v/>
      </c>
      <c r="D662" s="26" t="str">
        <f t="array" ref="D662">XLOOKUP($A662,Facebook_follows_raw!$A$4:$A1000,Facebook_follows_raw!$B$4:$B1000)</f>
        <v>#N/A</v>
      </c>
      <c r="E662" s="26" t="str">
        <f t="array" ref="E662">XLOOKUP($A662,Facebook_interactions_raw!$A$4:$A1000,Facebook_interactions_raw!$B$4:$B1000)</f>
        <v>#N/A</v>
      </c>
      <c r="F662" s="26" t="str">
        <f t="array" ref="F662">XLOOKUP($A662,Facebook_reach_raw!$A$4:$A1000,Facebook_reach_raw!$B$4:$B1000)</f>
        <v>#N/A</v>
      </c>
    </row>
    <row r="663">
      <c r="A663" s="30" t="str">
        <f>Facebook_reach_raw!$A665</f>
        <v/>
      </c>
      <c r="B663" s="29" t="str">
        <f>Facebook_interactions_raw!$A665</f>
        <v/>
      </c>
      <c r="C663" s="26" t="str">
        <f t="shared" si="1"/>
        <v/>
      </c>
      <c r="D663" s="26" t="str">
        <f t="array" ref="D663">XLOOKUP($A663,Facebook_follows_raw!$A$4:$A1000,Facebook_follows_raw!$B$4:$B1000)</f>
        <v>#N/A</v>
      </c>
      <c r="E663" s="26" t="str">
        <f t="array" ref="E663">XLOOKUP($A663,Facebook_interactions_raw!$A$4:$A1000,Facebook_interactions_raw!$B$4:$B1000)</f>
        <v>#N/A</v>
      </c>
      <c r="F663" s="26" t="str">
        <f t="array" ref="F663">XLOOKUP($A663,Facebook_reach_raw!$A$4:$A1000,Facebook_reach_raw!$B$4:$B1000)</f>
        <v>#N/A</v>
      </c>
    </row>
    <row r="664">
      <c r="A664" s="30" t="str">
        <f>Facebook_reach_raw!$A666</f>
        <v/>
      </c>
      <c r="B664" s="29" t="str">
        <f>Facebook_interactions_raw!$A666</f>
        <v/>
      </c>
      <c r="C664" s="26" t="str">
        <f t="shared" si="1"/>
        <v/>
      </c>
      <c r="D664" s="26" t="str">
        <f t="array" ref="D664">XLOOKUP($A664,Facebook_follows_raw!$A$4:$A1000,Facebook_follows_raw!$B$4:$B1000)</f>
        <v>#N/A</v>
      </c>
      <c r="E664" s="26" t="str">
        <f t="array" ref="E664">XLOOKUP($A664,Facebook_interactions_raw!$A$4:$A1000,Facebook_interactions_raw!$B$4:$B1000)</f>
        <v>#N/A</v>
      </c>
      <c r="F664" s="26" t="str">
        <f t="array" ref="F664">XLOOKUP($A664,Facebook_reach_raw!$A$4:$A1000,Facebook_reach_raw!$B$4:$B1000)</f>
        <v>#N/A</v>
      </c>
    </row>
    <row r="665">
      <c r="A665" s="30" t="str">
        <f>Facebook_reach_raw!$A667</f>
        <v/>
      </c>
      <c r="B665" s="29" t="str">
        <f>Facebook_interactions_raw!$A667</f>
        <v/>
      </c>
      <c r="C665" s="26" t="str">
        <f t="shared" si="1"/>
        <v/>
      </c>
      <c r="D665" s="26" t="str">
        <f t="array" ref="D665">XLOOKUP($A665,Facebook_follows_raw!$A$4:$A1000,Facebook_follows_raw!$B$4:$B1000)</f>
        <v>#N/A</v>
      </c>
      <c r="E665" s="26" t="str">
        <f t="array" ref="E665">XLOOKUP($A665,Facebook_interactions_raw!$A$4:$A1000,Facebook_interactions_raw!$B$4:$B1000)</f>
        <v>#N/A</v>
      </c>
      <c r="F665" s="26" t="str">
        <f t="array" ref="F665">XLOOKUP($A665,Facebook_reach_raw!$A$4:$A1000,Facebook_reach_raw!$B$4:$B1000)</f>
        <v>#N/A</v>
      </c>
    </row>
    <row r="666">
      <c r="A666" s="30" t="str">
        <f>Facebook_reach_raw!$A668</f>
        <v/>
      </c>
      <c r="B666" s="29" t="str">
        <f>Facebook_interactions_raw!$A668</f>
        <v/>
      </c>
      <c r="C666" s="26" t="str">
        <f t="shared" si="1"/>
        <v/>
      </c>
      <c r="D666" s="26" t="str">
        <f t="array" ref="D666">XLOOKUP($A666,Facebook_follows_raw!$A$4:$A1000,Facebook_follows_raw!$B$4:$B1000)</f>
        <v>#N/A</v>
      </c>
      <c r="E666" s="26" t="str">
        <f t="array" ref="E666">XLOOKUP($A666,Facebook_interactions_raw!$A$4:$A1000,Facebook_interactions_raw!$B$4:$B1000)</f>
        <v>#N/A</v>
      </c>
      <c r="F666" s="26" t="str">
        <f t="array" ref="F666">XLOOKUP($A666,Facebook_reach_raw!$A$4:$A1000,Facebook_reach_raw!$B$4:$B1000)</f>
        <v>#N/A</v>
      </c>
    </row>
    <row r="667">
      <c r="A667" s="30" t="str">
        <f>Facebook_reach_raw!$A669</f>
        <v/>
      </c>
      <c r="B667" s="29" t="str">
        <f>Facebook_interactions_raw!$A669</f>
        <v/>
      </c>
      <c r="C667" s="26" t="str">
        <f t="shared" si="1"/>
        <v/>
      </c>
      <c r="D667" s="26" t="str">
        <f t="array" ref="D667">XLOOKUP($A667,Facebook_follows_raw!$A$4:$A1000,Facebook_follows_raw!$B$4:$B1000)</f>
        <v>#N/A</v>
      </c>
      <c r="E667" s="26" t="str">
        <f t="array" ref="E667">XLOOKUP($A667,Facebook_interactions_raw!$A$4:$A1000,Facebook_interactions_raw!$B$4:$B1000)</f>
        <v>#N/A</v>
      </c>
      <c r="F667" s="26" t="str">
        <f t="array" ref="F667">XLOOKUP($A667,Facebook_reach_raw!$A$4:$A1000,Facebook_reach_raw!$B$4:$B1000)</f>
        <v>#N/A</v>
      </c>
    </row>
    <row r="668">
      <c r="A668" s="30" t="str">
        <f>Facebook_reach_raw!$A670</f>
        <v/>
      </c>
      <c r="B668" s="29" t="str">
        <f>Facebook_interactions_raw!$A670</f>
        <v/>
      </c>
      <c r="C668" s="26" t="str">
        <f t="shared" si="1"/>
        <v/>
      </c>
      <c r="D668" s="26" t="str">
        <f t="array" ref="D668">XLOOKUP($A668,Facebook_follows_raw!$A$4:$A1000,Facebook_follows_raw!$B$4:$B1000)</f>
        <v>#N/A</v>
      </c>
      <c r="E668" s="26" t="str">
        <f t="array" ref="E668">XLOOKUP($A668,Facebook_interactions_raw!$A$4:$A1000,Facebook_interactions_raw!$B$4:$B1000)</f>
        <v>#N/A</v>
      </c>
      <c r="F668" s="26" t="str">
        <f t="array" ref="F668">XLOOKUP($A668,Facebook_reach_raw!$A$4:$A1000,Facebook_reach_raw!$B$4:$B1000)</f>
        <v>#N/A</v>
      </c>
    </row>
    <row r="669">
      <c r="A669" s="30" t="str">
        <f>Facebook_reach_raw!$A671</f>
        <v/>
      </c>
      <c r="B669" s="29" t="str">
        <f>Facebook_interactions_raw!$A671</f>
        <v/>
      </c>
      <c r="C669" s="26" t="str">
        <f t="shared" si="1"/>
        <v/>
      </c>
      <c r="D669" s="26" t="str">
        <f t="array" ref="D669">XLOOKUP($A669,Facebook_follows_raw!$A$4:$A1000,Facebook_follows_raw!$B$4:$B1000)</f>
        <v>#N/A</v>
      </c>
      <c r="E669" s="26" t="str">
        <f t="array" ref="E669">XLOOKUP($A669,Facebook_interactions_raw!$A$4:$A1000,Facebook_interactions_raw!$B$4:$B1000)</f>
        <v>#N/A</v>
      </c>
      <c r="F669" s="26" t="str">
        <f t="array" ref="F669">XLOOKUP($A669,Facebook_reach_raw!$A$4:$A1000,Facebook_reach_raw!$B$4:$B1000)</f>
        <v>#N/A</v>
      </c>
    </row>
    <row r="670">
      <c r="A670" s="30" t="str">
        <f>Facebook_reach_raw!$A672</f>
        <v/>
      </c>
      <c r="B670" s="29" t="str">
        <f>Facebook_interactions_raw!$A672</f>
        <v/>
      </c>
      <c r="C670" s="26" t="str">
        <f t="shared" si="1"/>
        <v/>
      </c>
      <c r="D670" s="26" t="str">
        <f t="array" ref="D670">XLOOKUP($A670,Facebook_follows_raw!$A$4:$A1000,Facebook_follows_raw!$B$4:$B1000)</f>
        <v>#N/A</v>
      </c>
      <c r="E670" s="26" t="str">
        <f t="array" ref="E670">XLOOKUP($A670,Facebook_interactions_raw!$A$4:$A1000,Facebook_interactions_raw!$B$4:$B1000)</f>
        <v>#N/A</v>
      </c>
      <c r="F670" s="26" t="str">
        <f t="array" ref="F670">XLOOKUP($A670,Facebook_reach_raw!$A$4:$A1000,Facebook_reach_raw!$B$4:$B1000)</f>
        <v>#N/A</v>
      </c>
    </row>
    <row r="671">
      <c r="A671" s="30" t="str">
        <f>Facebook_reach_raw!$A673</f>
        <v/>
      </c>
      <c r="B671" s="29" t="str">
        <f>Facebook_interactions_raw!$A673</f>
        <v/>
      </c>
      <c r="C671" s="26" t="str">
        <f t="shared" si="1"/>
        <v/>
      </c>
      <c r="D671" s="26" t="str">
        <f t="array" ref="D671">XLOOKUP($A671,Facebook_follows_raw!$A$4:$A1000,Facebook_follows_raw!$B$4:$B1000)</f>
        <v>#N/A</v>
      </c>
      <c r="E671" s="26" t="str">
        <f t="array" ref="E671">XLOOKUP($A671,Facebook_interactions_raw!$A$4:$A1000,Facebook_interactions_raw!$B$4:$B1000)</f>
        <v>#N/A</v>
      </c>
      <c r="F671" s="26" t="str">
        <f t="array" ref="F671">XLOOKUP($A671,Facebook_reach_raw!$A$4:$A1000,Facebook_reach_raw!$B$4:$B1000)</f>
        <v>#N/A</v>
      </c>
    </row>
    <row r="672">
      <c r="A672" s="30" t="str">
        <f>Facebook_reach_raw!$A674</f>
        <v/>
      </c>
      <c r="B672" s="29" t="str">
        <f>Facebook_interactions_raw!$A674</f>
        <v/>
      </c>
      <c r="C672" s="26" t="str">
        <f t="shared" si="1"/>
        <v/>
      </c>
      <c r="D672" s="26" t="str">
        <f t="array" ref="D672">XLOOKUP($A672,Facebook_follows_raw!$A$4:$A1000,Facebook_follows_raw!$B$4:$B1000)</f>
        <v>#N/A</v>
      </c>
      <c r="E672" s="26" t="str">
        <f t="array" ref="E672">XLOOKUP($A672,Facebook_interactions_raw!$A$4:$A1000,Facebook_interactions_raw!$B$4:$B1000)</f>
        <v>#N/A</v>
      </c>
      <c r="F672" s="26" t="str">
        <f t="array" ref="F672">XLOOKUP($A672,Facebook_reach_raw!$A$4:$A1000,Facebook_reach_raw!$B$4:$B1000)</f>
        <v>#N/A</v>
      </c>
    </row>
    <row r="673">
      <c r="A673" s="30" t="str">
        <f>Facebook_reach_raw!$A675</f>
        <v/>
      </c>
      <c r="B673" s="29" t="str">
        <f>Facebook_interactions_raw!$A675</f>
        <v/>
      </c>
      <c r="C673" s="26" t="str">
        <f t="shared" si="1"/>
        <v/>
      </c>
      <c r="D673" s="26" t="str">
        <f t="array" ref="D673">XLOOKUP($A673,Facebook_follows_raw!$A$4:$A1000,Facebook_follows_raw!$B$4:$B1000)</f>
        <v>#N/A</v>
      </c>
      <c r="E673" s="26" t="str">
        <f t="array" ref="E673">XLOOKUP($A673,Facebook_interactions_raw!$A$4:$A1000,Facebook_interactions_raw!$B$4:$B1000)</f>
        <v>#N/A</v>
      </c>
      <c r="F673" s="26" t="str">
        <f t="array" ref="F673">XLOOKUP($A673,Facebook_reach_raw!$A$4:$A1000,Facebook_reach_raw!$B$4:$B1000)</f>
        <v>#N/A</v>
      </c>
    </row>
    <row r="674">
      <c r="A674" s="30" t="str">
        <f>Facebook_reach_raw!$A676</f>
        <v/>
      </c>
      <c r="B674" s="29" t="str">
        <f>Facebook_interactions_raw!$A676</f>
        <v/>
      </c>
      <c r="C674" s="26" t="str">
        <f t="shared" si="1"/>
        <v/>
      </c>
      <c r="D674" s="26" t="str">
        <f t="array" ref="D674">XLOOKUP($A674,Facebook_follows_raw!$A$4:$A1000,Facebook_follows_raw!$B$4:$B1000)</f>
        <v>#N/A</v>
      </c>
      <c r="E674" s="26" t="str">
        <f t="array" ref="E674">XLOOKUP($A674,Facebook_interactions_raw!$A$4:$A1000,Facebook_interactions_raw!$B$4:$B1000)</f>
        <v>#N/A</v>
      </c>
      <c r="F674" s="26" t="str">
        <f t="array" ref="F674">XLOOKUP($A674,Facebook_reach_raw!$A$4:$A1000,Facebook_reach_raw!$B$4:$B1000)</f>
        <v>#N/A</v>
      </c>
    </row>
    <row r="675">
      <c r="A675" s="30" t="str">
        <f>Facebook_reach_raw!$A677</f>
        <v/>
      </c>
      <c r="B675" s="29" t="str">
        <f>Facebook_interactions_raw!$A677</f>
        <v/>
      </c>
      <c r="C675" s="26" t="str">
        <f t="shared" si="1"/>
        <v/>
      </c>
      <c r="D675" s="26" t="str">
        <f t="array" ref="D675">XLOOKUP($A675,Facebook_follows_raw!$A$4:$A1000,Facebook_follows_raw!$B$4:$B1000)</f>
        <v>#N/A</v>
      </c>
      <c r="E675" s="26" t="str">
        <f t="array" ref="E675">XLOOKUP($A675,Facebook_interactions_raw!$A$4:$A1000,Facebook_interactions_raw!$B$4:$B1000)</f>
        <v>#N/A</v>
      </c>
      <c r="F675" s="26" t="str">
        <f t="array" ref="F675">XLOOKUP($A675,Facebook_reach_raw!$A$4:$A1000,Facebook_reach_raw!$B$4:$B1000)</f>
        <v>#N/A</v>
      </c>
    </row>
    <row r="676">
      <c r="A676" s="30" t="str">
        <f>Facebook_reach_raw!$A678</f>
        <v/>
      </c>
      <c r="B676" s="29" t="str">
        <f>Facebook_interactions_raw!$A678</f>
        <v/>
      </c>
      <c r="C676" s="26" t="str">
        <f t="shared" si="1"/>
        <v/>
      </c>
      <c r="D676" s="26" t="str">
        <f t="array" ref="D676">XLOOKUP($A676,Facebook_follows_raw!$A$4:$A1000,Facebook_follows_raw!$B$4:$B1000)</f>
        <v>#N/A</v>
      </c>
      <c r="E676" s="26" t="str">
        <f t="array" ref="E676">XLOOKUP($A676,Facebook_interactions_raw!$A$4:$A1000,Facebook_interactions_raw!$B$4:$B1000)</f>
        <v>#N/A</v>
      </c>
      <c r="F676" s="26" t="str">
        <f t="array" ref="F676">XLOOKUP($A676,Facebook_reach_raw!$A$4:$A1000,Facebook_reach_raw!$B$4:$B1000)</f>
        <v>#N/A</v>
      </c>
    </row>
    <row r="677">
      <c r="A677" s="30" t="str">
        <f>Facebook_reach_raw!$A679</f>
        <v/>
      </c>
      <c r="B677" s="29" t="str">
        <f>Facebook_interactions_raw!$A679</f>
        <v/>
      </c>
      <c r="C677" s="26" t="str">
        <f t="shared" si="1"/>
        <v/>
      </c>
      <c r="D677" s="26" t="str">
        <f t="array" ref="D677">XLOOKUP($A677,Facebook_follows_raw!$A$4:$A1000,Facebook_follows_raw!$B$4:$B1000)</f>
        <v>#N/A</v>
      </c>
      <c r="E677" s="26" t="str">
        <f t="array" ref="E677">XLOOKUP($A677,Facebook_interactions_raw!$A$4:$A1000,Facebook_interactions_raw!$B$4:$B1000)</f>
        <v>#N/A</v>
      </c>
      <c r="F677" s="26" t="str">
        <f t="array" ref="F677">XLOOKUP($A677,Facebook_reach_raw!$A$4:$A1000,Facebook_reach_raw!$B$4:$B1000)</f>
        <v>#N/A</v>
      </c>
    </row>
    <row r="678">
      <c r="A678" s="30" t="str">
        <f>Facebook_reach_raw!$A680</f>
        <v/>
      </c>
      <c r="B678" s="29" t="str">
        <f>Facebook_interactions_raw!$A680</f>
        <v/>
      </c>
      <c r="C678" s="26" t="str">
        <f t="shared" si="1"/>
        <v/>
      </c>
      <c r="D678" s="26" t="str">
        <f t="array" ref="D678">XLOOKUP($A678,Facebook_follows_raw!$A$4:$A1000,Facebook_follows_raw!$B$4:$B1000)</f>
        <v>#N/A</v>
      </c>
      <c r="E678" s="26" t="str">
        <f t="array" ref="E678">XLOOKUP($A678,Facebook_interactions_raw!$A$4:$A1000,Facebook_interactions_raw!$B$4:$B1000)</f>
        <v>#N/A</v>
      </c>
      <c r="F678" s="26" t="str">
        <f t="array" ref="F678">XLOOKUP($A678,Facebook_reach_raw!$A$4:$A1000,Facebook_reach_raw!$B$4:$B1000)</f>
        <v>#N/A</v>
      </c>
    </row>
    <row r="679">
      <c r="A679" s="30" t="str">
        <f>Facebook_reach_raw!$A681</f>
        <v/>
      </c>
      <c r="B679" s="29" t="str">
        <f>Facebook_interactions_raw!$A681</f>
        <v/>
      </c>
      <c r="C679" s="26" t="str">
        <f t="shared" si="1"/>
        <v/>
      </c>
      <c r="D679" s="26" t="str">
        <f t="array" ref="D679">XLOOKUP($A679,Facebook_follows_raw!$A$4:$A1000,Facebook_follows_raw!$B$4:$B1000)</f>
        <v>#N/A</v>
      </c>
      <c r="E679" s="26" t="str">
        <f t="array" ref="E679">XLOOKUP($A679,Facebook_interactions_raw!$A$4:$A1000,Facebook_interactions_raw!$B$4:$B1000)</f>
        <v>#N/A</v>
      </c>
      <c r="F679" s="26" t="str">
        <f t="array" ref="F679">XLOOKUP($A679,Facebook_reach_raw!$A$4:$A1000,Facebook_reach_raw!$B$4:$B1000)</f>
        <v>#N/A</v>
      </c>
    </row>
    <row r="680">
      <c r="A680" s="30" t="str">
        <f>Facebook_reach_raw!$A682</f>
        <v/>
      </c>
      <c r="B680" s="29" t="str">
        <f>Facebook_interactions_raw!$A682</f>
        <v/>
      </c>
      <c r="C680" s="26" t="str">
        <f t="shared" si="1"/>
        <v/>
      </c>
      <c r="D680" s="26" t="str">
        <f t="array" ref="D680">XLOOKUP($A680,Facebook_follows_raw!$A$4:$A1000,Facebook_follows_raw!$B$4:$B1000)</f>
        <v>#N/A</v>
      </c>
      <c r="E680" s="26" t="str">
        <f t="array" ref="E680">XLOOKUP($A680,Facebook_interactions_raw!$A$4:$A1000,Facebook_interactions_raw!$B$4:$B1000)</f>
        <v>#N/A</v>
      </c>
      <c r="F680" s="26" t="str">
        <f t="array" ref="F680">XLOOKUP($A680,Facebook_reach_raw!$A$4:$A1000,Facebook_reach_raw!$B$4:$B1000)</f>
        <v>#N/A</v>
      </c>
    </row>
    <row r="681">
      <c r="A681" s="30" t="str">
        <f>Facebook_reach_raw!$A683</f>
        <v/>
      </c>
      <c r="B681" s="29" t="str">
        <f>Facebook_interactions_raw!$A683</f>
        <v/>
      </c>
      <c r="C681" s="26" t="str">
        <f t="shared" si="1"/>
        <v/>
      </c>
      <c r="D681" s="26" t="str">
        <f t="array" ref="D681">XLOOKUP($A681,Facebook_follows_raw!$A$4:$A1000,Facebook_follows_raw!$B$4:$B1000)</f>
        <v>#N/A</v>
      </c>
      <c r="E681" s="26" t="str">
        <f t="array" ref="E681">XLOOKUP($A681,Facebook_interactions_raw!$A$4:$A1000,Facebook_interactions_raw!$B$4:$B1000)</f>
        <v>#N/A</v>
      </c>
      <c r="F681" s="26" t="str">
        <f t="array" ref="F681">XLOOKUP($A681,Facebook_reach_raw!$A$4:$A1000,Facebook_reach_raw!$B$4:$B1000)</f>
        <v>#N/A</v>
      </c>
    </row>
    <row r="682">
      <c r="A682" s="30" t="str">
        <f>Facebook_reach_raw!$A684</f>
        <v/>
      </c>
      <c r="B682" s="29" t="str">
        <f>Facebook_interactions_raw!$A684</f>
        <v/>
      </c>
      <c r="C682" s="26" t="str">
        <f t="shared" si="1"/>
        <v/>
      </c>
      <c r="D682" s="26" t="str">
        <f t="array" ref="D682">XLOOKUP($A682,Facebook_follows_raw!$A$4:$A1000,Facebook_follows_raw!$B$4:$B1000)</f>
        <v>#N/A</v>
      </c>
      <c r="E682" s="26" t="str">
        <f t="array" ref="E682">XLOOKUP($A682,Facebook_interactions_raw!$A$4:$A1000,Facebook_interactions_raw!$B$4:$B1000)</f>
        <v>#N/A</v>
      </c>
      <c r="F682" s="26" t="str">
        <f t="array" ref="F682">XLOOKUP($A682,Facebook_reach_raw!$A$4:$A1000,Facebook_reach_raw!$B$4:$B1000)</f>
        <v>#N/A</v>
      </c>
    </row>
    <row r="683">
      <c r="A683" s="30" t="str">
        <f>Facebook_reach_raw!$A685</f>
        <v/>
      </c>
      <c r="B683" s="29" t="str">
        <f>Facebook_interactions_raw!$A685</f>
        <v/>
      </c>
      <c r="C683" s="26" t="str">
        <f t="shared" si="1"/>
        <v/>
      </c>
      <c r="D683" s="26" t="str">
        <f t="array" ref="D683">XLOOKUP($A683,Facebook_follows_raw!$A$4:$A1000,Facebook_follows_raw!$B$4:$B1000)</f>
        <v>#N/A</v>
      </c>
      <c r="E683" s="26" t="str">
        <f t="array" ref="E683">XLOOKUP($A683,Facebook_interactions_raw!$A$4:$A1000,Facebook_interactions_raw!$B$4:$B1000)</f>
        <v>#N/A</v>
      </c>
      <c r="F683" s="26" t="str">
        <f t="array" ref="F683">XLOOKUP($A683,Facebook_reach_raw!$A$4:$A1000,Facebook_reach_raw!$B$4:$B1000)</f>
        <v>#N/A</v>
      </c>
    </row>
    <row r="684">
      <c r="A684" s="30" t="str">
        <f>Facebook_reach_raw!$A686</f>
        <v/>
      </c>
      <c r="B684" s="29" t="str">
        <f>Facebook_interactions_raw!$A686</f>
        <v/>
      </c>
      <c r="C684" s="26" t="str">
        <f t="shared" si="1"/>
        <v/>
      </c>
      <c r="D684" s="26" t="str">
        <f t="array" ref="D684">XLOOKUP($A684,Facebook_follows_raw!$A$4:$A1000,Facebook_follows_raw!$B$4:$B1000)</f>
        <v>#N/A</v>
      </c>
      <c r="E684" s="26" t="str">
        <f t="array" ref="E684">XLOOKUP($A684,Facebook_interactions_raw!$A$4:$A1000,Facebook_interactions_raw!$B$4:$B1000)</f>
        <v>#N/A</v>
      </c>
      <c r="F684" s="26" t="str">
        <f t="array" ref="F684">XLOOKUP($A684,Facebook_reach_raw!$A$4:$A1000,Facebook_reach_raw!$B$4:$B1000)</f>
        <v>#N/A</v>
      </c>
    </row>
    <row r="685">
      <c r="A685" s="30" t="str">
        <f>Facebook_reach_raw!$A687</f>
        <v/>
      </c>
      <c r="B685" s="29" t="str">
        <f>Facebook_interactions_raw!$A687</f>
        <v/>
      </c>
      <c r="C685" s="26" t="str">
        <f t="shared" si="1"/>
        <v/>
      </c>
      <c r="D685" s="26" t="str">
        <f t="array" ref="D685">XLOOKUP($A685,Facebook_follows_raw!$A$4:$A1000,Facebook_follows_raw!$B$4:$B1000)</f>
        <v>#N/A</v>
      </c>
      <c r="E685" s="26" t="str">
        <f t="array" ref="E685">XLOOKUP($A685,Facebook_interactions_raw!$A$4:$A1000,Facebook_interactions_raw!$B$4:$B1000)</f>
        <v>#N/A</v>
      </c>
      <c r="F685" s="26" t="str">
        <f t="array" ref="F685">XLOOKUP($A685,Facebook_reach_raw!$A$4:$A1000,Facebook_reach_raw!$B$4:$B1000)</f>
        <v>#N/A</v>
      </c>
    </row>
    <row r="686">
      <c r="A686" s="30" t="str">
        <f>Facebook_reach_raw!$A688</f>
        <v/>
      </c>
      <c r="B686" s="29" t="str">
        <f>Facebook_interactions_raw!$A688</f>
        <v/>
      </c>
      <c r="C686" s="26" t="str">
        <f t="shared" si="1"/>
        <v/>
      </c>
      <c r="D686" s="26" t="str">
        <f t="array" ref="D686">XLOOKUP($A686,Facebook_follows_raw!$A$4:$A1000,Facebook_follows_raw!$B$4:$B1000)</f>
        <v>#N/A</v>
      </c>
      <c r="E686" s="26" t="str">
        <f t="array" ref="E686">XLOOKUP($A686,Facebook_interactions_raw!$A$4:$A1000,Facebook_interactions_raw!$B$4:$B1000)</f>
        <v>#N/A</v>
      </c>
      <c r="F686" s="26" t="str">
        <f t="array" ref="F686">XLOOKUP($A686,Facebook_reach_raw!$A$4:$A1000,Facebook_reach_raw!$B$4:$B1000)</f>
        <v>#N/A</v>
      </c>
    </row>
    <row r="687">
      <c r="A687" s="30" t="str">
        <f>Facebook_reach_raw!$A689</f>
        <v/>
      </c>
      <c r="B687" s="29" t="str">
        <f>Facebook_interactions_raw!$A689</f>
        <v/>
      </c>
      <c r="C687" s="26" t="str">
        <f t="shared" si="1"/>
        <v/>
      </c>
      <c r="D687" s="26" t="str">
        <f t="array" ref="D687">XLOOKUP($A687,Facebook_follows_raw!$A$4:$A1000,Facebook_follows_raw!$B$4:$B1000)</f>
        <v>#N/A</v>
      </c>
      <c r="E687" s="26" t="str">
        <f t="array" ref="E687">XLOOKUP($A687,Facebook_interactions_raw!$A$4:$A1000,Facebook_interactions_raw!$B$4:$B1000)</f>
        <v>#N/A</v>
      </c>
      <c r="F687" s="26" t="str">
        <f t="array" ref="F687">XLOOKUP($A687,Facebook_reach_raw!$A$4:$A1000,Facebook_reach_raw!$B$4:$B1000)</f>
        <v>#N/A</v>
      </c>
    </row>
    <row r="688">
      <c r="A688" s="30" t="str">
        <f>Facebook_reach_raw!$A690</f>
        <v/>
      </c>
      <c r="B688" s="29" t="str">
        <f>Facebook_interactions_raw!$A690</f>
        <v/>
      </c>
      <c r="C688" s="26" t="str">
        <f t="shared" si="1"/>
        <v/>
      </c>
      <c r="D688" s="26" t="str">
        <f t="array" ref="D688">XLOOKUP($A688,Facebook_follows_raw!$A$4:$A1000,Facebook_follows_raw!$B$4:$B1000)</f>
        <v>#N/A</v>
      </c>
      <c r="E688" s="26" t="str">
        <f t="array" ref="E688">XLOOKUP($A688,Facebook_interactions_raw!$A$4:$A1000,Facebook_interactions_raw!$B$4:$B1000)</f>
        <v>#N/A</v>
      </c>
      <c r="F688" s="26" t="str">
        <f t="array" ref="F688">XLOOKUP($A688,Facebook_reach_raw!$A$4:$A1000,Facebook_reach_raw!$B$4:$B1000)</f>
        <v>#N/A</v>
      </c>
    </row>
    <row r="689">
      <c r="A689" s="30" t="str">
        <f>Facebook_reach_raw!$A691</f>
        <v/>
      </c>
      <c r="B689" s="29" t="str">
        <f>Facebook_interactions_raw!$A691</f>
        <v/>
      </c>
      <c r="C689" s="26" t="str">
        <f t="shared" si="1"/>
        <v/>
      </c>
      <c r="D689" s="26" t="str">
        <f t="array" ref="D689">XLOOKUP($A689,Facebook_follows_raw!$A$4:$A1000,Facebook_follows_raw!$B$4:$B1000)</f>
        <v>#N/A</v>
      </c>
      <c r="E689" s="26" t="str">
        <f t="array" ref="E689">XLOOKUP($A689,Facebook_interactions_raw!$A$4:$A1000,Facebook_interactions_raw!$B$4:$B1000)</f>
        <v>#N/A</v>
      </c>
      <c r="F689" s="26" t="str">
        <f t="array" ref="F689">XLOOKUP($A689,Facebook_reach_raw!$A$4:$A1000,Facebook_reach_raw!$B$4:$B1000)</f>
        <v>#N/A</v>
      </c>
    </row>
    <row r="690">
      <c r="A690" s="30" t="str">
        <f>Facebook_reach_raw!$A692</f>
        <v/>
      </c>
      <c r="B690" s="29" t="str">
        <f>Facebook_interactions_raw!$A692</f>
        <v/>
      </c>
      <c r="C690" s="26" t="str">
        <f t="shared" si="1"/>
        <v/>
      </c>
      <c r="D690" s="26" t="str">
        <f t="array" ref="D690">XLOOKUP($A690,Facebook_follows_raw!$A$4:$A1000,Facebook_follows_raw!$B$4:$B1000)</f>
        <v>#N/A</v>
      </c>
      <c r="E690" s="26" t="str">
        <f t="array" ref="E690">XLOOKUP($A690,Facebook_interactions_raw!$A$4:$A1000,Facebook_interactions_raw!$B$4:$B1000)</f>
        <v>#N/A</v>
      </c>
      <c r="F690" s="26" t="str">
        <f t="array" ref="F690">XLOOKUP($A690,Facebook_reach_raw!$A$4:$A1000,Facebook_reach_raw!$B$4:$B1000)</f>
        <v>#N/A</v>
      </c>
    </row>
    <row r="691">
      <c r="A691" s="30" t="str">
        <f>Facebook_reach_raw!$A693</f>
        <v/>
      </c>
      <c r="B691" s="29" t="str">
        <f>Facebook_interactions_raw!$A693</f>
        <v/>
      </c>
      <c r="C691" s="26" t="str">
        <f t="shared" si="1"/>
        <v/>
      </c>
      <c r="D691" s="26" t="str">
        <f t="array" ref="D691">XLOOKUP($A691,Facebook_follows_raw!$A$4:$A1000,Facebook_follows_raw!$B$4:$B1000)</f>
        <v>#N/A</v>
      </c>
      <c r="E691" s="26" t="str">
        <f t="array" ref="E691">XLOOKUP($A691,Facebook_interactions_raw!$A$4:$A1000,Facebook_interactions_raw!$B$4:$B1000)</f>
        <v>#N/A</v>
      </c>
      <c r="F691" s="26" t="str">
        <f t="array" ref="F691">XLOOKUP($A691,Facebook_reach_raw!$A$4:$A1000,Facebook_reach_raw!$B$4:$B1000)</f>
        <v>#N/A</v>
      </c>
    </row>
    <row r="692">
      <c r="A692" s="30" t="str">
        <f>Facebook_reach_raw!$A694</f>
        <v/>
      </c>
      <c r="B692" s="29" t="str">
        <f>Facebook_interactions_raw!$A694</f>
        <v/>
      </c>
      <c r="C692" s="26" t="str">
        <f t="shared" si="1"/>
        <v/>
      </c>
      <c r="D692" s="26" t="str">
        <f t="array" ref="D692">XLOOKUP($A692,Facebook_follows_raw!$A$4:$A1000,Facebook_follows_raw!$B$4:$B1000)</f>
        <v>#N/A</v>
      </c>
      <c r="E692" s="26" t="str">
        <f t="array" ref="E692">XLOOKUP($A692,Facebook_interactions_raw!$A$4:$A1000,Facebook_interactions_raw!$B$4:$B1000)</f>
        <v>#N/A</v>
      </c>
      <c r="F692" s="26" t="str">
        <f t="array" ref="F692">XLOOKUP($A692,Facebook_reach_raw!$A$4:$A1000,Facebook_reach_raw!$B$4:$B1000)</f>
        <v>#N/A</v>
      </c>
    </row>
    <row r="693">
      <c r="A693" s="30" t="str">
        <f>Facebook_reach_raw!$A695</f>
        <v/>
      </c>
      <c r="B693" s="29" t="str">
        <f>Facebook_interactions_raw!$A695</f>
        <v/>
      </c>
      <c r="C693" s="26" t="str">
        <f t="shared" si="1"/>
        <v/>
      </c>
      <c r="D693" s="26" t="str">
        <f t="array" ref="D693">XLOOKUP($A693,Facebook_follows_raw!$A$4:$A1000,Facebook_follows_raw!$B$4:$B1000)</f>
        <v>#N/A</v>
      </c>
      <c r="E693" s="26" t="str">
        <f t="array" ref="E693">XLOOKUP($A693,Facebook_interactions_raw!$A$4:$A1000,Facebook_interactions_raw!$B$4:$B1000)</f>
        <v>#N/A</v>
      </c>
      <c r="F693" s="26" t="str">
        <f t="array" ref="F693">XLOOKUP($A693,Facebook_reach_raw!$A$4:$A1000,Facebook_reach_raw!$B$4:$B1000)</f>
        <v>#N/A</v>
      </c>
    </row>
    <row r="694">
      <c r="A694" s="30" t="str">
        <f>Facebook_reach_raw!$A696</f>
        <v/>
      </c>
      <c r="B694" s="29" t="str">
        <f>Facebook_interactions_raw!$A696</f>
        <v/>
      </c>
      <c r="C694" s="26" t="str">
        <f t="shared" si="1"/>
        <v/>
      </c>
      <c r="D694" s="26" t="str">
        <f t="array" ref="D694">XLOOKUP($A694,Facebook_follows_raw!$A$4:$A1000,Facebook_follows_raw!$B$4:$B1000)</f>
        <v>#N/A</v>
      </c>
      <c r="E694" s="26" t="str">
        <f t="array" ref="E694">XLOOKUP($A694,Facebook_interactions_raw!$A$4:$A1000,Facebook_interactions_raw!$B$4:$B1000)</f>
        <v>#N/A</v>
      </c>
      <c r="F694" s="26" t="str">
        <f t="array" ref="F694">XLOOKUP($A694,Facebook_reach_raw!$A$4:$A1000,Facebook_reach_raw!$B$4:$B1000)</f>
        <v>#N/A</v>
      </c>
    </row>
    <row r="695">
      <c r="A695" s="30" t="str">
        <f>Facebook_reach_raw!$A697</f>
        <v/>
      </c>
      <c r="B695" s="29" t="str">
        <f>Facebook_interactions_raw!$A697</f>
        <v/>
      </c>
      <c r="C695" s="26" t="str">
        <f t="shared" si="1"/>
        <v/>
      </c>
      <c r="D695" s="26" t="str">
        <f t="array" ref="D695">XLOOKUP($A695,Facebook_follows_raw!$A$4:$A1000,Facebook_follows_raw!$B$4:$B1000)</f>
        <v>#N/A</v>
      </c>
      <c r="E695" s="26" t="str">
        <f t="array" ref="E695">XLOOKUP($A695,Facebook_interactions_raw!$A$4:$A1000,Facebook_interactions_raw!$B$4:$B1000)</f>
        <v>#N/A</v>
      </c>
      <c r="F695" s="26" t="str">
        <f t="array" ref="F695">XLOOKUP($A695,Facebook_reach_raw!$A$4:$A1000,Facebook_reach_raw!$B$4:$B1000)</f>
        <v>#N/A</v>
      </c>
    </row>
    <row r="696">
      <c r="A696" s="30" t="str">
        <f>Facebook_reach_raw!$A698</f>
        <v/>
      </c>
      <c r="B696" s="29" t="str">
        <f>Facebook_interactions_raw!$A698</f>
        <v/>
      </c>
      <c r="C696" s="26" t="str">
        <f t="shared" si="1"/>
        <v/>
      </c>
      <c r="D696" s="26" t="str">
        <f t="array" ref="D696">XLOOKUP($A696,Facebook_follows_raw!$A$4:$A1000,Facebook_follows_raw!$B$4:$B1000)</f>
        <v>#N/A</v>
      </c>
      <c r="E696" s="26" t="str">
        <f t="array" ref="E696">XLOOKUP($A696,Facebook_interactions_raw!$A$4:$A1000,Facebook_interactions_raw!$B$4:$B1000)</f>
        <v>#N/A</v>
      </c>
      <c r="F696" s="26" t="str">
        <f t="array" ref="F696">XLOOKUP($A696,Facebook_reach_raw!$A$4:$A1000,Facebook_reach_raw!$B$4:$B1000)</f>
        <v>#N/A</v>
      </c>
    </row>
    <row r="697">
      <c r="A697" s="30" t="str">
        <f>Facebook_reach_raw!$A699</f>
        <v/>
      </c>
      <c r="B697" s="29" t="str">
        <f>Facebook_interactions_raw!$A699</f>
        <v/>
      </c>
      <c r="C697" s="26" t="str">
        <f t="shared" si="1"/>
        <v/>
      </c>
      <c r="D697" s="26" t="str">
        <f t="array" ref="D697">XLOOKUP($A697,Facebook_follows_raw!$A$4:$A1000,Facebook_follows_raw!$B$4:$B1000)</f>
        <v>#N/A</v>
      </c>
      <c r="E697" s="26" t="str">
        <f t="array" ref="E697">XLOOKUP($A697,Facebook_interactions_raw!$A$4:$A1000,Facebook_interactions_raw!$B$4:$B1000)</f>
        <v>#N/A</v>
      </c>
      <c r="F697" s="26" t="str">
        <f t="array" ref="F697">XLOOKUP($A697,Facebook_reach_raw!$A$4:$A1000,Facebook_reach_raw!$B$4:$B1000)</f>
        <v>#N/A</v>
      </c>
    </row>
    <row r="698">
      <c r="A698" s="30" t="str">
        <f>Facebook_reach_raw!$A700</f>
        <v/>
      </c>
      <c r="B698" s="29" t="str">
        <f>Facebook_interactions_raw!$A700</f>
        <v/>
      </c>
      <c r="C698" s="26" t="str">
        <f t="shared" si="1"/>
        <v/>
      </c>
      <c r="D698" s="26" t="str">
        <f t="array" ref="D698">XLOOKUP($A698,Facebook_follows_raw!$A$4:$A1000,Facebook_follows_raw!$B$4:$B1000)</f>
        <v>#N/A</v>
      </c>
      <c r="E698" s="26" t="str">
        <f t="array" ref="E698">XLOOKUP($A698,Facebook_interactions_raw!$A$4:$A1000,Facebook_interactions_raw!$B$4:$B1000)</f>
        <v>#N/A</v>
      </c>
      <c r="F698" s="26" t="str">
        <f t="array" ref="F698">XLOOKUP($A698,Facebook_reach_raw!$A$4:$A1000,Facebook_reach_raw!$B$4:$B1000)</f>
        <v>#N/A</v>
      </c>
    </row>
    <row r="699">
      <c r="A699" s="30" t="str">
        <f>Facebook_reach_raw!$A701</f>
        <v/>
      </c>
      <c r="B699" s="29" t="str">
        <f>Facebook_interactions_raw!$A701</f>
        <v/>
      </c>
      <c r="C699" s="26" t="str">
        <f t="shared" si="1"/>
        <v/>
      </c>
      <c r="D699" s="26" t="str">
        <f t="array" ref="D699">XLOOKUP($A699,Facebook_follows_raw!$A$4:$A1000,Facebook_follows_raw!$B$4:$B1000)</f>
        <v>#N/A</v>
      </c>
      <c r="E699" s="26" t="str">
        <f t="array" ref="E699">XLOOKUP($A699,Facebook_interactions_raw!$A$4:$A1000,Facebook_interactions_raw!$B$4:$B1000)</f>
        <v>#N/A</v>
      </c>
      <c r="F699" s="26" t="str">
        <f t="array" ref="F699">XLOOKUP($A699,Facebook_reach_raw!$A$4:$A1000,Facebook_reach_raw!$B$4:$B1000)</f>
        <v>#N/A</v>
      </c>
    </row>
    <row r="700">
      <c r="A700" s="30" t="str">
        <f>Facebook_reach_raw!$A702</f>
        <v/>
      </c>
      <c r="B700" s="29" t="str">
        <f>Facebook_interactions_raw!$A702</f>
        <v/>
      </c>
      <c r="C700" s="26" t="str">
        <f t="shared" si="1"/>
        <v/>
      </c>
      <c r="D700" s="26" t="str">
        <f t="array" ref="D700">XLOOKUP($A700,Facebook_follows_raw!$A$4:$A1000,Facebook_follows_raw!$B$4:$B1000)</f>
        <v>#N/A</v>
      </c>
      <c r="E700" s="26" t="str">
        <f t="array" ref="E700">XLOOKUP($A700,Facebook_interactions_raw!$A$4:$A1000,Facebook_interactions_raw!$B$4:$B1000)</f>
        <v>#N/A</v>
      </c>
      <c r="F700" s="26" t="str">
        <f t="array" ref="F700">XLOOKUP($A700,Facebook_reach_raw!$A$4:$A1000,Facebook_reach_raw!$B$4:$B1000)</f>
        <v>#N/A</v>
      </c>
    </row>
    <row r="701">
      <c r="A701" s="30" t="str">
        <f>Facebook_reach_raw!$A703</f>
        <v/>
      </c>
      <c r="B701" s="29" t="str">
        <f>Facebook_interactions_raw!$A703</f>
        <v/>
      </c>
      <c r="C701" s="26" t="str">
        <f t="shared" si="1"/>
        <v/>
      </c>
      <c r="D701" s="26" t="str">
        <f t="array" ref="D701">XLOOKUP($A701,Facebook_follows_raw!$A$4:$A1000,Facebook_follows_raw!$B$4:$B1000)</f>
        <v>#N/A</v>
      </c>
      <c r="E701" s="26" t="str">
        <f t="array" ref="E701">XLOOKUP($A701,Facebook_interactions_raw!$A$4:$A1000,Facebook_interactions_raw!$B$4:$B1000)</f>
        <v>#N/A</v>
      </c>
      <c r="F701" s="26" t="str">
        <f t="array" ref="F701">XLOOKUP($A701,Facebook_reach_raw!$A$4:$A1000,Facebook_reach_raw!$B$4:$B1000)</f>
        <v>#N/A</v>
      </c>
    </row>
    <row r="702">
      <c r="A702" s="30" t="str">
        <f>Facebook_reach_raw!$A704</f>
        <v/>
      </c>
      <c r="B702" s="29" t="str">
        <f>Facebook_interactions_raw!$A704</f>
        <v/>
      </c>
      <c r="C702" s="26" t="str">
        <f t="shared" si="1"/>
        <v/>
      </c>
      <c r="D702" s="26" t="str">
        <f t="array" ref="D702">XLOOKUP($A702,Facebook_follows_raw!$A$4:$A1000,Facebook_follows_raw!$B$4:$B1000)</f>
        <v>#N/A</v>
      </c>
      <c r="E702" s="26" t="str">
        <f t="array" ref="E702">XLOOKUP($A702,Facebook_interactions_raw!$A$4:$A1000,Facebook_interactions_raw!$B$4:$B1000)</f>
        <v>#N/A</v>
      </c>
      <c r="F702" s="26" t="str">
        <f t="array" ref="F702">XLOOKUP($A702,Facebook_reach_raw!$A$4:$A1000,Facebook_reach_raw!$B$4:$B1000)</f>
        <v>#N/A</v>
      </c>
    </row>
    <row r="703">
      <c r="A703" s="30" t="str">
        <f>Facebook_reach_raw!$A705</f>
        <v/>
      </c>
      <c r="B703" s="29" t="str">
        <f>Facebook_interactions_raw!$A705</f>
        <v/>
      </c>
      <c r="C703" s="26" t="str">
        <f t="shared" si="1"/>
        <v/>
      </c>
      <c r="D703" s="26" t="str">
        <f t="array" ref="D703">XLOOKUP($A703,Facebook_follows_raw!$A$4:$A1000,Facebook_follows_raw!$B$4:$B1000)</f>
        <v>#N/A</v>
      </c>
      <c r="E703" s="26" t="str">
        <f t="array" ref="E703">XLOOKUP($A703,Facebook_interactions_raw!$A$4:$A1000,Facebook_interactions_raw!$B$4:$B1000)</f>
        <v>#N/A</v>
      </c>
      <c r="F703" s="26" t="str">
        <f t="array" ref="F703">XLOOKUP($A703,Facebook_reach_raw!$A$4:$A1000,Facebook_reach_raw!$B$4:$B1000)</f>
        <v>#N/A</v>
      </c>
    </row>
    <row r="704">
      <c r="A704" s="30" t="str">
        <f>Facebook_reach_raw!$A706</f>
        <v/>
      </c>
      <c r="B704" s="29" t="str">
        <f>Facebook_interactions_raw!$A706</f>
        <v/>
      </c>
      <c r="C704" s="26" t="str">
        <f t="shared" si="1"/>
        <v/>
      </c>
      <c r="D704" s="26" t="str">
        <f t="array" ref="D704">XLOOKUP($A704,Facebook_follows_raw!$A$4:$A1000,Facebook_follows_raw!$B$4:$B1000)</f>
        <v>#N/A</v>
      </c>
      <c r="E704" s="26" t="str">
        <f t="array" ref="E704">XLOOKUP($A704,Facebook_interactions_raw!$A$4:$A1000,Facebook_interactions_raw!$B$4:$B1000)</f>
        <v>#N/A</v>
      </c>
      <c r="F704" s="26" t="str">
        <f t="array" ref="F704">XLOOKUP($A704,Facebook_reach_raw!$A$4:$A1000,Facebook_reach_raw!$B$4:$B1000)</f>
        <v>#N/A</v>
      </c>
    </row>
    <row r="705">
      <c r="A705" s="30" t="str">
        <f>Facebook_reach_raw!$A707</f>
        <v/>
      </c>
      <c r="B705" s="29" t="str">
        <f>Facebook_interactions_raw!$A707</f>
        <v/>
      </c>
      <c r="C705" s="26" t="str">
        <f t="shared" si="1"/>
        <v/>
      </c>
      <c r="D705" s="26" t="str">
        <f t="array" ref="D705">XLOOKUP($A705,Facebook_follows_raw!$A$4:$A1000,Facebook_follows_raw!$B$4:$B1000)</f>
        <v>#N/A</v>
      </c>
      <c r="E705" s="26" t="str">
        <f t="array" ref="E705">XLOOKUP($A705,Facebook_interactions_raw!$A$4:$A1000,Facebook_interactions_raw!$B$4:$B1000)</f>
        <v>#N/A</v>
      </c>
      <c r="F705" s="26" t="str">
        <f t="array" ref="F705">XLOOKUP($A705,Facebook_reach_raw!$A$4:$A1000,Facebook_reach_raw!$B$4:$B1000)</f>
        <v>#N/A</v>
      </c>
    </row>
    <row r="706">
      <c r="A706" s="30" t="str">
        <f>Facebook_reach_raw!$A708</f>
        <v/>
      </c>
      <c r="B706" s="29" t="str">
        <f>Facebook_interactions_raw!$A708</f>
        <v/>
      </c>
      <c r="C706" s="26" t="str">
        <f t="shared" si="1"/>
        <v/>
      </c>
      <c r="D706" s="26" t="str">
        <f t="array" ref="D706">XLOOKUP($A706,Facebook_follows_raw!$A$4:$A1000,Facebook_follows_raw!$B$4:$B1000)</f>
        <v>#N/A</v>
      </c>
      <c r="E706" s="26" t="str">
        <f t="array" ref="E706">XLOOKUP($A706,Facebook_interactions_raw!$A$4:$A1000,Facebook_interactions_raw!$B$4:$B1000)</f>
        <v>#N/A</v>
      </c>
      <c r="F706" s="26" t="str">
        <f t="array" ref="F706">XLOOKUP($A706,Facebook_reach_raw!$A$4:$A1000,Facebook_reach_raw!$B$4:$B1000)</f>
        <v>#N/A</v>
      </c>
    </row>
    <row r="707">
      <c r="A707" s="30" t="str">
        <f>Facebook_reach_raw!$A709</f>
        <v/>
      </c>
      <c r="B707" s="29" t="str">
        <f>Facebook_interactions_raw!$A709</f>
        <v/>
      </c>
      <c r="C707" s="26" t="str">
        <f t="shared" si="1"/>
        <v/>
      </c>
      <c r="D707" s="26" t="str">
        <f t="array" ref="D707">XLOOKUP($A707,Facebook_follows_raw!$A$4:$A1000,Facebook_follows_raw!$B$4:$B1000)</f>
        <v>#N/A</v>
      </c>
      <c r="E707" s="26" t="str">
        <f t="array" ref="E707">XLOOKUP($A707,Facebook_interactions_raw!$A$4:$A1000,Facebook_interactions_raw!$B$4:$B1000)</f>
        <v>#N/A</v>
      </c>
      <c r="F707" s="26" t="str">
        <f t="array" ref="F707">XLOOKUP($A707,Facebook_reach_raw!$A$4:$A1000,Facebook_reach_raw!$B$4:$B1000)</f>
        <v>#N/A</v>
      </c>
    </row>
    <row r="708">
      <c r="A708" s="30" t="str">
        <f>Facebook_reach_raw!$A710</f>
        <v/>
      </c>
      <c r="B708" s="29" t="str">
        <f>Facebook_interactions_raw!$A710</f>
        <v/>
      </c>
      <c r="C708" s="26" t="str">
        <f t="shared" si="1"/>
        <v/>
      </c>
      <c r="D708" s="26" t="str">
        <f t="array" ref="D708">XLOOKUP($A708,Facebook_follows_raw!$A$4:$A1000,Facebook_follows_raw!$B$4:$B1000)</f>
        <v>#N/A</v>
      </c>
      <c r="E708" s="26" t="str">
        <f t="array" ref="E708">XLOOKUP($A708,Facebook_interactions_raw!$A$4:$A1000,Facebook_interactions_raw!$B$4:$B1000)</f>
        <v>#N/A</v>
      </c>
      <c r="F708" s="26" t="str">
        <f t="array" ref="F708">XLOOKUP($A708,Facebook_reach_raw!$A$4:$A1000,Facebook_reach_raw!$B$4:$B1000)</f>
        <v>#N/A</v>
      </c>
    </row>
    <row r="709">
      <c r="A709" s="30" t="str">
        <f>Facebook_reach_raw!$A711</f>
        <v/>
      </c>
      <c r="B709" s="29" t="str">
        <f>Facebook_interactions_raw!$A711</f>
        <v/>
      </c>
      <c r="C709" s="26" t="str">
        <f t="shared" si="1"/>
        <v/>
      </c>
      <c r="D709" s="26" t="str">
        <f t="array" ref="D709">XLOOKUP($A709,Facebook_follows_raw!$A$4:$A1000,Facebook_follows_raw!$B$4:$B1000)</f>
        <v>#N/A</v>
      </c>
      <c r="E709" s="26" t="str">
        <f t="array" ref="E709">XLOOKUP($A709,Facebook_interactions_raw!$A$4:$A1000,Facebook_interactions_raw!$B$4:$B1000)</f>
        <v>#N/A</v>
      </c>
      <c r="F709" s="26" t="str">
        <f t="array" ref="F709">XLOOKUP($A709,Facebook_reach_raw!$A$4:$A1000,Facebook_reach_raw!$B$4:$B1000)</f>
        <v>#N/A</v>
      </c>
    </row>
    <row r="710">
      <c r="A710" s="30" t="str">
        <f>Facebook_reach_raw!$A712</f>
        <v/>
      </c>
      <c r="B710" s="29" t="str">
        <f>Facebook_interactions_raw!$A712</f>
        <v/>
      </c>
      <c r="C710" s="26" t="str">
        <f t="shared" si="1"/>
        <v/>
      </c>
      <c r="D710" s="26" t="str">
        <f t="array" ref="D710">XLOOKUP($A710,Facebook_follows_raw!$A$4:$A1000,Facebook_follows_raw!$B$4:$B1000)</f>
        <v>#N/A</v>
      </c>
      <c r="E710" s="26" t="str">
        <f t="array" ref="E710">XLOOKUP($A710,Facebook_interactions_raw!$A$4:$A1000,Facebook_interactions_raw!$B$4:$B1000)</f>
        <v>#N/A</v>
      </c>
      <c r="F710" s="26" t="str">
        <f t="array" ref="F710">XLOOKUP($A710,Facebook_reach_raw!$A$4:$A1000,Facebook_reach_raw!$B$4:$B1000)</f>
        <v>#N/A</v>
      </c>
    </row>
    <row r="711">
      <c r="A711" s="30" t="str">
        <f>Facebook_reach_raw!$A713</f>
        <v/>
      </c>
      <c r="B711" s="29" t="str">
        <f>Facebook_interactions_raw!$A713</f>
        <v/>
      </c>
      <c r="C711" s="26" t="str">
        <f t="shared" si="1"/>
        <v/>
      </c>
      <c r="D711" s="26" t="str">
        <f t="array" ref="D711">XLOOKUP($A711,Facebook_follows_raw!$A$4:$A1000,Facebook_follows_raw!$B$4:$B1000)</f>
        <v>#N/A</v>
      </c>
      <c r="E711" s="26" t="str">
        <f t="array" ref="E711">XLOOKUP($A711,Facebook_interactions_raw!$A$4:$A1000,Facebook_interactions_raw!$B$4:$B1000)</f>
        <v>#N/A</v>
      </c>
      <c r="F711" s="26" t="str">
        <f t="array" ref="F711">XLOOKUP($A711,Facebook_reach_raw!$A$4:$A1000,Facebook_reach_raw!$B$4:$B1000)</f>
        <v>#N/A</v>
      </c>
    </row>
    <row r="712">
      <c r="A712" s="30" t="str">
        <f>Facebook_reach_raw!$A714</f>
        <v/>
      </c>
      <c r="B712" s="29" t="str">
        <f>Facebook_interactions_raw!$A714</f>
        <v/>
      </c>
      <c r="C712" s="26" t="str">
        <f t="shared" si="1"/>
        <v/>
      </c>
      <c r="D712" s="26" t="str">
        <f t="array" ref="D712">XLOOKUP($A712,Facebook_follows_raw!$A$4:$A1000,Facebook_follows_raw!$B$4:$B1000)</f>
        <v>#N/A</v>
      </c>
      <c r="E712" s="26" t="str">
        <f t="array" ref="E712">XLOOKUP($A712,Facebook_interactions_raw!$A$4:$A1000,Facebook_interactions_raw!$B$4:$B1000)</f>
        <v>#N/A</v>
      </c>
      <c r="F712" s="26" t="str">
        <f t="array" ref="F712">XLOOKUP($A712,Facebook_reach_raw!$A$4:$A1000,Facebook_reach_raw!$B$4:$B1000)</f>
        <v>#N/A</v>
      </c>
    </row>
    <row r="713">
      <c r="A713" s="30" t="str">
        <f>Facebook_reach_raw!$A715</f>
        <v/>
      </c>
      <c r="B713" s="29" t="str">
        <f>Facebook_interactions_raw!$A715</f>
        <v/>
      </c>
      <c r="C713" s="26" t="str">
        <f t="shared" si="1"/>
        <v/>
      </c>
      <c r="D713" s="26" t="str">
        <f t="array" ref="D713">XLOOKUP($A713,Facebook_follows_raw!$A$4:$A1000,Facebook_follows_raw!$B$4:$B1000)</f>
        <v>#N/A</v>
      </c>
      <c r="E713" s="26" t="str">
        <f t="array" ref="E713">XLOOKUP($A713,Facebook_interactions_raw!$A$4:$A1000,Facebook_interactions_raw!$B$4:$B1000)</f>
        <v>#N/A</v>
      </c>
      <c r="F713" s="26" t="str">
        <f t="array" ref="F713">XLOOKUP($A713,Facebook_reach_raw!$A$4:$A1000,Facebook_reach_raw!$B$4:$B1000)</f>
        <v>#N/A</v>
      </c>
    </row>
    <row r="714">
      <c r="A714" s="30" t="str">
        <f>Facebook_reach_raw!$A716</f>
        <v/>
      </c>
      <c r="B714" s="29" t="str">
        <f>Facebook_interactions_raw!$A716</f>
        <v/>
      </c>
      <c r="C714" s="26" t="str">
        <f t="shared" si="1"/>
        <v/>
      </c>
      <c r="D714" s="26" t="str">
        <f t="array" ref="D714">XLOOKUP($A714,Facebook_follows_raw!$A$4:$A1000,Facebook_follows_raw!$B$4:$B1000)</f>
        <v>#N/A</v>
      </c>
      <c r="E714" s="26" t="str">
        <f t="array" ref="E714">XLOOKUP($A714,Facebook_interactions_raw!$A$4:$A1000,Facebook_interactions_raw!$B$4:$B1000)</f>
        <v>#N/A</v>
      </c>
      <c r="F714" s="26" t="str">
        <f t="array" ref="F714">XLOOKUP($A714,Facebook_reach_raw!$A$4:$A1000,Facebook_reach_raw!$B$4:$B1000)</f>
        <v>#N/A</v>
      </c>
    </row>
    <row r="715">
      <c r="A715" s="30" t="str">
        <f>Facebook_reach_raw!$A717</f>
        <v/>
      </c>
      <c r="B715" s="29" t="str">
        <f>Facebook_interactions_raw!$A717</f>
        <v/>
      </c>
      <c r="C715" s="26" t="str">
        <f t="shared" si="1"/>
        <v/>
      </c>
      <c r="D715" s="26" t="str">
        <f t="array" ref="D715">XLOOKUP($A715,Facebook_follows_raw!$A$4:$A1000,Facebook_follows_raw!$B$4:$B1000)</f>
        <v>#N/A</v>
      </c>
      <c r="E715" s="26" t="str">
        <f t="array" ref="E715">XLOOKUP($A715,Facebook_interactions_raw!$A$4:$A1000,Facebook_interactions_raw!$B$4:$B1000)</f>
        <v>#N/A</v>
      </c>
      <c r="F715" s="26" t="str">
        <f t="array" ref="F715">XLOOKUP($A715,Facebook_reach_raw!$A$4:$A1000,Facebook_reach_raw!$B$4:$B1000)</f>
        <v>#N/A</v>
      </c>
    </row>
    <row r="716">
      <c r="A716" s="30" t="str">
        <f>Facebook_reach_raw!$A718</f>
        <v/>
      </c>
      <c r="B716" s="29" t="str">
        <f>Facebook_interactions_raw!$A718</f>
        <v/>
      </c>
      <c r="C716" s="26" t="str">
        <f t="shared" si="1"/>
        <v/>
      </c>
      <c r="D716" s="26" t="str">
        <f t="array" ref="D716">XLOOKUP($A716,Facebook_follows_raw!$A$4:$A1000,Facebook_follows_raw!$B$4:$B1000)</f>
        <v>#N/A</v>
      </c>
      <c r="E716" s="26" t="str">
        <f t="array" ref="E716">XLOOKUP($A716,Facebook_interactions_raw!$A$4:$A1000,Facebook_interactions_raw!$B$4:$B1000)</f>
        <v>#N/A</v>
      </c>
      <c r="F716" s="26" t="str">
        <f t="array" ref="F716">XLOOKUP($A716,Facebook_reach_raw!$A$4:$A1000,Facebook_reach_raw!$B$4:$B1000)</f>
        <v>#N/A</v>
      </c>
    </row>
    <row r="717">
      <c r="A717" s="30" t="str">
        <f>Facebook_reach_raw!$A719</f>
        <v/>
      </c>
      <c r="B717" s="29" t="str">
        <f>Facebook_interactions_raw!$A719</f>
        <v/>
      </c>
      <c r="C717" s="26" t="str">
        <f t="shared" si="1"/>
        <v/>
      </c>
      <c r="D717" s="26" t="str">
        <f t="array" ref="D717">XLOOKUP($A717,Facebook_follows_raw!$A$4:$A1000,Facebook_follows_raw!$B$4:$B1000)</f>
        <v>#N/A</v>
      </c>
      <c r="E717" s="26" t="str">
        <f t="array" ref="E717">XLOOKUP($A717,Facebook_interactions_raw!$A$4:$A1000,Facebook_interactions_raw!$B$4:$B1000)</f>
        <v>#N/A</v>
      </c>
      <c r="F717" s="26" t="str">
        <f t="array" ref="F717">XLOOKUP($A717,Facebook_reach_raw!$A$4:$A1000,Facebook_reach_raw!$B$4:$B1000)</f>
        <v>#N/A</v>
      </c>
    </row>
    <row r="718">
      <c r="A718" s="30" t="str">
        <f>Facebook_reach_raw!$A720</f>
        <v/>
      </c>
      <c r="B718" s="29" t="str">
        <f>Facebook_interactions_raw!$A720</f>
        <v/>
      </c>
      <c r="C718" s="26" t="str">
        <f t="shared" si="1"/>
        <v/>
      </c>
      <c r="D718" s="26" t="str">
        <f t="array" ref="D718">XLOOKUP($A718,Facebook_follows_raw!$A$4:$A1000,Facebook_follows_raw!$B$4:$B1000)</f>
        <v>#N/A</v>
      </c>
      <c r="E718" s="26" t="str">
        <f t="array" ref="E718">XLOOKUP($A718,Facebook_interactions_raw!$A$4:$A1000,Facebook_interactions_raw!$B$4:$B1000)</f>
        <v>#N/A</v>
      </c>
      <c r="F718" s="26" t="str">
        <f t="array" ref="F718">XLOOKUP($A718,Facebook_reach_raw!$A$4:$A1000,Facebook_reach_raw!$B$4:$B1000)</f>
        <v>#N/A</v>
      </c>
    </row>
    <row r="719">
      <c r="A719" s="30" t="str">
        <f>Facebook_reach_raw!$A721</f>
        <v/>
      </c>
      <c r="B719" s="29" t="str">
        <f>Facebook_interactions_raw!$A721</f>
        <v/>
      </c>
      <c r="C719" s="26" t="str">
        <f t="shared" si="1"/>
        <v/>
      </c>
      <c r="D719" s="26" t="str">
        <f t="array" ref="D719">XLOOKUP($A719,Facebook_follows_raw!$A$4:$A1000,Facebook_follows_raw!$B$4:$B1000)</f>
        <v>#N/A</v>
      </c>
      <c r="E719" s="26" t="str">
        <f t="array" ref="E719">XLOOKUP($A719,Facebook_interactions_raw!$A$4:$A1000,Facebook_interactions_raw!$B$4:$B1000)</f>
        <v>#N/A</v>
      </c>
      <c r="F719" s="26" t="str">
        <f t="array" ref="F719">XLOOKUP($A719,Facebook_reach_raw!$A$4:$A1000,Facebook_reach_raw!$B$4:$B1000)</f>
        <v>#N/A</v>
      </c>
    </row>
    <row r="720">
      <c r="A720" s="30" t="str">
        <f>Facebook_reach_raw!$A722</f>
        <v/>
      </c>
      <c r="B720" s="29" t="str">
        <f>Facebook_interactions_raw!$A722</f>
        <v/>
      </c>
      <c r="C720" s="26" t="str">
        <f t="shared" si="1"/>
        <v/>
      </c>
      <c r="D720" s="26" t="str">
        <f t="array" ref="D720">XLOOKUP($A720,Facebook_follows_raw!$A$4:$A1000,Facebook_follows_raw!$B$4:$B1000)</f>
        <v>#N/A</v>
      </c>
      <c r="E720" s="26" t="str">
        <f t="array" ref="E720">XLOOKUP($A720,Facebook_interactions_raw!$A$4:$A1000,Facebook_interactions_raw!$B$4:$B1000)</f>
        <v>#N/A</v>
      </c>
      <c r="F720" s="26" t="str">
        <f t="array" ref="F720">XLOOKUP($A720,Facebook_reach_raw!$A$4:$A1000,Facebook_reach_raw!$B$4:$B1000)</f>
        <v>#N/A</v>
      </c>
    </row>
    <row r="721">
      <c r="A721" s="30" t="str">
        <f>Facebook_reach_raw!$A723</f>
        <v/>
      </c>
      <c r="B721" s="29" t="str">
        <f>Facebook_interactions_raw!$A723</f>
        <v/>
      </c>
      <c r="C721" s="26" t="str">
        <f t="shared" si="1"/>
        <v/>
      </c>
      <c r="D721" s="26" t="str">
        <f t="array" ref="D721">XLOOKUP($A721,Facebook_follows_raw!$A$4:$A1000,Facebook_follows_raw!$B$4:$B1000)</f>
        <v>#N/A</v>
      </c>
      <c r="E721" s="26" t="str">
        <f t="array" ref="E721">XLOOKUP($A721,Facebook_interactions_raw!$A$4:$A1000,Facebook_interactions_raw!$B$4:$B1000)</f>
        <v>#N/A</v>
      </c>
      <c r="F721" s="26" t="str">
        <f t="array" ref="F721">XLOOKUP($A721,Facebook_reach_raw!$A$4:$A1000,Facebook_reach_raw!$B$4:$B1000)</f>
        <v>#N/A</v>
      </c>
    </row>
    <row r="722">
      <c r="A722" s="30" t="str">
        <f>Facebook_reach_raw!$A724</f>
        <v/>
      </c>
      <c r="B722" s="29" t="str">
        <f>Facebook_interactions_raw!$A724</f>
        <v/>
      </c>
      <c r="C722" s="26" t="str">
        <f t="shared" si="1"/>
        <v/>
      </c>
      <c r="D722" s="26" t="str">
        <f t="array" ref="D722">XLOOKUP($A722,Facebook_follows_raw!$A$4:$A1000,Facebook_follows_raw!$B$4:$B1000)</f>
        <v>#N/A</v>
      </c>
      <c r="E722" s="26" t="str">
        <f t="array" ref="E722">XLOOKUP($A722,Facebook_interactions_raw!$A$4:$A1000,Facebook_interactions_raw!$B$4:$B1000)</f>
        <v>#N/A</v>
      </c>
      <c r="F722" s="26" t="str">
        <f t="array" ref="F722">XLOOKUP($A722,Facebook_reach_raw!$A$4:$A1000,Facebook_reach_raw!$B$4:$B1000)</f>
        <v>#N/A</v>
      </c>
    </row>
    <row r="723">
      <c r="A723" s="30" t="str">
        <f>Facebook_reach_raw!$A725</f>
        <v/>
      </c>
      <c r="B723" s="29" t="str">
        <f>Facebook_interactions_raw!$A725</f>
        <v/>
      </c>
      <c r="C723" s="26" t="str">
        <f t="shared" si="1"/>
        <v/>
      </c>
      <c r="D723" s="26" t="str">
        <f t="array" ref="D723">XLOOKUP($A723,Facebook_follows_raw!$A$4:$A1000,Facebook_follows_raw!$B$4:$B1000)</f>
        <v>#N/A</v>
      </c>
      <c r="E723" s="26" t="str">
        <f t="array" ref="E723">XLOOKUP($A723,Facebook_interactions_raw!$A$4:$A1000,Facebook_interactions_raw!$B$4:$B1000)</f>
        <v>#N/A</v>
      </c>
      <c r="F723" s="26" t="str">
        <f t="array" ref="F723">XLOOKUP($A723,Facebook_reach_raw!$A$4:$A1000,Facebook_reach_raw!$B$4:$B1000)</f>
        <v>#N/A</v>
      </c>
    </row>
    <row r="724">
      <c r="A724" s="30" t="str">
        <f>Facebook_reach_raw!$A726</f>
        <v/>
      </c>
      <c r="B724" s="29" t="str">
        <f>Facebook_interactions_raw!$A726</f>
        <v/>
      </c>
      <c r="C724" s="26" t="str">
        <f t="shared" si="1"/>
        <v/>
      </c>
      <c r="D724" s="26" t="str">
        <f t="array" ref="D724">XLOOKUP($A724,Facebook_follows_raw!$A$4:$A1000,Facebook_follows_raw!$B$4:$B1000)</f>
        <v>#N/A</v>
      </c>
      <c r="E724" s="26" t="str">
        <f t="array" ref="E724">XLOOKUP($A724,Facebook_interactions_raw!$A$4:$A1000,Facebook_interactions_raw!$B$4:$B1000)</f>
        <v>#N/A</v>
      </c>
      <c r="F724" s="26" t="str">
        <f t="array" ref="F724">XLOOKUP($A724,Facebook_reach_raw!$A$4:$A1000,Facebook_reach_raw!$B$4:$B1000)</f>
        <v>#N/A</v>
      </c>
    </row>
    <row r="725">
      <c r="A725" s="30" t="str">
        <f>Facebook_reach_raw!$A727</f>
        <v/>
      </c>
      <c r="B725" s="29" t="str">
        <f>Facebook_interactions_raw!$A727</f>
        <v/>
      </c>
      <c r="C725" s="26" t="str">
        <f t="shared" si="1"/>
        <v/>
      </c>
      <c r="D725" s="26" t="str">
        <f t="array" ref="D725">XLOOKUP($A725,Facebook_follows_raw!$A$4:$A1000,Facebook_follows_raw!$B$4:$B1000)</f>
        <v>#N/A</v>
      </c>
      <c r="E725" s="26" t="str">
        <f t="array" ref="E725">XLOOKUP($A725,Facebook_interactions_raw!$A$4:$A1000,Facebook_interactions_raw!$B$4:$B1000)</f>
        <v>#N/A</v>
      </c>
      <c r="F725" s="26" t="str">
        <f t="array" ref="F725">XLOOKUP($A725,Facebook_reach_raw!$A$4:$A1000,Facebook_reach_raw!$B$4:$B1000)</f>
        <v>#N/A</v>
      </c>
    </row>
    <row r="726">
      <c r="A726" s="30" t="str">
        <f>Facebook_reach_raw!$A728</f>
        <v/>
      </c>
      <c r="B726" s="29" t="str">
        <f>Facebook_interactions_raw!$A728</f>
        <v/>
      </c>
      <c r="C726" s="26" t="str">
        <f t="shared" si="1"/>
        <v/>
      </c>
      <c r="D726" s="26" t="str">
        <f t="array" ref="D726">XLOOKUP($A726,Facebook_follows_raw!$A$4:$A1000,Facebook_follows_raw!$B$4:$B1000)</f>
        <v>#N/A</v>
      </c>
      <c r="E726" s="26" t="str">
        <f t="array" ref="E726">XLOOKUP($A726,Facebook_interactions_raw!$A$4:$A1000,Facebook_interactions_raw!$B$4:$B1000)</f>
        <v>#N/A</v>
      </c>
      <c r="F726" s="26" t="str">
        <f t="array" ref="F726">XLOOKUP($A726,Facebook_reach_raw!$A$4:$A1000,Facebook_reach_raw!$B$4:$B1000)</f>
        <v>#N/A</v>
      </c>
    </row>
    <row r="727">
      <c r="A727" s="30" t="str">
        <f>Facebook_reach_raw!$A729</f>
        <v/>
      </c>
      <c r="B727" s="29" t="str">
        <f>Facebook_interactions_raw!$A729</f>
        <v/>
      </c>
      <c r="C727" s="26" t="str">
        <f t="shared" si="1"/>
        <v/>
      </c>
      <c r="D727" s="26" t="str">
        <f t="array" ref="D727">XLOOKUP($A727,Facebook_follows_raw!$A$4:$A1000,Facebook_follows_raw!$B$4:$B1000)</f>
        <v>#N/A</v>
      </c>
      <c r="E727" s="26" t="str">
        <f t="array" ref="E727">XLOOKUP($A727,Facebook_interactions_raw!$A$4:$A1000,Facebook_interactions_raw!$B$4:$B1000)</f>
        <v>#N/A</v>
      </c>
      <c r="F727" s="26" t="str">
        <f t="array" ref="F727">XLOOKUP($A727,Facebook_reach_raw!$A$4:$A1000,Facebook_reach_raw!$B$4:$B1000)</f>
        <v>#N/A</v>
      </c>
    </row>
    <row r="728">
      <c r="A728" s="30" t="str">
        <f>Facebook_reach_raw!$A730</f>
        <v/>
      </c>
      <c r="B728" s="29" t="str">
        <f>Facebook_interactions_raw!$A730</f>
        <v/>
      </c>
      <c r="C728" s="26" t="str">
        <f t="shared" si="1"/>
        <v/>
      </c>
      <c r="D728" s="26" t="str">
        <f t="array" ref="D728">XLOOKUP($A728,Facebook_follows_raw!$A$4:$A1000,Facebook_follows_raw!$B$4:$B1000)</f>
        <v>#N/A</v>
      </c>
      <c r="E728" s="26" t="str">
        <f t="array" ref="E728">XLOOKUP($A728,Facebook_interactions_raw!$A$4:$A1000,Facebook_interactions_raw!$B$4:$B1000)</f>
        <v>#N/A</v>
      </c>
      <c r="F728" s="26" t="str">
        <f t="array" ref="F728">XLOOKUP($A728,Facebook_reach_raw!$A$4:$A1000,Facebook_reach_raw!$B$4:$B1000)</f>
        <v>#N/A</v>
      </c>
    </row>
    <row r="729">
      <c r="A729" s="30" t="str">
        <f>Facebook_reach_raw!$A731</f>
        <v/>
      </c>
      <c r="B729" s="29" t="str">
        <f>Facebook_interactions_raw!$A731</f>
        <v/>
      </c>
      <c r="C729" s="26" t="str">
        <f t="shared" si="1"/>
        <v/>
      </c>
      <c r="D729" s="26" t="str">
        <f t="array" ref="D729">XLOOKUP($A729,Facebook_follows_raw!$A$4:$A1000,Facebook_follows_raw!$B$4:$B1000)</f>
        <v>#N/A</v>
      </c>
      <c r="E729" s="26" t="str">
        <f t="array" ref="E729">XLOOKUP($A729,Facebook_interactions_raw!$A$4:$A1000,Facebook_interactions_raw!$B$4:$B1000)</f>
        <v>#N/A</v>
      </c>
      <c r="F729" s="26" t="str">
        <f t="array" ref="F729">XLOOKUP($A729,Facebook_reach_raw!$A$4:$A1000,Facebook_reach_raw!$B$4:$B1000)</f>
        <v>#N/A</v>
      </c>
    </row>
    <row r="730">
      <c r="A730" s="30" t="str">
        <f>Facebook_reach_raw!$A732</f>
        <v/>
      </c>
      <c r="B730" s="29" t="str">
        <f>Facebook_interactions_raw!$A732</f>
        <v/>
      </c>
      <c r="C730" s="26" t="str">
        <f t="shared" si="1"/>
        <v/>
      </c>
      <c r="D730" s="26" t="str">
        <f t="array" ref="D730">XLOOKUP($A730,Facebook_follows_raw!$A$4:$A1000,Facebook_follows_raw!$B$4:$B1000)</f>
        <v>#N/A</v>
      </c>
      <c r="E730" s="26" t="str">
        <f t="array" ref="E730">XLOOKUP($A730,Facebook_interactions_raw!$A$4:$A1000,Facebook_interactions_raw!$B$4:$B1000)</f>
        <v>#N/A</v>
      </c>
      <c r="F730" s="26" t="str">
        <f t="array" ref="F730">XLOOKUP($A730,Facebook_reach_raw!$A$4:$A1000,Facebook_reach_raw!$B$4:$B1000)</f>
        <v>#N/A</v>
      </c>
    </row>
    <row r="731">
      <c r="A731" s="30" t="str">
        <f>Facebook_reach_raw!$A733</f>
        <v/>
      </c>
      <c r="B731" s="29" t="str">
        <f>Facebook_interactions_raw!$A733</f>
        <v/>
      </c>
      <c r="C731" s="26" t="str">
        <f t="shared" si="1"/>
        <v/>
      </c>
      <c r="D731" s="26" t="str">
        <f t="array" ref="D731">XLOOKUP($A731,Facebook_follows_raw!$A$4:$A1000,Facebook_follows_raw!$B$4:$B1000)</f>
        <v>#N/A</v>
      </c>
      <c r="E731" s="26" t="str">
        <f t="array" ref="E731">XLOOKUP($A731,Facebook_interactions_raw!$A$4:$A1000,Facebook_interactions_raw!$B$4:$B1000)</f>
        <v>#N/A</v>
      </c>
      <c r="F731" s="26" t="str">
        <f t="array" ref="F731">XLOOKUP($A731,Facebook_reach_raw!$A$4:$A1000,Facebook_reach_raw!$B$4:$B1000)</f>
        <v>#N/A</v>
      </c>
    </row>
    <row r="732">
      <c r="A732" s="30" t="str">
        <f>Facebook_reach_raw!$A734</f>
        <v/>
      </c>
      <c r="B732" s="29" t="str">
        <f>Facebook_interactions_raw!$A734</f>
        <v/>
      </c>
      <c r="C732" s="26" t="str">
        <f t="shared" si="1"/>
        <v/>
      </c>
      <c r="D732" s="26" t="str">
        <f t="array" ref="D732">XLOOKUP($A732,Facebook_follows_raw!$A$4:$A1000,Facebook_follows_raw!$B$4:$B1000)</f>
        <v>#N/A</v>
      </c>
      <c r="E732" s="26" t="str">
        <f t="array" ref="E732">XLOOKUP($A732,Facebook_interactions_raw!$A$4:$A1000,Facebook_interactions_raw!$B$4:$B1000)</f>
        <v>#N/A</v>
      </c>
      <c r="F732" s="26" t="str">
        <f t="array" ref="F732">XLOOKUP($A732,Facebook_reach_raw!$A$4:$A1000,Facebook_reach_raw!$B$4:$B1000)</f>
        <v>#N/A</v>
      </c>
    </row>
    <row r="733">
      <c r="A733" s="30" t="str">
        <f>Facebook_reach_raw!$A735</f>
        <v/>
      </c>
      <c r="B733" s="29" t="str">
        <f>Facebook_interactions_raw!$A735</f>
        <v/>
      </c>
      <c r="C733" s="26" t="str">
        <f t="shared" si="1"/>
        <v/>
      </c>
      <c r="D733" s="26" t="str">
        <f t="array" ref="D733">XLOOKUP($A733,Facebook_follows_raw!$A$4:$A1000,Facebook_follows_raw!$B$4:$B1000)</f>
        <v>#N/A</v>
      </c>
      <c r="E733" s="26" t="str">
        <f t="array" ref="E733">XLOOKUP($A733,Facebook_interactions_raw!$A$4:$A1000,Facebook_interactions_raw!$B$4:$B1000)</f>
        <v>#N/A</v>
      </c>
      <c r="F733" s="26" t="str">
        <f t="array" ref="F733">XLOOKUP($A733,Facebook_reach_raw!$A$4:$A1000,Facebook_reach_raw!$B$4:$B1000)</f>
        <v>#N/A</v>
      </c>
    </row>
    <row r="734">
      <c r="A734" s="30" t="str">
        <f>Facebook_reach_raw!$A736</f>
        <v/>
      </c>
      <c r="B734" s="29" t="str">
        <f>Facebook_interactions_raw!$A736</f>
        <v/>
      </c>
      <c r="C734" s="26" t="str">
        <f t="shared" si="1"/>
        <v/>
      </c>
      <c r="D734" s="26" t="str">
        <f t="array" ref="D734">XLOOKUP($A734,Facebook_follows_raw!$A$4:$A1000,Facebook_follows_raw!$B$4:$B1000)</f>
        <v>#N/A</v>
      </c>
      <c r="E734" s="26" t="str">
        <f t="array" ref="E734">XLOOKUP($A734,Facebook_interactions_raw!$A$4:$A1000,Facebook_interactions_raw!$B$4:$B1000)</f>
        <v>#N/A</v>
      </c>
      <c r="F734" s="26" t="str">
        <f t="array" ref="F734">XLOOKUP($A734,Facebook_reach_raw!$A$4:$A1000,Facebook_reach_raw!$B$4:$B1000)</f>
        <v>#N/A</v>
      </c>
    </row>
    <row r="735">
      <c r="A735" s="30" t="str">
        <f>Facebook_reach_raw!$A737</f>
        <v/>
      </c>
      <c r="B735" s="29" t="str">
        <f>Facebook_interactions_raw!$A737</f>
        <v/>
      </c>
      <c r="C735" s="26" t="str">
        <f t="shared" si="1"/>
        <v/>
      </c>
      <c r="D735" s="26" t="str">
        <f t="array" ref="D735">XLOOKUP($A735,Facebook_follows_raw!$A$4:$A1000,Facebook_follows_raw!$B$4:$B1000)</f>
        <v>#N/A</v>
      </c>
      <c r="E735" s="26" t="str">
        <f t="array" ref="E735">XLOOKUP($A735,Facebook_interactions_raw!$A$4:$A1000,Facebook_interactions_raw!$B$4:$B1000)</f>
        <v>#N/A</v>
      </c>
      <c r="F735" s="26" t="str">
        <f t="array" ref="F735">XLOOKUP($A735,Facebook_reach_raw!$A$4:$A1000,Facebook_reach_raw!$B$4:$B1000)</f>
        <v>#N/A</v>
      </c>
    </row>
    <row r="736">
      <c r="A736" s="30" t="str">
        <f>Facebook_reach_raw!$A738</f>
        <v/>
      </c>
      <c r="B736" s="29" t="str">
        <f>Facebook_interactions_raw!$A738</f>
        <v/>
      </c>
      <c r="C736" s="26" t="str">
        <f t="shared" si="1"/>
        <v/>
      </c>
      <c r="D736" s="26" t="str">
        <f t="array" ref="D736">XLOOKUP($A736,Facebook_follows_raw!$A$4:$A1000,Facebook_follows_raw!$B$4:$B1000)</f>
        <v>#N/A</v>
      </c>
      <c r="E736" s="26" t="str">
        <f t="array" ref="E736">XLOOKUP($A736,Facebook_interactions_raw!$A$4:$A1000,Facebook_interactions_raw!$B$4:$B1000)</f>
        <v>#N/A</v>
      </c>
      <c r="F736" s="26" t="str">
        <f t="array" ref="F736">XLOOKUP($A736,Facebook_reach_raw!$A$4:$A1000,Facebook_reach_raw!$B$4:$B1000)</f>
        <v>#N/A</v>
      </c>
    </row>
    <row r="737">
      <c r="A737" s="30" t="str">
        <f>Facebook_reach_raw!$A739</f>
        <v/>
      </c>
      <c r="B737" s="29" t="str">
        <f>Facebook_interactions_raw!$A739</f>
        <v/>
      </c>
      <c r="C737" s="26" t="str">
        <f t="shared" si="1"/>
        <v/>
      </c>
      <c r="D737" s="26" t="str">
        <f t="array" ref="D737">XLOOKUP($A737,Facebook_follows_raw!$A$4:$A1000,Facebook_follows_raw!$B$4:$B1000)</f>
        <v>#N/A</v>
      </c>
      <c r="E737" s="26" t="str">
        <f t="array" ref="E737">XLOOKUP($A737,Facebook_interactions_raw!$A$4:$A1000,Facebook_interactions_raw!$B$4:$B1000)</f>
        <v>#N/A</v>
      </c>
      <c r="F737" s="26" t="str">
        <f t="array" ref="F737">XLOOKUP($A737,Facebook_reach_raw!$A$4:$A1000,Facebook_reach_raw!$B$4:$B1000)</f>
        <v>#N/A</v>
      </c>
    </row>
    <row r="738">
      <c r="A738" s="30" t="str">
        <f>Facebook_reach_raw!$A740</f>
        <v/>
      </c>
      <c r="B738" s="29" t="str">
        <f>Facebook_interactions_raw!$A740</f>
        <v/>
      </c>
      <c r="C738" s="26" t="str">
        <f t="shared" si="1"/>
        <v/>
      </c>
      <c r="D738" s="26" t="str">
        <f t="array" ref="D738">XLOOKUP($A738,Facebook_follows_raw!$A$4:$A1000,Facebook_follows_raw!$B$4:$B1000)</f>
        <v>#N/A</v>
      </c>
      <c r="E738" s="26" t="str">
        <f t="array" ref="E738">XLOOKUP($A738,Facebook_interactions_raw!$A$4:$A1000,Facebook_interactions_raw!$B$4:$B1000)</f>
        <v>#N/A</v>
      </c>
      <c r="F738" s="26" t="str">
        <f t="array" ref="F738">XLOOKUP($A738,Facebook_reach_raw!$A$4:$A1000,Facebook_reach_raw!$B$4:$B1000)</f>
        <v>#N/A</v>
      </c>
    </row>
    <row r="739">
      <c r="A739" s="30" t="str">
        <f>Facebook_reach_raw!$A741</f>
        <v/>
      </c>
      <c r="B739" s="29" t="str">
        <f>Facebook_interactions_raw!$A741</f>
        <v/>
      </c>
      <c r="C739" s="26" t="str">
        <f t="shared" si="1"/>
        <v/>
      </c>
      <c r="D739" s="26" t="str">
        <f t="array" ref="D739">XLOOKUP($A739,Facebook_follows_raw!$A$4:$A1000,Facebook_follows_raw!$B$4:$B1000)</f>
        <v>#N/A</v>
      </c>
      <c r="E739" s="26" t="str">
        <f t="array" ref="E739">XLOOKUP($A739,Facebook_interactions_raw!$A$4:$A1000,Facebook_interactions_raw!$B$4:$B1000)</f>
        <v>#N/A</v>
      </c>
      <c r="F739" s="26" t="str">
        <f t="array" ref="F739">XLOOKUP($A739,Facebook_reach_raw!$A$4:$A1000,Facebook_reach_raw!$B$4:$B1000)</f>
        <v>#N/A</v>
      </c>
    </row>
    <row r="740">
      <c r="A740" s="30" t="str">
        <f>Facebook_reach_raw!$A742</f>
        <v/>
      </c>
      <c r="B740" s="29" t="str">
        <f>Facebook_interactions_raw!$A742</f>
        <v/>
      </c>
      <c r="C740" s="26" t="str">
        <f t="shared" si="1"/>
        <v/>
      </c>
      <c r="D740" s="26" t="str">
        <f t="array" ref="D740">XLOOKUP($A740,Facebook_follows_raw!$A$4:$A1000,Facebook_follows_raw!$B$4:$B1000)</f>
        <v>#N/A</v>
      </c>
      <c r="E740" s="26" t="str">
        <f t="array" ref="E740">XLOOKUP($A740,Facebook_interactions_raw!$A$4:$A1000,Facebook_interactions_raw!$B$4:$B1000)</f>
        <v>#N/A</v>
      </c>
      <c r="F740" s="26" t="str">
        <f t="array" ref="F740">XLOOKUP($A740,Facebook_reach_raw!$A$4:$A1000,Facebook_reach_raw!$B$4:$B1000)</f>
        <v>#N/A</v>
      </c>
    </row>
    <row r="741">
      <c r="A741" s="30" t="str">
        <f>Facebook_reach_raw!$A743</f>
        <v/>
      </c>
      <c r="B741" s="29" t="str">
        <f>Facebook_interactions_raw!$A743</f>
        <v/>
      </c>
      <c r="C741" s="26" t="str">
        <f t="shared" si="1"/>
        <v/>
      </c>
      <c r="D741" s="26" t="str">
        <f t="array" ref="D741">XLOOKUP($A741,Facebook_follows_raw!$A$4:$A1000,Facebook_follows_raw!$B$4:$B1000)</f>
        <v>#N/A</v>
      </c>
      <c r="E741" s="26" t="str">
        <f t="array" ref="E741">XLOOKUP($A741,Facebook_interactions_raw!$A$4:$A1000,Facebook_interactions_raw!$B$4:$B1000)</f>
        <v>#N/A</v>
      </c>
      <c r="F741" s="26" t="str">
        <f t="array" ref="F741">XLOOKUP($A741,Facebook_reach_raw!$A$4:$A1000,Facebook_reach_raw!$B$4:$B1000)</f>
        <v>#N/A</v>
      </c>
    </row>
    <row r="742">
      <c r="A742" s="30" t="str">
        <f>Facebook_reach_raw!$A744</f>
        <v/>
      </c>
      <c r="B742" s="29" t="str">
        <f>Facebook_interactions_raw!$A744</f>
        <v/>
      </c>
      <c r="C742" s="26" t="str">
        <f t="shared" si="1"/>
        <v/>
      </c>
      <c r="D742" s="26" t="str">
        <f t="array" ref="D742">XLOOKUP($A742,Facebook_follows_raw!$A$4:$A1000,Facebook_follows_raw!$B$4:$B1000)</f>
        <v>#N/A</v>
      </c>
      <c r="E742" s="26" t="str">
        <f t="array" ref="E742">XLOOKUP($A742,Facebook_interactions_raw!$A$4:$A1000,Facebook_interactions_raw!$B$4:$B1000)</f>
        <v>#N/A</v>
      </c>
      <c r="F742" s="26" t="str">
        <f t="array" ref="F742">XLOOKUP($A742,Facebook_reach_raw!$A$4:$A1000,Facebook_reach_raw!$B$4:$B1000)</f>
        <v>#N/A</v>
      </c>
    </row>
    <row r="743">
      <c r="A743" s="30" t="str">
        <f>Facebook_reach_raw!$A745</f>
        <v/>
      </c>
      <c r="B743" s="29" t="str">
        <f>Facebook_interactions_raw!$A745</f>
        <v/>
      </c>
      <c r="C743" s="26" t="str">
        <f t="shared" si="1"/>
        <v/>
      </c>
      <c r="D743" s="26" t="str">
        <f t="array" ref="D743">XLOOKUP($A743,Facebook_follows_raw!$A$4:$A1000,Facebook_follows_raw!$B$4:$B1000)</f>
        <v>#N/A</v>
      </c>
      <c r="E743" s="26" t="str">
        <f t="array" ref="E743">XLOOKUP($A743,Facebook_interactions_raw!$A$4:$A1000,Facebook_interactions_raw!$B$4:$B1000)</f>
        <v>#N/A</v>
      </c>
      <c r="F743" s="26" t="str">
        <f t="array" ref="F743">XLOOKUP($A743,Facebook_reach_raw!$A$4:$A1000,Facebook_reach_raw!$B$4:$B1000)</f>
        <v>#N/A</v>
      </c>
    </row>
    <row r="744">
      <c r="A744" s="30" t="str">
        <f>Facebook_reach_raw!$A746</f>
        <v/>
      </c>
      <c r="B744" s="29" t="str">
        <f>Facebook_interactions_raw!$A746</f>
        <v/>
      </c>
      <c r="C744" s="26" t="str">
        <f t="shared" si="1"/>
        <v/>
      </c>
      <c r="D744" s="26" t="str">
        <f t="array" ref="D744">XLOOKUP($A744,Facebook_follows_raw!$A$4:$A1000,Facebook_follows_raw!$B$4:$B1000)</f>
        <v>#N/A</v>
      </c>
      <c r="E744" s="26" t="str">
        <f t="array" ref="E744">XLOOKUP($A744,Facebook_interactions_raw!$A$4:$A1000,Facebook_interactions_raw!$B$4:$B1000)</f>
        <v>#N/A</v>
      </c>
      <c r="F744" s="26" t="str">
        <f t="array" ref="F744">XLOOKUP($A744,Facebook_reach_raw!$A$4:$A1000,Facebook_reach_raw!$B$4:$B1000)</f>
        <v>#N/A</v>
      </c>
    </row>
    <row r="745">
      <c r="A745" s="30" t="str">
        <f>Facebook_reach_raw!$A747</f>
        <v/>
      </c>
      <c r="B745" s="29" t="str">
        <f>Facebook_interactions_raw!$A747</f>
        <v/>
      </c>
      <c r="C745" s="26" t="str">
        <f t="shared" si="1"/>
        <v/>
      </c>
      <c r="D745" s="26" t="str">
        <f t="array" ref="D745">XLOOKUP($A745,Facebook_follows_raw!$A$4:$A1000,Facebook_follows_raw!$B$4:$B1000)</f>
        <v>#N/A</v>
      </c>
      <c r="E745" s="26" t="str">
        <f t="array" ref="E745">XLOOKUP($A745,Facebook_interactions_raw!$A$4:$A1000,Facebook_interactions_raw!$B$4:$B1000)</f>
        <v>#N/A</v>
      </c>
      <c r="F745" s="26" t="str">
        <f t="array" ref="F745">XLOOKUP($A745,Facebook_reach_raw!$A$4:$A1000,Facebook_reach_raw!$B$4:$B1000)</f>
        <v>#N/A</v>
      </c>
    </row>
    <row r="746">
      <c r="A746" s="30" t="str">
        <f>Facebook_reach_raw!$A748</f>
        <v/>
      </c>
      <c r="B746" s="29" t="str">
        <f>Facebook_interactions_raw!$A748</f>
        <v/>
      </c>
      <c r="C746" s="26" t="str">
        <f t="shared" si="1"/>
        <v/>
      </c>
      <c r="D746" s="26" t="str">
        <f t="array" ref="D746">XLOOKUP($A746,Facebook_follows_raw!$A$4:$A1000,Facebook_follows_raw!$B$4:$B1000)</f>
        <v>#N/A</v>
      </c>
      <c r="E746" s="26" t="str">
        <f t="array" ref="E746">XLOOKUP($A746,Facebook_interactions_raw!$A$4:$A1000,Facebook_interactions_raw!$B$4:$B1000)</f>
        <v>#N/A</v>
      </c>
      <c r="F746" s="26" t="str">
        <f t="array" ref="F746">XLOOKUP($A746,Facebook_reach_raw!$A$4:$A1000,Facebook_reach_raw!$B$4:$B1000)</f>
        <v>#N/A</v>
      </c>
    </row>
    <row r="747">
      <c r="A747" s="30" t="str">
        <f>Facebook_reach_raw!$A749</f>
        <v/>
      </c>
      <c r="B747" s="29" t="str">
        <f>Facebook_interactions_raw!$A749</f>
        <v/>
      </c>
      <c r="C747" s="26" t="str">
        <f t="shared" si="1"/>
        <v/>
      </c>
      <c r="D747" s="26" t="str">
        <f t="array" ref="D747">XLOOKUP($A747,Facebook_follows_raw!$A$4:$A1000,Facebook_follows_raw!$B$4:$B1000)</f>
        <v>#N/A</v>
      </c>
      <c r="E747" s="26" t="str">
        <f t="array" ref="E747">XLOOKUP($A747,Facebook_interactions_raw!$A$4:$A1000,Facebook_interactions_raw!$B$4:$B1000)</f>
        <v>#N/A</v>
      </c>
      <c r="F747" s="26" t="str">
        <f t="array" ref="F747">XLOOKUP($A747,Facebook_reach_raw!$A$4:$A1000,Facebook_reach_raw!$B$4:$B1000)</f>
        <v>#N/A</v>
      </c>
    </row>
    <row r="748">
      <c r="A748" s="30" t="str">
        <f>Facebook_reach_raw!$A750</f>
        <v/>
      </c>
      <c r="B748" s="29" t="str">
        <f>Facebook_interactions_raw!$A750</f>
        <v/>
      </c>
      <c r="C748" s="26" t="str">
        <f t="shared" si="1"/>
        <v/>
      </c>
      <c r="D748" s="26" t="str">
        <f t="array" ref="D748">XLOOKUP($A748,Facebook_follows_raw!$A$4:$A1000,Facebook_follows_raw!$B$4:$B1000)</f>
        <v>#N/A</v>
      </c>
      <c r="E748" s="26" t="str">
        <f t="array" ref="E748">XLOOKUP($A748,Facebook_interactions_raw!$A$4:$A1000,Facebook_interactions_raw!$B$4:$B1000)</f>
        <v>#N/A</v>
      </c>
      <c r="F748" s="26" t="str">
        <f t="array" ref="F748">XLOOKUP($A748,Facebook_reach_raw!$A$4:$A1000,Facebook_reach_raw!$B$4:$B1000)</f>
        <v>#N/A</v>
      </c>
    </row>
    <row r="749">
      <c r="A749" s="30" t="str">
        <f>Facebook_reach_raw!$A751</f>
        <v/>
      </c>
      <c r="B749" s="29" t="str">
        <f>Facebook_interactions_raw!$A751</f>
        <v/>
      </c>
      <c r="C749" s="26" t="str">
        <f t="shared" si="1"/>
        <v/>
      </c>
      <c r="D749" s="26" t="str">
        <f t="array" ref="D749">XLOOKUP($A749,Facebook_follows_raw!$A$4:$A1000,Facebook_follows_raw!$B$4:$B1000)</f>
        <v>#N/A</v>
      </c>
      <c r="E749" s="26" t="str">
        <f t="array" ref="E749">XLOOKUP($A749,Facebook_interactions_raw!$A$4:$A1000,Facebook_interactions_raw!$B$4:$B1000)</f>
        <v>#N/A</v>
      </c>
      <c r="F749" s="26" t="str">
        <f t="array" ref="F749">XLOOKUP($A749,Facebook_reach_raw!$A$4:$A1000,Facebook_reach_raw!$B$4:$B1000)</f>
        <v>#N/A</v>
      </c>
    </row>
    <row r="750">
      <c r="A750" s="30" t="str">
        <f>Facebook_reach_raw!$A752</f>
        <v/>
      </c>
      <c r="B750" s="29" t="str">
        <f>Facebook_interactions_raw!$A752</f>
        <v/>
      </c>
      <c r="C750" s="26" t="str">
        <f t="shared" si="1"/>
        <v/>
      </c>
      <c r="D750" s="26" t="str">
        <f t="array" ref="D750">XLOOKUP($A750,Facebook_follows_raw!$A$4:$A1000,Facebook_follows_raw!$B$4:$B1000)</f>
        <v>#N/A</v>
      </c>
      <c r="E750" s="26" t="str">
        <f t="array" ref="E750">XLOOKUP($A750,Facebook_interactions_raw!$A$4:$A1000,Facebook_interactions_raw!$B$4:$B1000)</f>
        <v>#N/A</v>
      </c>
      <c r="F750" s="26" t="str">
        <f t="array" ref="F750">XLOOKUP($A750,Facebook_reach_raw!$A$4:$A1000,Facebook_reach_raw!$B$4:$B1000)</f>
        <v>#N/A</v>
      </c>
    </row>
    <row r="751">
      <c r="A751" s="30" t="str">
        <f>Facebook_reach_raw!$A753</f>
        <v/>
      </c>
      <c r="B751" s="29" t="str">
        <f>Facebook_interactions_raw!$A753</f>
        <v/>
      </c>
      <c r="C751" s="26" t="str">
        <f t="shared" si="1"/>
        <v/>
      </c>
      <c r="D751" s="26" t="str">
        <f t="array" ref="D751">XLOOKUP($A751,Facebook_follows_raw!$A$4:$A1000,Facebook_follows_raw!$B$4:$B1000)</f>
        <v>#N/A</v>
      </c>
      <c r="E751" s="26" t="str">
        <f t="array" ref="E751">XLOOKUP($A751,Facebook_interactions_raw!$A$4:$A1000,Facebook_interactions_raw!$B$4:$B1000)</f>
        <v>#N/A</v>
      </c>
      <c r="F751" s="26" t="str">
        <f t="array" ref="F751">XLOOKUP($A751,Facebook_reach_raw!$A$4:$A1000,Facebook_reach_raw!$B$4:$B1000)</f>
        <v>#N/A</v>
      </c>
    </row>
    <row r="752">
      <c r="A752" s="30" t="str">
        <f>Facebook_reach_raw!$A754</f>
        <v/>
      </c>
      <c r="B752" s="29" t="str">
        <f>Facebook_interactions_raw!$A754</f>
        <v/>
      </c>
      <c r="C752" s="26" t="str">
        <f t="shared" si="1"/>
        <v/>
      </c>
      <c r="D752" s="26" t="str">
        <f t="array" ref="D752">XLOOKUP($A752,Facebook_follows_raw!$A$4:$A1000,Facebook_follows_raw!$B$4:$B1000)</f>
        <v>#N/A</v>
      </c>
      <c r="E752" s="26" t="str">
        <f t="array" ref="E752">XLOOKUP($A752,Facebook_interactions_raw!$A$4:$A1000,Facebook_interactions_raw!$B$4:$B1000)</f>
        <v>#N/A</v>
      </c>
      <c r="F752" s="26" t="str">
        <f t="array" ref="F752">XLOOKUP($A752,Facebook_reach_raw!$A$4:$A1000,Facebook_reach_raw!$B$4:$B1000)</f>
        <v>#N/A</v>
      </c>
    </row>
    <row r="753">
      <c r="A753" s="30" t="str">
        <f>Facebook_reach_raw!$A755</f>
        <v/>
      </c>
      <c r="B753" s="29" t="str">
        <f>Facebook_interactions_raw!$A755</f>
        <v/>
      </c>
      <c r="C753" s="26" t="str">
        <f t="shared" si="1"/>
        <v/>
      </c>
      <c r="D753" s="26" t="str">
        <f t="array" ref="D753">XLOOKUP($A753,Facebook_follows_raw!$A$4:$A1000,Facebook_follows_raw!$B$4:$B1000)</f>
        <v>#N/A</v>
      </c>
      <c r="E753" s="26" t="str">
        <f t="array" ref="E753">XLOOKUP($A753,Facebook_interactions_raw!$A$4:$A1000,Facebook_interactions_raw!$B$4:$B1000)</f>
        <v>#N/A</v>
      </c>
      <c r="F753" s="26" t="str">
        <f t="array" ref="F753">XLOOKUP($A753,Facebook_reach_raw!$A$4:$A1000,Facebook_reach_raw!$B$4:$B1000)</f>
        <v>#N/A</v>
      </c>
    </row>
    <row r="754">
      <c r="A754" s="30" t="str">
        <f>Facebook_reach_raw!$A756</f>
        <v/>
      </c>
      <c r="B754" s="29" t="str">
        <f>Facebook_interactions_raw!$A756</f>
        <v/>
      </c>
      <c r="C754" s="26" t="str">
        <f t="shared" si="1"/>
        <v/>
      </c>
      <c r="D754" s="26" t="str">
        <f t="array" ref="D754">XLOOKUP($A754,Facebook_follows_raw!$A$4:$A1000,Facebook_follows_raw!$B$4:$B1000)</f>
        <v>#N/A</v>
      </c>
      <c r="E754" s="26" t="str">
        <f t="array" ref="E754">XLOOKUP($A754,Facebook_interactions_raw!$A$4:$A1000,Facebook_interactions_raw!$B$4:$B1000)</f>
        <v>#N/A</v>
      </c>
      <c r="F754" s="26" t="str">
        <f t="array" ref="F754">XLOOKUP($A754,Facebook_reach_raw!$A$4:$A1000,Facebook_reach_raw!$B$4:$B1000)</f>
        <v>#N/A</v>
      </c>
    </row>
    <row r="755">
      <c r="A755" s="30" t="str">
        <f>Facebook_reach_raw!$A757</f>
        <v/>
      </c>
      <c r="B755" s="29" t="str">
        <f>Facebook_interactions_raw!$A757</f>
        <v/>
      </c>
      <c r="C755" s="26" t="str">
        <f t="shared" si="1"/>
        <v/>
      </c>
      <c r="D755" s="26" t="str">
        <f t="array" ref="D755">XLOOKUP($A755,Facebook_follows_raw!$A$4:$A1000,Facebook_follows_raw!$B$4:$B1000)</f>
        <v>#N/A</v>
      </c>
      <c r="E755" s="26" t="str">
        <f t="array" ref="E755">XLOOKUP($A755,Facebook_interactions_raw!$A$4:$A1000,Facebook_interactions_raw!$B$4:$B1000)</f>
        <v>#N/A</v>
      </c>
      <c r="F755" s="26" t="str">
        <f t="array" ref="F755">XLOOKUP($A755,Facebook_reach_raw!$A$4:$A1000,Facebook_reach_raw!$B$4:$B1000)</f>
        <v>#N/A</v>
      </c>
    </row>
    <row r="756">
      <c r="A756" s="30" t="str">
        <f>Facebook_reach_raw!$A758</f>
        <v/>
      </c>
      <c r="B756" s="29" t="str">
        <f>Facebook_interactions_raw!$A758</f>
        <v/>
      </c>
      <c r="C756" s="26" t="str">
        <f t="shared" si="1"/>
        <v/>
      </c>
      <c r="D756" s="26" t="str">
        <f t="array" ref="D756">XLOOKUP($A756,Facebook_follows_raw!$A$4:$A1000,Facebook_follows_raw!$B$4:$B1000)</f>
        <v>#N/A</v>
      </c>
      <c r="E756" s="26" t="str">
        <f t="array" ref="E756">XLOOKUP($A756,Facebook_interactions_raw!$A$4:$A1000,Facebook_interactions_raw!$B$4:$B1000)</f>
        <v>#N/A</v>
      </c>
      <c r="F756" s="26" t="str">
        <f t="array" ref="F756">XLOOKUP($A756,Facebook_reach_raw!$A$4:$A1000,Facebook_reach_raw!$B$4:$B1000)</f>
        <v>#N/A</v>
      </c>
    </row>
    <row r="757">
      <c r="A757" s="30" t="str">
        <f>Facebook_reach_raw!$A759</f>
        <v/>
      </c>
      <c r="B757" s="29" t="str">
        <f>Facebook_interactions_raw!$A759</f>
        <v/>
      </c>
      <c r="C757" s="26" t="str">
        <f t="shared" si="1"/>
        <v/>
      </c>
      <c r="D757" s="26" t="str">
        <f t="array" ref="D757">XLOOKUP($A757,Facebook_follows_raw!$A$4:$A1000,Facebook_follows_raw!$B$4:$B1000)</f>
        <v>#N/A</v>
      </c>
      <c r="E757" s="26" t="str">
        <f t="array" ref="E757">XLOOKUP($A757,Facebook_interactions_raw!$A$4:$A1000,Facebook_interactions_raw!$B$4:$B1000)</f>
        <v>#N/A</v>
      </c>
      <c r="F757" s="26" t="str">
        <f t="array" ref="F757">XLOOKUP($A757,Facebook_reach_raw!$A$4:$A1000,Facebook_reach_raw!$B$4:$B1000)</f>
        <v>#N/A</v>
      </c>
    </row>
    <row r="758">
      <c r="A758" s="30" t="str">
        <f>Facebook_reach_raw!$A760</f>
        <v/>
      </c>
      <c r="B758" s="29" t="str">
        <f>Facebook_interactions_raw!$A760</f>
        <v/>
      </c>
      <c r="C758" s="26" t="str">
        <f t="shared" si="1"/>
        <v/>
      </c>
      <c r="D758" s="26" t="str">
        <f t="array" ref="D758">XLOOKUP($A758,Facebook_follows_raw!$A$4:$A1000,Facebook_follows_raw!$B$4:$B1000)</f>
        <v>#N/A</v>
      </c>
      <c r="E758" s="26" t="str">
        <f t="array" ref="E758">XLOOKUP($A758,Facebook_interactions_raw!$A$4:$A1000,Facebook_interactions_raw!$B$4:$B1000)</f>
        <v>#N/A</v>
      </c>
      <c r="F758" s="26" t="str">
        <f t="array" ref="F758">XLOOKUP($A758,Facebook_reach_raw!$A$4:$A1000,Facebook_reach_raw!$B$4:$B1000)</f>
        <v>#N/A</v>
      </c>
    </row>
    <row r="759">
      <c r="A759" s="30" t="str">
        <f>Facebook_reach_raw!$A761</f>
        <v/>
      </c>
      <c r="B759" s="29" t="str">
        <f>Facebook_interactions_raw!$A761</f>
        <v/>
      </c>
      <c r="C759" s="26" t="str">
        <f t="shared" si="1"/>
        <v/>
      </c>
      <c r="D759" s="26" t="str">
        <f t="array" ref="D759">XLOOKUP($A759,Facebook_follows_raw!$A$4:$A1000,Facebook_follows_raw!$B$4:$B1000)</f>
        <v>#N/A</v>
      </c>
      <c r="E759" s="26" t="str">
        <f t="array" ref="E759">XLOOKUP($A759,Facebook_interactions_raw!$A$4:$A1000,Facebook_interactions_raw!$B$4:$B1000)</f>
        <v>#N/A</v>
      </c>
      <c r="F759" s="26" t="str">
        <f t="array" ref="F759">XLOOKUP($A759,Facebook_reach_raw!$A$4:$A1000,Facebook_reach_raw!$B$4:$B1000)</f>
        <v>#N/A</v>
      </c>
    </row>
    <row r="760">
      <c r="A760" s="30" t="str">
        <f>Facebook_reach_raw!$A762</f>
        <v/>
      </c>
      <c r="B760" s="29" t="str">
        <f>Facebook_interactions_raw!$A762</f>
        <v/>
      </c>
      <c r="C760" s="26" t="str">
        <f t="shared" si="1"/>
        <v/>
      </c>
      <c r="D760" s="26" t="str">
        <f t="array" ref="D760">XLOOKUP($A760,Facebook_follows_raw!$A$4:$A1000,Facebook_follows_raw!$B$4:$B1000)</f>
        <v>#N/A</v>
      </c>
      <c r="E760" s="26" t="str">
        <f t="array" ref="E760">XLOOKUP($A760,Facebook_interactions_raw!$A$4:$A1000,Facebook_interactions_raw!$B$4:$B1000)</f>
        <v>#N/A</v>
      </c>
      <c r="F760" s="26" t="str">
        <f t="array" ref="F760">XLOOKUP($A760,Facebook_reach_raw!$A$4:$A1000,Facebook_reach_raw!$B$4:$B1000)</f>
        <v>#N/A</v>
      </c>
    </row>
    <row r="761">
      <c r="A761" s="30" t="str">
        <f>Facebook_reach_raw!$A763</f>
        <v/>
      </c>
      <c r="B761" s="29" t="str">
        <f>Facebook_interactions_raw!$A763</f>
        <v/>
      </c>
      <c r="C761" s="26" t="str">
        <f t="shared" si="1"/>
        <v/>
      </c>
      <c r="D761" s="26" t="str">
        <f t="array" ref="D761">XLOOKUP($A761,Facebook_follows_raw!$A$4:$A1000,Facebook_follows_raw!$B$4:$B1000)</f>
        <v>#N/A</v>
      </c>
      <c r="E761" s="26" t="str">
        <f t="array" ref="E761">XLOOKUP($A761,Facebook_interactions_raw!$A$4:$A1000,Facebook_interactions_raw!$B$4:$B1000)</f>
        <v>#N/A</v>
      </c>
      <c r="F761" s="26" t="str">
        <f t="array" ref="F761">XLOOKUP($A761,Facebook_reach_raw!$A$4:$A1000,Facebook_reach_raw!$B$4:$B1000)</f>
        <v>#N/A</v>
      </c>
    </row>
    <row r="762">
      <c r="A762" s="30" t="str">
        <f>Facebook_reach_raw!$A764</f>
        <v/>
      </c>
      <c r="B762" s="29" t="str">
        <f>Facebook_interactions_raw!$A764</f>
        <v/>
      </c>
      <c r="C762" s="26" t="str">
        <f t="shared" si="1"/>
        <v/>
      </c>
      <c r="D762" s="26" t="str">
        <f t="array" ref="D762">XLOOKUP($A762,Facebook_follows_raw!$A$4:$A1000,Facebook_follows_raw!$B$4:$B1000)</f>
        <v>#N/A</v>
      </c>
      <c r="E762" s="26" t="str">
        <f t="array" ref="E762">XLOOKUP($A762,Facebook_interactions_raw!$A$4:$A1000,Facebook_interactions_raw!$B$4:$B1000)</f>
        <v>#N/A</v>
      </c>
      <c r="F762" s="26" t="str">
        <f t="array" ref="F762">XLOOKUP($A762,Facebook_reach_raw!$A$4:$A1000,Facebook_reach_raw!$B$4:$B1000)</f>
        <v>#N/A</v>
      </c>
    </row>
    <row r="763">
      <c r="A763" s="30" t="str">
        <f>Facebook_reach_raw!$A765</f>
        <v/>
      </c>
      <c r="B763" s="29" t="str">
        <f>Facebook_interactions_raw!$A765</f>
        <v/>
      </c>
      <c r="C763" s="26" t="str">
        <f t="shared" si="1"/>
        <v/>
      </c>
      <c r="D763" s="26" t="str">
        <f t="array" ref="D763">XLOOKUP($A763,Facebook_follows_raw!$A$4:$A1000,Facebook_follows_raw!$B$4:$B1000)</f>
        <v>#N/A</v>
      </c>
      <c r="E763" s="26" t="str">
        <f t="array" ref="E763">XLOOKUP($A763,Facebook_interactions_raw!$A$4:$A1000,Facebook_interactions_raw!$B$4:$B1000)</f>
        <v>#N/A</v>
      </c>
      <c r="F763" s="26" t="str">
        <f t="array" ref="F763">XLOOKUP($A763,Facebook_reach_raw!$A$4:$A1000,Facebook_reach_raw!$B$4:$B1000)</f>
        <v>#N/A</v>
      </c>
    </row>
    <row r="764">
      <c r="A764" s="30" t="str">
        <f>Facebook_reach_raw!$A766</f>
        <v/>
      </c>
      <c r="B764" s="29" t="str">
        <f>Facebook_interactions_raw!$A766</f>
        <v/>
      </c>
      <c r="C764" s="26" t="str">
        <f t="shared" si="1"/>
        <v/>
      </c>
      <c r="D764" s="26" t="str">
        <f t="array" ref="D764">XLOOKUP($A764,Facebook_follows_raw!$A$4:$A1000,Facebook_follows_raw!$B$4:$B1000)</f>
        <v>#N/A</v>
      </c>
      <c r="E764" s="26" t="str">
        <f t="array" ref="E764">XLOOKUP($A764,Facebook_interactions_raw!$A$4:$A1000,Facebook_interactions_raw!$B$4:$B1000)</f>
        <v>#N/A</v>
      </c>
      <c r="F764" s="26" t="str">
        <f t="array" ref="F764">XLOOKUP($A764,Facebook_reach_raw!$A$4:$A1000,Facebook_reach_raw!$B$4:$B1000)</f>
        <v>#N/A</v>
      </c>
    </row>
    <row r="765">
      <c r="A765" s="30" t="str">
        <f>Facebook_reach_raw!$A767</f>
        <v/>
      </c>
      <c r="B765" s="29" t="str">
        <f>Facebook_interactions_raw!$A767</f>
        <v/>
      </c>
      <c r="C765" s="26" t="str">
        <f t="shared" si="1"/>
        <v/>
      </c>
      <c r="D765" s="26" t="str">
        <f t="array" ref="D765">XLOOKUP($A765,Facebook_follows_raw!$A$4:$A1000,Facebook_follows_raw!$B$4:$B1000)</f>
        <v>#N/A</v>
      </c>
      <c r="E765" s="26" t="str">
        <f t="array" ref="E765">XLOOKUP($A765,Facebook_interactions_raw!$A$4:$A1000,Facebook_interactions_raw!$B$4:$B1000)</f>
        <v>#N/A</v>
      </c>
      <c r="F765" s="26" t="str">
        <f t="array" ref="F765">XLOOKUP($A765,Facebook_reach_raw!$A$4:$A1000,Facebook_reach_raw!$B$4:$B1000)</f>
        <v>#N/A</v>
      </c>
    </row>
    <row r="766">
      <c r="A766" s="30" t="str">
        <f>Facebook_reach_raw!$A768</f>
        <v/>
      </c>
      <c r="B766" s="29" t="str">
        <f>Facebook_interactions_raw!$A768</f>
        <v/>
      </c>
      <c r="C766" s="26" t="str">
        <f t="shared" si="1"/>
        <v/>
      </c>
      <c r="D766" s="26" t="str">
        <f t="array" ref="D766">XLOOKUP($A766,Facebook_follows_raw!$A$4:$A1000,Facebook_follows_raw!$B$4:$B1000)</f>
        <v>#N/A</v>
      </c>
      <c r="E766" s="26" t="str">
        <f t="array" ref="E766">XLOOKUP($A766,Facebook_interactions_raw!$A$4:$A1000,Facebook_interactions_raw!$B$4:$B1000)</f>
        <v>#N/A</v>
      </c>
      <c r="F766" s="26" t="str">
        <f t="array" ref="F766">XLOOKUP($A766,Facebook_reach_raw!$A$4:$A1000,Facebook_reach_raw!$B$4:$B1000)</f>
        <v>#N/A</v>
      </c>
    </row>
    <row r="767">
      <c r="A767" s="30" t="str">
        <f>Facebook_reach_raw!$A769</f>
        <v/>
      </c>
      <c r="B767" s="29" t="str">
        <f>Facebook_interactions_raw!$A769</f>
        <v/>
      </c>
      <c r="C767" s="26" t="str">
        <f t="shared" si="1"/>
        <v/>
      </c>
      <c r="D767" s="26" t="str">
        <f t="array" ref="D767">XLOOKUP($A767,Facebook_follows_raw!$A$4:$A1000,Facebook_follows_raw!$B$4:$B1000)</f>
        <v>#N/A</v>
      </c>
      <c r="E767" s="26" t="str">
        <f t="array" ref="E767">XLOOKUP($A767,Facebook_interactions_raw!$A$4:$A1000,Facebook_interactions_raw!$B$4:$B1000)</f>
        <v>#N/A</v>
      </c>
      <c r="F767" s="26" t="str">
        <f t="array" ref="F767">XLOOKUP($A767,Facebook_reach_raw!$A$4:$A1000,Facebook_reach_raw!$B$4:$B1000)</f>
        <v>#N/A</v>
      </c>
    </row>
    <row r="768">
      <c r="A768" s="30" t="str">
        <f>Facebook_reach_raw!$A770</f>
        <v/>
      </c>
      <c r="B768" s="29" t="str">
        <f>Facebook_interactions_raw!$A770</f>
        <v/>
      </c>
      <c r="C768" s="26" t="str">
        <f t="shared" si="1"/>
        <v/>
      </c>
      <c r="D768" s="26" t="str">
        <f t="array" ref="D768">XLOOKUP($A768,Facebook_follows_raw!$A$4:$A1000,Facebook_follows_raw!$B$4:$B1000)</f>
        <v>#N/A</v>
      </c>
      <c r="E768" s="26" t="str">
        <f t="array" ref="E768">XLOOKUP($A768,Facebook_interactions_raw!$A$4:$A1000,Facebook_interactions_raw!$B$4:$B1000)</f>
        <v>#N/A</v>
      </c>
      <c r="F768" s="26" t="str">
        <f t="array" ref="F768">XLOOKUP($A768,Facebook_reach_raw!$A$4:$A1000,Facebook_reach_raw!$B$4:$B1000)</f>
        <v>#N/A</v>
      </c>
    </row>
    <row r="769">
      <c r="A769" s="30" t="str">
        <f>Facebook_reach_raw!$A771</f>
        <v/>
      </c>
      <c r="B769" s="29" t="str">
        <f>Facebook_interactions_raw!$A771</f>
        <v/>
      </c>
      <c r="C769" s="26" t="str">
        <f t="shared" si="1"/>
        <v/>
      </c>
      <c r="D769" s="26" t="str">
        <f t="array" ref="D769">XLOOKUP($A769,Facebook_follows_raw!$A$4:$A1000,Facebook_follows_raw!$B$4:$B1000)</f>
        <v>#N/A</v>
      </c>
      <c r="E769" s="26" t="str">
        <f t="array" ref="E769">XLOOKUP($A769,Facebook_interactions_raw!$A$4:$A1000,Facebook_interactions_raw!$B$4:$B1000)</f>
        <v>#N/A</v>
      </c>
      <c r="F769" s="26" t="str">
        <f t="array" ref="F769">XLOOKUP($A769,Facebook_reach_raw!$A$4:$A1000,Facebook_reach_raw!$B$4:$B1000)</f>
        <v>#N/A</v>
      </c>
    </row>
    <row r="770">
      <c r="A770" s="30" t="str">
        <f>Facebook_reach_raw!$A772</f>
        <v/>
      </c>
      <c r="B770" s="29" t="str">
        <f>Facebook_interactions_raw!$A772</f>
        <v/>
      </c>
      <c r="C770" s="26" t="str">
        <f t="shared" si="1"/>
        <v/>
      </c>
      <c r="D770" s="26" t="str">
        <f t="array" ref="D770">XLOOKUP($A770,Facebook_follows_raw!$A$4:$A1000,Facebook_follows_raw!$B$4:$B1000)</f>
        <v>#N/A</v>
      </c>
      <c r="E770" s="26" t="str">
        <f t="array" ref="E770">XLOOKUP($A770,Facebook_interactions_raw!$A$4:$A1000,Facebook_interactions_raw!$B$4:$B1000)</f>
        <v>#N/A</v>
      </c>
      <c r="F770" s="26" t="str">
        <f t="array" ref="F770">XLOOKUP($A770,Facebook_reach_raw!$A$4:$A1000,Facebook_reach_raw!$B$4:$B1000)</f>
        <v>#N/A</v>
      </c>
    </row>
    <row r="771">
      <c r="A771" s="30" t="str">
        <f>Facebook_reach_raw!$A773</f>
        <v/>
      </c>
      <c r="B771" s="29" t="str">
        <f>Facebook_interactions_raw!$A773</f>
        <v/>
      </c>
      <c r="C771" s="26" t="str">
        <f t="shared" si="1"/>
        <v/>
      </c>
      <c r="D771" s="26" t="str">
        <f t="array" ref="D771">XLOOKUP($A771,Facebook_follows_raw!$A$4:$A1000,Facebook_follows_raw!$B$4:$B1000)</f>
        <v>#N/A</v>
      </c>
      <c r="E771" s="26" t="str">
        <f t="array" ref="E771">XLOOKUP($A771,Facebook_interactions_raw!$A$4:$A1000,Facebook_interactions_raw!$B$4:$B1000)</f>
        <v>#N/A</v>
      </c>
      <c r="F771" s="26" t="str">
        <f t="array" ref="F771">XLOOKUP($A771,Facebook_reach_raw!$A$4:$A1000,Facebook_reach_raw!$B$4:$B1000)</f>
        <v>#N/A</v>
      </c>
    </row>
    <row r="772">
      <c r="A772" s="30" t="str">
        <f>Facebook_reach_raw!$A774</f>
        <v/>
      </c>
      <c r="B772" s="29" t="str">
        <f>Facebook_interactions_raw!$A774</f>
        <v/>
      </c>
      <c r="C772" s="26" t="str">
        <f t="shared" si="1"/>
        <v/>
      </c>
      <c r="D772" s="26" t="str">
        <f t="array" ref="D772">XLOOKUP($A772,Facebook_follows_raw!$A$4:$A1000,Facebook_follows_raw!$B$4:$B1000)</f>
        <v>#N/A</v>
      </c>
      <c r="E772" s="26" t="str">
        <f t="array" ref="E772">XLOOKUP($A772,Facebook_interactions_raw!$A$4:$A1000,Facebook_interactions_raw!$B$4:$B1000)</f>
        <v>#N/A</v>
      </c>
      <c r="F772" s="26" t="str">
        <f t="array" ref="F772">XLOOKUP($A772,Facebook_reach_raw!$A$4:$A1000,Facebook_reach_raw!$B$4:$B1000)</f>
        <v>#N/A</v>
      </c>
    </row>
    <row r="773">
      <c r="A773" s="30" t="str">
        <f>Facebook_reach_raw!$A775</f>
        <v/>
      </c>
      <c r="B773" s="29" t="str">
        <f>Facebook_interactions_raw!$A775</f>
        <v/>
      </c>
      <c r="C773" s="26" t="str">
        <f t="shared" si="1"/>
        <v/>
      </c>
      <c r="D773" s="26" t="str">
        <f t="array" ref="D773">XLOOKUP($A773,Facebook_follows_raw!$A$4:$A1000,Facebook_follows_raw!$B$4:$B1000)</f>
        <v>#N/A</v>
      </c>
      <c r="E773" s="26" t="str">
        <f t="array" ref="E773">XLOOKUP($A773,Facebook_interactions_raw!$A$4:$A1000,Facebook_interactions_raw!$B$4:$B1000)</f>
        <v>#N/A</v>
      </c>
      <c r="F773" s="26" t="str">
        <f t="array" ref="F773">XLOOKUP($A773,Facebook_reach_raw!$A$4:$A1000,Facebook_reach_raw!$B$4:$B1000)</f>
        <v>#N/A</v>
      </c>
    </row>
    <row r="774">
      <c r="A774" s="30" t="str">
        <f>Facebook_reach_raw!$A776</f>
        <v/>
      </c>
      <c r="B774" s="29" t="str">
        <f>Facebook_interactions_raw!$A776</f>
        <v/>
      </c>
      <c r="C774" s="26" t="str">
        <f t="shared" si="1"/>
        <v/>
      </c>
      <c r="D774" s="26" t="str">
        <f t="array" ref="D774">XLOOKUP($A774,Facebook_follows_raw!$A$4:$A1000,Facebook_follows_raw!$B$4:$B1000)</f>
        <v>#N/A</v>
      </c>
      <c r="E774" s="26" t="str">
        <f t="array" ref="E774">XLOOKUP($A774,Facebook_interactions_raw!$A$4:$A1000,Facebook_interactions_raw!$B$4:$B1000)</f>
        <v>#N/A</v>
      </c>
      <c r="F774" s="26" t="str">
        <f t="array" ref="F774">XLOOKUP($A774,Facebook_reach_raw!$A$4:$A1000,Facebook_reach_raw!$B$4:$B1000)</f>
        <v>#N/A</v>
      </c>
    </row>
    <row r="775">
      <c r="A775" s="30" t="str">
        <f>Facebook_reach_raw!$A777</f>
        <v/>
      </c>
      <c r="B775" s="29" t="str">
        <f>Facebook_interactions_raw!$A777</f>
        <v/>
      </c>
      <c r="C775" s="26" t="str">
        <f t="shared" si="1"/>
        <v/>
      </c>
      <c r="D775" s="26" t="str">
        <f t="array" ref="D775">XLOOKUP($A775,Facebook_follows_raw!$A$4:$A1000,Facebook_follows_raw!$B$4:$B1000)</f>
        <v>#N/A</v>
      </c>
      <c r="E775" s="26" t="str">
        <f t="array" ref="E775">XLOOKUP($A775,Facebook_interactions_raw!$A$4:$A1000,Facebook_interactions_raw!$B$4:$B1000)</f>
        <v>#N/A</v>
      </c>
      <c r="F775" s="26" t="str">
        <f t="array" ref="F775">XLOOKUP($A775,Facebook_reach_raw!$A$4:$A1000,Facebook_reach_raw!$B$4:$B1000)</f>
        <v>#N/A</v>
      </c>
    </row>
    <row r="776">
      <c r="A776" s="30" t="str">
        <f>Facebook_reach_raw!$A778</f>
        <v/>
      </c>
      <c r="B776" s="29" t="str">
        <f>Facebook_interactions_raw!$A778</f>
        <v/>
      </c>
      <c r="C776" s="26" t="str">
        <f t="shared" si="1"/>
        <v/>
      </c>
      <c r="D776" s="26" t="str">
        <f t="array" ref="D776">XLOOKUP($A776,Facebook_follows_raw!$A$4:$A1000,Facebook_follows_raw!$B$4:$B1000)</f>
        <v>#N/A</v>
      </c>
      <c r="E776" s="26" t="str">
        <f t="array" ref="E776">XLOOKUP($A776,Facebook_interactions_raw!$A$4:$A1000,Facebook_interactions_raw!$B$4:$B1000)</f>
        <v>#N/A</v>
      </c>
      <c r="F776" s="26" t="str">
        <f t="array" ref="F776">XLOOKUP($A776,Facebook_reach_raw!$A$4:$A1000,Facebook_reach_raw!$B$4:$B1000)</f>
        <v>#N/A</v>
      </c>
    </row>
    <row r="777">
      <c r="A777" s="30" t="str">
        <f>Facebook_reach_raw!$A779</f>
        <v/>
      </c>
      <c r="B777" s="29" t="str">
        <f>Facebook_interactions_raw!$A779</f>
        <v/>
      </c>
      <c r="C777" s="26" t="str">
        <f t="shared" si="1"/>
        <v/>
      </c>
      <c r="D777" s="26" t="str">
        <f t="array" ref="D777">XLOOKUP($A777,Facebook_follows_raw!$A$4:$A1000,Facebook_follows_raw!$B$4:$B1000)</f>
        <v>#N/A</v>
      </c>
      <c r="E777" s="26" t="str">
        <f t="array" ref="E777">XLOOKUP($A777,Facebook_interactions_raw!$A$4:$A1000,Facebook_interactions_raw!$B$4:$B1000)</f>
        <v>#N/A</v>
      </c>
      <c r="F777" s="26" t="str">
        <f t="array" ref="F777">XLOOKUP($A777,Facebook_reach_raw!$A$4:$A1000,Facebook_reach_raw!$B$4:$B1000)</f>
        <v>#N/A</v>
      </c>
    </row>
    <row r="778">
      <c r="A778" s="30" t="str">
        <f>Facebook_reach_raw!$A780</f>
        <v/>
      </c>
      <c r="B778" s="29" t="str">
        <f>Facebook_interactions_raw!$A780</f>
        <v/>
      </c>
      <c r="C778" s="26" t="str">
        <f t="shared" si="1"/>
        <v/>
      </c>
      <c r="D778" s="26" t="str">
        <f t="array" ref="D778">XLOOKUP($A778,Facebook_follows_raw!$A$4:$A1000,Facebook_follows_raw!$B$4:$B1000)</f>
        <v>#N/A</v>
      </c>
      <c r="E778" s="26" t="str">
        <f t="array" ref="E778">XLOOKUP($A778,Facebook_interactions_raw!$A$4:$A1000,Facebook_interactions_raw!$B$4:$B1000)</f>
        <v>#N/A</v>
      </c>
      <c r="F778" s="26" t="str">
        <f t="array" ref="F778">XLOOKUP($A778,Facebook_reach_raw!$A$4:$A1000,Facebook_reach_raw!$B$4:$B1000)</f>
        <v>#N/A</v>
      </c>
    </row>
    <row r="779">
      <c r="A779" s="30" t="str">
        <f>Facebook_reach_raw!$A781</f>
        <v/>
      </c>
      <c r="B779" s="29" t="str">
        <f>Facebook_interactions_raw!$A781</f>
        <v/>
      </c>
      <c r="C779" s="26" t="str">
        <f t="shared" si="1"/>
        <v/>
      </c>
      <c r="D779" s="26" t="str">
        <f t="array" ref="D779">XLOOKUP($A779,Facebook_follows_raw!$A$4:$A1000,Facebook_follows_raw!$B$4:$B1000)</f>
        <v>#N/A</v>
      </c>
      <c r="E779" s="26" t="str">
        <f t="array" ref="E779">XLOOKUP($A779,Facebook_interactions_raw!$A$4:$A1000,Facebook_interactions_raw!$B$4:$B1000)</f>
        <v>#N/A</v>
      </c>
      <c r="F779" s="26" t="str">
        <f t="array" ref="F779">XLOOKUP($A779,Facebook_reach_raw!$A$4:$A1000,Facebook_reach_raw!$B$4:$B1000)</f>
        <v>#N/A</v>
      </c>
    </row>
    <row r="780">
      <c r="A780" s="30" t="str">
        <f>Facebook_reach_raw!$A782</f>
        <v/>
      </c>
      <c r="B780" s="29" t="str">
        <f>Facebook_interactions_raw!$A782</f>
        <v/>
      </c>
      <c r="C780" s="26" t="str">
        <f t="shared" si="1"/>
        <v/>
      </c>
      <c r="D780" s="26" t="str">
        <f t="array" ref="D780">XLOOKUP($A780,Facebook_follows_raw!$A$4:$A1000,Facebook_follows_raw!$B$4:$B1000)</f>
        <v>#N/A</v>
      </c>
      <c r="E780" s="26" t="str">
        <f t="array" ref="E780">XLOOKUP($A780,Facebook_interactions_raw!$A$4:$A1000,Facebook_interactions_raw!$B$4:$B1000)</f>
        <v>#N/A</v>
      </c>
      <c r="F780" s="26" t="str">
        <f t="array" ref="F780">XLOOKUP($A780,Facebook_reach_raw!$A$4:$A1000,Facebook_reach_raw!$B$4:$B1000)</f>
        <v>#N/A</v>
      </c>
    </row>
    <row r="781">
      <c r="A781" s="30" t="str">
        <f>Facebook_reach_raw!$A783</f>
        <v/>
      </c>
      <c r="B781" s="29" t="str">
        <f>Facebook_interactions_raw!$A783</f>
        <v/>
      </c>
      <c r="C781" s="26" t="str">
        <f t="shared" si="1"/>
        <v/>
      </c>
      <c r="D781" s="26" t="str">
        <f t="array" ref="D781">XLOOKUP($A781,Facebook_follows_raw!$A$4:$A1000,Facebook_follows_raw!$B$4:$B1000)</f>
        <v>#N/A</v>
      </c>
      <c r="E781" s="26" t="str">
        <f t="array" ref="E781">XLOOKUP($A781,Facebook_interactions_raw!$A$4:$A1000,Facebook_interactions_raw!$B$4:$B1000)</f>
        <v>#N/A</v>
      </c>
      <c r="F781" s="26" t="str">
        <f t="array" ref="F781">XLOOKUP($A781,Facebook_reach_raw!$A$4:$A1000,Facebook_reach_raw!$B$4:$B1000)</f>
        <v>#N/A</v>
      </c>
    </row>
    <row r="782">
      <c r="A782" s="30" t="str">
        <f>Facebook_reach_raw!$A784</f>
        <v/>
      </c>
      <c r="B782" s="29" t="str">
        <f>Facebook_interactions_raw!$A784</f>
        <v/>
      </c>
      <c r="C782" s="26" t="str">
        <f t="shared" si="1"/>
        <v/>
      </c>
      <c r="D782" s="26" t="str">
        <f t="array" ref="D782">XLOOKUP($A782,Facebook_follows_raw!$A$4:$A1000,Facebook_follows_raw!$B$4:$B1000)</f>
        <v>#N/A</v>
      </c>
      <c r="E782" s="26" t="str">
        <f t="array" ref="E782">XLOOKUP($A782,Facebook_interactions_raw!$A$4:$A1000,Facebook_interactions_raw!$B$4:$B1000)</f>
        <v>#N/A</v>
      </c>
      <c r="F782" s="26" t="str">
        <f t="array" ref="F782">XLOOKUP($A782,Facebook_reach_raw!$A$4:$A1000,Facebook_reach_raw!$B$4:$B1000)</f>
        <v>#N/A</v>
      </c>
    </row>
    <row r="783">
      <c r="A783" s="30" t="str">
        <f>Facebook_reach_raw!$A785</f>
        <v/>
      </c>
      <c r="B783" s="29" t="str">
        <f>Facebook_interactions_raw!$A785</f>
        <v/>
      </c>
      <c r="C783" s="26" t="str">
        <f t="shared" si="1"/>
        <v/>
      </c>
      <c r="D783" s="26" t="str">
        <f t="array" ref="D783">XLOOKUP($A783,Facebook_follows_raw!$A$4:$A1000,Facebook_follows_raw!$B$4:$B1000)</f>
        <v>#N/A</v>
      </c>
      <c r="E783" s="26" t="str">
        <f t="array" ref="E783">XLOOKUP($A783,Facebook_interactions_raw!$A$4:$A1000,Facebook_interactions_raw!$B$4:$B1000)</f>
        <v>#N/A</v>
      </c>
      <c r="F783" s="26" t="str">
        <f t="array" ref="F783">XLOOKUP($A783,Facebook_reach_raw!$A$4:$A1000,Facebook_reach_raw!$B$4:$B1000)</f>
        <v>#N/A</v>
      </c>
    </row>
    <row r="784">
      <c r="A784" s="30" t="str">
        <f>Facebook_reach_raw!$A786</f>
        <v/>
      </c>
      <c r="B784" s="29" t="str">
        <f>Facebook_interactions_raw!$A786</f>
        <v/>
      </c>
      <c r="C784" s="26" t="str">
        <f t="shared" si="1"/>
        <v/>
      </c>
      <c r="D784" s="26" t="str">
        <f t="array" ref="D784">XLOOKUP($A784,Facebook_follows_raw!$A$4:$A1000,Facebook_follows_raw!$B$4:$B1000)</f>
        <v>#N/A</v>
      </c>
      <c r="E784" s="26" t="str">
        <f t="array" ref="E784">XLOOKUP($A784,Facebook_interactions_raw!$A$4:$A1000,Facebook_interactions_raw!$B$4:$B1000)</f>
        <v>#N/A</v>
      </c>
      <c r="F784" s="26" t="str">
        <f t="array" ref="F784">XLOOKUP($A784,Facebook_reach_raw!$A$4:$A1000,Facebook_reach_raw!$B$4:$B1000)</f>
        <v>#N/A</v>
      </c>
    </row>
    <row r="785">
      <c r="A785" s="30" t="str">
        <f>Facebook_reach_raw!$A787</f>
        <v/>
      </c>
      <c r="B785" s="29" t="str">
        <f>Facebook_interactions_raw!$A787</f>
        <v/>
      </c>
      <c r="C785" s="26" t="str">
        <f t="shared" si="1"/>
        <v/>
      </c>
      <c r="D785" s="26" t="str">
        <f t="array" ref="D785">XLOOKUP($A785,Facebook_follows_raw!$A$4:$A1000,Facebook_follows_raw!$B$4:$B1000)</f>
        <v>#N/A</v>
      </c>
      <c r="E785" s="26" t="str">
        <f t="array" ref="E785">XLOOKUP($A785,Facebook_interactions_raw!$A$4:$A1000,Facebook_interactions_raw!$B$4:$B1000)</f>
        <v>#N/A</v>
      </c>
      <c r="F785" s="26" t="str">
        <f t="array" ref="F785">XLOOKUP($A785,Facebook_reach_raw!$A$4:$A1000,Facebook_reach_raw!$B$4:$B1000)</f>
        <v>#N/A</v>
      </c>
    </row>
    <row r="786">
      <c r="A786" s="30" t="str">
        <f>Facebook_reach_raw!$A788</f>
        <v/>
      </c>
      <c r="B786" s="29" t="str">
        <f>Facebook_interactions_raw!$A788</f>
        <v/>
      </c>
      <c r="C786" s="26" t="str">
        <f t="shared" si="1"/>
        <v/>
      </c>
      <c r="D786" s="26" t="str">
        <f t="array" ref="D786">XLOOKUP($A786,Facebook_follows_raw!$A$4:$A1000,Facebook_follows_raw!$B$4:$B1000)</f>
        <v>#N/A</v>
      </c>
      <c r="E786" s="26" t="str">
        <f t="array" ref="E786">XLOOKUP($A786,Facebook_interactions_raw!$A$4:$A1000,Facebook_interactions_raw!$B$4:$B1000)</f>
        <v>#N/A</v>
      </c>
      <c r="F786" s="26" t="str">
        <f t="array" ref="F786">XLOOKUP($A786,Facebook_reach_raw!$A$4:$A1000,Facebook_reach_raw!$B$4:$B1000)</f>
        <v>#N/A</v>
      </c>
    </row>
    <row r="787">
      <c r="A787" s="30" t="str">
        <f>Facebook_reach_raw!$A789</f>
        <v/>
      </c>
      <c r="B787" s="29" t="str">
        <f>Facebook_interactions_raw!$A789</f>
        <v/>
      </c>
      <c r="C787" s="26" t="str">
        <f t="shared" si="1"/>
        <v/>
      </c>
      <c r="D787" s="26" t="str">
        <f t="array" ref="D787">XLOOKUP($A787,Facebook_follows_raw!$A$4:$A1000,Facebook_follows_raw!$B$4:$B1000)</f>
        <v>#N/A</v>
      </c>
      <c r="E787" s="26" t="str">
        <f t="array" ref="E787">XLOOKUP($A787,Facebook_interactions_raw!$A$4:$A1000,Facebook_interactions_raw!$B$4:$B1000)</f>
        <v>#N/A</v>
      </c>
      <c r="F787" s="26" t="str">
        <f t="array" ref="F787">XLOOKUP($A787,Facebook_reach_raw!$A$4:$A1000,Facebook_reach_raw!$B$4:$B1000)</f>
        <v>#N/A</v>
      </c>
    </row>
    <row r="788">
      <c r="A788" s="30" t="str">
        <f>Facebook_reach_raw!$A790</f>
        <v/>
      </c>
      <c r="B788" s="29" t="str">
        <f>Facebook_interactions_raw!$A790</f>
        <v/>
      </c>
      <c r="C788" s="26" t="str">
        <f t="shared" si="1"/>
        <v/>
      </c>
      <c r="D788" s="26" t="str">
        <f t="array" ref="D788">XLOOKUP($A788,Facebook_follows_raw!$A$4:$A1000,Facebook_follows_raw!$B$4:$B1000)</f>
        <v>#N/A</v>
      </c>
      <c r="E788" s="26" t="str">
        <f t="array" ref="E788">XLOOKUP($A788,Facebook_interactions_raw!$A$4:$A1000,Facebook_interactions_raw!$B$4:$B1000)</f>
        <v>#N/A</v>
      </c>
      <c r="F788" s="26" t="str">
        <f t="array" ref="F788">XLOOKUP($A788,Facebook_reach_raw!$A$4:$A1000,Facebook_reach_raw!$B$4:$B1000)</f>
        <v>#N/A</v>
      </c>
    </row>
    <row r="789">
      <c r="A789" s="30" t="str">
        <f>Facebook_reach_raw!$A791</f>
        <v/>
      </c>
      <c r="B789" s="29" t="str">
        <f>Facebook_interactions_raw!$A791</f>
        <v/>
      </c>
      <c r="C789" s="26" t="str">
        <f t="shared" si="1"/>
        <v/>
      </c>
      <c r="D789" s="26" t="str">
        <f t="array" ref="D789">XLOOKUP($A789,Facebook_follows_raw!$A$4:$A1000,Facebook_follows_raw!$B$4:$B1000)</f>
        <v>#N/A</v>
      </c>
      <c r="E789" s="26" t="str">
        <f t="array" ref="E789">XLOOKUP($A789,Facebook_interactions_raw!$A$4:$A1000,Facebook_interactions_raw!$B$4:$B1000)</f>
        <v>#N/A</v>
      </c>
      <c r="F789" s="26" t="str">
        <f t="array" ref="F789">XLOOKUP($A789,Facebook_reach_raw!$A$4:$A1000,Facebook_reach_raw!$B$4:$B1000)</f>
        <v>#N/A</v>
      </c>
    </row>
    <row r="790">
      <c r="A790" s="30" t="str">
        <f>Facebook_reach_raw!$A792</f>
        <v/>
      </c>
      <c r="B790" s="29" t="str">
        <f>Facebook_interactions_raw!$A792</f>
        <v/>
      </c>
      <c r="C790" s="26" t="str">
        <f t="shared" si="1"/>
        <v/>
      </c>
      <c r="D790" s="26" t="str">
        <f t="array" ref="D790">XLOOKUP($A790,Facebook_follows_raw!$A$4:$A1000,Facebook_follows_raw!$B$4:$B1000)</f>
        <v>#N/A</v>
      </c>
      <c r="E790" s="26" t="str">
        <f t="array" ref="E790">XLOOKUP($A790,Facebook_interactions_raw!$A$4:$A1000,Facebook_interactions_raw!$B$4:$B1000)</f>
        <v>#N/A</v>
      </c>
      <c r="F790" s="26" t="str">
        <f t="array" ref="F790">XLOOKUP($A790,Facebook_reach_raw!$A$4:$A1000,Facebook_reach_raw!$B$4:$B1000)</f>
        <v>#N/A</v>
      </c>
    </row>
    <row r="791">
      <c r="A791" s="30" t="str">
        <f>Facebook_reach_raw!$A793</f>
        <v/>
      </c>
      <c r="B791" s="29" t="str">
        <f>Facebook_interactions_raw!$A793</f>
        <v/>
      </c>
      <c r="C791" s="26" t="str">
        <f t="shared" si="1"/>
        <v/>
      </c>
      <c r="D791" s="26" t="str">
        <f t="array" ref="D791">XLOOKUP($A791,Facebook_follows_raw!$A$4:$A1000,Facebook_follows_raw!$B$4:$B1000)</f>
        <v>#N/A</v>
      </c>
      <c r="E791" s="26" t="str">
        <f t="array" ref="E791">XLOOKUP($A791,Facebook_interactions_raw!$A$4:$A1000,Facebook_interactions_raw!$B$4:$B1000)</f>
        <v>#N/A</v>
      </c>
      <c r="F791" s="26" t="str">
        <f t="array" ref="F791">XLOOKUP($A791,Facebook_reach_raw!$A$4:$A1000,Facebook_reach_raw!$B$4:$B1000)</f>
        <v>#N/A</v>
      </c>
    </row>
    <row r="792">
      <c r="A792" s="30" t="str">
        <f>Facebook_reach_raw!$A794</f>
        <v/>
      </c>
      <c r="B792" s="29" t="str">
        <f>Facebook_interactions_raw!$A794</f>
        <v/>
      </c>
      <c r="C792" s="26" t="str">
        <f t="shared" si="1"/>
        <v/>
      </c>
      <c r="D792" s="26" t="str">
        <f t="array" ref="D792">XLOOKUP($A792,Facebook_follows_raw!$A$4:$A1000,Facebook_follows_raw!$B$4:$B1000)</f>
        <v>#N/A</v>
      </c>
      <c r="E792" s="26" t="str">
        <f t="array" ref="E792">XLOOKUP($A792,Facebook_interactions_raw!$A$4:$A1000,Facebook_interactions_raw!$B$4:$B1000)</f>
        <v>#N/A</v>
      </c>
      <c r="F792" s="26" t="str">
        <f t="array" ref="F792">XLOOKUP($A792,Facebook_reach_raw!$A$4:$A1000,Facebook_reach_raw!$B$4:$B1000)</f>
        <v>#N/A</v>
      </c>
    </row>
    <row r="793">
      <c r="A793" s="30" t="str">
        <f>Facebook_reach_raw!$A795</f>
        <v/>
      </c>
      <c r="B793" s="29" t="str">
        <f>Facebook_interactions_raw!$A795</f>
        <v/>
      </c>
      <c r="C793" s="26" t="str">
        <f t="shared" si="1"/>
        <v/>
      </c>
      <c r="D793" s="26" t="str">
        <f t="array" ref="D793">XLOOKUP($A793,Facebook_follows_raw!$A$4:$A1000,Facebook_follows_raw!$B$4:$B1000)</f>
        <v>#N/A</v>
      </c>
      <c r="E793" s="26" t="str">
        <f t="array" ref="E793">XLOOKUP($A793,Facebook_interactions_raw!$A$4:$A1000,Facebook_interactions_raw!$B$4:$B1000)</f>
        <v>#N/A</v>
      </c>
      <c r="F793" s="26" t="str">
        <f t="array" ref="F793">XLOOKUP($A793,Facebook_reach_raw!$A$4:$A1000,Facebook_reach_raw!$B$4:$B1000)</f>
        <v>#N/A</v>
      </c>
    </row>
    <row r="794">
      <c r="A794" s="30" t="str">
        <f>Facebook_reach_raw!$A796</f>
        <v/>
      </c>
      <c r="B794" s="29" t="str">
        <f>Facebook_interactions_raw!$A796</f>
        <v/>
      </c>
      <c r="C794" s="26" t="str">
        <f t="shared" si="1"/>
        <v/>
      </c>
      <c r="D794" s="26" t="str">
        <f t="array" ref="D794">XLOOKUP($A794,Facebook_follows_raw!$A$4:$A1000,Facebook_follows_raw!$B$4:$B1000)</f>
        <v>#N/A</v>
      </c>
      <c r="E794" s="26" t="str">
        <f t="array" ref="E794">XLOOKUP($A794,Facebook_interactions_raw!$A$4:$A1000,Facebook_interactions_raw!$B$4:$B1000)</f>
        <v>#N/A</v>
      </c>
      <c r="F794" s="26" t="str">
        <f t="array" ref="F794">XLOOKUP($A794,Facebook_reach_raw!$A$4:$A1000,Facebook_reach_raw!$B$4:$B1000)</f>
        <v>#N/A</v>
      </c>
    </row>
    <row r="795">
      <c r="A795" s="30" t="str">
        <f>Facebook_reach_raw!$A797</f>
        <v/>
      </c>
      <c r="B795" s="29" t="str">
        <f>Facebook_interactions_raw!$A797</f>
        <v/>
      </c>
      <c r="C795" s="26" t="str">
        <f t="shared" si="1"/>
        <v/>
      </c>
      <c r="D795" s="26" t="str">
        <f t="array" ref="D795">XLOOKUP($A795,Facebook_follows_raw!$A$4:$A1000,Facebook_follows_raw!$B$4:$B1000)</f>
        <v>#N/A</v>
      </c>
      <c r="E795" s="26" t="str">
        <f t="array" ref="E795">XLOOKUP($A795,Facebook_interactions_raw!$A$4:$A1000,Facebook_interactions_raw!$B$4:$B1000)</f>
        <v>#N/A</v>
      </c>
      <c r="F795" s="26" t="str">
        <f t="array" ref="F795">XLOOKUP($A795,Facebook_reach_raw!$A$4:$A1000,Facebook_reach_raw!$B$4:$B1000)</f>
        <v>#N/A</v>
      </c>
    </row>
    <row r="796">
      <c r="A796" s="30" t="str">
        <f>Facebook_reach_raw!$A798</f>
        <v/>
      </c>
      <c r="B796" s="29" t="str">
        <f>Facebook_interactions_raw!$A798</f>
        <v/>
      </c>
      <c r="C796" s="26" t="str">
        <f t="shared" si="1"/>
        <v/>
      </c>
      <c r="D796" s="26" t="str">
        <f t="array" ref="D796">XLOOKUP($A796,Facebook_follows_raw!$A$4:$A1000,Facebook_follows_raw!$B$4:$B1000)</f>
        <v>#N/A</v>
      </c>
      <c r="E796" s="26" t="str">
        <f t="array" ref="E796">XLOOKUP($A796,Facebook_interactions_raw!$A$4:$A1000,Facebook_interactions_raw!$B$4:$B1000)</f>
        <v>#N/A</v>
      </c>
      <c r="F796" s="26" t="str">
        <f t="array" ref="F796">XLOOKUP($A796,Facebook_reach_raw!$A$4:$A1000,Facebook_reach_raw!$B$4:$B1000)</f>
        <v>#N/A</v>
      </c>
    </row>
    <row r="797">
      <c r="A797" s="30" t="str">
        <f>Facebook_reach_raw!$A799</f>
        <v/>
      </c>
      <c r="B797" s="29" t="str">
        <f>Facebook_interactions_raw!$A799</f>
        <v/>
      </c>
      <c r="C797" s="26" t="str">
        <f t="shared" si="1"/>
        <v/>
      </c>
      <c r="D797" s="26" t="str">
        <f t="array" ref="D797">XLOOKUP($A797,Facebook_follows_raw!$A$4:$A1000,Facebook_follows_raw!$B$4:$B1000)</f>
        <v>#N/A</v>
      </c>
      <c r="E797" s="26" t="str">
        <f t="array" ref="E797">XLOOKUP($A797,Facebook_interactions_raw!$A$4:$A1000,Facebook_interactions_raw!$B$4:$B1000)</f>
        <v>#N/A</v>
      </c>
      <c r="F797" s="26" t="str">
        <f t="array" ref="F797">XLOOKUP($A797,Facebook_reach_raw!$A$4:$A1000,Facebook_reach_raw!$B$4:$B1000)</f>
        <v>#N/A</v>
      </c>
    </row>
    <row r="798">
      <c r="A798" s="30" t="str">
        <f>Facebook_reach_raw!$A800</f>
        <v/>
      </c>
      <c r="B798" s="29" t="str">
        <f>Facebook_interactions_raw!$A800</f>
        <v/>
      </c>
      <c r="C798" s="26" t="str">
        <f t="shared" si="1"/>
        <v/>
      </c>
      <c r="D798" s="26" t="str">
        <f t="array" ref="D798">XLOOKUP($A798,Facebook_follows_raw!$A$4:$A1000,Facebook_follows_raw!$B$4:$B1000)</f>
        <v>#N/A</v>
      </c>
      <c r="E798" s="26" t="str">
        <f t="array" ref="E798">XLOOKUP($A798,Facebook_interactions_raw!$A$4:$A1000,Facebook_interactions_raw!$B$4:$B1000)</f>
        <v>#N/A</v>
      </c>
      <c r="F798" s="26" t="str">
        <f t="array" ref="F798">XLOOKUP($A798,Facebook_reach_raw!$A$4:$A1000,Facebook_reach_raw!$B$4:$B1000)</f>
        <v>#N/A</v>
      </c>
    </row>
    <row r="799">
      <c r="A799" s="30" t="str">
        <f>Facebook_reach_raw!$A801</f>
        <v/>
      </c>
      <c r="B799" s="29" t="str">
        <f>Facebook_interactions_raw!$A801</f>
        <v/>
      </c>
      <c r="C799" s="26" t="str">
        <f t="shared" si="1"/>
        <v/>
      </c>
      <c r="D799" s="26" t="str">
        <f t="array" ref="D799">XLOOKUP($A799,Facebook_follows_raw!$A$4:$A1000,Facebook_follows_raw!$B$4:$B1000)</f>
        <v>#N/A</v>
      </c>
      <c r="E799" s="26" t="str">
        <f t="array" ref="E799">XLOOKUP($A799,Facebook_interactions_raw!$A$4:$A1000,Facebook_interactions_raw!$B$4:$B1000)</f>
        <v>#N/A</v>
      </c>
      <c r="F799" s="26" t="str">
        <f t="array" ref="F799">XLOOKUP($A799,Facebook_reach_raw!$A$4:$A1000,Facebook_reach_raw!$B$4:$B1000)</f>
        <v>#N/A</v>
      </c>
    </row>
    <row r="800">
      <c r="A800" s="30" t="str">
        <f>Facebook_reach_raw!$A802</f>
        <v/>
      </c>
      <c r="B800" s="29" t="str">
        <f>Facebook_interactions_raw!$A802</f>
        <v/>
      </c>
      <c r="C800" s="26" t="str">
        <f t="shared" si="1"/>
        <v/>
      </c>
      <c r="D800" s="26" t="str">
        <f t="array" ref="D800">XLOOKUP($A800,Facebook_follows_raw!$A$4:$A1000,Facebook_follows_raw!$B$4:$B1000)</f>
        <v>#N/A</v>
      </c>
      <c r="E800" s="26" t="str">
        <f t="array" ref="E800">XLOOKUP($A800,Facebook_interactions_raw!$A$4:$A1000,Facebook_interactions_raw!$B$4:$B1000)</f>
        <v>#N/A</v>
      </c>
      <c r="F800" s="26" t="str">
        <f t="array" ref="F800">XLOOKUP($A800,Facebook_reach_raw!$A$4:$A1000,Facebook_reach_raw!$B$4:$B1000)</f>
        <v>#N/A</v>
      </c>
    </row>
    <row r="801">
      <c r="A801" s="30" t="str">
        <f>Facebook_reach_raw!$A803</f>
        <v/>
      </c>
      <c r="B801" s="29" t="str">
        <f>Facebook_interactions_raw!$A803</f>
        <v/>
      </c>
      <c r="C801" s="26" t="str">
        <f t="shared" si="1"/>
        <v/>
      </c>
      <c r="D801" s="26" t="str">
        <f t="array" ref="D801">XLOOKUP($A801,Facebook_follows_raw!$A$4:$A1000,Facebook_follows_raw!$B$4:$B1000)</f>
        <v>#N/A</v>
      </c>
      <c r="E801" s="26" t="str">
        <f t="array" ref="E801">XLOOKUP($A801,Facebook_interactions_raw!$A$4:$A1000,Facebook_interactions_raw!$B$4:$B1000)</f>
        <v>#N/A</v>
      </c>
      <c r="F801" s="26" t="str">
        <f t="array" ref="F801">XLOOKUP($A801,Facebook_reach_raw!$A$4:$A1000,Facebook_reach_raw!$B$4:$B1000)</f>
        <v>#N/A</v>
      </c>
    </row>
    <row r="802">
      <c r="A802" s="30" t="str">
        <f>Facebook_reach_raw!$A804</f>
        <v/>
      </c>
      <c r="B802" s="29" t="str">
        <f>Facebook_interactions_raw!$A804</f>
        <v/>
      </c>
      <c r="C802" s="26" t="str">
        <f t="shared" si="1"/>
        <v/>
      </c>
      <c r="D802" s="26" t="str">
        <f t="array" ref="D802">XLOOKUP($A802,Facebook_follows_raw!$A$4:$A1000,Facebook_follows_raw!$B$4:$B1000)</f>
        <v>#N/A</v>
      </c>
      <c r="E802" s="26" t="str">
        <f t="array" ref="E802">XLOOKUP($A802,Facebook_interactions_raw!$A$4:$A1000,Facebook_interactions_raw!$B$4:$B1000)</f>
        <v>#N/A</v>
      </c>
      <c r="F802" s="26" t="str">
        <f t="array" ref="F802">XLOOKUP($A802,Facebook_reach_raw!$A$4:$A1000,Facebook_reach_raw!$B$4:$B1000)</f>
        <v>#N/A</v>
      </c>
    </row>
    <row r="803">
      <c r="A803" s="30" t="str">
        <f>Facebook_reach_raw!$A805</f>
        <v/>
      </c>
      <c r="B803" s="29" t="str">
        <f>Facebook_interactions_raw!$A805</f>
        <v/>
      </c>
      <c r="C803" s="26" t="str">
        <f t="shared" si="1"/>
        <v/>
      </c>
      <c r="D803" s="26" t="str">
        <f t="array" ref="D803">XLOOKUP($A803,Facebook_follows_raw!$A$4:$A1000,Facebook_follows_raw!$B$4:$B1000)</f>
        <v>#N/A</v>
      </c>
      <c r="E803" s="26" t="str">
        <f t="array" ref="E803">XLOOKUP($A803,Facebook_interactions_raw!$A$4:$A1000,Facebook_interactions_raw!$B$4:$B1000)</f>
        <v>#N/A</v>
      </c>
      <c r="F803" s="26" t="str">
        <f t="array" ref="F803">XLOOKUP($A803,Facebook_reach_raw!$A$4:$A1000,Facebook_reach_raw!$B$4:$B1000)</f>
        <v>#N/A</v>
      </c>
    </row>
    <row r="804">
      <c r="A804" s="30" t="str">
        <f>Facebook_reach_raw!$A806</f>
        <v/>
      </c>
      <c r="B804" s="29" t="str">
        <f>Facebook_interactions_raw!$A806</f>
        <v/>
      </c>
      <c r="C804" s="26" t="str">
        <f t="shared" si="1"/>
        <v/>
      </c>
      <c r="D804" s="26" t="str">
        <f t="array" ref="D804">XLOOKUP($A804,Facebook_follows_raw!$A$4:$A1000,Facebook_follows_raw!$B$4:$B1000)</f>
        <v>#N/A</v>
      </c>
      <c r="E804" s="26" t="str">
        <f t="array" ref="E804">XLOOKUP($A804,Facebook_interactions_raw!$A$4:$A1000,Facebook_interactions_raw!$B$4:$B1000)</f>
        <v>#N/A</v>
      </c>
      <c r="F804" s="26" t="str">
        <f t="array" ref="F804">XLOOKUP($A804,Facebook_reach_raw!$A$4:$A1000,Facebook_reach_raw!$B$4:$B1000)</f>
        <v>#N/A</v>
      </c>
    </row>
    <row r="805">
      <c r="A805" s="30" t="str">
        <f>Facebook_reach_raw!$A807</f>
        <v/>
      </c>
      <c r="B805" s="29" t="str">
        <f>Facebook_interactions_raw!$A807</f>
        <v/>
      </c>
      <c r="C805" s="26" t="str">
        <f t="shared" si="1"/>
        <v/>
      </c>
      <c r="D805" s="26" t="str">
        <f t="array" ref="D805">XLOOKUP($A805,Facebook_follows_raw!$A$4:$A1000,Facebook_follows_raw!$B$4:$B1000)</f>
        <v>#N/A</v>
      </c>
      <c r="E805" s="26" t="str">
        <f t="array" ref="E805">XLOOKUP($A805,Facebook_interactions_raw!$A$4:$A1000,Facebook_interactions_raw!$B$4:$B1000)</f>
        <v>#N/A</v>
      </c>
      <c r="F805" s="26" t="str">
        <f t="array" ref="F805">XLOOKUP($A805,Facebook_reach_raw!$A$4:$A1000,Facebook_reach_raw!$B$4:$B1000)</f>
        <v>#N/A</v>
      </c>
    </row>
    <row r="806">
      <c r="A806" s="30" t="str">
        <f>Facebook_reach_raw!$A808</f>
        <v/>
      </c>
      <c r="B806" s="29" t="str">
        <f>Facebook_interactions_raw!$A808</f>
        <v/>
      </c>
      <c r="C806" s="26" t="str">
        <f t="shared" si="1"/>
        <v/>
      </c>
      <c r="D806" s="26" t="str">
        <f t="array" ref="D806">XLOOKUP($A806,Facebook_follows_raw!$A$4:$A1000,Facebook_follows_raw!$B$4:$B1000)</f>
        <v>#N/A</v>
      </c>
      <c r="E806" s="26" t="str">
        <f t="array" ref="E806">XLOOKUP($A806,Facebook_interactions_raw!$A$4:$A1000,Facebook_interactions_raw!$B$4:$B1000)</f>
        <v>#N/A</v>
      </c>
      <c r="F806" s="26" t="str">
        <f t="array" ref="F806">XLOOKUP($A806,Facebook_reach_raw!$A$4:$A1000,Facebook_reach_raw!$B$4:$B1000)</f>
        <v>#N/A</v>
      </c>
    </row>
    <row r="807">
      <c r="A807" s="30" t="str">
        <f>Facebook_reach_raw!$A809</f>
        <v/>
      </c>
      <c r="B807" s="29" t="str">
        <f>Facebook_interactions_raw!$A809</f>
        <v/>
      </c>
      <c r="C807" s="26" t="str">
        <f t="shared" si="1"/>
        <v/>
      </c>
      <c r="D807" s="26" t="str">
        <f t="array" ref="D807">XLOOKUP($A807,Facebook_follows_raw!$A$4:$A1000,Facebook_follows_raw!$B$4:$B1000)</f>
        <v>#N/A</v>
      </c>
      <c r="E807" s="26" t="str">
        <f t="array" ref="E807">XLOOKUP($A807,Facebook_interactions_raw!$A$4:$A1000,Facebook_interactions_raw!$B$4:$B1000)</f>
        <v>#N/A</v>
      </c>
      <c r="F807" s="26" t="str">
        <f t="array" ref="F807">XLOOKUP($A807,Facebook_reach_raw!$A$4:$A1000,Facebook_reach_raw!$B$4:$B1000)</f>
        <v>#N/A</v>
      </c>
    </row>
    <row r="808">
      <c r="A808" s="30" t="str">
        <f>Facebook_reach_raw!$A810</f>
        <v/>
      </c>
      <c r="B808" s="29" t="str">
        <f>Facebook_interactions_raw!$A810</f>
        <v/>
      </c>
      <c r="C808" s="26" t="str">
        <f t="shared" si="1"/>
        <v/>
      </c>
      <c r="D808" s="26" t="str">
        <f t="array" ref="D808">XLOOKUP($A808,Facebook_follows_raw!$A$4:$A1000,Facebook_follows_raw!$B$4:$B1000)</f>
        <v>#N/A</v>
      </c>
      <c r="E808" s="26" t="str">
        <f t="array" ref="E808">XLOOKUP($A808,Facebook_interactions_raw!$A$4:$A1000,Facebook_interactions_raw!$B$4:$B1000)</f>
        <v>#N/A</v>
      </c>
      <c r="F808" s="26" t="str">
        <f t="array" ref="F808">XLOOKUP($A808,Facebook_reach_raw!$A$4:$A1000,Facebook_reach_raw!$B$4:$B1000)</f>
        <v>#N/A</v>
      </c>
    </row>
    <row r="809">
      <c r="A809" s="30" t="str">
        <f>Facebook_reach_raw!$A811</f>
        <v/>
      </c>
      <c r="B809" s="29" t="str">
        <f>Facebook_interactions_raw!$A811</f>
        <v/>
      </c>
      <c r="C809" s="26" t="str">
        <f t="shared" si="1"/>
        <v/>
      </c>
      <c r="D809" s="26" t="str">
        <f t="array" ref="D809">XLOOKUP($A809,Facebook_follows_raw!$A$4:$A1000,Facebook_follows_raw!$B$4:$B1000)</f>
        <v>#N/A</v>
      </c>
      <c r="E809" s="26" t="str">
        <f t="array" ref="E809">XLOOKUP($A809,Facebook_interactions_raw!$A$4:$A1000,Facebook_interactions_raw!$B$4:$B1000)</f>
        <v>#N/A</v>
      </c>
      <c r="F809" s="26" t="str">
        <f t="array" ref="F809">XLOOKUP($A809,Facebook_reach_raw!$A$4:$A1000,Facebook_reach_raw!$B$4:$B1000)</f>
        <v>#N/A</v>
      </c>
    </row>
    <row r="810">
      <c r="A810" s="30" t="str">
        <f>Facebook_reach_raw!$A812</f>
        <v/>
      </c>
      <c r="B810" s="29" t="str">
        <f>Facebook_interactions_raw!$A812</f>
        <v/>
      </c>
      <c r="C810" s="26" t="str">
        <f t="shared" si="1"/>
        <v/>
      </c>
      <c r="D810" s="26" t="str">
        <f t="array" ref="D810">XLOOKUP($A810,Facebook_follows_raw!$A$4:$A1000,Facebook_follows_raw!$B$4:$B1000)</f>
        <v>#N/A</v>
      </c>
      <c r="E810" s="26" t="str">
        <f t="array" ref="E810">XLOOKUP($A810,Facebook_interactions_raw!$A$4:$A1000,Facebook_interactions_raw!$B$4:$B1000)</f>
        <v>#N/A</v>
      </c>
      <c r="F810" s="26" t="str">
        <f t="array" ref="F810">XLOOKUP($A810,Facebook_reach_raw!$A$4:$A1000,Facebook_reach_raw!$B$4:$B1000)</f>
        <v>#N/A</v>
      </c>
    </row>
    <row r="811">
      <c r="A811" s="30" t="str">
        <f>Facebook_reach_raw!$A813</f>
        <v/>
      </c>
      <c r="B811" s="29" t="str">
        <f>Facebook_interactions_raw!$A813</f>
        <v/>
      </c>
      <c r="C811" s="26" t="str">
        <f t="shared" si="1"/>
        <v/>
      </c>
      <c r="D811" s="26" t="str">
        <f t="array" ref="D811">XLOOKUP($A811,Facebook_follows_raw!$A$4:$A1000,Facebook_follows_raw!$B$4:$B1000)</f>
        <v>#N/A</v>
      </c>
      <c r="E811" s="26" t="str">
        <f t="array" ref="E811">XLOOKUP($A811,Facebook_interactions_raw!$A$4:$A1000,Facebook_interactions_raw!$B$4:$B1000)</f>
        <v>#N/A</v>
      </c>
      <c r="F811" s="26" t="str">
        <f t="array" ref="F811">XLOOKUP($A811,Facebook_reach_raw!$A$4:$A1000,Facebook_reach_raw!$B$4:$B1000)</f>
        <v>#N/A</v>
      </c>
    </row>
    <row r="812">
      <c r="A812" s="30" t="str">
        <f>Facebook_reach_raw!$A814</f>
        <v/>
      </c>
      <c r="B812" s="29" t="str">
        <f>Facebook_interactions_raw!$A814</f>
        <v/>
      </c>
      <c r="C812" s="26" t="str">
        <f t="shared" si="1"/>
        <v/>
      </c>
      <c r="D812" s="26" t="str">
        <f t="array" ref="D812">XLOOKUP($A812,Facebook_follows_raw!$A$4:$A1000,Facebook_follows_raw!$B$4:$B1000)</f>
        <v>#N/A</v>
      </c>
      <c r="E812" s="26" t="str">
        <f t="array" ref="E812">XLOOKUP($A812,Facebook_interactions_raw!$A$4:$A1000,Facebook_interactions_raw!$B$4:$B1000)</f>
        <v>#N/A</v>
      </c>
      <c r="F812" s="26" t="str">
        <f t="array" ref="F812">XLOOKUP($A812,Facebook_reach_raw!$A$4:$A1000,Facebook_reach_raw!$B$4:$B1000)</f>
        <v>#N/A</v>
      </c>
    </row>
    <row r="813">
      <c r="A813" s="30" t="str">
        <f>Facebook_reach_raw!$A815</f>
        <v/>
      </c>
      <c r="B813" s="29" t="str">
        <f>Facebook_interactions_raw!$A815</f>
        <v/>
      </c>
      <c r="C813" s="26" t="str">
        <f t="shared" si="1"/>
        <v/>
      </c>
      <c r="D813" s="26" t="str">
        <f t="array" ref="D813">XLOOKUP($A813,Facebook_follows_raw!$A$4:$A1000,Facebook_follows_raw!$B$4:$B1000)</f>
        <v>#N/A</v>
      </c>
      <c r="E813" s="26" t="str">
        <f t="array" ref="E813">XLOOKUP($A813,Facebook_interactions_raw!$A$4:$A1000,Facebook_interactions_raw!$B$4:$B1000)</f>
        <v>#N/A</v>
      </c>
      <c r="F813" s="26" t="str">
        <f t="array" ref="F813">XLOOKUP($A813,Facebook_reach_raw!$A$4:$A1000,Facebook_reach_raw!$B$4:$B1000)</f>
        <v>#N/A</v>
      </c>
    </row>
    <row r="814">
      <c r="A814" s="30" t="str">
        <f>Facebook_reach_raw!$A816</f>
        <v/>
      </c>
      <c r="B814" s="29" t="str">
        <f>Facebook_interactions_raw!$A816</f>
        <v/>
      </c>
      <c r="C814" s="26" t="str">
        <f t="shared" si="1"/>
        <v/>
      </c>
      <c r="D814" s="26" t="str">
        <f t="array" ref="D814">XLOOKUP($A814,Facebook_follows_raw!$A$4:$A1000,Facebook_follows_raw!$B$4:$B1000)</f>
        <v>#N/A</v>
      </c>
      <c r="E814" s="26" t="str">
        <f t="array" ref="E814">XLOOKUP($A814,Facebook_interactions_raw!$A$4:$A1000,Facebook_interactions_raw!$B$4:$B1000)</f>
        <v>#N/A</v>
      </c>
      <c r="F814" s="26" t="str">
        <f t="array" ref="F814">XLOOKUP($A814,Facebook_reach_raw!$A$4:$A1000,Facebook_reach_raw!$B$4:$B1000)</f>
        <v>#N/A</v>
      </c>
    </row>
    <row r="815">
      <c r="A815" s="30" t="str">
        <f>Facebook_reach_raw!$A817</f>
        <v/>
      </c>
      <c r="B815" s="29" t="str">
        <f>Facebook_interactions_raw!$A817</f>
        <v/>
      </c>
      <c r="C815" s="26" t="str">
        <f t="shared" si="1"/>
        <v/>
      </c>
      <c r="D815" s="26" t="str">
        <f t="array" ref="D815">XLOOKUP($A815,Facebook_follows_raw!$A$4:$A1000,Facebook_follows_raw!$B$4:$B1000)</f>
        <v>#N/A</v>
      </c>
      <c r="E815" s="26" t="str">
        <f t="array" ref="E815">XLOOKUP($A815,Facebook_interactions_raw!$A$4:$A1000,Facebook_interactions_raw!$B$4:$B1000)</f>
        <v>#N/A</v>
      </c>
      <c r="F815" s="26" t="str">
        <f t="array" ref="F815">XLOOKUP($A815,Facebook_reach_raw!$A$4:$A1000,Facebook_reach_raw!$B$4:$B1000)</f>
        <v>#N/A</v>
      </c>
    </row>
    <row r="816">
      <c r="A816" s="30" t="str">
        <f>Facebook_reach_raw!$A818</f>
        <v/>
      </c>
      <c r="B816" s="29" t="str">
        <f>Facebook_interactions_raw!$A818</f>
        <v/>
      </c>
      <c r="C816" s="26" t="str">
        <f t="shared" si="1"/>
        <v/>
      </c>
      <c r="D816" s="26" t="str">
        <f t="array" ref="D816">XLOOKUP($A816,Facebook_follows_raw!$A$4:$A1000,Facebook_follows_raw!$B$4:$B1000)</f>
        <v>#N/A</v>
      </c>
      <c r="E816" s="26" t="str">
        <f t="array" ref="E816">XLOOKUP($A816,Facebook_interactions_raw!$A$4:$A1000,Facebook_interactions_raw!$B$4:$B1000)</f>
        <v>#N/A</v>
      </c>
      <c r="F816" s="26" t="str">
        <f t="array" ref="F816">XLOOKUP($A816,Facebook_reach_raw!$A$4:$A1000,Facebook_reach_raw!$B$4:$B1000)</f>
        <v>#N/A</v>
      </c>
    </row>
    <row r="817">
      <c r="A817" s="30" t="str">
        <f>Facebook_reach_raw!$A819</f>
        <v/>
      </c>
      <c r="B817" s="29" t="str">
        <f>Facebook_interactions_raw!$A819</f>
        <v/>
      </c>
      <c r="C817" s="26" t="str">
        <f t="shared" si="1"/>
        <v/>
      </c>
      <c r="D817" s="26" t="str">
        <f t="array" ref="D817">XLOOKUP($A817,Facebook_follows_raw!$A$4:$A1000,Facebook_follows_raw!$B$4:$B1000)</f>
        <v>#N/A</v>
      </c>
      <c r="E817" s="26" t="str">
        <f t="array" ref="E817">XLOOKUP($A817,Facebook_interactions_raw!$A$4:$A1000,Facebook_interactions_raw!$B$4:$B1000)</f>
        <v>#N/A</v>
      </c>
      <c r="F817" s="26" t="str">
        <f t="array" ref="F817">XLOOKUP($A817,Facebook_reach_raw!$A$4:$A1000,Facebook_reach_raw!$B$4:$B1000)</f>
        <v>#N/A</v>
      </c>
    </row>
    <row r="818">
      <c r="A818" s="30" t="str">
        <f>Facebook_reach_raw!$A820</f>
        <v/>
      </c>
      <c r="B818" s="29" t="str">
        <f>Facebook_interactions_raw!$A820</f>
        <v/>
      </c>
      <c r="C818" s="26" t="str">
        <f t="shared" si="1"/>
        <v/>
      </c>
      <c r="D818" s="26" t="str">
        <f t="array" ref="D818">XLOOKUP($A818,Facebook_follows_raw!$A$4:$A1000,Facebook_follows_raw!$B$4:$B1000)</f>
        <v>#N/A</v>
      </c>
      <c r="E818" s="26" t="str">
        <f t="array" ref="E818">XLOOKUP($A818,Facebook_interactions_raw!$A$4:$A1000,Facebook_interactions_raw!$B$4:$B1000)</f>
        <v>#N/A</v>
      </c>
      <c r="F818" s="26" t="str">
        <f t="array" ref="F818">XLOOKUP($A818,Facebook_reach_raw!$A$4:$A1000,Facebook_reach_raw!$B$4:$B1000)</f>
        <v>#N/A</v>
      </c>
    </row>
    <row r="819">
      <c r="A819" s="30" t="str">
        <f>Facebook_reach_raw!$A821</f>
        <v/>
      </c>
      <c r="B819" s="29" t="str">
        <f>Facebook_interactions_raw!$A821</f>
        <v/>
      </c>
      <c r="C819" s="26" t="str">
        <f t="shared" si="1"/>
        <v/>
      </c>
      <c r="D819" s="26" t="str">
        <f t="array" ref="D819">XLOOKUP($A819,Facebook_follows_raw!$A$4:$A1000,Facebook_follows_raw!$B$4:$B1000)</f>
        <v>#N/A</v>
      </c>
      <c r="E819" s="26" t="str">
        <f t="array" ref="E819">XLOOKUP($A819,Facebook_interactions_raw!$A$4:$A1000,Facebook_interactions_raw!$B$4:$B1000)</f>
        <v>#N/A</v>
      </c>
      <c r="F819" s="26" t="str">
        <f t="array" ref="F819">XLOOKUP($A819,Facebook_reach_raw!$A$4:$A1000,Facebook_reach_raw!$B$4:$B1000)</f>
        <v>#N/A</v>
      </c>
    </row>
    <row r="820">
      <c r="A820" s="30" t="str">
        <f>Facebook_reach_raw!$A822</f>
        <v/>
      </c>
      <c r="B820" s="29" t="str">
        <f>Facebook_interactions_raw!$A822</f>
        <v/>
      </c>
      <c r="C820" s="26" t="str">
        <f t="shared" si="1"/>
        <v/>
      </c>
      <c r="D820" s="26" t="str">
        <f t="array" ref="D820">XLOOKUP($A820,Facebook_follows_raw!$A$4:$A1000,Facebook_follows_raw!$B$4:$B1000)</f>
        <v>#N/A</v>
      </c>
      <c r="E820" s="26" t="str">
        <f t="array" ref="E820">XLOOKUP($A820,Facebook_interactions_raw!$A$4:$A1000,Facebook_interactions_raw!$B$4:$B1000)</f>
        <v>#N/A</v>
      </c>
      <c r="F820" s="26" t="str">
        <f t="array" ref="F820">XLOOKUP($A820,Facebook_reach_raw!$A$4:$A1000,Facebook_reach_raw!$B$4:$B1000)</f>
        <v>#N/A</v>
      </c>
    </row>
    <row r="821">
      <c r="A821" s="30" t="str">
        <f>Facebook_reach_raw!$A823</f>
        <v/>
      </c>
      <c r="B821" s="29" t="str">
        <f>Facebook_interactions_raw!$A823</f>
        <v/>
      </c>
      <c r="C821" s="26" t="str">
        <f t="shared" si="1"/>
        <v/>
      </c>
      <c r="D821" s="26" t="str">
        <f t="array" ref="D821">XLOOKUP($A821,Facebook_follows_raw!$A$4:$A1000,Facebook_follows_raw!$B$4:$B1000)</f>
        <v>#N/A</v>
      </c>
      <c r="E821" s="26" t="str">
        <f t="array" ref="E821">XLOOKUP($A821,Facebook_interactions_raw!$A$4:$A1000,Facebook_interactions_raw!$B$4:$B1000)</f>
        <v>#N/A</v>
      </c>
      <c r="F821" s="26" t="str">
        <f t="array" ref="F821">XLOOKUP($A821,Facebook_reach_raw!$A$4:$A1000,Facebook_reach_raw!$B$4:$B1000)</f>
        <v>#N/A</v>
      </c>
    </row>
    <row r="822">
      <c r="A822" s="30" t="str">
        <f>Facebook_reach_raw!$A824</f>
        <v/>
      </c>
      <c r="B822" s="29" t="str">
        <f>Facebook_interactions_raw!$A824</f>
        <v/>
      </c>
      <c r="C822" s="26" t="str">
        <f t="shared" si="1"/>
        <v/>
      </c>
      <c r="D822" s="26" t="str">
        <f t="array" ref="D822">XLOOKUP($A822,Facebook_follows_raw!$A$4:$A1000,Facebook_follows_raw!$B$4:$B1000)</f>
        <v>#N/A</v>
      </c>
      <c r="E822" s="26" t="str">
        <f t="array" ref="E822">XLOOKUP($A822,Facebook_interactions_raw!$A$4:$A1000,Facebook_interactions_raw!$B$4:$B1000)</f>
        <v>#N/A</v>
      </c>
      <c r="F822" s="26" t="str">
        <f t="array" ref="F822">XLOOKUP($A822,Facebook_reach_raw!$A$4:$A1000,Facebook_reach_raw!$B$4:$B1000)</f>
        <v>#N/A</v>
      </c>
    </row>
    <row r="823">
      <c r="A823" s="30" t="str">
        <f>Facebook_reach_raw!$A825</f>
        <v/>
      </c>
      <c r="B823" s="29" t="str">
        <f>Facebook_interactions_raw!$A825</f>
        <v/>
      </c>
      <c r="C823" s="26" t="str">
        <f t="shared" si="1"/>
        <v/>
      </c>
      <c r="D823" s="26" t="str">
        <f t="array" ref="D823">XLOOKUP($A823,Facebook_follows_raw!$A$4:$A1000,Facebook_follows_raw!$B$4:$B1000)</f>
        <v>#N/A</v>
      </c>
      <c r="E823" s="26" t="str">
        <f t="array" ref="E823">XLOOKUP($A823,Facebook_interactions_raw!$A$4:$A1000,Facebook_interactions_raw!$B$4:$B1000)</f>
        <v>#N/A</v>
      </c>
      <c r="F823" s="26" t="str">
        <f t="array" ref="F823">XLOOKUP($A823,Facebook_reach_raw!$A$4:$A1000,Facebook_reach_raw!$B$4:$B1000)</f>
        <v>#N/A</v>
      </c>
    </row>
    <row r="824">
      <c r="A824" s="30" t="str">
        <f>Facebook_reach_raw!$A826</f>
        <v/>
      </c>
      <c r="B824" s="29" t="str">
        <f>Facebook_interactions_raw!$A826</f>
        <v/>
      </c>
      <c r="C824" s="26" t="str">
        <f t="shared" si="1"/>
        <v/>
      </c>
      <c r="D824" s="26" t="str">
        <f t="array" ref="D824">XLOOKUP($A824,Facebook_follows_raw!$A$4:$A1000,Facebook_follows_raw!$B$4:$B1000)</f>
        <v>#N/A</v>
      </c>
      <c r="E824" s="26" t="str">
        <f t="array" ref="E824">XLOOKUP($A824,Facebook_interactions_raw!$A$4:$A1000,Facebook_interactions_raw!$B$4:$B1000)</f>
        <v>#N/A</v>
      </c>
      <c r="F824" s="26" t="str">
        <f t="array" ref="F824">XLOOKUP($A824,Facebook_reach_raw!$A$4:$A1000,Facebook_reach_raw!$B$4:$B1000)</f>
        <v>#N/A</v>
      </c>
    </row>
    <row r="825">
      <c r="A825" s="30" t="str">
        <f>Facebook_reach_raw!$A827</f>
        <v/>
      </c>
      <c r="B825" s="29" t="str">
        <f>Facebook_interactions_raw!$A827</f>
        <v/>
      </c>
      <c r="C825" s="26" t="str">
        <f t="shared" si="1"/>
        <v/>
      </c>
      <c r="D825" s="26" t="str">
        <f t="array" ref="D825">XLOOKUP($A825,Facebook_follows_raw!$A$4:$A1000,Facebook_follows_raw!$B$4:$B1000)</f>
        <v>#N/A</v>
      </c>
      <c r="E825" s="26" t="str">
        <f t="array" ref="E825">XLOOKUP($A825,Facebook_interactions_raw!$A$4:$A1000,Facebook_interactions_raw!$B$4:$B1000)</f>
        <v>#N/A</v>
      </c>
      <c r="F825" s="26" t="str">
        <f t="array" ref="F825">XLOOKUP($A825,Facebook_reach_raw!$A$4:$A1000,Facebook_reach_raw!$B$4:$B1000)</f>
        <v>#N/A</v>
      </c>
    </row>
    <row r="826">
      <c r="A826" s="30" t="str">
        <f>Facebook_reach_raw!$A828</f>
        <v/>
      </c>
      <c r="B826" s="29" t="str">
        <f>Facebook_interactions_raw!$A828</f>
        <v/>
      </c>
      <c r="C826" s="26" t="str">
        <f t="shared" si="1"/>
        <v/>
      </c>
      <c r="D826" s="26" t="str">
        <f t="array" ref="D826">XLOOKUP($A826,Facebook_follows_raw!$A$4:$A1000,Facebook_follows_raw!$B$4:$B1000)</f>
        <v>#N/A</v>
      </c>
      <c r="E826" s="26" t="str">
        <f t="array" ref="E826">XLOOKUP($A826,Facebook_interactions_raw!$A$4:$A1000,Facebook_interactions_raw!$B$4:$B1000)</f>
        <v>#N/A</v>
      </c>
      <c r="F826" s="26" t="str">
        <f t="array" ref="F826">XLOOKUP($A826,Facebook_reach_raw!$A$4:$A1000,Facebook_reach_raw!$B$4:$B1000)</f>
        <v>#N/A</v>
      </c>
    </row>
    <row r="827">
      <c r="A827" s="30" t="str">
        <f>Facebook_reach_raw!$A829</f>
        <v/>
      </c>
      <c r="B827" s="29" t="str">
        <f>Facebook_interactions_raw!$A829</f>
        <v/>
      </c>
      <c r="C827" s="26" t="str">
        <f t="shared" si="1"/>
        <v/>
      </c>
      <c r="D827" s="26" t="str">
        <f t="array" ref="D827">XLOOKUP($A827,Facebook_follows_raw!$A$4:$A1000,Facebook_follows_raw!$B$4:$B1000)</f>
        <v>#N/A</v>
      </c>
      <c r="E827" s="26" t="str">
        <f t="array" ref="E827">XLOOKUP($A827,Facebook_interactions_raw!$A$4:$A1000,Facebook_interactions_raw!$B$4:$B1000)</f>
        <v>#N/A</v>
      </c>
      <c r="F827" s="26" t="str">
        <f t="array" ref="F827">XLOOKUP($A827,Facebook_reach_raw!$A$4:$A1000,Facebook_reach_raw!$B$4:$B1000)</f>
        <v>#N/A</v>
      </c>
    </row>
    <row r="828">
      <c r="A828" s="30" t="str">
        <f>Facebook_reach_raw!$A830</f>
        <v/>
      </c>
      <c r="B828" s="29" t="str">
        <f>Facebook_interactions_raw!$A830</f>
        <v/>
      </c>
      <c r="C828" s="26" t="str">
        <f t="shared" si="1"/>
        <v/>
      </c>
      <c r="D828" s="26" t="str">
        <f t="array" ref="D828">XLOOKUP($A828,Facebook_follows_raw!$A$4:$A1000,Facebook_follows_raw!$B$4:$B1000)</f>
        <v>#N/A</v>
      </c>
      <c r="E828" s="26" t="str">
        <f t="array" ref="E828">XLOOKUP($A828,Facebook_interactions_raw!$A$4:$A1000,Facebook_interactions_raw!$B$4:$B1000)</f>
        <v>#N/A</v>
      </c>
      <c r="F828" s="26" t="str">
        <f t="array" ref="F828">XLOOKUP($A828,Facebook_reach_raw!$A$4:$A1000,Facebook_reach_raw!$B$4:$B1000)</f>
        <v>#N/A</v>
      </c>
    </row>
    <row r="829">
      <c r="A829" s="30" t="str">
        <f>Facebook_reach_raw!$A831</f>
        <v/>
      </c>
      <c r="B829" s="29" t="str">
        <f>Facebook_interactions_raw!$A831</f>
        <v/>
      </c>
      <c r="C829" s="26" t="str">
        <f t="shared" si="1"/>
        <v/>
      </c>
      <c r="D829" s="26" t="str">
        <f t="array" ref="D829">XLOOKUP($A829,Facebook_follows_raw!$A$4:$A1000,Facebook_follows_raw!$B$4:$B1000)</f>
        <v>#N/A</v>
      </c>
      <c r="E829" s="26" t="str">
        <f t="array" ref="E829">XLOOKUP($A829,Facebook_interactions_raw!$A$4:$A1000,Facebook_interactions_raw!$B$4:$B1000)</f>
        <v>#N/A</v>
      </c>
      <c r="F829" s="26" t="str">
        <f t="array" ref="F829">XLOOKUP($A829,Facebook_reach_raw!$A$4:$A1000,Facebook_reach_raw!$B$4:$B1000)</f>
        <v>#N/A</v>
      </c>
    </row>
    <row r="830">
      <c r="A830" s="30" t="str">
        <f>Facebook_reach_raw!$A832</f>
        <v/>
      </c>
      <c r="B830" s="29" t="str">
        <f>Facebook_interactions_raw!$A832</f>
        <v/>
      </c>
      <c r="C830" s="26" t="str">
        <f t="shared" si="1"/>
        <v/>
      </c>
      <c r="D830" s="26" t="str">
        <f t="array" ref="D830">XLOOKUP($A830,Facebook_follows_raw!$A$4:$A1000,Facebook_follows_raw!$B$4:$B1000)</f>
        <v>#N/A</v>
      </c>
      <c r="E830" s="26" t="str">
        <f t="array" ref="E830">XLOOKUP($A830,Facebook_interactions_raw!$A$4:$A1000,Facebook_interactions_raw!$B$4:$B1000)</f>
        <v>#N/A</v>
      </c>
      <c r="F830" s="26" t="str">
        <f t="array" ref="F830">XLOOKUP($A830,Facebook_reach_raw!$A$4:$A1000,Facebook_reach_raw!$B$4:$B1000)</f>
        <v>#N/A</v>
      </c>
    </row>
    <row r="831">
      <c r="A831" s="30" t="str">
        <f>Facebook_reach_raw!$A833</f>
        <v/>
      </c>
      <c r="B831" s="29" t="str">
        <f>Facebook_interactions_raw!$A833</f>
        <v/>
      </c>
      <c r="C831" s="26" t="str">
        <f t="shared" si="1"/>
        <v/>
      </c>
      <c r="D831" s="26" t="str">
        <f t="array" ref="D831">XLOOKUP($A831,Facebook_follows_raw!$A$4:$A1000,Facebook_follows_raw!$B$4:$B1000)</f>
        <v>#N/A</v>
      </c>
      <c r="E831" s="26" t="str">
        <f t="array" ref="E831">XLOOKUP($A831,Facebook_interactions_raw!$A$4:$A1000,Facebook_interactions_raw!$B$4:$B1000)</f>
        <v>#N/A</v>
      </c>
      <c r="F831" s="26" t="str">
        <f t="array" ref="F831">XLOOKUP($A831,Facebook_reach_raw!$A$4:$A1000,Facebook_reach_raw!$B$4:$B1000)</f>
        <v>#N/A</v>
      </c>
    </row>
    <row r="832">
      <c r="A832" s="30" t="str">
        <f>Facebook_reach_raw!$A834</f>
        <v/>
      </c>
      <c r="B832" s="29" t="str">
        <f>Facebook_interactions_raw!$A834</f>
        <v/>
      </c>
      <c r="C832" s="26" t="str">
        <f t="shared" si="1"/>
        <v/>
      </c>
      <c r="D832" s="26" t="str">
        <f t="array" ref="D832">XLOOKUP($A832,Facebook_follows_raw!$A$4:$A1000,Facebook_follows_raw!$B$4:$B1000)</f>
        <v>#N/A</v>
      </c>
      <c r="E832" s="26" t="str">
        <f t="array" ref="E832">XLOOKUP($A832,Facebook_interactions_raw!$A$4:$A1000,Facebook_interactions_raw!$B$4:$B1000)</f>
        <v>#N/A</v>
      </c>
      <c r="F832" s="26" t="str">
        <f t="array" ref="F832">XLOOKUP($A832,Facebook_reach_raw!$A$4:$A1000,Facebook_reach_raw!$B$4:$B1000)</f>
        <v>#N/A</v>
      </c>
    </row>
    <row r="833">
      <c r="A833" s="30" t="str">
        <f>Facebook_reach_raw!$A835</f>
        <v/>
      </c>
      <c r="B833" s="29" t="str">
        <f>Facebook_interactions_raw!$A835</f>
        <v/>
      </c>
      <c r="C833" s="26" t="str">
        <f t="shared" si="1"/>
        <v/>
      </c>
      <c r="D833" s="26" t="str">
        <f t="array" ref="D833">XLOOKUP($A833,Facebook_follows_raw!$A$4:$A1000,Facebook_follows_raw!$B$4:$B1000)</f>
        <v>#N/A</v>
      </c>
      <c r="E833" s="26" t="str">
        <f t="array" ref="E833">XLOOKUP($A833,Facebook_interactions_raw!$A$4:$A1000,Facebook_interactions_raw!$B$4:$B1000)</f>
        <v>#N/A</v>
      </c>
      <c r="F833" s="26" t="str">
        <f t="array" ref="F833">XLOOKUP($A833,Facebook_reach_raw!$A$4:$A1000,Facebook_reach_raw!$B$4:$B1000)</f>
        <v>#N/A</v>
      </c>
    </row>
    <row r="834">
      <c r="A834" s="30" t="str">
        <f>Facebook_reach_raw!$A836</f>
        <v/>
      </c>
      <c r="B834" s="29" t="str">
        <f>Facebook_interactions_raw!$A836</f>
        <v/>
      </c>
      <c r="C834" s="26" t="str">
        <f t="shared" si="1"/>
        <v/>
      </c>
      <c r="D834" s="26" t="str">
        <f t="array" ref="D834">XLOOKUP($A834,Facebook_follows_raw!$A$4:$A1000,Facebook_follows_raw!$B$4:$B1000)</f>
        <v>#N/A</v>
      </c>
      <c r="E834" s="26" t="str">
        <f t="array" ref="E834">XLOOKUP($A834,Facebook_interactions_raw!$A$4:$A1000,Facebook_interactions_raw!$B$4:$B1000)</f>
        <v>#N/A</v>
      </c>
      <c r="F834" s="26" t="str">
        <f t="array" ref="F834">XLOOKUP($A834,Facebook_reach_raw!$A$4:$A1000,Facebook_reach_raw!$B$4:$B1000)</f>
        <v>#N/A</v>
      </c>
    </row>
    <row r="835">
      <c r="A835" s="30" t="str">
        <f>Facebook_reach_raw!$A837</f>
        <v/>
      </c>
      <c r="B835" s="29" t="str">
        <f>Facebook_interactions_raw!$A837</f>
        <v/>
      </c>
      <c r="C835" s="26" t="str">
        <f t="shared" si="1"/>
        <v/>
      </c>
      <c r="D835" s="26" t="str">
        <f t="array" ref="D835">XLOOKUP($A835,Facebook_follows_raw!$A$4:$A1000,Facebook_follows_raw!$B$4:$B1000)</f>
        <v>#N/A</v>
      </c>
      <c r="E835" s="26" t="str">
        <f t="array" ref="E835">XLOOKUP($A835,Facebook_interactions_raw!$A$4:$A1000,Facebook_interactions_raw!$B$4:$B1000)</f>
        <v>#N/A</v>
      </c>
      <c r="F835" s="26" t="str">
        <f t="array" ref="F835">XLOOKUP($A835,Facebook_reach_raw!$A$4:$A1000,Facebook_reach_raw!$B$4:$B1000)</f>
        <v>#N/A</v>
      </c>
    </row>
    <row r="836">
      <c r="A836" s="30" t="str">
        <f>Facebook_reach_raw!$A838</f>
        <v/>
      </c>
      <c r="B836" s="29" t="str">
        <f>Facebook_interactions_raw!$A838</f>
        <v/>
      </c>
      <c r="C836" s="26" t="str">
        <f t="shared" si="1"/>
        <v/>
      </c>
      <c r="D836" s="26" t="str">
        <f t="array" ref="D836">XLOOKUP($A836,Facebook_follows_raw!$A$4:$A1000,Facebook_follows_raw!$B$4:$B1000)</f>
        <v>#N/A</v>
      </c>
      <c r="E836" s="26" t="str">
        <f t="array" ref="E836">XLOOKUP($A836,Facebook_interactions_raw!$A$4:$A1000,Facebook_interactions_raw!$B$4:$B1000)</f>
        <v>#N/A</v>
      </c>
      <c r="F836" s="26" t="str">
        <f t="array" ref="F836">XLOOKUP($A836,Facebook_reach_raw!$A$4:$A1000,Facebook_reach_raw!$B$4:$B1000)</f>
        <v>#N/A</v>
      </c>
    </row>
    <row r="837">
      <c r="A837" s="30" t="str">
        <f>Facebook_reach_raw!$A839</f>
        <v/>
      </c>
      <c r="B837" s="29" t="str">
        <f>Facebook_interactions_raw!$A839</f>
        <v/>
      </c>
      <c r="C837" s="26" t="str">
        <f t="shared" si="1"/>
        <v/>
      </c>
      <c r="D837" s="26" t="str">
        <f t="array" ref="D837">XLOOKUP($A837,Facebook_follows_raw!$A$4:$A1000,Facebook_follows_raw!$B$4:$B1000)</f>
        <v>#N/A</v>
      </c>
      <c r="E837" s="26" t="str">
        <f t="array" ref="E837">XLOOKUP($A837,Facebook_interactions_raw!$A$4:$A1000,Facebook_interactions_raw!$B$4:$B1000)</f>
        <v>#N/A</v>
      </c>
      <c r="F837" s="26" t="str">
        <f t="array" ref="F837">XLOOKUP($A837,Facebook_reach_raw!$A$4:$A1000,Facebook_reach_raw!$B$4:$B1000)</f>
        <v>#N/A</v>
      </c>
    </row>
    <row r="838">
      <c r="A838" s="30" t="str">
        <f>Facebook_reach_raw!$A840</f>
        <v/>
      </c>
      <c r="B838" s="29" t="str">
        <f>Facebook_interactions_raw!$A840</f>
        <v/>
      </c>
      <c r="C838" s="26" t="str">
        <f t="shared" si="1"/>
        <v/>
      </c>
      <c r="D838" s="26" t="str">
        <f t="array" ref="D838">XLOOKUP($A838,Facebook_follows_raw!$A$4:$A1000,Facebook_follows_raw!$B$4:$B1000)</f>
        <v>#N/A</v>
      </c>
      <c r="E838" s="26" t="str">
        <f t="array" ref="E838">XLOOKUP($A838,Facebook_interactions_raw!$A$4:$A1000,Facebook_interactions_raw!$B$4:$B1000)</f>
        <v>#N/A</v>
      </c>
      <c r="F838" s="26" t="str">
        <f t="array" ref="F838">XLOOKUP($A838,Facebook_reach_raw!$A$4:$A1000,Facebook_reach_raw!$B$4:$B1000)</f>
        <v>#N/A</v>
      </c>
    </row>
    <row r="839">
      <c r="A839" s="30" t="str">
        <f>Facebook_reach_raw!$A841</f>
        <v/>
      </c>
      <c r="B839" s="29" t="str">
        <f>Facebook_interactions_raw!$A841</f>
        <v/>
      </c>
      <c r="C839" s="26" t="str">
        <f t="shared" si="1"/>
        <v/>
      </c>
      <c r="D839" s="26" t="str">
        <f t="array" ref="D839">XLOOKUP($A839,Facebook_follows_raw!$A$4:$A1000,Facebook_follows_raw!$B$4:$B1000)</f>
        <v>#N/A</v>
      </c>
      <c r="E839" s="26" t="str">
        <f t="array" ref="E839">XLOOKUP($A839,Facebook_interactions_raw!$A$4:$A1000,Facebook_interactions_raw!$B$4:$B1000)</f>
        <v>#N/A</v>
      </c>
      <c r="F839" s="26" t="str">
        <f t="array" ref="F839">XLOOKUP($A839,Facebook_reach_raw!$A$4:$A1000,Facebook_reach_raw!$B$4:$B1000)</f>
        <v>#N/A</v>
      </c>
    </row>
    <row r="840">
      <c r="A840" s="30" t="str">
        <f>Facebook_reach_raw!$A842</f>
        <v/>
      </c>
      <c r="B840" s="29" t="str">
        <f>Facebook_interactions_raw!$A842</f>
        <v/>
      </c>
      <c r="C840" s="26" t="str">
        <f t="shared" si="1"/>
        <v/>
      </c>
      <c r="D840" s="26" t="str">
        <f t="array" ref="D840">XLOOKUP($A840,Facebook_follows_raw!$A$4:$A1000,Facebook_follows_raw!$B$4:$B1000)</f>
        <v>#N/A</v>
      </c>
      <c r="E840" s="26" t="str">
        <f t="array" ref="E840">XLOOKUP($A840,Facebook_interactions_raw!$A$4:$A1000,Facebook_interactions_raw!$B$4:$B1000)</f>
        <v>#N/A</v>
      </c>
      <c r="F840" s="26" t="str">
        <f t="array" ref="F840">XLOOKUP($A840,Facebook_reach_raw!$A$4:$A1000,Facebook_reach_raw!$B$4:$B1000)</f>
        <v>#N/A</v>
      </c>
    </row>
    <row r="841">
      <c r="A841" s="30" t="str">
        <f>Facebook_reach_raw!$A843</f>
        <v/>
      </c>
      <c r="B841" s="29" t="str">
        <f>Facebook_interactions_raw!$A843</f>
        <v/>
      </c>
      <c r="C841" s="26" t="str">
        <f t="shared" si="1"/>
        <v/>
      </c>
      <c r="D841" s="26" t="str">
        <f t="array" ref="D841">XLOOKUP($A841,Facebook_follows_raw!$A$4:$A1000,Facebook_follows_raw!$B$4:$B1000)</f>
        <v>#N/A</v>
      </c>
      <c r="E841" s="26" t="str">
        <f t="array" ref="E841">XLOOKUP($A841,Facebook_interactions_raw!$A$4:$A1000,Facebook_interactions_raw!$B$4:$B1000)</f>
        <v>#N/A</v>
      </c>
      <c r="F841" s="26" t="str">
        <f t="array" ref="F841">XLOOKUP($A841,Facebook_reach_raw!$A$4:$A1000,Facebook_reach_raw!$B$4:$B1000)</f>
        <v>#N/A</v>
      </c>
    </row>
    <row r="842">
      <c r="A842" s="30" t="str">
        <f>Facebook_reach_raw!$A844</f>
        <v/>
      </c>
      <c r="B842" s="29" t="str">
        <f>Facebook_interactions_raw!$A844</f>
        <v/>
      </c>
      <c r="C842" s="26" t="str">
        <f t="shared" si="1"/>
        <v/>
      </c>
      <c r="D842" s="26" t="str">
        <f t="array" ref="D842">XLOOKUP($A842,Facebook_follows_raw!$A$4:$A1000,Facebook_follows_raw!$B$4:$B1000)</f>
        <v>#N/A</v>
      </c>
      <c r="E842" s="26" t="str">
        <f t="array" ref="E842">XLOOKUP($A842,Facebook_interactions_raw!$A$4:$A1000,Facebook_interactions_raw!$B$4:$B1000)</f>
        <v>#N/A</v>
      </c>
      <c r="F842" s="26" t="str">
        <f t="array" ref="F842">XLOOKUP($A842,Facebook_reach_raw!$A$4:$A1000,Facebook_reach_raw!$B$4:$B1000)</f>
        <v>#N/A</v>
      </c>
    </row>
    <row r="843">
      <c r="A843" s="30" t="str">
        <f>Facebook_reach_raw!$A845</f>
        <v/>
      </c>
      <c r="B843" s="29" t="str">
        <f>Facebook_interactions_raw!$A845</f>
        <v/>
      </c>
      <c r="C843" s="26" t="str">
        <f t="shared" si="1"/>
        <v/>
      </c>
      <c r="D843" s="26" t="str">
        <f t="array" ref="D843">XLOOKUP($A843,Facebook_follows_raw!$A$4:$A1000,Facebook_follows_raw!$B$4:$B1000)</f>
        <v>#N/A</v>
      </c>
      <c r="E843" s="26" t="str">
        <f t="array" ref="E843">XLOOKUP($A843,Facebook_interactions_raw!$A$4:$A1000,Facebook_interactions_raw!$B$4:$B1000)</f>
        <v>#N/A</v>
      </c>
      <c r="F843" s="26" t="str">
        <f t="array" ref="F843">XLOOKUP($A843,Facebook_reach_raw!$A$4:$A1000,Facebook_reach_raw!$B$4:$B1000)</f>
        <v>#N/A</v>
      </c>
    </row>
    <row r="844">
      <c r="A844" s="30" t="str">
        <f>Facebook_reach_raw!$A846</f>
        <v/>
      </c>
      <c r="B844" s="29" t="str">
        <f>Facebook_interactions_raw!$A846</f>
        <v/>
      </c>
      <c r="C844" s="26" t="str">
        <f t="shared" si="1"/>
        <v/>
      </c>
      <c r="D844" s="26" t="str">
        <f t="array" ref="D844">XLOOKUP($A844,Facebook_follows_raw!$A$4:$A1000,Facebook_follows_raw!$B$4:$B1000)</f>
        <v>#N/A</v>
      </c>
      <c r="E844" s="26" t="str">
        <f t="array" ref="E844">XLOOKUP($A844,Facebook_interactions_raw!$A$4:$A1000,Facebook_interactions_raw!$B$4:$B1000)</f>
        <v>#N/A</v>
      </c>
      <c r="F844" s="26" t="str">
        <f t="array" ref="F844">XLOOKUP($A844,Facebook_reach_raw!$A$4:$A1000,Facebook_reach_raw!$B$4:$B1000)</f>
        <v>#N/A</v>
      </c>
    </row>
    <row r="845">
      <c r="A845" s="30" t="str">
        <f>Facebook_reach_raw!$A847</f>
        <v/>
      </c>
      <c r="B845" s="29" t="str">
        <f>Facebook_interactions_raw!$A847</f>
        <v/>
      </c>
      <c r="C845" s="26" t="str">
        <f t="shared" si="1"/>
        <v/>
      </c>
      <c r="D845" s="26" t="str">
        <f t="array" ref="D845">XLOOKUP($A845,Facebook_follows_raw!$A$4:$A1000,Facebook_follows_raw!$B$4:$B1000)</f>
        <v>#N/A</v>
      </c>
      <c r="E845" s="26" t="str">
        <f t="array" ref="E845">XLOOKUP($A845,Facebook_interactions_raw!$A$4:$A1000,Facebook_interactions_raw!$B$4:$B1000)</f>
        <v>#N/A</v>
      </c>
      <c r="F845" s="26" t="str">
        <f t="array" ref="F845">XLOOKUP($A845,Facebook_reach_raw!$A$4:$A1000,Facebook_reach_raw!$B$4:$B1000)</f>
        <v>#N/A</v>
      </c>
    </row>
    <row r="846">
      <c r="A846" s="30" t="str">
        <f>Facebook_reach_raw!$A848</f>
        <v/>
      </c>
      <c r="B846" s="29" t="str">
        <f>Facebook_interactions_raw!$A848</f>
        <v/>
      </c>
      <c r="C846" s="26" t="str">
        <f t="shared" si="1"/>
        <v/>
      </c>
      <c r="D846" s="26" t="str">
        <f t="array" ref="D846">XLOOKUP($A846,Facebook_follows_raw!$A$4:$A1000,Facebook_follows_raw!$B$4:$B1000)</f>
        <v>#N/A</v>
      </c>
      <c r="E846" s="26" t="str">
        <f t="array" ref="E846">XLOOKUP($A846,Facebook_interactions_raw!$A$4:$A1000,Facebook_interactions_raw!$B$4:$B1000)</f>
        <v>#N/A</v>
      </c>
      <c r="F846" s="26" t="str">
        <f t="array" ref="F846">XLOOKUP($A846,Facebook_reach_raw!$A$4:$A1000,Facebook_reach_raw!$B$4:$B1000)</f>
        <v>#N/A</v>
      </c>
    </row>
    <row r="847">
      <c r="A847" s="30" t="str">
        <f>Facebook_reach_raw!$A849</f>
        <v/>
      </c>
      <c r="B847" s="29" t="str">
        <f>Facebook_interactions_raw!$A849</f>
        <v/>
      </c>
      <c r="C847" s="26" t="str">
        <f t="shared" si="1"/>
        <v/>
      </c>
      <c r="D847" s="26" t="str">
        <f t="array" ref="D847">XLOOKUP($A847,Facebook_follows_raw!$A$4:$A1000,Facebook_follows_raw!$B$4:$B1000)</f>
        <v>#N/A</v>
      </c>
      <c r="E847" s="26" t="str">
        <f t="array" ref="E847">XLOOKUP($A847,Facebook_interactions_raw!$A$4:$A1000,Facebook_interactions_raw!$B$4:$B1000)</f>
        <v>#N/A</v>
      </c>
      <c r="F847" s="26" t="str">
        <f t="array" ref="F847">XLOOKUP($A847,Facebook_reach_raw!$A$4:$A1000,Facebook_reach_raw!$B$4:$B1000)</f>
        <v>#N/A</v>
      </c>
    </row>
    <row r="848">
      <c r="A848" s="30" t="str">
        <f>Facebook_reach_raw!$A850</f>
        <v/>
      </c>
      <c r="B848" s="29" t="str">
        <f>Facebook_interactions_raw!$A850</f>
        <v/>
      </c>
      <c r="C848" s="26" t="str">
        <f t="shared" si="1"/>
        <v/>
      </c>
      <c r="D848" s="26" t="str">
        <f t="array" ref="D848">XLOOKUP($A848,Facebook_follows_raw!$A$4:$A1000,Facebook_follows_raw!$B$4:$B1000)</f>
        <v>#N/A</v>
      </c>
      <c r="E848" s="26" t="str">
        <f t="array" ref="E848">XLOOKUP($A848,Facebook_interactions_raw!$A$4:$A1000,Facebook_interactions_raw!$B$4:$B1000)</f>
        <v>#N/A</v>
      </c>
      <c r="F848" s="26" t="str">
        <f t="array" ref="F848">XLOOKUP($A848,Facebook_reach_raw!$A$4:$A1000,Facebook_reach_raw!$B$4:$B1000)</f>
        <v>#N/A</v>
      </c>
    </row>
    <row r="849">
      <c r="A849" s="30" t="str">
        <f>Facebook_reach_raw!$A851</f>
        <v/>
      </c>
      <c r="B849" s="29" t="str">
        <f>Facebook_interactions_raw!$A851</f>
        <v/>
      </c>
      <c r="C849" s="26" t="str">
        <f t="shared" si="1"/>
        <v/>
      </c>
      <c r="D849" s="26" t="str">
        <f t="array" ref="D849">XLOOKUP($A849,Facebook_follows_raw!$A$4:$A1000,Facebook_follows_raw!$B$4:$B1000)</f>
        <v>#N/A</v>
      </c>
      <c r="E849" s="26" t="str">
        <f t="array" ref="E849">XLOOKUP($A849,Facebook_interactions_raw!$A$4:$A1000,Facebook_interactions_raw!$B$4:$B1000)</f>
        <v>#N/A</v>
      </c>
      <c r="F849" s="26" t="str">
        <f t="array" ref="F849">XLOOKUP($A849,Facebook_reach_raw!$A$4:$A1000,Facebook_reach_raw!$B$4:$B1000)</f>
        <v>#N/A</v>
      </c>
    </row>
    <row r="850">
      <c r="A850" s="30" t="str">
        <f>Facebook_reach_raw!$A852</f>
        <v/>
      </c>
      <c r="B850" s="29" t="str">
        <f>Facebook_interactions_raw!$A852</f>
        <v/>
      </c>
      <c r="C850" s="26" t="str">
        <f t="shared" si="1"/>
        <v/>
      </c>
      <c r="D850" s="26" t="str">
        <f t="array" ref="D850">XLOOKUP($A850,Facebook_follows_raw!$A$4:$A1000,Facebook_follows_raw!$B$4:$B1000)</f>
        <v>#N/A</v>
      </c>
      <c r="E850" s="26" t="str">
        <f t="array" ref="E850">XLOOKUP($A850,Facebook_interactions_raw!$A$4:$A1000,Facebook_interactions_raw!$B$4:$B1000)</f>
        <v>#N/A</v>
      </c>
      <c r="F850" s="26" t="str">
        <f t="array" ref="F850">XLOOKUP($A850,Facebook_reach_raw!$A$4:$A1000,Facebook_reach_raw!$B$4:$B1000)</f>
        <v>#N/A</v>
      </c>
    </row>
    <row r="851">
      <c r="A851" s="30" t="str">
        <f>Facebook_reach_raw!$A853</f>
        <v/>
      </c>
      <c r="B851" s="29" t="str">
        <f>Facebook_interactions_raw!$A853</f>
        <v/>
      </c>
      <c r="C851" s="26" t="str">
        <f t="shared" si="1"/>
        <v/>
      </c>
      <c r="D851" s="26" t="str">
        <f t="array" ref="D851">XLOOKUP($A851,Facebook_follows_raw!$A$4:$A1000,Facebook_follows_raw!$B$4:$B1000)</f>
        <v>#N/A</v>
      </c>
      <c r="E851" s="26" t="str">
        <f t="array" ref="E851">XLOOKUP($A851,Facebook_interactions_raw!$A$4:$A1000,Facebook_interactions_raw!$B$4:$B1000)</f>
        <v>#N/A</v>
      </c>
      <c r="F851" s="26" t="str">
        <f t="array" ref="F851">XLOOKUP($A851,Facebook_reach_raw!$A$4:$A1000,Facebook_reach_raw!$B$4:$B1000)</f>
        <v>#N/A</v>
      </c>
    </row>
    <row r="852">
      <c r="A852" s="30" t="str">
        <f>Facebook_reach_raw!$A854</f>
        <v/>
      </c>
      <c r="B852" s="29" t="str">
        <f>Facebook_interactions_raw!$A854</f>
        <v/>
      </c>
      <c r="C852" s="26" t="str">
        <f t="shared" si="1"/>
        <v/>
      </c>
      <c r="D852" s="26" t="str">
        <f t="array" ref="D852">XLOOKUP($A852,Facebook_follows_raw!$A$4:$A1000,Facebook_follows_raw!$B$4:$B1000)</f>
        <v>#N/A</v>
      </c>
      <c r="E852" s="26" t="str">
        <f t="array" ref="E852">XLOOKUP($A852,Facebook_interactions_raw!$A$4:$A1000,Facebook_interactions_raw!$B$4:$B1000)</f>
        <v>#N/A</v>
      </c>
      <c r="F852" s="26" t="str">
        <f t="array" ref="F852">XLOOKUP($A852,Facebook_reach_raw!$A$4:$A1000,Facebook_reach_raw!$B$4:$B1000)</f>
        <v>#N/A</v>
      </c>
    </row>
    <row r="853">
      <c r="A853" s="30" t="str">
        <f>Facebook_reach_raw!$A855</f>
        <v/>
      </c>
      <c r="B853" s="29" t="str">
        <f>Facebook_interactions_raw!$A855</f>
        <v/>
      </c>
      <c r="C853" s="26" t="str">
        <f t="shared" si="1"/>
        <v/>
      </c>
      <c r="D853" s="26" t="str">
        <f t="array" ref="D853">XLOOKUP($A853,Facebook_follows_raw!$A$4:$A1000,Facebook_follows_raw!$B$4:$B1000)</f>
        <v>#N/A</v>
      </c>
      <c r="E853" s="26" t="str">
        <f t="array" ref="E853">XLOOKUP($A853,Facebook_interactions_raw!$A$4:$A1000,Facebook_interactions_raw!$B$4:$B1000)</f>
        <v>#N/A</v>
      </c>
      <c r="F853" s="26" t="str">
        <f t="array" ref="F853">XLOOKUP($A853,Facebook_reach_raw!$A$4:$A1000,Facebook_reach_raw!$B$4:$B1000)</f>
        <v>#N/A</v>
      </c>
    </row>
    <row r="854">
      <c r="A854" s="30" t="str">
        <f>Facebook_reach_raw!$A856</f>
        <v/>
      </c>
      <c r="B854" s="29" t="str">
        <f>Facebook_interactions_raw!$A856</f>
        <v/>
      </c>
      <c r="C854" s="26" t="str">
        <f t="shared" si="1"/>
        <v/>
      </c>
      <c r="D854" s="26" t="str">
        <f t="array" ref="D854">XLOOKUP($A854,Facebook_follows_raw!$A$4:$A1000,Facebook_follows_raw!$B$4:$B1000)</f>
        <v>#N/A</v>
      </c>
      <c r="E854" s="26" t="str">
        <f t="array" ref="E854">XLOOKUP($A854,Facebook_interactions_raw!$A$4:$A1000,Facebook_interactions_raw!$B$4:$B1000)</f>
        <v>#N/A</v>
      </c>
      <c r="F854" s="26" t="str">
        <f t="array" ref="F854">XLOOKUP($A854,Facebook_reach_raw!$A$4:$A1000,Facebook_reach_raw!$B$4:$B1000)</f>
        <v>#N/A</v>
      </c>
    </row>
    <row r="855">
      <c r="A855" s="30" t="str">
        <f>Facebook_reach_raw!$A857</f>
        <v/>
      </c>
      <c r="B855" s="29" t="str">
        <f>Facebook_interactions_raw!$A857</f>
        <v/>
      </c>
      <c r="C855" s="26" t="str">
        <f t="shared" si="1"/>
        <v/>
      </c>
      <c r="D855" s="26" t="str">
        <f t="array" ref="D855">XLOOKUP($A855,Facebook_follows_raw!$A$4:$A1000,Facebook_follows_raw!$B$4:$B1000)</f>
        <v>#N/A</v>
      </c>
      <c r="E855" s="26" t="str">
        <f t="array" ref="E855">XLOOKUP($A855,Facebook_interactions_raw!$A$4:$A1000,Facebook_interactions_raw!$B$4:$B1000)</f>
        <v>#N/A</v>
      </c>
      <c r="F855" s="26" t="str">
        <f t="array" ref="F855">XLOOKUP($A855,Facebook_reach_raw!$A$4:$A1000,Facebook_reach_raw!$B$4:$B1000)</f>
        <v>#N/A</v>
      </c>
    </row>
    <row r="856">
      <c r="A856" s="30" t="str">
        <f>Facebook_reach_raw!$A858</f>
        <v/>
      </c>
      <c r="B856" s="29" t="str">
        <f>Facebook_interactions_raw!$A858</f>
        <v/>
      </c>
      <c r="C856" s="26" t="str">
        <f t="shared" si="1"/>
        <v/>
      </c>
      <c r="D856" s="26" t="str">
        <f t="array" ref="D856">XLOOKUP($A856,Facebook_follows_raw!$A$4:$A1000,Facebook_follows_raw!$B$4:$B1000)</f>
        <v>#N/A</v>
      </c>
      <c r="E856" s="26" t="str">
        <f t="array" ref="E856">XLOOKUP($A856,Facebook_interactions_raw!$A$4:$A1000,Facebook_interactions_raw!$B$4:$B1000)</f>
        <v>#N/A</v>
      </c>
      <c r="F856" s="26" t="str">
        <f t="array" ref="F856">XLOOKUP($A856,Facebook_reach_raw!$A$4:$A1000,Facebook_reach_raw!$B$4:$B1000)</f>
        <v>#N/A</v>
      </c>
    </row>
    <row r="857">
      <c r="A857" s="30" t="str">
        <f>Facebook_reach_raw!$A859</f>
        <v/>
      </c>
      <c r="B857" s="29" t="str">
        <f>Facebook_interactions_raw!$A859</f>
        <v/>
      </c>
      <c r="C857" s="26" t="str">
        <f t="shared" si="1"/>
        <v/>
      </c>
      <c r="D857" s="26" t="str">
        <f t="array" ref="D857">XLOOKUP($A857,Facebook_follows_raw!$A$4:$A1000,Facebook_follows_raw!$B$4:$B1000)</f>
        <v>#N/A</v>
      </c>
      <c r="E857" s="26" t="str">
        <f t="array" ref="E857">XLOOKUP($A857,Facebook_interactions_raw!$A$4:$A1000,Facebook_interactions_raw!$B$4:$B1000)</f>
        <v>#N/A</v>
      </c>
      <c r="F857" s="26" t="str">
        <f t="array" ref="F857">XLOOKUP($A857,Facebook_reach_raw!$A$4:$A1000,Facebook_reach_raw!$B$4:$B1000)</f>
        <v>#N/A</v>
      </c>
    </row>
    <row r="858">
      <c r="A858" s="30" t="str">
        <f>Facebook_reach_raw!$A860</f>
        <v/>
      </c>
      <c r="B858" s="29" t="str">
        <f>Facebook_interactions_raw!$A860</f>
        <v/>
      </c>
      <c r="C858" s="26" t="str">
        <f t="shared" si="1"/>
        <v/>
      </c>
      <c r="D858" s="26" t="str">
        <f t="array" ref="D858">XLOOKUP($A858,Facebook_follows_raw!$A$4:$A1000,Facebook_follows_raw!$B$4:$B1000)</f>
        <v>#N/A</v>
      </c>
      <c r="E858" s="26" t="str">
        <f t="array" ref="E858">XLOOKUP($A858,Facebook_interactions_raw!$A$4:$A1000,Facebook_interactions_raw!$B$4:$B1000)</f>
        <v>#N/A</v>
      </c>
      <c r="F858" s="26" t="str">
        <f t="array" ref="F858">XLOOKUP($A858,Facebook_reach_raw!$A$4:$A1000,Facebook_reach_raw!$B$4:$B1000)</f>
        <v>#N/A</v>
      </c>
    </row>
    <row r="859">
      <c r="A859" s="30" t="str">
        <f>Facebook_reach_raw!$A861</f>
        <v/>
      </c>
      <c r="B859" s="29" t="str">
        <f>Facebook_interactions_raw!$A861</f>
        <v/>
      </c>
      <c r="C859" s="26" t="str">
        <f t="shared" si="1"/>
        <v/>
      </c>
      <c r="D859" s="26" t="str">
        <f t="array" ref="D859">XLOOKUP($A859,Facebook_follows_raw!$A$4:$A1000,Facebook_follows_raw!$B$4:$B1000)</f>
        <v>#N/A</v>
      </c>
      <c r="E859" s="26" t="str">
        <f t="array" ref="E859">XLOOKUP($A859,Facebook_interactions_raw!$A$4:$A1000,Facebook_interactions_raw!$B$4:$B1000)</f>
        <v>#N/A</v>
      </c>
      <c r="F859" s="26" t="str">
        <f t="array" ref="F859">XLOOKUP($A859,Facebook_reach_raw!$A$4:$A1000,Facebook_reach_raw!$B$4:$B1000)</f>
        <v>#N/A</v>
      </c>
    </row>
    <row r="860">
      <c r="A860" s="30" t="str">
        <f>Facebook_reach_raw!$A862</f>
        <v/>
      </c>
      <c r="B860" s="29" t="str">
        <f>Facebook_interactions_raw!$A862</f>
        <v/>
      </c>
      <c r="C860" s="26" t="str">
        <f t="shared" si="1"/>
        <v/>
      </c>
      <c r="D860" s="26" t="str">
        <f t="array" ref="D860">XLOOKUP($A860,Facebook_follows_raw!$A$4:$A1000,Facebook_follows_raw!$B$4:$B1000)</f>
        <v>#N/A</v>
      </c>
      <c r="E860" s="26" t="str">
        <f t="array" ref="E860">XLOOKUP($A860,Facebook_interactions_raw!$A$4:$A1000,Facebook_interactions_raw!$B$4:$B1000)</f>
        <v>#N/A</v>
      </c>
      <c r="F860" s="26" t="str">
        <f t="array" ref="F860">XLOOKUP($A860,Facebook_reach_raw!$A$4:$A1000,Facebook_reach_raw!$B$4:$B1000)</f>
        <v>#N/A</v>
      </c>
    </row>
    <row r="861">
      <c r="A861" s="30" t="str">
        <f>Facebook_reach_raw!$A863</f>
        <v/>
      </c>
      <c r="B861" s="29" t="str">
        <f>Facebook_interactions_raw!$A863</f>
        <v/>
      </c>
      <c r="C861" s="26" t="str">
        <f t="shared" si="1"/>
        <v/>
      </c>
      <c r="D861" s="26" t="str">
        <f t="array" ref="D861">XLOOKUP($A861,Facebook_follows_raw!$A$4:$A1000,Facebook_follows_raw!$B$4:$B1000)</f>
        <v>#N/A</v>
      </c>
      <c r="E861" s="26" t="str">
        <f t="array" ref="E861">XLOOKUP($A861,Facebook_interactions_raw!$A$4:$A1000,Facebook_interactions_raw!$B$4:$B1000)</f>
        <v>#N/A</v>
      </c>
      <c r="F861" s="26" t="str">
        <f t="array" ref="F861">XLOOKUP($A861,Facebook_reach_raw!$A$4:$A1000,Facebook_reach_raw!$B$4:$B1000)</f>
        <v>#N/A</v>
      </c>
    </row>
    <row r="862">
      <c r="A862" s="30" t="str">
        <f>Facebook_reach_raw!$A864</f>
        <v/>
      </c>
      <c r="B862" s="29" t="str">
        <f>Facebook_interactions_raw!$A864</f>
        <v/>
      </c>
      <c r="C862" s="26" t="str">
        <f t="shared" si="1"/>
        <v/>
      </c>
      <c r="D862" s="26" t="str">
        <f t="array" ref="D862">XLOOKUP($A862,Facebook_follows_raw!$A$4:$A1000,Facebook_follows_raw!$B$4:$B1000)</f>
        <v>#N/A</v>
      </c>
      <c r="E862" s="26" t="str">
        <f t="array" ref="E862">XLOOKUP($A862,Facebook_interactions_raw!$A$4:$A1000,Facebook_interactions_raw!$B$4:$B1000)</f>
        <v>#N/A</v>
      </c>
      <c r="F862" s="26" t="str">
        <f t="array" ref="F862">XLOOKUP($A862,Facebook_reach_raw!$A$4:$A1000,Facebook_reach_raw!$B$4:$B1000)</f>
        <v>#N/A</v>
      </c>
    </row>
    <row r="863">
      <c r="A863" s="30" t="str">
        <f>Facebook_reach_raw!$A865</f>
        <v/>
      </c>
      <c r="B863" s="29" t="str">
        <f>Facebook_interactions_raw!$A865</f>
        <v/>
      </c>
      <c r="C863" s="26" t="str">
        <f t="shared" si="1"/>
        <v/>
      </c>
      <c r="D863" s="26" t="str">
        <f t="array" ref="D863">XLOOKUP($A863,Facebook_follows_raw!$A$4:$A1000,Facebook_follows_raw!$B$4:$B1000)</f>
        <v>#N/A</v>
      </c>
      <c r="E863" s="26" t="str">
        <f t="array" ref="E863">XLOOKUP($A863,Facebook_interactions_raw!$A$4:$A1000,Facebook_interactions_raw!$B$4:$B1000)</f>
        <v>#N/A</v>
      </c>
      <c r="F863" s="26" t="str">
        <f t="array" ref="F863">XLOOKUP($A863,Facebook_reach_raw!$A$4:$A1000,Facebook_reach_raw!$B$4:$B1000)</f>
        <v>#N/A</v>
      </c>
    </row>
    <row r="864">
      <c r="A864" s="30" t="str">
        <f>Facebook_reach_raw!$A866</f>
        <v/>
      </c>
      <c r="B864" s="29" t="str">
        <f>Facebook_interactions_raw!$A866</f>
        <v/>
      </c>
      <c r="C864" s="26" t="str">
        <f t="shared" si="1"/>
        <v/>
      </c>
      <c r="D864" s="26" t="str">
        <f t="array" ref="D864">XLOOKUP($A864,Facebook_follows_raw!$A$4:$A1000,Facebook_follows_raw!$B$4:$B1000)</f>
        <v>#N/A</v>
      </c>
      <c r="E864" s="26" t="str">
        <f t="array" ref="E864">XLOOKUP($A864,Facebook_interactions_raw!$A$4:$A1000,Facebook_interactions_raw!$B$4:$B1000)</f>
        <v>#N/A</v>
      </c>
      <c r="F864" s="26" t="str">
        <f t="array" ref="F864">XLOOKUP($A864,Facebook_reach_raw!$A$4:$A1000,Facebook_reach_raw!$B$4:$B1000)</f>
        <v>#N/A</v>
      </c>
    </row>
    <row r="865">
      <c r="A865" s="30" t="str">
        <f>Facebook_reach_raw!$A867</f>
        <v/>
      </c>
      <c r="B865" s="29" t="str">
        <f>Facebook_interactions_raw!$A867</f>
        <v/>
      </c>
      <c r="C865" s="26" t="str">
        <f t="shared" si="1"/>
        <v/>
      </c>
      <c r="D865" s="26" t="str">
        <f t="array" ref="D865">XLOOKUP($A865,Facebook_follows_raw!$A$4:$A1000,Facebook_follows_raw!$B$4:$B1000)</f>
        <v>#N/A</v>
      </c>
      <c r="E865" s="26" t="str">
        <f t="array" ref="E865">XLOOKUP($A865,Facebook_interactions_raw!$A$4:$A1000,Facebook_interactions_raw!$B$4:$B1000)</f>
        <v>#N/A</v>
      </c>
      <c r="F865" s="26" t="str">
        <f t="array" ref="F865">XLOOKUP($A865,Facebook_reach_raw!$A$4:$A1000,Facebook_reach_raw!$B$4:$B1000)</f>
        <v>#N/A</v>
      </c>
    </row>
    <row r="866">
      <c r="A866" s="30" t="str">
        <f>Facebook_reach_raw!$A868</f>
        <v/>
      </c>
      <c r="B866" s="29" t="str">
        <f>Facebook_interactions_raw!$A868</f>
        <v/>
      </c>
      <c r="C866" s="26" t="str">
        <f t="shared" si="1"/>
        <v/>
      </c>
      <c r="D866" s="26" t="str">
        <f t="array" ref="D866">XLOOKUP($A866,Facebook_follows_raw!$A$4:$A1000,Facebook_follows_raw!$B$4:$B1000)</f>
        <v>#N/A</v>
      </c>
      <c r="E866" s="26" t="str">
        <f t="array" ref="E866">XLOOKUP($A866,Facebook_interactions_raw!$A$4:$A1000,Facebook_interactions_raw!$B$4:$B1000)</f>
        <v>#N/A</v>
      </c>
      <c r="F866" s="26" t="str">
        <f t="array" ref="F866">XLOOKUP($A866,Facebook_reach_raw!$A$4:$A1000,Facebook_reach_raw!$B$4:$B1000)</f>
        <v>#N/A</v>
      </c>
    </row>
    <row r="867">
      <c r="A867" s="30" t="str">
        <f>Facebook_reach_raw!$A869</f>
        <v/>
      </c>
      <c r="B867" s="29" t="str">
        <f>Facebook_interactions_raw!$A869</f>
        <v/>
      </c>
      <c r="C867" s="26" t="str">
        <f t="shared" si="1"/>
        <v/>
      </c>
      <c r="D867" s="26" t="str">
        <f t="array" ref="D867">XLOOKUP($A867,Facebook_follows_raw!$A$4:$A1000,Facebook_follows_raw!$B$4:$B1000)</f>
        <v>#N/A</v>
      </c>
      <c r="E867" s="26" t="str">
        <f t="array" ref="E867">XLOOKUP($A867,Facebook_interactions_raw!$A$4:$A1000,Facebook_interactions_raw!$B$4:$B1000)</f>
        <v>#N/A</v>
      </c>
      <c r="F867" s="26" t="str">
        <f t="array" ref="F867">XLOOKUP($A867,Facebook_reach_raw!$A$4:$A1000,Facebook_reach_raw!$B$4:$B1000)</f>
        <v>#N/A</v>
      </c>
    </row>
    <row r="868">
      <c r="A868" s="30" t="str">
        <f>Facebook_reach_raw!$A870</f>
        <v/>
      </c>
      <c r="B868" s="29" t="str">
        <f>Facebook_interactions_raw!$A870</f>
        <v/>
      </c>
      <c r="C868" s="26" t="str">
        <f t="shared" si="1"/>
        <v/>
      </c>
      <c r="D868" s="26" t="str">
        <f t="array" ref="D868">XLOOKUP($A868,Facebook_follows_raw!$A$4:$A1000,Facebook_follows_raw!$B$4:$B1000)</f>
        <v>#N/A</v>
      </c>
      <c r="E868" s="26" t="str">
        <f t="array" ref="E868">XLOOKUP($A868,Facebook_interactions_raw!$A$4:$A1000,Facebook_interactions_raw!$B$4:$B1000)</f>
        <v>#N/A</v>
      </c>
      <c r="F868" s="26" t="str">
        <f t="array" ref="F868">XLOOKUP($A868,Facebook_reach_raw!$A$4:$A1000,Facebook_reach_raw!$B$4:$B1000)</f>
        <v>#N/A</v>
      </c>
    </row>
    <row r="869">
      <c r="A869" s="30" t="str">
        <f>Facebook_reach_raw!$A871</f>
        <v/>
      </c>
      <c r="B869" s="29" t="str">
        <f>Facebook_interactions_raw!$A871</f>
        <v/>
      </c>
      <c r="C869" s="26" t="str">
        <f t="shared" si="1"/>
        <v/>
      </c>
      <c r="D869" s="26" t="str">
        <f t="array" ref="D869">XLOOKUP($A869,Facebook_follows_raw!$A$4:$A1000,Facebook_follows_raw!$B$4:$B1000)</f>
        <v>#N/A</v>
      </c>
      <c r="E869" s="26" t="str">
        <f t="array" ref="E869">XLOOKUP($A869,Facebook_interactions_raw!$A$4:$A1000,Facebook_interactions_raw!$B$4:$B1000)</f>
        <v>#N/A</v>
      </c>
      <c r="F869" s="26" t="str">
        <f t="array" ref="F869">XLOOKUP($A869,Facebook_reach_raw!$A$4:$A1000,Facebook_reach_raw!$B$4:$B1000)</f>
        <v>#N/A</v>
      </c>
    </row>
    <row r="870">
      <c r="A870" s="30" t="str">
        <f>Facebook_reach_raw!$A872</f>
        <v/>
      </c>
      <c r="B870" s="29" t="str">
        <f>Facebook_interactions_raw!$A872</f>
        <v/>
      </c>
      <c r="C870" s="26" t="str">
        <f t="shared" si="1"/>
        <v/>
      </c>
      <c r="D870" s="26" t="str">
        <f t="array" ref="D870">XLOOKUP($A870,Facebook_follows_raw!$A$4:$A1000,Facebook_follows_raw!$B$4:$B1000)</f>
        <v>#N/A</v>
      </c>
      <c r="E870" s="26" t="str">
        <f t="array" ref="E870">XLOOKUP($A870,Facebook_interactions_raw!$A$4:$A1000,Facebook_interactions_raw!$B$4:$B1000)</f>
        <v>#N/A</v>
      </c>
      <c r="F870" s="26" t="str">
        <f t="array" ref="F870">XLOOKUP($A870,Facebook_reach_raw!$A$4:$A1000,Facebook_reach_raw!$B$4:$B1000)</f>
        <v>#N/A</v>
      </c>
    </row>
    <row r="871">
      <c r="A871" s="30" t="str">
        <f>Facebook_reach_raw!$A873</f>
        <v/>
      </c>
      <c r="B871" s="29" t="str">
        <f>Facebook_interactions_raw!$A873</f>
        <v/>
      </c>
      <c r="C871" s="26" t="str">
        <f t="shared" si="1"/>
        <v/>
      </c>
      <c r="D871" s="26" t="str">
        <f t="array" ref="D871">XLOOKUP($A871,Facebook_follows_raw!$A$4:$A1000,Facebook_follows_raw!$B$4:$B1000)</f>
        <v>#N/A</v>
      </c>
      <c r="E871" s="26" t="str">
        <f t="array" ref="E871">XLOOKUP($A871,Facebook_interactions_raw!$A$4:$A1000,Facebook_interactions_raw!$B$4:$B1000)</f>
        <v>#N/A</v>
      </c>
      <c r="F871" s="26" t="str">
        <f t="array" ref="F871">XLOOKUP($A871,Facebook_reach_raw!$A$4:$A1000,Facebook_reach_raw!$B$4:$B1000)</f>
        <v>#N/A</v>
      </c>
    </row>
    <row r="872">
      <c r="A872" s="30" t="str">
        <f>Facebook_reach_raw!$A874</f>
        <v/>
      </c>
      <c r="B872" s="29" t="str">
        <f>Facebook_interactions_raw!$A874</f>
        <v/>
      </c>
      <c r="C872" s="26" t="str">
        <f t="shared" si="1"/>
        <v/>
      </c>
      <c r="D872" s="26" t="str">
        <f t="array" ref="D872">XLOOKUP($A872,Facebook_follows_raw!$A$4:$A1000,Facebook_follows_raw!$B$4:$B1000)</f>
        <v>#N/A</v>
      </c>
      <c r="E872" s="26" t="str">
        <f t="array" ref="E872">XLOOKUP($A872,Facebook_interactions_raw!$A$4:$A1000,Facebook_interactions_raw!$B$4:$B1000)</f>
        <v>#N/A</v>
      </c>
      <c r="F872" s="26" t="str">
        <f t="array" ref="F872">XLOOKUP($A872,Facebook_reach_raw!$A$4:$A1000,Facebook_reach_raw!$B$4:$B1000)</f>
        <v>#N/A</v>
      </c>
    </row>
    <row r="873">
      <c r="A873" s="30" t="str">
        <f>Facebook_reach_raw!$A875</f>
        <v/>
      </c>
      <c r="B873" s="29" t="str">
        <f>Facebook_interactions_raw!$A875</f>
        <v/>
      </c>
      <c r="C873" s="26" t="str">
        <f t="shared" si="1"/>
        <v/>
      </c>
      <c r="D873" s="26" t="str">
        <f t="array" ref="D873">XLOOKUP($A873,Facebook_follows_raw!$A$4:$A1000,Facebook_follows_raw!$B$4:$B1000)</f>
        <v>#N/A</v>
      </c>
      <c r="E873" s="26" t="str">
        <f t="array" ref="E873">XLOOKUP($A873,Facebook_interactions_raw!$A$4:$A1000,Facebook_interactions_raw!$B$4:$B1000)</f>
        <v>#N/A</v>
      </c>
      <c r="F873" s="26" t="str">
        <f t="array" ref="F873">XLOOKUP($A873,Facebook_reach_raw!$A$4:$A1000,Facebook_reach_raw!$B$4:$B1000)</f>
        <v>#N/A</v>
      </c>
    </row>
    <row r="874">
      <c r="A874" s="30" t="str">
        <f>Facebook_reach_raw!$A876</f>
        <v/>
      </c>
      <c r="B874" s="29" t="str">
        <f>Facebook_interactions_raw!$A876</f>
        <v/>
      </c>
      <c r="C874" s="26" t="str">
        <f t="shared" si="1"/>
        <v/>
      </c>
      <c r="D874" s="26" t="str">
        <f t="array" ref="D874">XLOOKUP($A874,Facebook_follows_raw!$A$4:$A1000,Facebook_follows_raw!$B$4:$B1000)</f>
        <v>#N/A</v>
      </c>
      <c r="E874" s="26" t="str">
        <f t="array" ref="E874">XLOOKUP($A874,Facebook_interactions_raw!$A$4:$A1000,Facebook_interactions_raw!$B$4:$B1000)</f>
        <v>#N/A</v>
      </c>
      <c r="F874" s="26" t="str">
        <f t="array" ref="F874">XLOOKUP($A874,Facebook_reach_raw!$A$4:$A1000,Facebook_reach_raw!$B$4:$B1000)</f>
        <v>#N/A</v>
      </c>
    </row>
    <row r="875">
      <c r="A875" s="30" t="str">
        <f>Facebook_reach_raw!$A877</f>
        <v/>
      </c>
      <c r="B875" s="29" t="str">
        <f>Facebook_interactions_raw!$A877</f>
        <v/>
      </c>
      <c r="C875" s="26" t="str">
        <f t="shared" si="1"/>
        <v/>
      </c>
      <c r="D875" s="26" t="str">
        <f t="array" ref="D875">XLOOKUP($A875,Facebook_follows_raw!$A$4:$A1000,Facebook_follows_raw!$B$4:$B1000)</f>
        <v>#N/A</v>
      </c>
      <c r="E875" s="26" t="str">
        <f t="array" ref="E875">XLOOKUP($A875,Facebook_interactions_raw!$A$4:$A1000,Facebook_interactions_raw!$B$4:$B1000)</f>
        <v>#N/A</v>
      </c>
      <c r="F875" s="26" t="str">
        <f t="array" ref="F875">XLOOKUP($A875,Facebook_reach_raw!$A$4:$A1000,Facebook_reach_raw!$B$4:$B1000)</f>
        <v>#N/A</v>
      </c>
    </row>
    <row r="876">
      <c r="A876" s="30" t="str">
        <f>Facebook_reach_raw!$A878</f>
        <v/>
      </c>
      <c r="B876" s="29" t="str">
        <f>Facebook_interactions_raw!$A878</f>
        <v/>
      </c>
      <c r="C876" s="26" t="str">
        <f t="shared" si="1"/>
        <v/>
      </c>
      <c r="D876" s="26" t="str">
        <f t="array" ref="D876">XLOOKUP($A876,Facebook_follows_raw!$A$4:$A1000,Facebook_follows_raw!$B$4:$B1000)</f>
        <v>#N/A</v>
      </c>
      <c r="E876" s="26" t="str">
        <f t="array" ref="E876">XLOOKUP($A876,Facebook_interactions_raw!$A$4:$A1000,Facebook_interactions_raw!$B$4:$B1000)</f>
        <v>#N/A</v>
      </c>
      <c r="F876" s="26" t="str">
        <f t="array" ref="F876">XLOOKUP($A876,Facebook_reach_raw!$A$4:$A1000,Facebook_reach_raw!$B$4:$B1000)</f>
        <v>#N/A</v>
      </c>
    </row>
    <row r="877">
      <c r="A877" s="30" t="str">
        <f>Facebook_reach_raw!$A879</f>
        <v/>
      </c>
      <c r="B877" s="29" t="str">
        <f>Facebook_interactions_raw!$A879</f>
        <v/>
      </c>
      <c r="C877" s="26" t="str">
        <f t="shared" si="1"/>
        <v/>
      </c>
      <c r="D877" s="26" t="str">
        <f t="array" ref="D877">XLOOKUP($A877,Facebook_follows_raw!$A$4:$A1000,Facebook_follows_raw!$B$4:$B1000)</f>
        <v>#N/A</v>
      </c>
      <c r="E877" s="26" t="str">
        <f t="array" ref="E877">XLOOKUP($A877,Facebook_interactions_raw!$A$4:$A1000,Facebook_interactions_raw!$B$4:$B1000)</f>
        <v>#N/A</v>
      </c>
      <c r="F877" s="26" t="str">
        <f t="array" ref="F877">XLOOKUP($A877,Facebook_reach_raw!$A$4:$A1000,Facebook_reach_raw!$B$4:$B1000)</f>
        <v>#N/A</v>
      </c>
    </row>
    <row r="878">
      <c r="A878" s="30" t="str">
        <f>Facebook_reach_raw!$A880</f>
        <v/>
      </c>
      <c r="B878" s="29" t="str">
        <f>Facebook_interactions_raw!$A880</f>
        <v/>
      </c>
      <c r="C878" s="26" t="str">
        <f t="shared" si="1"/>
        <v/>
      </c>
      <c r="D878" s="26" t="str">
        <f t="array" ref="D878">XLOOKUP($A878,Facebook_follows_raw!$A$4:$A1000,Facebook_follows_raw!$B$4:$B1000)</f>
        <v>#N/A</v>
      </c>
      <c r="E878" s="26" t="str">
        <f t="array" ref="E878">XLOOKUP($A878,Facebook_interactions_raw!$A$4:$A1000,Facebook_interactions_raw!$B$4:$B1000)</f>
        <v>#N/A</v>
      </c>
      <c r="F878" s="26" t="str">
        <f t="array" ref="F878">XLOOKUP($A878,Facebook_reach_raw!$A$4:$A1000,Facebook_reach_raw!$B$4:$B1000)</f>
        <v>#N/A</v>
      </c>
    </row>
    <row r="879">
      <c r="A879" s="30" t="str">
        <f>Facebook_reach_raw!$A881</f>
        <v/>
      </c>
      <c r="B879" s="29" t="str">
        <f>Facebook_interactions_raw!$A881</f>
        <v/>
      </c>
      <c r="C879" s="26" t="str">
        <f t="shared" si="1"/>
        <v/>
      </c>
      <c r="D879" s="26" t="str">
        <f t="array" ref="D879">XLOOKUP($A879,Facebook_follows_raw!$A$4:$A1000,Facebook_follows_raw!$B$4:$B1000)</f>
        <v>#N/A</v>
      </c>
      <c r="E879" s="26" t="str">
        <f t="array" ref="E879">XLOOKUP($A879,Facebook_interactions_raw!$A$4:$A1000,Facebook_interactions_raw!$B$4:$B1000)</f>
        <v>#N/A</v>
      </c>
      <c r="F879" s="26" t="str">
        <f t="array" ref="F879">XLOOKUP($A879,Facebook_reach_raw!$A$4:$A1000,Facebook_reach_raw!$B$4:$B1000)</f>
        <v>#N/A</v>
      </c>
    </row>
    <row r="880">
      <c r="A880" s="30" t="str">
        <f>Facebook_reach_raw!$A882</f>
        <v/>
      </c>
      <c r="B880" s="29" t="str">
        <f>Facebook_interactions_raw!$A882</f>
        <v/>
      </c>
      <c r="C880" s="26" t="str">
        <f t="shared" si="1"/>
        <v/>
      </c>
      <c r="D880" s="26" t="str">
        <f t="array" ref="D880">XLOOKUP($A880,Facebook_follows_raw!$A$4:$A1000,Facebook_follows_raw!$B$4:$B1000)</f>
        <v>#N/A</v>
      </c>
      <c r="E880" s="26" t="str">
        <f t="array" ref="E880">XLOOKUP($A880,Facebook_interactions_raw!$A$4:$A1000,Facebook_interactions_raw!$B$4:$B1000)</f>
        <v>#N/A</v>
      </c>
      <c r="F880" s="26" t="str">
        <f t="array" ref="F880">XLOOKUP($A880,Facebook_reach_raw!$A$4:$A1000,Facebook_reach_raw!$B$4:$B1000)</f>
        <v>#N/A</v>
      </c>
    </row>
    <row r="881">
      <c r="A881" s="30" t="str">
        <f>Facebook_reach_raw!$A883</f>
        <v/>
      </c>
      <c r="B881" s="29" t="str">
        <f>Facebook_interactions_raw!$A883</f>
        <v/>
      </c>
      <c r="C881" s="26" t="str">
        <f t="shared" si="1"/>
        <v/>
      </c>
      <c r="D881" s="26" t="str">
        <f t="array" ref="D881">XLOOKUP($A881,Facebook_follows_raw!$A$4:$A1000,Facebook_follows_raw!$B$4:$B1000)</f>
        <v>#N/A</v>
      </c>
      <c r="E881" s="26" t="str">
        <f t="array" ref="E881">XLOOKUP($A881,Facebook_interactions_raw!$A$4:$A1000,Facebook_interactions_raw!$B$4:$B1000)</f>
        <v>#N/A</v>
      </c>
      <c r="F881" s="26" t="str">
        <f t="array" ref="F881">XLOOKUP($A881,Facebook_reach_raw!$A$4:$A1000,Facebook_reach_raw!$B$4:$B1000)</f>
        <v>#N/A</v>
      </c>
    </row>
    <row r="882">
      <c r="A882" s="30" t="str">
        <f>Facebook_reach_raw!$A884</f>
        <v/>
      </c>
      <c r="B882" s="29" t="str">
        <f>Facebook_interactions_raw!$A884</f>
        <v/>
      </c>
      <c r="C882" s="26" t="str">
        <f t="shared" si="1"/>
        <v/>
      </c>
      <c r="D882" s="26" t="str">
        <f t="array" ref="D882">XLOOKUP($A882,Facebook_follows_raw!$A$4:$A1000,Facebook_follows_raw!$B$4:$B1000)</f>
        <v>#N/A</v>
      </c>
      <c r="E882" s="26" t="str">
        <f t="array" ref="E882">XLOOKUP($A882,Facebook_interactions_raw!$A$4:$A1000,Facebook_interactions_raw!$B$4:$B1000)</f>
        <v>#N/A</v>
      </c>
      <c r="F882" s="26" t="str">
        <f t="array" ref="F882">XLOOKUP($A882,Facebook_reach_raw!$A$4:$A1000,Facebook_reach_raw!$B$4:$B1000)</f>
        <v>#N/A</v>
      </c>
    </row>
    <row r="883">
      <c r="A883" s="30" t="str">
        <f>Facebook_reach_raw!$A885</f>
        <v/>
      </c>
      <c r="B883" s="29" t="str">
        <f>Facebook_interactions_raw!$A885</f>
        <v/>
      </c>
      <c r="C883" s="26" t="str">
        <f t="shared" si="1"/>
        <v/>
      </c>
      <c r="D883" s="26" t="str">
        <f t="array" ref="D883">XLOOKUP($A883,Facebook_follows_raw!$A$4:$A1000,Facebook_follows_raw!$B$4:$B1000)</f>
        <v>#N/A</v>
      </c>
      <c r="E883" s="26" t="str">
        <f t="array" ref="E883">XLOOKUP($A883,Facebook_interactions_raw!$A$4:$A1000,Facebook_interactions_raw!$B$4:$B1000)</f>
        <v>#N/A</v>
      </c>
      <c r="F883" s="26" t="str">
        <f t="array" ref="F883">XLOOKUP($A883,Facebook_reach_raw!$A$4:$A1000,Facebook_reach_raw!$B$4:$B1000)</f>
        <v>#N/A</v>
      </c>
    </row>
    <row r="884">
      <c r="A884" s="30" t="str">
        <f>Facebook_reach_raw!$A886</f>
        <v/>
      </c>
      <c r="B884" s="29" t="str">
        <f>Facebook_interactions_raw!$A886</f>
        <v/>
      </c>
      <c r="C884" s="26" t="str">
        <f t="shared" si="1"/>
        <v/>
      </c>
      <c r="D884" s="26" t="str">
        <f t="array" ref="D884">XLOOKUP($A884,Facebook_follows_raw!$A$4:$A1000,Facebook_follows_raw!$B$4:$B1000)</f>
        <v>#N/A</v>
      </c>
      <c r="E884" s="26" t="str">
        <f t="array" ref="E884">XLOOKUP($A884,Facebook_interactions_raw!$A$4:$A1000,Facebook_interactions_raw!$B$4:$B1000)</f>
        <v>#N/A</v>
      </c>
      <c r="F884" s="26" t="str">
        <f t="array" ref="F884">XLOOKUP($A884,Facebook_reach_raw!$A$4:$A1000,Facebook_reach_raw!$B$4:$B1000)</f>
        <v>#N/A</v>
      </c>
    </row>
    <row r="885">
      <c r="A885" s="30" t="str">
        <f>Facebook_reach_raw!$A887</f>
        <v/>
      </c>
      <c r="B885" s="29" t="str">
        <f>Facebook_interactions_raw!$A887</f>
        <v/>
      </c>
      <c r="C885" s="26" t="str">
        <f t="shared" si="1"/>
        <v/>
      </c>
      <c r="D885" s="26" t="str">
        <f t="array" ref="D885">XLOOKUP($A885,Facebook_follows_raw!$A$4:$A1000,Facebook_follows_raw!$B$4:$B1000)</f>
        <v>#N/A</v>
      </c>
      <c r="E885" s="26" t="str">
        <f t="array" ref="E885">XLOOKUP($A885,Facebook_interactions_raw!$A$4:$A1000,Facebook_interactions_raw!$B$4:$B1000)</f>
        <v>#N/A</v>
      </c>
      <c r="F885" s="26" t="str">
        <f t="array" ref="F885">XLOOKUP($A885,Facebook_reach_raw!$A$4:$A1000,Facebook_reach_raw!$B$4:$B1000)</f>
        <v>#N/A</v>
      </c>
    </row>
    <row r="886">
      <c r="A886" s="30" t="str">
        <f>Facebook_reach_raw!$A888</f>
        <v/>
      </c>
      <c r="B886" s="29" t="str">
        <f>Facebook_interactions_raw!$A888</f>
        <v/>
      </c>
      <c r="C886" s="26" t="str">
        <f t="shared" si="1"/>
        <v/>
      </c>
      <c r="D886" s="26" t="str">
        <f t="array" ref="D886">XLOOKUP($A886,Facebook_follows_raw!$A$4:$A1000,Facebook_follows_raw!$B$4:$B1000)</f>
        <v>#N/A</v>
      </c>
      <c r="E886" s="26" t="str">
        <f t="array" ref="E886">XLOOKUP($A886,Facebook_interactions_raw!$A$4:$A1000,Facebook_interactions_raw!$B$4:$B1000)</f>
        <v>#N/A</v>
      </c>
      <c r="F886" s="26" t="str">
        <f t="array" ref="F886">XLOOKUP($A886,Facebook_reach_raw!$A$4:$A1000,Facebook_reach_raw!$B$4:$B1000)</f>
        <v>#N/A</v>
      </c>
    </row>
    <row r="887">
      <c r="A887" s="30" t="str">
        <f>Facebook_reach_raw!$A889</f>
        <v/>
      </c>
      <c r="B887" s="29" t="str">
        <f>Facebook_interactions_raw!$A889</f>
        <v/>
      </c>
      <c r="C887" s="26" t="str">
        <f t="shared" si="1"/>
        <v/>
      </c>
      <c r="D887" s="26" t="str">
        <f t="array" ref="D887">XLOOKUP($A887,Facebook_follows_raw!$A$4:$A1000,Facebook_follows_raw!$B$4:$B1000)</f>
        <v>#N/A</v>
      </c>
      <c r="E887" s="26" t="str">
        <f t="array" ref="E887">XLOOKUP($A887,Facebook_interactions_raw!$A$4:$A1000,Facebook_interactions_raw!$B$4:$B1000)</f>
        <v>#N/A</v>
      </c>
      <c r="F887" s="26" t="str">
        <f t="array" ref="F887">XLOOKUP($A887,Facebook_reach_raw!$A$4:$A1000,Facebook_reach_raw!$B$4:$B1000)</f>
        <v>#N/A</v>
      </c>
    </row>
    <row r="888">
      <c r="A888" s="30" t="str">
        <f>Facebook_reach_raw!$A890</f>
        <v/>
      </c>
      <c r="B888" s="29" t="str">
        <f>Facebook_interactions_raw!$A890</f>
        <v/>
      </c>
      <c r="C888" s="26" t="str">
        <f t="shared" si="1"/>
        <v/>
      </c>
      <c r="D888" s="26" t="str">
        <f t="array" ref="D888">XLOOKUP($A888,Facebook_follows_raw!$A$4:$A1000,Facebook_follows_raw!$B$4:$B1000)</f>
        <v>#N/A</v>
      </c>
      <c r="E888" s="26" t="str">
        <f t="array" ref="E888">XLOOKUP($A888,Facebook_interactions_raw!$A$4:$A1000,Facebook_interactions_raw!$B$4:$B1000)</f>
        <v>#N/A</v>
      </c>
      <c r="F888" s="26" t="str">
        <f t="array" ref="F888">XLOOKUP($A888,Facebook_reach_raw!$A$4:$A1000,Facebook_reach_raw!$B$4:$B1000)</f>
        <v>#N/A</v>
      </c>
    </row>
    <row r="889">
      <c r="A889" s="30" t="str">
        <f>Facebook_reach_raw!$A891</f>
        <v/>
      </c>
      <c r="B889" s="29" t="str">
        <f>Facebook_interactions_raw!$A891</f>
        <v/>
      </c>
      <c r="C889" s="26" t="str">
        <f t="shared" si="1"/>
        <v/>
      </c>
      <c r="D889" s="26" t="str">
        <f t="array" ref="D889">XLOOKUP($A889,Facebook_follows_raw!$A$4:$A1000,Facebook_follows_raw!$B$4:$B1000)</f>
        <v>#N/A</v>
      </c>
      <c r="E889" s="26" t="str">
        <f t="array" ref="E889">XLOOKUP($A889,Facebook_interactions_raw!$A$4:$A1000,Facebook_interactions_raw!$B$4:$B1000)</f>
        <v>#N/A</v>
      </c>
      <c r="F889" s="26" t="str">
        <f t="array" ref="F889">XLOOKUP($A889,Facebook_reach_raw!$A$4:$A1000,Facebook_reach_raw!$B$4:$B1000)</f>
        <v>#N/A</v>
      </c>
    </row>
    <row r="890">
      <c r="A890" s="30" t="str">
        <f>Facebook_reach_raw!$A892</f>
        <v/>
      </c>
      <c r="B890" s="29" t="str">
        <f>Facebook_interactions_raw!$A892</f>
        <v/>
      </c>
      <c r="C890" s="26" t="str">
        <f t="shared" si="1"/>
        <v/>
      </c>
      <c r="D890" s="26" t="str">
        <f t="array" ref="D890">XLOOKUP($A890,Facebook_follows_raw!$A$4:$A1000,Facebook_follows_raw!$B$4:$B1000)</f>
        <v>#N/A</v>
      </c>
      <c r="E890" s="26" t="str">
        <f t="array" ref="E890">XLOOKUP($A890,Facebook_interactions_raw!$A$4:$A1000,Facebook_interactions_raw!$B$4:$B1000)</f>
        <v>#N/A</v>
      </c>
      <c r="F890" s="26" t="str">
        <f t="array" ref="F890">XLOOKUP($A890,Facebook_reach_raw!$A$4:$A1000,Facebook_reach_raw!$B$4:$B1000)</f>
        <v>#N/A</v>
      </c>
    </row>
    <row r="891">
      <c r="A891" s="30" t="str">
        <f>Facebook_reach_raw!$A893</f>
        <v/>
      </c>
      <c r="B891" s="29" t="str">
        <f>Facebook_interactions_raw!$A893</f>
        <v/>
      </c>
      <c r="C891" s="26" t="str">
        <f t="shared" si="1"/>
        <v/>
      </c>
      <c r="D891" s="26" t="str">
        <f t="array" ref="D891">XLOOKUP($A891,Facebook_follows_raw!$A$4:$A1000,Facebook_follows_raw!$B$4:$B1000)</f>
        <v>#N/A</v>
      </c>
      <c r="E891" s="26" t="str">
        <f t="array" ref="E891">XLOOKUP($A891,Facebook_interactions_raw!$A$4:$A1000,Facebook_interactions_raw!$B$4:$B1000)</f>
        <v>#N/A</v>
      </c>
      <c r="F891" s="26" t="str">
        <f t="array" ref="F891">XLOOKUP($A891,Facebook_reach_raw!$A$4:$A1000,Facebook_reach_raw!$B$4:$B1000)</f>
        <v>#N/A</v>
      </c>
    </row>
    <row r="892">
      <c r="A892" s="30" t="str">
        <f>Facebook_reach_raw!$A894</f>
        <v/>
      </c>
      <c r="B892" s="29" t="str">
        <f>Facebook_interactions_raw!$A894</f>
        <v/>
      </c>
      <c r="C892" s="26" t="str">
        <f t="shared" si="1"/>
        <v/>
      </c>
      <c r="D892" s="26" t="str">
        <f t="array" ref="D892">XLOOKUP($A892,Facebook_follows_raw!$A$4:$A1000,Facebook_follows_raw!$B$4:$B1000)</f>
        <v>#N/A</v>
      </c>
      <c r="E892" s="26" t="str">
        <f t="array" ref="E892">XLOOKUP($A892,Facebook_interactions_raw!$A$4:$A1000,Facebook_interactions_raw!$B$4:$B1000)</f>
        <v>#N/A</v>
      </c>
      <c r="F892" s="26" t="str">
        <f t="array" ref="F892">XLOOKUP($A892,Facebook_reach_raw!$A$4:$A1000,Facebook_reach_raw!$B$4:$B1000)</f>
        <v>#N/A</v>
      </c>
    </row>
    <row r="893">
      <c r="A893" s="30" t="str">
        <f>Facebook_reach_raw!$A895</f>
        <v/>
      </c>
      <c r="B893" s="29" t="str">
        <f>Facebook_interactions_raw!$A895</f>
        <v/>
      </c>
      <c r="C893" s="26" t="str">
        <f t="shared" si="1"/>
        <v/>
      </c>
      <c r="D893" s="26" t="str">
        <f t="array" ref="D893">XLOOKUP($A893,Facebook_follows_raw!$A$4:$A1000,Facebook_follows_raw!$B$4:$B1000)</f>
        <v>#N/A</v>
      </c>
      <c r="E893" s="26" t="str">
        <f t="array" ref="E893">XLOOKUP($A893,Facebook_interactions_raw!$A$4:$A1000,Facebook_interactions_raw!$B$4:$B1000)</f>
        <v>#N/A</v>
      </c>
      <c r="F893" s="26" t="str">
        <f t="array" ref="F893">XLOOKUP($A893,Facebook_reach_raw!$A$4:$A1000,Facebook_reach_raw!$B$4:$B1000)</f>
        <v>#N/A</v>
      </c>
    </row>
    <row r="894">
      <c r="A894" s="30" t="str">
        <f>Facebook_reach_raw!$A896</f>
        <v/>
      </c>
      <c r="B894" s="29" t="str">
        <f>Facebook_interactions_raw!$A896</f>
        <v/>
      </c>
      <c r="C894" s="26" t="str">
        <f t="shared" si="1"/>
        <v/>
      </c>
      <c r="D894" s="26" t="str">
        <f t="array" ref="D894">XLOOKUP($A894,Facebook_follows_raw!$A$4:$A1000,Facebook_follows_raw!$B$4:$B1000)</f>
        <v>#N/A</v>
      </c>
      <c r="E894" s="26" t="str">
        <f t="array" ref="E894">XLOOKUP($A894,Facebook_interactions_raw!$A$4:$A1000,Facebook_interactions_raw!$B$4:$B1000)</f>
        <v>#N/A</v>
      </c>
      <c r="F894" s="26" t="str">
        <f t="array" ref="F894">XLOOKUP($A894,Facebook_reach_raw!$A$4:$A1000,Facebook_reach_raw!$B$4:$B1000)</f>
        <v>#N/A</v>
      </c>
    </row>
    <row r="895">
      <c r="A895" s="30" t="str">
        <f>Facebook_reach_raw!$A897</f>
        <v/>
      </c>
      <c r="B895" s="29" t="str">
        <f>Facebook_interactions_raw!$A897</f>
        <v/>
      </c>
      <c r="C895" s="26" t="str">
        <f t="shared" si="1"/>
        <v/>
      </c>
      <c r="D895" s="26" t="str">
        <f t="array" ref="D895">XLOOKUP($A895,Facebook_follows_raw!$A$4:$A1000,Facebook_follows_raw!$B$4:$B1000)</f>
        <v>#N/A</v>
      </c>
      <c r="E895" s="26" t="str">
        <f t="array" ref="E895">XLOOKUP($A895,Facebook_interactions_raw!$A$4:$A1000,Facebook_interactions_raw!$B$4:$B1000)</f>
        <v>#N/A</v>
      </c>
      <c r="F895" s="26" t="str">
        <f t="array" ref="F895">XLOOKUP($A895,Facebook_reach_raw!$A$4:$A1000,Facebook_reach_raw!$B$4:$B1000)</f>
        <v>#N/A</v>
      </c>
    </row>
    <row r="896">
      <c r="A896" s="30" t="str">
        <f>Facebook_reach_raw!$A898</f>
        <v/>
      </c>
      <c r="B896" s="29" t="str">
        <f>Facebook_interactions_raw!$A898</f>
        <v/>
      </c>
      <c r="C896" s="26" t="str">
        <f t="shared" si="1"/>
        <v/>
      </c>
      <c r="D896" s="26" t="str">
        <f t="array" ref="D896">XLOOKUP($A896,Facebook_follows_raw!$A$4:$A1000,Facebook_follows_raw!$B$4:$B1000)</f>
        <v>#N/A</v>
      </c>
      <c r="E896" s="26" t="str">
        <f t="array" ref="E896">XLOOKUP($A896,Facebook_interactions_raw!$A$4:$A1000,Facebook_interactions_raw!$B$4:$B1000)</f>
        <v>#N/A</v>
      </c>
      <c r="F896" s="26" t="str">
        <f t="array" ref="F896">XLOOKUP($A896,Facebook_reach_raw!$A$4:$A1000,Facebook_reach_raw!$B$4:$B1000)</f>
        <v>#N/A</v>
      </c>
    </row>
    <row r="897">
      <c r="A897" s="30" t="str">
        <f>Facebook_reach_raw!$A899</f>
        <v/>
      </c>
      <c r="B897" s="29" t="str">
        <f>Facebook_interactions_raw!$A899</f>
        <v/>
      </c>
      <c r="C897" s="26" t="str">
        <f t="shared" si="1"/>
        <v/>
      </c>
      <c r="D897" s="26" t="str">
        <f t="array" ref="D897">XLOOKUP($A897,Facebook_follows_raw!$A$4:$A1000,Facebook_follows_raw!$B$4:$B1000)</f>
        <v>#N/A</v>
      </c>
      <c r="E897" s="26" t="str">
        <f t="array" ref="E897">XLOOKUP($A897,Facebook_interactions_raw!$A$4:$A1000,Facebook_interactions_raw!$B$4:$B1000)</f>
        <v>#N/A</v>
      </c>
      <c r="F897" s="26" t="str">
        <f t="array" ref="F897">XLOOKUP($A897,Facebook_reach_raw!$A$4:$A1000,Facebook_reach_raw!$B$4:$B1000)</f>
        <v>#N/A</v>
      </c>
    </row>
    <row r="898">
      <c r="A898" s="30" t="str">
        <f>Facebook_reach_raw!$A900</f>
        <v/>
      </c>
      <c r="B898" s="29" t="str">
        <f>Facebook_interactions_raw!$A900</f>
        <v/>
      </c>
      <c r="C898" s="26" t="str">
        <f t="shared" si="1"/>
        <v/>
      </c>
      <c r="D898" s="26" t="str">
        <f t="array" ref="D898">XLOOKUP($A898,Facebook_follows_raw!$A$4:$A1000,Facebook_follows_raw!$B$4:$B1000)</f>
        <v>#N/A</v>
      </c>
      <c r="E898" s="26" t="str">
        <f t="array" ref="E898">XLOOKUP($A898,Facebook_interactions_raw!$A$4:$A1000,Facebook_interactions_raw!$B$4:$B1000)</f>
        <v>#N/A</v>
      </c>
      <c r="F898" s="26" t="str">
        <f t="array" ref="F898">XLOOKUP($A898,Facebook_reach_raw!$A$4:$A1000,Facebook_reach_raw!$B$4:$B1000)</f>
        <v>#N/A</v>
      </c>
    </row>
    <row r="899">
      <c r="A899" s="30" t="str">
        <f>Facebook_reach_raw!$A901</f>
        <v/>
      </c>
      <c r="B899" s="29" t="str">
        <f>Facebook_interactions_raw!$A901</f>
        <v/>
      </c>
      <c r="C899" s="26" t="str">
        <f t="shared" si="1"/>
        <v/>
      </c>
      <c r="D899" s="26" t="str">
        <f t="array" ref="D899">XLOOKUP($A899,Facebook_follows_raw!$A$4:$A1000,Facebook_follows_raw!$B$4:$B1000)</f>
        <v>#N/A</v>
      </c>
      <c r="E899" s="26" t="str">
        <f t="array" ref="E899">XLOOKUP($A899,Facebook_interactions_raw!$A$4:$A1000,Facebook_interactions_raw!$B$4:$B1000)</f>
        <v>#N/A</v>
      </c>
      <c r="F899" s="26" t="str">
        <f t="array" ref="F899">XLOOKUP($A899,Facebook_reach_raw!$A$4:$A1000,Facebook_reach_raw!$B$4:$B1000)</f>
        <v>#N/A</v>
      </c>
    </row>
    <row r="900">
      <c r="A900" s="30" t="str">
        <f>Facebook_reach_raw!$A902</f>
        <v/>
      </c>
      <c r="B900" s="29" t="str">
        <f>Facebook_interactions_raw!$A902</f>
        <v/>
      </c>
      <c r="C900" s="26" t="str">
        <f t="shared" si="1"/>
        <v/>
      </c>
      <c r="D900" s="26" t="str">
        <f t="array" ref="D900">XLOOKUP($A900,Facebook_follows_raw!$A$4:$A1000,Facebook_follows_raw!$B$4:$B1000)</f>
        <v>#N/A</v>
      </c>
      <c r="E900" s="26" t="str">
        <f t="array" ref="E900">XLOOKUP($A900,Facebook_interactions_raw!$A$4:$A1000,Facebook_interactions_raw!$B$4:$B1000)</f>
        <v>#N/A</v>
      </c>
      <c r="F900" s="26" t="str">
        <f t="array" ref="F900">XLOOKUP($A900,Facebook_reach_raw!$A$4:$A1000,Facebook_reach_raw!$B$4:$B1000)</f>
        <v>#N/A</v>
      </c>
    </row>
    <row r="901">
      <c r="A901" s="30" t="str">
        <f>Facebook_reach_raw!$A903</f>
        <v/>
      </c>
      <c r="B901" s="29" t="str">
        <f>Facebook_interactions_raw!$A903</f>
        <v/>
      </c>
      <c r="C901" s="26" t="str">
        <f t="shared" si="1"/>
        <v/>
      </c>
      <c r="D901" s="26" t="str">
        <f t="array" ref="D901">XLOOKUP($A901,Facebook_follows_raw!$A$4:$A1000,Facebook_follows_raw!$B$4:$B1000)</f>
        <v>#N/A</v>
      </c>
      <c r="E901" s="26" t="str">
        <f t="array" ref="E901">XLOOKUP($A901,Facebook_interactions_raw!$A$4:$A1000,Facebook_interactions_raw!$B$4:$B1000)</f>
        <v>#N/A</v>
      </c>
      <c r="F901" s="26" t="str">
        <f t="array" ref="F901">XLOOKUP($A901,Facebook_reach_raw!$A$4:$A1000,Facebook_reach_raw!$B$4:$B1000)</f>
        <v>#N/A</v>
      </c>
    </row>
    <row r="902">
      <c r="A902" s="30" t="str">
        <f>Facebook_reach_raw!$A904</f>
        <v/>
      </c>
      <c r="B902" s="29" t="str">
        <f>Facebook_interactions_raw!$A904</f>
        <v/>
      </c>
      <c r="C902" s="26" t="str">
        <f t="shared" si="1"/>
        <v/>
      </c>
      <c r="D902" s="26" t="str">
        <f t="array" ref="D902">XLOOKUP($A902,Facebook_follows_raw!$A$4:$A1000,Facebook_follows_raw!$B$4:$B1000)</f>
        <v>#N/A</v>
      </c>
      <c r="E902" s="26" t="str">
        <f t="array" ref="E902">XLOOKUP($A902,Facebook_interactions_raw!$A$4:$A1000,Facebook_interactions_raw!$B$4:$B1000)</f>
        <v>#N/A</v>
      </c>
      <c r="F902" s="26" t="str">
        <f t="array" ref="F902">XLOOKUP($A902,Facebook_reach_raw!$A$4:$A1000,Facebook_reach_raw!$B$4:$B1000)</f>
        <v>#N/A</v>
      </c>
    </row>
    <row r="903">
      <c r="A903" s="30" t="str">
        <f>Facebook_reach_raw!$A905</f>
        <v/>
      </c>
      <c r="B903" s="29" t="str">
        <f>Facebook_interactions_raw!$A905</f>
        <v/>
      </c>
      <c r="C903" s="26" t="str">
        <f t="shared" si="1"/>
        <v/>
      </c>
      <c r="D903" s="26" t="str">
        <f t="array" ref="D903">XLOOKUP($A903,Facebook_follows_raw!$A$4:$A1000,Facebook_follows_raw!$B$4:$B1000)</f>
        <v>#N/A</v>
      </c>
      <c r="E903" s="26" t="str">
        <f t="array" ref="E903">XLOOKUP($A903,Facebook_interactions_raw!$A$4:$A1000,Facebook_interactions_raw!$B$4:$B1000)</f>
        <v>#N/A</v>
      </c>
      <c r="F903" s="26" t="str">
        <f t="array" ref="F903">XLOOKUP($A903,Facebook_reach_raw!$A$4:$A1000,Facebook_reach_raw!$B$4:$B1000)</f>
        <v>#N/A</v>
      </c>
    </row>
    <row r="904">
      <c r="A904" s="30" t="str">
        <f>Facebook_reach_raw!$A906</f>
        <v/>
      </c>
      <c r="B904" s="29" t="str">
        <f>Facebook_interactions_raw!$A906</f>
        <v/>
      </c>
      <c r="C904" s="26" t="str">
        <f t="shared" si="1"/>
        <v/>
      </c>
      <c r="D904" s="26" t="str">
        <f t="array" ref="D904">XLOOKUP($A904,Facebook_follows_raw!$A$4:$A1000,Facebook_follows_raw!$B$4:$B1000)</f>
        <v>#N/A</v>
      </c>
      <c r="E904" s="26" t="str">
        <f t="array" ref="E904">XLOOKUP($A904,Facebook_interactions_raw!$A$4:$A1000,Facebook_interactions_raw!$B$4:$B1000)</f>
        <v>#N/A</v>
      </c>
      <c r="F904" s="26" t="str">
        <f t="array" ref="F904">XLOOKUP($A904,Facebook_reach_raw!$A$4:$A1000,Facebook_reach_raw!$B$4:$B1000)</f>
        <v>#N/A</v>
      </c>
    </row>
    <row r="905">
      <c r="A905" s="30" t="str">
        <f>Facebook_reach_raw!$A907</f>
        <v/>
      </c>
      <c r="B905" s="29" t="str">
        <f>Facebook_interactions_raw!$A907</f>
        <v/>
      </c>
      <c r="C905" s="26" t="str">
        <f t="shared" si="1"/>
        <v/>
      </c>
      <c r="D905" s="26" t="str">
        <f t="array" ref="D905">XLOOKUP($A905,Facebook_follows_raw!$A$4:$A1000,Facebook_follows_raw!$B$4:$B1000)</f>
        <v>#N/A</v>
      </c>
      <c r="E905" s="26" t="str">
        <f t="array" ref="E905">XLOOKUP($A905,Facebook_interactions_raw!$A$4:$A1000,Facebook_interactions_raw!$B$4:$B1000)</f>
        <v>#N/A</v>
      </c>
      <c r="F905" s="26" t="str">
        <f t="array" ref="F905">XLOOKUP($A905,Facebook_reach_raw!$A$4:$A1000,Facebook_reach_raw!$B$4:$B1000)</f>
        <v>#N/A</v>
      </c>
    </row>
    <row r="906">
      <c r="A906" s="30" t="str">
        <f>Facebook_reach_raw!$A908</f>
        <v/>
      </c>
      <c r="B906" s="29" t="str">
        <f>Facebook_interactions_raw!$A908</f>
        <v/>
      </c>
      <c r="C906" s="26" t="str">
        <f t="shared" si="1"/>
        <v/>
      </c>
      <c r="D906" s="26" t="str">
        <f t="array" ref="D906">XLOOKUP($A906,Facebook_follows_raw!$A$4:$A1000,Facebook_follows_raw!$B$4:$B1000)</f>
        <v>#N/A</v>
      </c>
      <c r="E906" s="26" t="str">
        <f t="array" ref="E906">XLOOKUP($A906,Facebook_interactions_raw!$A$4:$A1000,Facebook_interactions_raw!$B$4:$B1000)</f>
        <v>#N/A</v>
      </c>
      <c r="F906" s="26" t="str">
        <f t="array" ref="F906">XLOOKUP($A906,Facebook_reach_raw!$A$4:$A1000,Facebook_reach_raw!$B$4:$B1000)</f>
        <v>#N/A</v>
      </c>
    </row>
    <row r="907">
      <c r="A907" s="30" t="str">
        <f>Facebook_reach_raw!$A909</f>
        <v/>
      </c>
      <c r="B907" s="29" t="str">
        <f>Facebook_interactions_raw!$A909</f>
        <v/>
      </c>
      <c r="C907" s="26" t="str">
        <f t="shared" si="1"/>
        <v/>
      </c>
      <c r="D907" s="26" t="str">
        <f t="array" ref="D907">XLOOKUP($A907,Facebook_follows_raw!$A$4:$A1000,Facebook_follows_raw!$B$4:$B1000)</f>
        <v>#N/A</v>
      </c>
      <c r="E907" s="26" t="str">
        <f t="array" ref="E907">XLOOKUP($A907,Facebook_interactions_raw!$A$4:$A1000,Facebook_interactions_raw!$B$4:$B1000)</f>
        <v>#N/A</v>
      </c>
      <c r="F907" s="26" t="str">
        <f t="array" ref="F907">XLOOKUP($A907,Facebook_reach_raw!$A$4:$A1000,Facebook_reach_raw!$B$4:$B1000)</f>
        <v>#N/A</v>
      </c>
    </row>
    <row r="908">
      <c r="A908" s="30" t="str">
        <f>Facebook_reach_raw!$A910</f>
        <v/>
      </c>
      <c r="B908" s="29" t="str">
        <f>Facebook_interactions_raw!$A910</f>
        <v/>
      </c>
      <c r="C908" s="26" t="str">
        <f t="shared" si="1"/>
        <v/>
      </c>
      <c r="D908" s="26" t="str">
        <f t="array" ref="D908">XLOOKUP($A908,Facebook_follows_raw!$A$4:$A1000,Facebook_follows_raw!$B$4:$B1000)</f>
        <v>#N/A</v>
      </c>
      <c r="E908" s="26" t="str">
        <f t="array" ref="E908">XLOOKUP($A908,Facebook_interactions_raw!$A$4:$A1000,Facebook_interactions_raw!$B$4:$B1000)</f>
        <v>#N/A</v>
      </c>
      <c r="F908" s="26" t="str">
        <f t="array" ref="F908">XLOOKUP($A908,Facebook_reach_raw!$A$4:$A1000,Facebook_reach_raw!$B$4:$B1000)</f>
        <v>#N/A</v>
      </c>
    </row>
    <row r="909">
      <c r="A909" s="30" t="str">
        <f>Facebook_reach_raw!$A911</f>
        <v/>
      </c>
      <c r="B909" s="29" t="str">
        <f>Facebook_interactions_raw!$A911</f>
        <v/>
      </c>
      <c r="C909" s="26" t="str">
        <f t="shared" si="1"/>
        <v/>
      </c>
      <c r="D909" s="26" t="str">
        <f t="array" ref="D909">XLOOKUP($A909,Facebook_follows_raw!$A$4:$A1000,Facebook_follows_raw!$B$4:$B1000)</f>
        <v>#N/A</v>
      </c>
      <c r="E909" s="26" t="str">
        <f t="array" ref="E909">XLOOKUP($A909,Facebook_interactions_raw!$A$4:$A1000,Facebook_interactions_raw!$B$4:$B1000)</f>
        <v>#N/A</v>
      </c>
      <c r="F909" s="26" t="str">
        <f t="array" ref="F909">XLOOKUP($A909,Facebook_reach_raw!$A$4:$A1000,Facebook_reach_raw!$B$4:$B1000)</f>
        <v>#N/A</v>
      </c>
    </row>
    <row r="910">
      <c r="A910" s="30" t="str">
        <f>Facebook_reach_raw!$A912</f>
        <v/>
      </c>
      <c r="B910" s="29" t="str">
        <f>Facebook_interactions_raw!$A912</f>
        <v/>
      </c>
      <c r="C910" s="26" t="str">
        <f t="shared" si="1"/>
        <v/>
      </c>
      <c r="D910" s="26" t="str">
        <f t="array" ref="D910">XLOOKUP($A910,Facebook_follows_raw!$A$4:$A1000,Facebook_follows_raw!$B$4:$B1000)</f>
        <v>#N/A</v>
      </c>
      <c r="E910" s="26" t="str">
        <f t="array" ref="E910">XLOOKUP($A910,Facebook_interactions_raw!$A$4:$A1000,Facebook_interactions_raw!$B$4:$B1000)</f>
        <v>#N/A</v>
      </c>
      <c r="F910" s="26" t="str">
        <f t="array" ref="F910">XLOOKUP($A910,Facebook_reach_raw!$A$4:$A1000,Facebook_reach_raw!$B$4:$B1000)</f>
        <v>#N/A</v>
      </c>
    </row>
    <row r="911">
      <c r="A911" s="30" t="str">
        <f>Facebook_reach_raw!$A913</f>
        <v/>
      </c>
      <c r="B911" s="29" t="str">
        <f>Facebook_interactions_raw!$A913</f>
        <v/>
      </c>
      <c r="C911" s="26" t="str">
        <f t="shared" si="1"/>
        <v/>
      </c>
      <c r="D911" s="26" t="str">
        <f t="array" ref="D911">XLOOKUP($A911,Facebook_follows_raw!$A$4:$A1000,Facebook_follows_raw!$B$4:$B1000)</f>
        <v>#N/A</v>
      </c>
      <c r="E911" s="26" t="str">
        <f t="array" ref="E911">XLOOKUP($A911,Facebook_interactions_raw!$A$4:$A1000,Facebook_interactions_raw!$B$4:$B1000)</f>
        <v>#N/A</v>
      </c>
      <c r="F911" s="26" t="str">
        <f t="array" ref="F911">XLOOKUP($A911,Facebook_reach_raw!$A$4:$A1000,Facebook_reach_raw!$B$4:$B1000)</f>
        <v>#N/A</v>
      </c>
    </row>
    <row r="912">
      <c r="A912" s="30" t="str">
        <f>Facebook_reach_raw!$A914</f>
        <v/>
      </c>
      <c r="B912" s="29" t="str">
        <f>Facebook_interactions_raw!$A914</f>
        <v/>
      </c>
      <c r="C912" s="26" t="str">
        <f t="shared" si="1"/>
        <v/>
      </c>
      <c r="D912" s="26" t="str">
        <f t="array" ref="D912">XLOOKUP($A912,Facebook_follows_raw!$A$4:$A1000,Facebook_follows_raw!$B$4:$B1000)</f>
        <v>#N/A</v>
      </c>
      <c r="E912" s="26" t="str">
        <f t="array" ref="E912">XLOOKUP($A912,Facebook_interactions_raw!$A$4:$A1000,Facebook_interactions_raw!$B$4:$B1000)</f>
        <v>#N/A</v>
      </c>
      <c r="F912" s="26" t="str">
        <f t="array" ref="F912">XLOOKUP($A912,Facebook_reach_raw!$A$4:$A1000,Facebook_reach_raw!$B$4:$B1000)</f>
        <v>#N/A</v>
      </c>
    </row>
    <row r="913">
      <c r="A913" s="30" t="str">
        <f>Facebook_reach_raw!$A915</f>
        <v/>
      </c>
      <c r="B913" s="29" t="str">
        <f>Facebook_interactions_raw!$A915</f>
        <v/>
      </c>
      <c r="C913" s="26" t="str">
        <f t="shared" si="1"/>
        <v/>
      </c>
      <c r="D913" s="26" t="str">
        <f t="array" ref="D913">XLOOKUP($A913,Facebook_follows_raw!$A$4:$A1000,Facebook_follows_raw!$B$4:$B1000)</f>
        <v>#N/A</v>
      </c>
      <c r="E913" s="26" t="str">
        <f t="array" ref="E913">XLOOKUP($A913,Facebook_interactions_raw!$A$4:$A1000,Facebook_interactions_raw!$B$4:$B1000)</f>
        <v>#N/A</v>
      </c>
      <c r="F913" s="26" t="str">
        <f t="array" ref="F913">XLOOKUP($A913,Facebook_reach_raw!$A$4:$A1000,Facebook_reach_raw!$B$4:$B1000)</f>
        <v>#N/A</v>
      </c>
    </row>
    <row r="914">
      <c r="A914" s="30" t="str">
        <f>Facebook_reach_raw!$A916</f>
        <v/>
      </c>
      <c r="B914" s="29" t="str">
        <f>Facebook_interactions_raw!$A916</f>
        <v/>
      </c>
      <c r="C914" s="26" t="str">
        <f t="shared" si="1"/>
        <v/>
      </c>
      <c r="D914" s="26" t="str">
        <f t="array" ref="D914">XLOOKUP($A914,Facebook_follows_raw!$A$4:$A1000,Facebook_follows_raw!$B$4:$B1000)</f>
        <v>#N/A</v>
      </c>
      <c r="E914" s="26" t="str">
        <f t="array" ref="E914">XLOOKUP($A914,Facebook_interactions_raw!$A$4:$A1000,Facebook_interactions_raw!$B$4:$B1000)</f>
        <v>#N/A</v>
      </c>
      <c r="F914" s="26" t="str">
        <f t="array" ref="F914">XLOOKUP($A914,Facebook_reach_raw!$A$4:$A1000,Facebook_reach_raw!$B$4:$B1000)</f>
        <v>#N/A</v>
      </c>
    </row>
    <row r="915">
      <c r="A915" s="30" t="str">
        <f>Facebook_reach_raw!$A917</f>
        <v/>
      </c>
      <c r="B915" s="29" t="str">
        <f>Facebook_interactions_raw!$A917</f>
        <v/>
      </c>
      <c r="C915" s="26" t="str">
        <f t="shared" si="1"/>
        <v/>
      </c>
      <c r="D915" s="26" t="str">
        <f t="array" ref="D915">XLOOKUP($A915,Facebook_follows_raw!$A$4:$A1000,Facebook_follows_raw!$B$4:$B1000)</f>
        <v>#N/A</v>
      </c>
      <c r="E915" s="26" t="str">
        <f t="array" ref="E915">XLOOKUP($A915,Facebook_interactions_raw!$A$4:$A1000,Facebook_interactions_raw!$B$4:$B1000)</f>
        <v>#N/A</v>
      </c>
      <c r="F915" s="26" t="str">
        <f t="array" ref="F915">XLOOKUP($A915,Facebook_reach_raw!$A$4:$A1000,Facebook_reach_raw!$B$4:$B1000)</f>
        <v>#N/A</v>
      </c>
    </row>
    <row r="916">
      <c r="A916" s="30" t="str">
        <f>Facebook_reach_raw!$A918</f>
        <v/>
      </c>
      <c r="B916" s="29" t="str">
        <f>Facebook_interactions_raw!$A918</f>
        <v/>
      </c>
      <c r="C916" s="26" t="str">
        <f t="shared" si="1"/>
        <v/>
      </c>
      <c r="D916" s="26" t="str">
        <f t="array" ref="D916">XLOOKUP($A916,Facebook_follows_raw!$A$4:$A1000,Facebook_follows_raw!$B$4:$B1000)</f>
        <v>#N/A</v>
      </c>
      <c r="E916" s="26" t="str">
        <f t="array" ref="E916">XLOOKUP($A916,Facebook_interactions_raw!$A$4:$A1000,Facebook_interactions_raw!$B$4:$B1000)</f>
        <v>#N/A</v>
      </c>
      <c r="F916" s="26" t="str">
        <f t="array" ref="F916">XLOOKUP($A916,Facebook_reach_raw!$A$4:$A1000,Facebook_reach_raw!$B$4:$B1000)</f>
        <v>#N/A</v>
      </c>
    </row>
    <row r="917">
      <c r="A917" s="30" t="str">
        <f>Facebook_reach_raw!$A919</f>
        <v/>
      </c>
      <c r="B917" s="29" t="str">
        <f>Facebook_interactions_raw!$A919</f>
        <v/>
      </c>
      <c r="C917" s="26" t="str">
        <f t="shared" si="1"/>
        <v/>
      </c>
      <c r="D917" s="26" t="str">
        <f t="array" ref="D917">XLOOKUP($A917,Facebook_follows_raw!$A$4:$A1000,Facebook_follows_raw!$B$4:$B1000)</f>
        <v>#N/A</v>
      </c>
      <c r="E917" s="26" t="str">
        <f t="array" ref="E917">XLOOKUP($A917,Facebook_interactions_raw!$A$4:$A1000,Facebook_interactions_raw!$B$4:$B1000)</f>
        <v>#N/A</v>
      </c>
      <c r="F917" s="26" t="str">
        <f t="array" ref="F917">XLOOKUP($A917,Facebook_reach_raw!$A$4:$A1000,Facebook_reach_raw!$B$4:$B1000)</f>
        <v>#N/A</v>
      </c>
    </row>
    <row r="918">
      <c r="A918" s="30" t="str">
        <f>Facebook_reach_raw!$A920</f>
        <v/>
      </c>
      <c r="B918" s="29" t="str">
        <f>Facebook_interactions_raw!$A920</f>
        <v/>
      </c>
      <c r="C918" s="26" t="str">
        <f t="shared" si="1"/>
        <v/>
      </c>
      <c r="D918" s="26" t="str">
        <f t="array" ref="D918">XLOOKUP($A918,Facebook_follows_raw!$A$4:$A1000,Facebook_follows_raw!$B$4:$B1000)</f>
        <v>#N/A</v>
      </c>
      <c r="E918" s="26" t="str">
        <f t="array" ref="E918">XLOOKUP($A918,Facebook_interactions_raw!$A$4:$A1000,Facebook_interactions_raw!$B$4:$B1000)</f>
        <v>#N/A</v>
      </c>
      <c r="F918" s="26" t="str">
        <f t="array" ref="F918">XLOOKUP($A918,Facebook_reach_raw!$A$4:$A1000,Facebook_reach_raw!$B$4:$B1000)</f>
        <v>#N/A</v>
      </c>
    </row>
    <row r="919">
      <c r="A919" s="30" t="str">
        <f>Facebook_reach_raw!$A921</f>
        <v/>
      </c>
      <c r="B919" s="29" t="str">
        <f>Facebook_interactions_raw!$A921</f>
        <v/>
      </c>
      <c r="C919" s="26" t="str">
        <f t="shared" si="1"/>
        <v/>
      </c>
      <c r="D919" s="26" t="str">
        <f t="array" ref="D919">XLOOKUP($A919,Facebook_follows_raw!$A$4:$A1000,Facebook_follows_raw!$B$4:$B1000)</f>
        <v>#N/A</v>
      </c>
      <c r="E919" s="26" t="str">
        <f t="array" ref="E919">XLOOKUP($A919,Facebook_interactions_raw!$A$4:$A1000,Facebook_interactions_raw!$B$4:$B1000)</f>
        <v>#N/A</v>
      </c>
      <c r="F919" s="26" t="str">
        <f t="array" ref="F919">XLOOKUP($A919,Facebook_reach_raw!$A$4:$A1000,Facebook_reach_raw!$B$4:$B1000)</f>
        <v>#N/A</v>
      </c>
    </row>
    <row r="920">
      <c r="A920" s="30" t="str">
        <f>Facebook_reach_raw!$A922</f>
        <v/>
      </c>
      <c r="B920" s="29" t="str">
        <f>Facebook_interactions_raw!$A922</f>
        <v/>
      </c>
      <c r="C920" s="26" t="str">
        <f t="shared" si="1"/>
        <v/>
      </c>
      <c r="D920" s="26" t="str">
        <f t="array" ref="D920">XLOOKUP($A920,Facebook_follows_raw!$A$4:$A1000,Facebook_follows_raw!$B$4:$B1000)</f>
        <v>#N/A</v>
      </c>
      <c r="E920" s="26" t="str">
        <f t="array" ref="E920">XLOOKUP($A920,Facebook_interactions_raw!$A$4:$A1000,Facebook_interactions_raw!$B$4:$B1000)</f>
        <v>#N/A</v>
      </c>
      <c r="F920" s="26" t="str">
        <f t="array" ref="F920">XLOOKUP($A920,Facebook_reach_raw!$A$4:$A1000,Facebook_reach_raw!$B$4:$B1000)</f>
        <v>#N/A</v>
      </c>
    </row>
    <row r="921">
      <c r="A921" s="30" t="str">
        <f>Facebook_reach_raw!$A923</f>
        <v/>
      </c>
      <c r="B921" s="29" t="str">
        <f>Facebook_interactions_raw!$A923</f>
        <v/>
      </c>
      <c r="C921" s="26" t="str">
        <f t="shared" si="1"/>
        <v/>
      </c>
      <c r="D921" s="26" t="str">
        <f t="array" ref="D921">XLOOKUP($A921,Facebook_follows_raw!$A$4:$A1000,Facebook_follows_raw!$B$4:$B1000)</f>
        <v>#N/A</v>
      </c>
      <c r="E921" s="26" t="str">
        <f t="array" ref="E921">XLOOKUP($A921,Facebook_interactions_raw!$A$4:$A1000,Facebook_interactions_raw!$B$4:$B1000)</f>
        <v>#N/A</v>
      </c>
      <c r="F921" s="26" t="str">
        <f t="array" ref="F921">XLOOKUP($A921,Facebook_reach_raw!$A$4:$A1000,Facebook_reach_raw!$B$4:$B1000)</f>
        <v>#N/A</v>
      </c>
    </row>
    <row r="922">
      <c r="A922" s="30" t="str">
        <f>Facebook_reach_raw!$A924</f>
        <v/>
      </c>
      <c r="B922" s="29" t="str">
        <f>Facebook_interactions_raw!$A924</f>
        <v/>
      </c>
      <c r="C922" s="26" t="str">
        <f t="shared" si="1"/>
        <v/>
      </c>
      <c r="D922" s="26" t="str">
        <f t="array" ref="D922">XLOOKUP($A922,Facebook_follows_raw!$A$4:$A1000,Facebook_follows_raw!$B$4:$B1000)</f>
        <v>#N/A</v>
      </c>
      <c r="E922" s="26" t="str">
        <f t="array" ref="E922">XLOOKUP($A922,Facebook_interactions_raw!$A$4:$A1000,Facebook_interactions_raw!$B$4:$B1000)</f>
        <v>#N/A</v>
      </c>
      <c r="F922" s="26" t="str">
        <f t="array" ref="F922">XLOOKUP($A922,Facebook_reach_raw!$A$4:$A1000,Facebook_reach_raw!$B$4:$B1000)</f>
        <v>#N/A</v>
      </c>
    </row>
    <row r="923">
      <c r="A923" s="30" t="str">
        <f>Facebook_reach_raw!$A925</f>
        <v/>
      </c>
      <c r="B923" s="29" t="str">
        <f>Facebook_interactions_raw!$A925</f>
        <v/>
      </c>
      <c r="C923" s="26" t="str">
        <f t="shared" si="1"/>
        <v/>
      </c>
      <c r="D923" s="26" t="str">
        <f t="array" ref="D923">XLOOKUP($A923,Facebook_follows_raw!$A$4:$A1000,Facebook_follows_raw!$B$4:$B1000)</f>
        <v>#N/A</v>
      </c>
      <c r="E923" s="26" t="str">
        <f t="array" ref="E923">XLOOKUP($A923,Facebook_interactions_raw!$A$4:$A1000,Facebook_interactions_raw!$B$4:$B1000)</f>
        <v>#N/A</v>
      </c>
      <c r="F923" s="26" t="str">
        <f t="array" ref="F923">XLOOKUP($A923,Facebook_reach_raw!$A$4:$A1000,Facebook_reach_raw!$B$4:$B1000)</f>
        <v>#N/A</v>
      </c>
    </row>
    <row r="924">
      <c r="A924" s="30" t="str">
        <f>Facebook_reach_raw!$A926</f>
        <v/>
      </c>
      <c r="B924" s="29" t="str">
        <f>Facebook_interactions_raw!$A926</f>
        <v/>
      </c>
      <c r="C924" s="26" t="str">
        <f t="shared" si="1"/>
        <v/>
      </c>
      <c r="D924" s="26" t="str">
        <f t="array" ref="D924">XLOOKUP($A924,Facebook_follows_raw!$A$4:$A1000,Facebook_follows_raw!$B$4:$B1000)</f>
        <v>#N/A</v>
      </c>
      <c r="E924" s="26" t="str">
        <f t="array" ref="E924">XLOOKUP($A924,Facebook_interactions_raw!$A$4:$A1000,Facebook_interactions_raw!$B$4:$B1000)</f>
        <v>#N/A</v>
      </c>
      <c r="F924" s="26" t="str">
        <f t="array" ref="F924">XLOOKUP($A924,Facebook_reach_raw!$A$4:$A1000,Facebook_reach_raw!$B$4:$B1000)</f>
        <v>#N/A</v>
      </c>
    </row>
    <row r="925">
      <c r="A925" s="30" t="str">
        <f>Facebook_reach_raw!$A927</f>
        <v/>
      </c>
      <c r="B925" s="29" t="str">
        <f>Facebook_interactions_raw!$A927</f>
        <v/>
      </c>
      <c r="C925" s="26" t="str">
        <f t="shared" si="1"/>
        <v/>
      </c>
      <c r="D925" s="26" t="str">
        <f t="array" ref="D925">XLOOKUP($A925,Facebook_follows_raw!$A$4:$A1000,Facebook_follows_raw!$B$4:$B1000)</f>
        <v>#N/A</v>
      </c>
      <c r="E925" s="26" t="str">
        <f t="array" ref="E925">XLOOKUP($A925,Facebook_interactions_raw!$A$4:$A1000,Facebook_interactions_raw!$B$4:$B1000)</f>
        <v>#N/A</v>
      </c>
      <c r="F925" s="26" t="str">
        <f t="array" ref="F925">XLOOKUP($A925,Facebook_reach_raw!$A$4:$A1000,Facebook_reach_raw!$B$4:$B1000)</f>
        <v>#N/A</v>
      </c>
    </row>
    <row r="926">
      <c r="A926" s="30" t="str">
        <f>Facebook_reach_raw!$A928</f>
        <v/>
      </c>
      <c r="B926" s="29" t="str">
        <f>Facebook_interactions_raw!$A928</f>
        <v/>
      </c>
      <c r="C926" s="26" t="str">
        <f t="shared" si="1"/>
        <v/>
      </c>
      <c r="D926" s="26" t="str">
        <f t="array" ref="D926">XLOOKUP($A926,Facebook_follows_raw!$A$4:$A1000,Facebook_follows_raw!$B$4:$B1000)</f>
        <v>#N/A</v>
      </c>
      <c r="E926" s="26" t="str">
        <f t="array" ref="E926">XLOOKUP($A926,Facebook_interactions_raw!$A$4:$A1000,Facebook_interactions_raw!$B$4:$B1000)</f>
        <v>#N/A</v>
      </c>
      <c r="F926" s="26" t="str">
        <f t="array" ref="F926">XLOOKUP($A926,Facebook_reach_raw!$A$4:$A1000,Facebook_reach_raw!$B$4:$B1000)</f>
        <v>#N/A</v>
      </c>
    </row>
    <row r="927">
      <c r="A927" s="30" t="str">
        <f>Facebook_reach_raw!$A929</f>
        <v/>
      </c>
      <c r="B927" s="29" t="str">
        <f>Facebook_interactions_raw!$A929</f>
        <v/>
      </c>
      <c r="C927" s="26" t="str">
        <f t="shared" si="1"/>
        <v/>
      </c>
      <c r="D927" s="26" t="str">
        <f t="array" ref="D927">XLOOKUP($A927,Facebook_follows_raw!$A$4:$A1000,Facebook_follows_raw!$B$4:$B1000)</f>
        <v>#N/A</v>
      </c>
      <c r="E927" s="26" t="str">
        <f t="array" ref="E927">XLOOKUP($A927,Facebook_interactions_raw!$A$4:$A1000,Facebook_interactions_raw!$B$4:$B1000)</f>
        <v>#N/A</v>
      </c>
      <c r="F927" s="26" t="str">
        <f t="array" ref="F927">XLOOKUP($A927,Facebook_reach_raw!$A$4:$A1000,Facebook_reach_raw!$B$4:$B1000)</f>
        <v>#N/A</v>
      </c>
    </row>
    <row r="928">
      <c r="A928" s="30" t="str">
        <f>Facebook_reach_raw!$A930</f>
        <v/>
      </c>
      <c r="B928" s="29" t="str">
        <f>Facebook_interactions_raw!$A930</f>
        <v/>
      </c>
      <c r="C928" s="26" t="str">
        <f t="shared" si="1"/>
        <v/>
      </c>
      <c r="D928" s="26" t="str">
        <f t="array" ref="D928">XLOOKUP($A928,Facebook_follows_raw!$A$4:$A1000,Facebook_follows_raw!$B$4:$B1000)</f>
        <v>#N/A</v>
      </c>
      <c r="E928" s="26" t="str">
        <f t="array" ref="E928">XLOOKUP($A928,Facebook_interactions_raw!$A$4:$A1000,Facebook_interactions_raw!$B$4:$B1000)</f>
        <v>#N/A</v>
      </c>
      <c r="F928" s="26" t="str">
        <f t="array" ref="F928">XLOOKUP($A928,Facebook_reach_raw!$A$4:$A1000,Facebook_reach_raw!$B$4:$B1000)</f>
        <v>#N/A</v>
      </c>
    </row>
    <row r="929">
      <c r="A929" s="30" t="str">
        <f>Facebook_reach_raw!$A931</f>
        <v/>
      </c>
      <c r="B929" s="29" t="str">
        <f>Facebook_interactions_raw!$A931</f>
        <v/>
      </c>
      <c r="C929" s="26" t="str">
        <f t="shared" si="1"/>
        <v/>
      </c>
      <c r="D929" s="26" t="str">
        <f t="array" ref="D929">XLOOKUP($A929,Facebook_follows_raw!$A$4:$A1000,Facebook_follows_raw!$B$4:$B1000)</f>
        <v>#N/A</v>
      </c>
      <c r="E929" s="26" t="str">
        <f t="array" ref="E929">XLOOKUP($A929,Facebook_interactions_raw!$A$4:$A1000,Facebook_interactions_raw!$B$4:$B1000)</f>
        <v>#N/A</v>
      </c>
      <c r="F929" s="26" t="str">
        <f t="array" ref="F929">XLOOKUP($A929,Facebook_reach_raw!$A$4:$A1000,Facebook_reach_raw!$B$4:$B1000)</f>
        <v>#N/A</v>
      </c>
    </row>
    <row r="930">
      <c r="A930" s="30" t="str">
        <f>Facebook_reach_raw!$A932</f>
        <v/>
      </c>
      <c r="B930" s="29" t="str">
        <f>Facebook_interactions_raw!$A932</f>
        <v/>
      </c>
      <c r="C930" s="26" t="str">
        <f t="shared" si="1"/>
        <v/>
      </c>
      <c r="D930" s="26" t="str">
        <f t="array" ref="D930">XLOOKUP($A930,Facebook_follows_raw!$A$4:$A1000,Facebook_follows_raw!$B$4:$B1000)</f>
        <v>#N/A</v>
      </c>
      <c r="E930" s="26" t="str">
        <f t="array" ref="E930">XLOOKUP($A930,Facebook_interactions_raw!$A$4:$A1000,Facebook_interactions_raw!$B$4:$B1000)</f>
        <v>#N/A</v>
      </c>
      <c r="F930" s="26" t="str">
        <f t="array" ref="F930">XLOOKUP($A930,Facebook_reach_raw!$A$4:$A1000,Facebook_reach_raw!$B$4:$B1000)</f>
        <v>#N/A</v>
      </c>
    </row>
    <row r="931">
      <c r="A931" s="30" t="str">
        <f>Facebook_reach_raw!$A933</f>
        <v/>
      </c>
      <c r="B931" s="29" t="str">
        <f>Facebook_interactions_raw!$A933</f>
        <v/>
      </c>
      <c r="C931" s="26" t="str">
        <f t="shared" si="1"/>
        <v/>
      </c>
      <c r="D931" s="26" t="str">
        <f t="array" ref="D931">XLOOKUP($A931,Facebook_follows_raw!$A$4:$A1000,Facebook_follows_raw!$B$4:$B1000)</f>
        <v>#N/A</v>
      </c>
      <c r="E931" s="26" t="str">
        <f t="array" ref="E931">XLOOKUP($A931,Facebook_interactions_raw!$A$4:$A1000,Facebook_interactions_raw!$B$4:$B1000)</f>
        <v>#N/A</v>
      </c>
      <c r="F931" s="26" t="str">
        <f t="array" ref="F931">XLOOKUP($A931,Facebook_reach_raw!$A$4:$A1000,Facebook_reach_raw!$B$4:$B1000)</f>
        <v>#N/A</v>
      </c>
    </row>
    <row r="932">
      <c r="A932" s="30" t="str">
        <f>Facebook_reach_raw!$A934</f>
        <v/>
      </c>
      <c r="B932" s="29" t="str">
        <f>Facebook_interactions_raw!$A934</f>
        <v/>
      </c>
      <c r="C932" s="26" t="str">
        <f t="shared" si="1"/>
        <v/>
      </c>
      <c r="D932" s="26" t="str">
        <f t="array" ref="D932">XLOOKUP($A932,Facebook_follows_raw!$A$4:$A1000,Facebook_follows_raw!$B$4:$B1000)</f>
        <v>#N/A</v>
      </c>
      <c r="E932" s="26" t="str">
        <f t="array" ref="E932">XLOOKUP($A932,Facebook_interactions_raw!$A$4:$A1000,Facebook_interactions_raw!$B$4:$B1000)</f>
        <v>#N/A</v>
      </c>
      <c r="F932" s="26" t="str">
        <f t="array" ref="F932">XLOOKUP($A932,Facebook_reach_raw!$A$4:$A1000,Facebook_reach_raw!$B$4:$B1000)</f>
        <v>#N/A</v>
      </c>
    </row>
    <row r="933">
      <c r="A933" s="30" t="str">
        <f>Facebook_reach_raw!$A935</f>
        <v/>
      </c>
      <c r="B933" s="29" t="str">
        <f>Facebook_interactions_raw!$A935</f>
        <v/>
      </c>
      <c r="C933" s="26" t="str">
        <f t="shared" si="1"/>
        <v/>
      </c>
      <c r="D933" s="26" t="str">
        <f t="array" ref="D933">XLOOKUP($A933,Facebook_follows_raw!$A$4:$A1000,Facebook_follows_raw!$B$4:$B1000)</f>
        <v>#N/A</v>
      </c>
      <c r="E933" s="26" t="str">
        <f t="array" ref="E933">XLOOKUP($A933,Facebook_interactions_raw!$A$4:$A1000,Facebook_interactions_raw!$B$4:$B1000)</f>
        <v>#N/A</v>
      </c>
      <c r="F933" s="26" t="str">
        <f t="array" ref="F933">XLOOKUP($A933,Facebook_reach_raw!$A$4:$A1000,Facebook_reach_raw!$B$4:$B1000)</f>
        <v>#N/A</v>
      </c>
    </row>
    <row r="934">
      <c r="A934" s="30" t="str">
        <f>Facebook_reach_raw!$A936</f>
        <v/>
      </c>
      <c r="B934" s="29" t="str">
        <f>Facebook_interactions_raw!$A936</f>
        <v/>
      </c>
      <c r="C934" s="26" t="str">
        <f t="shared" si="1"/>
        <v/>
      </c>
      <c r="D934" s="26" t="str">
        <f t="array" ref="D934">XLOOKUP($A934,Facebook_follows_raw!$A$4:$A1000,Facebook_follows_raw!$B$4:$B1000)</f>
        <v>#N/A</v>
      </c>
      <c r="E934" s="26" t="str">
        <f t="array" ref="E934">XLOOKUP($A934,Facebook_interactions_raw!$A$4:$A1000,Facebook_interactions_raw!$B$4:$B1000)</f>
        <v>#N/A</v>
      </c>
      <c r="F934" s="26" t="str">
        <f t="array" ref="F934">XLOOKUP($A934,Facebook_reach_raw!$A$4:$A1000,Facebook_reach_raw!$B$4:$B1000)</f>
        <v>#N/A</v>
      </c>
    </row>
    <row r="935">
      <c r="A935" s="30" t="str">
        <f>Facebook_reach_raw!$A937</f>
        <v/>
      </c>
      <c r="B935" s="29" t="str">
        <f>Facebook_interactions_raw!$A937</f>
        <v/>
      </c>
      <c r="C935" s="26" t="str">
        <f t="shared" si="1"/>
        <v/>
      </c>
      <c r="D935" s="26" t="str">
        <f t="array" ref="D935">XLOOKUP($A935,Facebook_follows_raw!$A$4:$A1000,Facebook_follows_raw!$B$4:$B1000)</f>
        <v>#N/A</v>
      </c>
      <c r="E935" s="26" t="str">
        <f t="array" ref="E935">XLOOKUP($A935,Facebook_interactions_raw!$A$4:$A1000,Facebook_interactions_raw!$B$4:$B1000)</f>
        <v>#N/A</v>
      </c>
      <c r="F935" s="26" t="str">
        <f t="array" ref="F935">XLOOKUP($A935,Facebook_reach_raw!$A$4:$A1000,Facebook_reach_raw!$B$4:$B1000)</f>
        <v>#N/A</v>
      </c>
    </row>
    <row r="936">
      <c r="A936" s="30" t="str">
        <f>Facebook_reach_raw!$A938</f>
        <v/>
      </c>
      <c r="B936" s="29" t="str">
        <f>Facebook_interactions_raw!$A938</f>
        <v/>
      </c>
      <c r="C936" s="26" t="str">
        <f t="shared" si="1"/>
        <v/>
      </c>
      <c r="D936" s="26" t="str">
        <f t="array" ref="D936">XLOOKUP($A936,Facebook_follows_raw!$A$4:$A1000,Facebook_follows_raw!$B$4:$B1000)</f>
        <v>#N/A</v>
      </c>
      <c r="E936" s="26" t="str">
        <f t="array" ref="E936">XLOOKUP($A936,Facebook_interactions_raw!$A$4:$A1000,Facebook_interactions_raw!$B$4:$B1000)</f>
        <v>#N/A</v>
      </c>
      <c r="F936" s="26" t="str">
        <f t="array" ref="F936">XLOOKUP($A936,Facebook_reach_raw!$A$4:$A1000,Facebook_reach_raw!$B$4:$B1000)</f>
        <v>#N/A</v>
      </c>
    </row>
    <row r="937">
      <c r="A937" s="30" t="str">
        <f>Facebook_reach_raw!$A939</f>
        <v/>
      </c>
      <c r="B937" s="29" t="str">
        <f>Facebook_interactions_raw!$A939</f>
        <v/>
      </c>
      <c r="C937" s="26" t="str">
        <f t="shared" si="1"/>
        <v/>
      </c>
      <c r="D937" s="26" t="str">
        <f t="array" ref="D937">XLOOKUP($A937,Facebook_follows_raw!$A$4:$A1000,Facebook_follows_raw!$B$4:$B1000)</f>
        <v>#N/A</v>
      </c>
      <c r="E937" s="26" t="str">
        <f t="array" ref="E937">XLOOKUP($A937,Facebook_interactions_raw!$A$4:$A1000,Facebook_interactions_raw!$B$4:$B1000)</f>
        <v>#N/A</v>
      </c>
      <c r="F937" s="26" t="str">
        <f t="array" ref="F937">XLOOKUP($A937,Facebook_reach_raw!$A$4:$A1000,Facebook_reach_raw!$B$4:$B1000)</f>
        <v>#N/A</v>
      </c>
    </row>
    <row r="938">
      <c r="A938" s="30" t="str">
        <f>Facebook_reach_raw!$A940</f>
        <v/>
      </c>
      <c r="B938" s="29" t="str">
        <f>Facebook_interactions_raw!$A940</f>
        <v/>
      </c>
      <c r="C938" s="26" t="str">
        <f t="shared" si="1"/>
        <v/>
      </c>
      <c r="D938" s="26" t="str">
        <f t="array" ref="D938">XLOOKUP($A938,Facebook_follows_raw!$A$4:$A1000,Facebook_follows_raw!$B$4:$B1000)</f>
        <v>#N/A</v>
      </c>
      <c r="E938" s="26" t="str">
        <f t="array" ref="E938">XLOOKUP($A938,Facebook_interactions_raw!$A$4:$A1000,Facebook_interactions_raw!$B$4:$B1000)</f>
        <v>#N/A</v>
      </c>
      <c r="F938" s="26" t="str">
        <f t="array" ref="F938">XLOOKUP($A938,Facebook_reach_raw!$A$4:$A1000,Facebook_reach_raw!$B$4:$B1000)</f>
        <v>#N/A</v>
      </c>
    </row>
    <row r="939">
      <c r="A939" s="30" t="str">
        <f>Facebook_reach_raw!$A941</f>
        <v/>
      </c>
      <c r="B939" s="29" t="str">
        <f>Facebook_interactions_raw!$A941</f>
        <v/>
      </c>
      <c r="C939" s="26" t="str">
        <f t="shared" si="1"/>
        <v/>
      </c>
      <c r="D939" s="26" t="str">
        <f t="array" ref="D939">XLOOKUP($A939,Facebook_follows_raw!$A$4:$A1000,Facebook_follows_raw!$B$4:$B1000)</f>
        <v>#N/A</v>
      </c>
      <c r="E939" s="26" t="str">
        <f t="array" ref="E939">XLOOKUP($A939,Facebook_interactions_raw!$A$4:$A1000,Facebook_interactions_raw!$B$4:$B1000)</f>
        <v>#N/A</v>
      </c>
      <c r="F939" s="26" t="str">
        <f t="array" ref="F939">XLOOKUP($A939,Facebook_reach_raw!$A$4:$A1000,Facebook_reach_raw!$B$4:$B1000)</f>
        <v>#N/A</v>
      </c>
    </row>
    <row r="940">
      <c r="A940" s="30" t="str">
        <f>Facebook_reach_raw!$A942</f>
        <v/>
      </c>
      <c r="B940" s="29" t="str">
        <f>Facebook_interactions_raw!$A942</f>
        <v/>
      </c>
      <c r="C940" s="26" t="str">
        <f t="shared" si="1"/>
        <v/>
      </c>
      <c r="D940" s="26" t="str">
        <f t="array" ref="D940">XLOOKUP($A940,Facebook_follows_raw!$A$4:$A1000,Facebook_follows_raw!$B$4:$B1000)</f>
        <v>#N/A</v>
      </c>
      <c r="E940" s="26" t="str">
        <f t="array" ref="E940">XLOOKUP($A940,Facebook_interactions_raw!$A$4:$A1000,Facebook_interactions_raw!$B$4:$B1000)</f>
        <v>#N/A</v>
      </c>
      <c r="F940" s="26" t="str">
        <f t="array" ref="F940">XLOOKUP($A940,Facebook_reach_raw!$A$4:$A1000,Facebook_reach_raw!$B$4:$B1000)</f>
        <v>#N/A</v>
      </c>
    </row>
    <row r="941">
      <c r="A941" s="30" t="str">
        <f>Facebook_reach_raw!$A943</f>
        <v/>
      </c>
      <c r="B941" s="29" t="str">
        <f>Facebook_interactions_raw!$A943</f>
        <v/>
      </c>
      <c r="C941" s="26" t="str">
        <f t="shared" si="1"/>
        <v/>
      </c>
      <c r="D941" s="26" t="str">
        <f t="array" ref="D941">XLOOKUP($A941,Facebook_follows_raw!$A$4:$A1000,Facebook_follows_raw!$B$4:$B1000)</f>
        <v>#N/A</v>
      </c>
      <c r="E941" s="26" t="str">
        <f t="array" ref="E941">XLOOKUP($A941,Facebook_interactions_raw!$A$4:$A1000,Facebook_interactions_raw!$B$4:$B1000)</f>
        <v>#N/A</v>
      </c>
      <c r="F941" s="26" t="str">
        <f t="array" ref="F941">XLOOKUP($A941,Facebook_reach_raw!$A$4:$A1000,Facebook_reach_raw!$B$4:$B1000)</f>
        <v>#N/A</v>
      </c>
    </row>
    <row r="942">
      <c r="A942" s="30" t="str">
        <f>Facebook_reach_raw!$A944</f>
        <v/>
      </c>
      <c r="B942" s="29" t="str">
        <f>Facebook_interactions_raw!$A944</f>
        <v/>
      </c>
      <c r="C942" s="26" t="str">
        <f t="shared" si="1"/>
        <v/>
      </c>
      <c r="D942" s="26" t="str">
        <f t="array" ref="D942">XLOOKUP($A942,Facebook_follows_raw!$A$4:$A1000,Facebook_follows_raw!$B$4:$B1000)</f>
        <v>#N/A</v>
      </c>
      <c r="E942" s="26" t="str">
        <f t="array" ref="E942">XLOOKUP($A942,Facebook_interactions_raw!$A$4:$A1000,Facebook_interactions_raw!$B$4:$B1000)</f>
        <v>#N/A</v>
      </c>
      <c r="F942" s="26" t="str">
        <f t="array" ref="F942">XLOOKUP($A942,Facebook_reach_raw!$A$4:$A1000,Facebook_reach_raw!$B$4:$B1000)</f>
        <v>#N/A</v>
      </c>
    </row>
    <row r="943">
      <c r="A943" s="30" t="str">
        <f>Facebook_reach_raw!$A945</f>
        <v/>
      </c>
      <c r="B943" s="29" t="str">
        <f>Facebook_interactions_raw!$A945</f>
        <v/>
      </c>
      <c r="C943" s="26" t="str">
        <f t="shared" si="1"/>
        <v/>
      </c>
      <c r="D943" s="26" t="str">
        <f t="array" ref="D943">XLOOKUP($A943,Facebook_follows_raw!$A$4:$A1000,Facebook_follows_raw!$B$4:$B1000)</f>
        <v>#N/A</v>
      </c>
      <c r="E943" s="26" t="str">
        <f t="array" ref="E943">XLOOKUP($A943,Facebook_interactions_raw!$A$4:$A1000,Facebook_interactions_raw!$B$4:$B1000)</f>
        <v>#N/A</v>
      </c>
      <c r="F943" s="26" t="str">
        <f t="array" ref="F943">XLOOKUP($A943,Facebook_reach_raw!$A$4:$A1000,Facebook_reach_raw!$B$4:$B1000)</f>
        <v>#N/A</v>
      </c>
    </row>
    <row r="944">
      <c r="A944" s="30" t="str">
        <f>Facebook_reach_raw!$A946</f>
        <v/>
      </c>
      <c r="B944" s="29" t="str">
        <f>Facebook_interactions_raw!$A946</f>
        <v/>
      </c>
      <c r="C944" s="26" t="str">
        <f t="shared" si="1"/>
        <v/>
      </c>
      <c r="D944" s="26" t="str">
        <f t="array" ref="D944">XLOOKUP($A944,Facebook_follows_raw!$A$4:$A1000,Facebook_follows_raw!$B$4:$B1000)</f>
        <v>#N/A</v>
      </c>
      <c r="E944" s="26" t="str">
        <f t="array" ref="E944">XLOOKUP($A944,Facebook_interactions_raw!$A$4:$A1000,Facebook_interactions_raw!$B$4:$B1000)</f>
        <v>#N/A</v>
      </c>
      <c r="F944" s="26" t="str">
        <f t="array" ref="F944">XLOOKUP($A944,Facebook_reach_raw!$A$4:$A1000,Facebook_reach_raw!$B$4:$B1000)</f>
        <v>#N/A</v>
      </c>
    </row>
    <row r="945">
      <c r="A945" s="30" t="str">
        <f>Facebook_reach_raw!$A947</f>
        <v/>
      </c>
      <c r="B945" s="29" t="str">
        <f>Facebook_interactions_raw!$A947</f>
        <v/>
      </c>
      <c r="C945" s="26" t="str">
        <f t="shared" si="1"/>
        <v/>
      </c>
      <c r="D945" s="26" t="str">
        <f t="array" ref="D945">XLOOKUP($A945,Facebook_follows_raw!$A$4:$A1000,Facebook_follows_raw!$B$4:$B1000)</f>
        <v>#N/A</v>
      </c>
      <c r="E945" s="26" t="str">
        <f t="array" ref="E945">XLOOKUP($A945,Facebook_interactions_raw!$A$4:$A1000,Facebook_interactions_raw!$B$4:$B1000)</f>
        <v>#N/A</v>
      </c>
      <c r="F945" s="26" t="str">
        <f t="array" ref="F945">XLOOKUP($A945,Facebook_reach_raw!$A$4:$A1000,Facebook_reach_raw!$B$4:$B1000)</f>
        <v>#N/A</v>
      </c>
    </row>
    <row r="946">
      <c r="A946" s="30" t="str">
        <f>Facebook_reach_raw!$A948</f>
        <v/>
      </c>
      <c r="B946" s="29" t="str">
        <f>Facebook_interactions_raw!$A948</f>
        <v/>
      </c>
      <c r="C946" s="26" t="str">
        <f t="shared" si="1"/>
        <v/>
      </c>
      <c r="D946" s="26" t="str">
        <f t="array" ref="D946">XLOOKUP($A946,Facebook_follows_raw!$A$4:$A1000,Facebook_follows_raw!$B$4:$B1000)</f>
        <v>#N/A</v>
      </c>
      <c r="E946" s="26" t="str">
        <f t="array" ref="E946">XLOOKUP($A946,Facebook_interactions_raw!$A$4:$A1000,Facebook_interactions_raw!$B$4:$B1000)</f>
        <v>#N/A</v>
      </c>
      <c r="F946" s="26" t="str">
        <f t="array" ref="F946">XLOOKUP($A946,Facebook_reach_raw!$A$4:$A1000,Facebook_reach_raw!$B$4:$B1000)</f>
        <v>#N/A</v>
      </c>
    </row>
    <row r="947">
      <c r="A947" s="30" t="str">
        <f>Facebook_reach_raw!$A949</f>
        <v/>
      </c>
      <c r="B947" s="29" t="str">
        <f>Facebook_interactions_raw!$A949</f>
        <v/>
      </c>
      <c r="C947" s="26" t="str">
        <f t="shared" si="1"/>
        <v/>
      </c>
      <c r="D947" s="26" t="str">
        <f t="array" ref="D947">XLOOKUP($A947,Facebook_follows_raw!$A$4:$A1000,Facebook_follows_raw!$B$4:$B1000)</f>
        <v>#N/A</v>
      </c>
      <c r="E947" s="26" t="str">
        <f t="array" ref="E947">XLOOKUP($A947,Facebook_interactions_raw!$A$4:$A1000,Facebook_interactions_raw!$B$4:$B1000)</f>
        <v>#N/A</v>
      </c>
      <c r="F947" s="26" t="str">
        <f t="array" ref="F947">XLOOKUP($A947,Facebook_reach_raw!$A$4:$A1000,Facebook_reach_raw!$B$4:$B1000)</f>
        <v>#N/A</v>
      </c>
    </row>
    <row r="948">
      <c r="A948" s="30" t="str">
        <f>Facebook_reach_raw!$A950</f>
        <v/>
      </c>
      <c r="B948" s="29" t="str">
        <f>Facebook_interactions_raw!$A950</f>
        <v/>
      </c>
      <c r="C948" s="26" t="str">
        <f t="shared" si="1"/>
        <v/>
      </c>
      <c r="D948" s="26" t="str">
        <f t="array" ref="D948">XLOOKUP($A948,Facebook_follows_raw!$A$4:$A1000,Facebook_follows_raw!$B$4:$B1000)</f>
        <v>#N/A</v>
      </c>
      <c r="E948" s="26" t="str">
        <f t="array" ref="E948">XLOOKUP($A948,Facebook_interactions_raw!$A$4:$A1000,Facebook_interactions_raw!$B$4:$B1000)</f>
        <v>#N/A</v>
      </c>
      <c r="F948" s="26" t="str">
        <f t="array" ref="F948">XLOOKUP($A948,Facebook_reach_raw!$A$4:$A1000,Facebook_reach_raw!$B$4:$B1000)</f>
        <v>#N/A</v>
      </c>
    </row>
    <row r="949">
      <c r="A949" s="30" t="str">
        <f>Facebook_reach_raw!$A951</f>
        <v/>
      </c>
      <c r="B949" s="29" t="str">
        <f>Facebook_interactions_raw!$A951</f>
        <v/>
      </c>
      <c r="C949" s="26" t="str">
        <f t="shared" si="1"/>
        <v/>
      </c>
      <c r="D949" s="26" t="str">
        <f t="array" ref="D949">XLOOKUP($A949,Facebook_follows_raw!$A$4:$A1000,Facebook_follows_raw!$B$4:$B1000)</f>
        <v>#N/A</v>
      </c>
      <c r="E949" s="26" t="str">
        <f t="array" ref="E949">XLOOKUP($A949,Facebook_interactions_raw!$A$4:$A1000,Facebook_interactions_raw!$B$4:$B1000)</f>
        <v>#N/A</v>
      </c>
      <c r="F949" s="26" t="str">
        <f t="array" ref="F949">XLOOKUP($A949,Facebook_reach_raw!$A$4:$A1000,Facebook_reach_raw!$B$4:$B1000)</f>
        <v>#N/A</v>
      </c>
    </row>
    <row r="950">
      <c r="A950" s="30" t="str">
        <f>Facebook_reach_raw!$A952</f>
        <v/>
      </c>
      <c r="B950" s="29" t="str">
        <f>Facebook_interactions_raw!$A952</f>
        <v/>
      </c>
      <c r="C950" s="26" t="str">
        <f t="shared" si="1"/>
        <v/>
      </c>
      <c r="D950" s="26" t="str">
        <f t="array" ref="D950">XLOOKUP($A950,Facebook_follows_raw!$A$4:$A1000,Facebook_follows_raw!$B$4:$B1000)</f>
        <v>#N/A</v>
      </c>
      <c r="E950" s="26" t="str">
        <f t="array" ref="E950">XLOOKUP($A950,Facebook_interactions_raw!$A$4:$A1000,Facebook_interactions_raw!$B$4:$B1000)</f>
        <v>#N/A</v>
      </c>
      <c r="F950" s="26" t="str">
        <f t="array" ref="F950">XLOOKUP($A950,Facebook_reach_raw!$A$4:$A1000,Facebook_reach_raw!$B$4:$B1000)</f>
        <v>#N/A</v>
      </c>
    </row>
    <row r="951">
      <c r="A951" s="30" t="str">
        <f>Facebook_reach_raw!$A953</f>
        <v/>
      </c>
      <c r="B951" s="29" t="str">
        <f>Facebook_interactions_raw!$A953</f>
        <v/>
      </c>
      <c r="C951" s="26" t="str">
        <f t="shared" si="1"/>
        <v/>
      </c>
      <c r="D951" s="26" t="str">
        <f t="array" ref="D951">XLOOKUP($A951,Facebook_follows_raw!$A$4:$A1000,Facebook_follows_raw!$B$4:$B1000)</f>
        <v>#N/A</v>
      </c>
      <c r="E951" s="26" t="str">
        <f t="array" ref="E951">XLOOKUP($A951,Facebook_interactions_raw!$A$4:$A1000,Facebook_interactions_raw!$B$4:$B1000)</f>
        <v>#N/A</v>
      </c>
      <c r="F951" s="26" t="str">
        <f t="array" ref="F951">XLOOKUP($A951,Facebook_reach_raw!$A$4:$A1000,Facebook_reach_raw!$B$4:$B1000)</f>
        <v>#N/A</v>
      </c>
    </row>
    <row r="952">
      <c r="A952" s="30" t="str">
        <f>Facebook_reach_raw!$A954</f>
        <v/>
      </c>
      <c r="B952" s="29" t="str">
        <f>Facebook_interactions_raw!$A954</f>
        <v/>
      </c>
      <c r="C952" s="26" t="str">
        <f t="shared" si="1"/>
        <v/>
      </c>
      <c r="D952" s="26" t="str">
        <f t="array" ref="D952">XLOOKUP($A952,Facebook_follows_raw!$A$4:$A1000,Facebook_follows_raw!$B$4:$B1000)</f>
        <v>#N/A</v>
      </c>
      <c r="E952" s="26" t="str">
        <f t="array" ref="E952">XLOOKUP($A952,Facebook_interactions_raw!$A$4:$A1000,Facebook_interactions_raw!$B$4:$B1000)</f>
        <v>#N/A</v>
      </c>
      <c r="F952" s="26" t="str">
        <f t="array" ref="F952">XLOOKUP($A952,Facebook_reach_raw!$A$4:$A1000,Facebook_reach_raw!$B$4:$B1000)</f>
        <v>#N/A</v>
      </c>
    </row>
    <row r="953">
      <c r="A953" s="30" t="str">
        <f>Facebook_reach_raw!$A955</f>
        <v/>
      </c>
      <c r="B953" s="29" t="str">
        <f>Facebook_interactions_raw!$A955</f>
        <v/>
      </c>
      <c r="C953" s="26" t="str">
        <f t="shared" si="1"/>
        <v/>
      </c>
      <c r="D953" s="26" t="str">
        <f t="array" ref="D953">XLOOKUP($A953,Facebook_follows_raw!$A$4:$A1000,Facebook_follows_raw!$B$4:$B1000)</f>
        <v>#N/A</v>
      </c>
      <c r="E953" s="26" t="str">
        <f t="array" ref="E953">XLOOKUP($A953,Facebook_interactions_raw!$A$4:$A1000,Facebook_interactions_raw!$B$4:$B1000)</f>
        <v>#N/A</v>
      </c>
      <c r="F953" s="26" t="str">
        <f t="array" ref="F953">XLOOKUP($A953,Facebook_reach_raw!$A$4:$A1000,Facebook_reach_raw!$B$4:$B1000)</f>
        <v>#N/A</v>
      </c>
    </row>
    <row r="954">
      <c r="A954" s="30" t="str">
        <f>Facebook_reach_raw!$A956</f>
        <v/>
      </c>
      <c r="B954" s="29" t="str">
        <f>Facebook_interactions_raw!$A956</f>
        <v/>
      </c>
      <c r="C954" s="26" t="str">
        <f t="shared" si="1"/>
        <v/>
      </c>
      <c r="D954" s="26" t="str">
        <f t="array" ref="D954">XLOOKUP($A954,Facebook_follows_raw!$A$4:$A1000,Facebook_follows_raw!$B$4:$B1000)</f>
        <v>#N/A</v>
      </c>
      <c r="E954" s="26" t="str">
        <f t="array" ref="E954">XLOOKUP($A954,Facebook_interactions_raw!$A$4:$A1000,Facebook_interactions_raw!$B$4:$B1000)</f>
        <v>#N/A</v>
      </c>
      <c r="F954" s="26" t="str">
        <f t="array" ref="F954">XLOOKUP($A954,Facebook_reach_raw!$A$4:$A1000,Facebook_reach_raw!$B$4:$B1000)</f>
        <v>#N/A</v>
      </c>
    </row>
    <row r="955">
      <c r="A955" s="30" t="str">
        <f>Facebook_reach_raw!$A957</f>
        <v/>
      </c>
      <c r="B955" s="29" t="str">
        <f>Facebook_interactions_raw!$A957</f>
        <v/>
      </c>
      <c r="C955" s="26" t="str">
        <f t="shared" si="1"/>
        <v/>
      </c>
      <c r="D955" s="26" t="str">
        <f t="array" ref="D955">XLOOKUP($A955,Facebook_follows_raw!$A$4:$A1000,Facebook_follows_raw!$B$4:$B1000)</f>
        <v>#N/A</v>
      </c>
      <c r="E955" s="26" t="str">
        <f t="array" ref="E955">XLOOKUP($A955,Facebook_interactions_raw!$A$4:$A1000,Facebook_interactions_raw!$B$4:$B1000)</f>
        <v>#N/A</v>
      </c>
      <c r="F955" s="26" t="str">
        <f t="array" ref="F955">XLOOKUP($A955,Facebook_reach_raw!$A$4:$A1000,Facebook_reach_raw!$B$4:$B1000)</f>
        <v>#N/A</v>
      </c>
    </row>
    <row r="956">
      <c r="A956" s="30" t="str">
        <f>Facebook_reach_raw!$A958</f>
        <v/>
      </c>
      <c r="B956" s="29" t="str">
        <f>Facebook_interactions_raw!$A958</f>
        <v/>
      </c>
      <c r="C956" s="26" t="str">
        <f t="shared" si="1"/>
        <v/>
      </c>
      <c r="D956" s="26" t="str">
        <f t="array" ref="D956">XLOOKUP($A956,Facebook_follows_raw!$A$4:$A1000,Facebook_follows_raw!$B$4:$B1000)</f>
        <v>#N/A</v>
      </c>
      <c r="E956" s="26" t="str">
        <f t="array" ref="E956">XLOOKUP($A956,Facebook_interactions_raw!$A$4:$A1000,Facebook_interactions_raw!$B$4:$B1000)</f>
        <v>#N/A</v>
      </c>
      <c r="F956" s="26" t="str">
        <f t="array" ref="F956">XLOOKUP($A956,Facebook_reach_raw!$A$4:$A1000,Facebook_reach_raw!$B$4:$B1000)</f>
        <v>#N/A</v>
      </c>
    </row>
    <row r="957">
      <c r="A957" s="30" t="str">
        <f>Facebook_reach_raw!$A959</f>
        <v/>
      </c>
      <c r="B957" s="29" t="str">
        <f>Facebook_interactions_raw!$A959</f>
        <v/>
      </c>
      <c r="C957" s="26" t="str">
        <f t="shared" si="1"/>
        <v/>
      </c>
      <c r="D957" s="26" t="str">
        <f t="array" ref="D957">XLOOKUP($A957,Facebook_follows_raw!$A$4:$A1000,Facebook_follows_raw!$B$4:$B1000)</f>
        <v>#N/A</v>
      </c>
      <c r="E957" s="26" t="str">
        <f t="array" ref="E957">XLOOKUP($A957,Facebook_interactions_raw!$A$4:$A1000,Facebook_interactions_raw!$B$4:$B1000)</f>
        <v>#N/A</v>
      </c>
      <c r="F957" s="26" t="str">
        <f t="array" ref="F957">XLOOKUP($A957,Facebook_reach_raw!$A$4:$A1000,Facebook_reach_raw!$B$4:$B1000)</f>
        <v>#N/A</v>
      </c>
    </row>
    <row r="958">
      <c r="A958" s="30" t="str">
        <f>Facebook_reach_raw!$A960</f>
        <v/>
      </c>
      <c r="B958" s="29" t="str">
        <f>Facebook_interactions_raw!$A960</f>
        <v/>
      </c>
      <c r="C958" s="26" t="str">
        <f t="shared" si="1"/>
        <v/>
      </c>
      <c r="D958" s="26" t="str">
        <f t="array" ref="D958">XLOOKUP($A958,Facebook_follows_raw!$A$4:$A1000,Facebook_follows_raw!$B$4:$B1000)</f>
        <v>#N/A</v>
      </c>
      <c r="E958" s="26" t="str">
        <f t="array" ref="E958">XLOOKUP($A958,Facebook_interactions_raw!$A$4:$A1000,Facebook_interactions_raw!$B$4:$B1000)</f>
        <v>#N/A</v>
      </c>
      <c r="F958" s="26" t="str">
        <f t="array" ref="F958">XLOOKUP($A958,Facebook_reach_raw!$A$4:$A1000,Facebook_reach_raw!$B$4:$B1000)</f>
        <v>#N/A</v>
      </c>
    </row>
    <row r="959">
      <c r="A959" s="30" t="str">
        <f>Facebook_reach_raw!$A961</f>
        <v/>
      </c>
      <c r="B959" s="29" t="str">
        <f>Facebook_interactions_raw!$A961</f>
        <v/>
      </c>
      <c r="C959" s="26" t="str">
        <f t="shared" si="1"/>
        <v/>
      </c>
      <c r="D959" s="26" t="str">
        <f t="array" ref="D959">XLOOKUP($A959,Facebook_follows_raw!$A$4:$A1000,Facebook_follows_raw!$B$4:$B1000)</f>
        <v>#N/A</v>
      </c>
      <c r="E959" s="26" t="str">
        <f t="array" ref="E959">XLOOKUP($A959,Facebook_interactions_raw!$A$4:$A1000,Facebook_interactions_raw!$B$4:$B1000)</f>
        <v>#N/A</v>
      </c>
      <c r="F959" s="26" t="str">
        <f t="array" ref="F959">XLOOKUP($A959,Facebook_reach_raw!$A$4:$A1000,Facebook_reach_raw!$B$4:$B1000)</f>
        <v>#N/A</v>
      </c>
    </row>
    <row r="960">
      <c r="A960" s="30" t="str">
        <f>Facebook_reach_raw!$A962</f>
        <v/>
      </c>
      <c r="B960" s="29" t="str">
        <f>Facebook_interactions_raw!$A962</f>
        <v/>
      </c>
      <c r="C960" s="26" t="str">
        <f t="shared" si="1"/>
        <v/>
      </c>
      <c r="D960" s="26" t="str">
        <f t="array" ref="D960">XLOOKUP($A960,Facebook_follows_raw!$A$4:$A1000,Facebook_follows_raw!$B$4:$B1000)</f>
        <v>#N/A</v>
      </c>
      <c r="E960" s="26" t="str">
        <f t="array" ref="E960">XLOOKUP($A960,Facebook_interactions_raw!$A$4:$A1000,Facebook_interactions_raw!$B$4:$B1000)</f>
        <v>#N/A</v>
      </c>
      <c r="F960" s="26" t="str">
        <f t="array" ref="F960">XLOOKUP($A960,Facebook_reach_raw!$A$4:$A1000,Facebook_reach_raw!$B$4:$B1000)</f>
        <v>#N/A</v>
      </c>
    </row>
    <row r="961">
      <c r="A961" s="30" t="str">
        <f>Facebook_reach_raw!$A963</f>
        <v/>
      </c>
      <c r="B961" s="29" t="str">
        <f>Facebook_interactions_raw!$A963</f>
        <v/>
      </c>
      <c r="C961" s="26" t="str">
        <f t="shared" si="1"/>
        <v/>
      </c>
      <c r="D961" s="26" t="str">
        <f t="array" ref="D961">XLOOKUP($A961,Facebook_follows_raw!$A$4:$A1000,Facebook_follows_raw!$B$4:$B1000)</f>
        <v>#N/A</v>
      </c>
      <c r="E961" s="26" t="str">
        <f t="array" ref="E961">XLOOKUP($A961,Facebook_interactions_raw!$A$4:$A1000,Facebook_interactions_raw!$B$4:$B1000)</f>
        <v>#N/A</v>
      </c>
      <c r="F961" s="26" t="str">
        <f t="array" ref="F961">XLOOKUP($A961,Facebook_reach_raw!$A$4:$A1000,Facebook_reach_raw!$B$4:$B1000)</f>
        <v>#N/A</v>
      </c>
    </row>
    <row r="962">
      <c r="A962" s="30" t="str">
        <f>Facebook_reach_raw!$A964</f>
        <v/>
      </c>
      <c r="B962" s="29" t="str">
        <f>Facebook_interactions_raw!$A964</f>
        <v/>
      </c>
      <c r="C962" s="26" t="str">
        <f t="shared" si="1"/>
        <v/>
      </c>
      <c r="D962" s="26" t="str">
        <f t="array" ref="D962">XLOOKUP($A962,Facebook_follows_raw!$A$4:$A1000,Facebook_follows_raw!$B$4:$B1000)</f>
        <v>#N/A</v>
      </c>
      <c r="E962" s="26" t="str">
        <f t="array" ref="E962">XLOOKUP($A962,Facebook_interactions_raw!$A$4:$A1000,Facebook_interactions_raw!$B$4:$B1000)</f>
        <v>#N/A</v>
      </c>
      <c r="F962" s="26" t="str">
        <f t="array" ref="F962">XLOOKUP($A962,Facebook_reach_raw!$A$4:$A1000,Facebook_reach_raw!$B$4:$B1000)</f>
        <v>#N/A</v>
      </c>
    </row>
    <row r="963">
      <c r="A963" s="30" t="str">
        <f>Facebook_reach_raw!$A965</f>
        <v/>
      </c>
      <c r="B963" s="29" t="str">
        <f>Facebook_interactions_raw!$A965</f>
        <v/>
      </c>
      <c r="C963" s="26" t="str">
        <f t="shared" si="1"/>
        <v/>
      </c>
      <c r="D963" s="26" t="str">
        <f t="array" ref="D963">XLOOKUP($A963,Facebook_follows_raw!$A$4:$A1000,Facebook_follows_raw!$B$4:$B1000)</f>
        <v>#N/A</v>
      </c>
      <c r="E963" s="26" t="str">
        <f t="array" ref="E963">XLOOKUP($A963,Facebook_interactions_raw!$A$4:$A1000,Facebook_interactions_raw!$B$4:$B1000)</f>
        <v>#N/A</v>
      </c>
      <c r="F963" s="26" t="str">
        <f t="array" ref="F963">XLOOKUP($A963,Facebook_reach_raw!$A$4:$A1000,Facebook_reach_raw!$B$4:$B1000)</f>
        <v>#N/A</v>
      </c>
    </row>
    <row r="964">
      <c r="A964" s="30" t="str">
        <f>Facebook_reach_raw!$A966</f>
        <v/>
      </c>
      <c r="B964" s="29" t="str">
        <f>Facebook_interactions_raw!$A966</f>
        <v/>
      </c>
      <c r="C964" s="26" t="str">
        <f t="shared" si="1"/>
        <v/>
      </c>
      <c r="D964" s="26" t="str">
        <f t="array" ref="D964">XLOOKUP($A964,Facebook_follows_raw!$A$4:$A1000,Facebook_follows_raw!$B$4:$B1000)</f>
        <v>#N/A</v>
      </c>
      <c r="E964" s="26" t="str">
        <f t="array" ref="E964">XLOOKUP($A964,Facebook_interactions_raw!$A$4:$A1000,Facebook_interactions_raw!$B$4:$B1000)</f>
        <v>#N/A</v>
      </c>
      <c r="F964" s="26" t="str">
        <f t="array" ref="F964">XLOOKUP($A964,Facebook_reach_raw!$A$4:$A1000,Facebook_reach_raw!$B$4:$B1000)</f>
        <v>#N/A</v>
      </c>
    </row>
    <row r="965">
      <c r="A965" s="30" t="str">
        <f>Facebook_reach_raw!$A967</f>
        <v/>
      </c>
      <c r="B965" s="29" t="str">
        <f>Facebook_interactions_raw!$A967</f>
        <v/>
      </c>
      <c r="C965" s="26" t="str">
        <f t="shared" si="1"/>
        <v/>
      </c>
      <c r="D965" s="26" t="str">
        <f t="array" ref="D965">XLOOKUP($A965,Facebook_follows_raw!$A$4:$A1000,Facebook_follows_raw!$B$4:$B1000)</f>
        <v>#N/A</v>
      </c>
      <c r="E965" s="26" t="str">
        <f t="array" ref="E965">XLOOKUP($A965,Facebook_interactions_raw!$A$4:$A1000,Facebook_interactions_raw!$B$4:$B1000)</f>
        <v>#N/A</v>
      </c>
      <c r="F965" s="26" t="str">
        <f t="array" ref="F965">XLOOKUP($A965,Facebook_reach_raw!$A$4:$A1000,Facebook_reach_raw!$B$4:$B1000)</f>
        <v>#N/A</v>
      </c>
    </row>
    <row r="966">
      <c r="A966" s="30" t="str">
        <f>Facebook_reach_raw!$A968</f>
        <v/>
      </c>
      <c r="B966" s="29" t="str">
        <f>Facebook_interactions_raw!$A968</f>
        <v/>
      </c>
      <c r="C966" s="26" t="str">
        <f t="shared" si="1"/>
        <v/>
      </c>
      <c r="D966" s="26" t="str">
        <f t="array" ref="D966">XLOOKUP($A966,Facebook_follows_raw!$A$4:$A1000,Facebook_follows_raw!$B$4:$B1000)</f>
        <v>#N/A</v>
      </c>
      <c r="E966" s="26" t="str">
        <f t="array" ref="E966">XLOOKUP($A966,Facebook_interactions_raw!$A$4:$A1000,Facebook_interactions_raw!$B$4:$B1000)</f>
        <v>#N/A</v>
      </c>
      <c r="F966" s="26" t="str">
        <f t="array" ref="F966">XLOOKUP($A966,Facebook_reach_raw!$A$4:$A1000,Facebook_reach_raw!$B$4:$B1000)</f>
        <v>#N/A</v>
      </c>
    </row>
    <row r="967">
      <c r="A967" s="30" t="str">
        <f>Facebook_reach_raw!$A969</f>
        <v/>
      </c>
      <c r="B967" s="29" t="str">
        <f>Facebook_interactions_raw!$A969</f>
        <v/>
      </c>
      <c r="C967" s="26" t="str">
        <f t="shared" si="1"/>
        <v/>
      </c>
      <c r="D967" s="26" t="str">
        <f t="array" ref="D967">XLOOKUP($A967,Facebook_follows_raw!$A$4:$A1000,Facebook_follows_raw!$B$4:$B1000)</f>
        <v>#N/A</v>
      </c>
      <c r="E967" s="26" t="str">
        <f t="array" ref="E967">XLOOKUP($A967,Facebook_interactions_raw!$A$4:$A1000,Facebook_interactions_raw!$B$4:$B1000)</f>
        <v>#N/A</v>
      </c>
      <c r="F967" s="26" t="str">
        <f t="array" ref="F967">XLOOKUP($A967,Facebook_reach_raw!$A$4:$A1000,Facebook_reach_raw!$B$4:$B1000)</f>
        <v>#N/A</v>
      </c>
    </row>
    <row r="968">
      <c r="A968" s="30" t="str">
        <f>Facebook_reach_raw!$A970</f>
        <v/>
      </c>
      <c r="B968" s="29" t="str">
        <f>Facebook_interactions_raw!$A970</f>
        <v/>
      </c>
      <c r="C968" s="26" t="str">
        <f t="shared" si="1"/>
        <v/>
      </c>
      <c r="D968" s="26" t="str">
        <f t="array" ref="D968">XLOOKUP($A968,Facebook_follows_raw!$A$4:$A1000,Facebook_follows_raw!$B$4:$B1000)</f>
        <v>#N/A</v>
      </c>
      <c r="E968" s="26" t="str">
        <f t="array" ref="E968">XLOOKUP($A968,Facebook_interactions_raw!$A$4:$A1000,Facebook_interactions_raw!$B$4:$B1000)</f>
        <v>#N/A</v>
      </c>
      <c r="F968" s="26" t="str">
        <f t="array" ref="F968">XLOOKUP($A968,Facebook_reach_raw!$A$4:$A1000,Facebook_reach_raw!$B$4:$B1000)</f>
        <v>#N/A</v>
      </c>
    </row>
    <row r="969">
      <c r="A969" s="30" t="str">
        <f>Facebook_reach_raw!$A971</f>
        <v/>
      </c>
      <c r="B969" s="29" t="str">
        <f>Facebook_interactions_raw!$A971</f>
        <v/>
      </c>
      <c r="C969" s="26" t="str">
        <f t="shared" si="1"/>
        <v/>
      </c>
      <c r="D969" s="26" t="str">
        <f t="array" ref="D969">XLOOKUP($A969,Facebook_follows_raw!$A$4:$A1000,Facebook_follows_raw!$B$4:$B1000)</f>
        <v>#N/A</v>
      </c>
      <c r="E969" s="26" t="str">
        <f t="array" ref="E969">XLOOKUP($A969,Facebook_interactions_raw!$A$4:$A1000,Facebook_interactions_raw!$B$4:$B1000)</f>
        <v>#N/A</v>
      </c>
      <c r="F969" s="26" t="str">
        <f t="array" ref="F969">XLOOKUP($A969,Facebook_reach_raw!$A$4:$A1000,Facebook_reach_raw!$B$4:$B1000)</f>
        <v>#N/A</v>
      </c>
    </row>
    <row r="970">
      <c r="A970" s="30" t="str">
        <f>Facebook_reach_raw!$A972</f>
        <v/>
      </c>
      <c r="B970" s="29" t="str">
        <f>Facebook_interactions_raw!$A972</f>
        <v/>
      </c>
      <c r="C970" s="26" t="str">
        <f t="shared" si="1"/>
        <v/>
      </c>
      <c r="D970" s="26" t="str">
        <f t="array" ref="D970">XLOOKUP($A970,Facebook_follows_raw!$A$4:$A1000,Facebook_follows_raw!$B$4:$B1000)</f>
        <v>#N/A</v>
      </c>
      <c r="E970" s="26" t="str">
        <f t="array" ref="E970">XLOOKUP($A970,Facebook_interactions_raw!$A$4:$A1000,Facebook_interactions_raw!$B$4:$B1000)</f>
        <v>#N/A</v>
      </c>
      <c r="F970" s="26" t="str">
        <f t="array" ref="F970">XLOOKUP($A970,Facebook_reach_raw!$A$4:$A1000,Facebook_reach_raw!$B$4:$B1000)</f>
        <v>#N/A</v>
      </c>
    </row>
    <row r="971">
      <c r="A971" s="30" t="str">
        <f>Facebook_reach_raw!$A973</f>
        <v/>
      </c>
      <c r="B971" s="29" t="str">
        <f>Facebook_interactions_raw!$A973</f>
        <v/>
      </c>
      <c r="C971" s="26" t="str">
        <f t="shared" si="1"/>
        <v/>
      </c>
      <c r="D971" s="26" t="str">
        <f t="array" ref="D971">XLOOKUP($A971,Facebook_follows_raw!$A$4:$A1000,Facebook_follows_raw!$B$4:$B1000)</f>
        <v>#N/A</v>
      </c>
      <c r="E971" s="26" t="str">
        <f t="array" ref="E971">XLOOKUP($A971,Facebook_interactions_raw!$A$4:$A1000,Facebook_interactions_raw!$B$4:$B1000)</f>
        <v>#N/A</v>
      </c>
      <c r="F971" s="26" t="str">
        <f t="array" ref="F971">XLOOKUP($A971,Facebook_reach_raw!$A$4:$A1000,Facebook_reach_raw!$B$4:$B1000)</f>
        <v>#N/A</v>
      </c>
    </row>
    <row r="972">
      <c r="A972" s="30" t="str">
        <f>Facebook_reach_raw!$A974</f>
        <v/>
      </c>
      <c r="B972" s="29" t="str">
        <f>Facebook_interactions_raw!$A974</f>
        <v/>
      </c>
      <c r="C972" s="26" t="str">
        <f t="shared" si="1"/>
        <v/>
      </c>
      <c r="D972" s="26" t="str">
        <f t="array" ref="D972">XLOOKUP($A972,Facebook_follows_raw!$A$4:$A1000,Facebook_follows_raw!$B$4:$B1000)</f>
        <v>#N/A</v>
      </c>
      <c r="E972" s="26" t="str">
        <f t="array" ref="E972">XLOOKUP($A972,Facebook_interactions_raw!$A$4:$A1000,Facebook_interactions_raw!$B$4:$B1000)</f>
        <v>#N/A</v>
      </c>
      <c r="F972" s="26" t="str">
        <f t="array" ref="F972">XLOOKUP($A972,Facebook_reach_raw!$A$4:$A1000,Facebook_reach_raw!$B$4:$B1000)</f>
        <v>#N/A</v>
      </c>
    </row>
    <row r="973">
      <c r="A973" s="30" t="str">
        <f>Facebook_reach_raw!$A975</f>
        <v/>
      </c>
      <c r="B973" s="29" t="str">
        <f>Facebook_interactions_raw!$A975</f>
        <v/>
      </c>
      <c r="C973" s="26" t="str">
        <f t="shared" si="1"/>
        <v/>
      </c>
      <c r="D973" s="26" t="str">
        <f t="array" ref="D973">XLOOKUP($A973,Facebook_follows_raw!$A$4:$A1000,Facebook_follows_raw!$B$4:$B1000)</f>
        <v>#N/A</v>
      </c>
      <c r="E973" s="26" t="str">
        <f t="array" ref="E973">XLOOKUP($A973,Facebook_interactions_raw!$A$4:$A1000,Facebook_interactions_raw!$B$4:$B1000)</f>
        <v>#N/A</v>
      </c>
      <c r="F973" s="26" t="str">
        <f t="array" ref="F973">XLOOKUP($A973,Facebook_reach_raw!$A$4:$A1000,Facebook_reach_raw!$B$4:$B1000)</f>
        <v>#N/A</v>
      </c>
    </row>
    <row r="974">
      <c r="A974" s="30" t="str">
        <f>Facebook_reach_raw!$A976</f>
        <v/>
      </c>
      <c r="B974" s="29" t="str">
        <f>Facebook_interactions_raw!$A976</f>
        <v/>
      </c>
      <c r="C974" s="26" t="str">
        <f t="shared" si="1"/>
        <v/>
      </c>
      <c r="D974" s="26" t="str">
        <f t="array" ref="D974">XLOOKUP($A974,Facebook_follows_raw!$A$4:$A1000,Facebook_follows_raw!$B$4:$B1000)</f>
        <v>#N/A</v>
      </c>
      <c r="E974" s="26" t="str">
        <f t="array" ref="E974">XLOOKUP($A974,Facebook_interactions_raw!$A$4:$A1000,Facebook_interactions_raw!$B$4:$B1000)</f>
        <v>#N/A</v>
      </c>
      <c r="F974" s="26" t="str">
        <f t="array" ref="F974">XLOOKUP($A974,Facebook_reach_raw!$A$4:$A1000,Facebook_reach_raw!$B$4:$B1000)</f>
        <v>#N/A</v>
      </c>
    </row>
    <row r="975">
      <c r="A975" s="30" t="str">
        <f>Facebook_reach_raw!$A977</f>
        <v/>
      </c>
      <c r="B975" s="29" t="str">
        <f>Facebook_interactions_raw!$A977</f>
        <v/>
      </c>
      <c r="C975" s="26" t="str">
        <f t="shared" si="1"/>
        <v/>
      </c>
      <c r="D975" s="26" t="str">
        <f t="array" ref="D975">XLOOKUP($A975,Facebook_follows_raw!$A$4:$A1000,Facebook_follows_raw!$B$4:$B1000)</f>
        <v>#N/A</v>
      </c>
      <c r="E975" s="26" t="str">
        <f t="array" ref="E975">XLOOKUP($A975,Facebook_interactions_raw!$A$4:$A1000,Facebook_interactions_raw!$B$4:$B1000)</f>
        <v>#N/A</v>
      </c>
      <c r="F975" s="26" t="str">
        <f t="array" ref="F975">XLOOKUP($A975,Facebook_reach_raw!$A$4:$A1000,Facebook_reach_raw!$B$4:$B1000)</f>
        <v>#N/A</v>
      </c>
    </row>
    <row r="976">
      <c r="A976" s="30" t="str">
        <f>Facebook_reach_raw!$A978</f>
        <v/>
      </c>
      <c r="B976" s="29" t="str">
        <f>Facebook_interactions_raw!$A978</f>
        <v/>
      </c>
      <c r="C976" s="26" t="str">
        <f t="shared" si="1"/>
        <v/>
      </c>
      <c r="D976" s="26" t="str">
        <f t="array" ref="D976">XLOOKUP($A976,Facebook_follows_raw!$A$4:$A1000,Facebook_follows_raw!$B$4:$B1000)</f>
        <v>#N/A</v>
      </c>
      <c r="E976" s="26" t="str">
        <f t="array" ref="E976">XLOOKUP($A976,Facebook_interactions_raw!$A$4:$A1000,Facebook_interactions_raw!$B$4:$B1000)</f>
        <v>#N/A</v>
      </c>
      <c r="F976" s="26" t="str">
        <f t="array" ref="F976">XLOOKUP($A976,Facebook_reach_raw!$A$4:$A1000,Facebook_reach_raw!$B$4:$B1000)</f>
        <v>#N/A</v>
      </c>
    </row>
    <row r="977">
      <c r="A977" s="30" t="str">
        <f>Facebook_reach_raw!$A979</f>
        <v/>
      </c>
      <c r="B977" s="29" t="str">
        <f>Facebook_interactions_raw!$A979</f>
        <v/>
      </c>
      <c r="C977" s="26" t="str">
        <f t="shared" si="1"/>
        <v/>
      </c>
      <c r="D977" s="26" t="str">
        <f t="array" ref="D977">XLOOKUP($A977,Facebook_follows_raw!$A$4:$A1000,Facebook_follows_raw!$B$4:$B1000)</f>
        <v>#N/A</v>
      </c>
      <c r="E977" s="26" t="str">
        <f t="array" ref="E977">XLOOKUP($A977,Facebook_interactions_raw!$A$4:$A1000,Facebook_interactions_raw!$B$4:$B1000)</f>
        <v>#N/A</v>
      </c>
      <c r="F977" s="26" t="str">
        <f t="array" ref="F977">XLOOKUP($A977,Facebook_reach_raw!$A$4:$A1000,Facebook_reach_raw!$B$4:$B1000)</f>
        <v>#N/A</v>
      </c>
    </row>
    <row r="978">
      <c r="A978" s="30" t="str">
        <f>Facebook_reach_raw!$A980</f>
        <v/>
      </c>
      <c r="B978" s="29" t="str">
        <f>Facebook_interactions_raw!$A980</f>
        <v/>
      </c>
      <c r="C978" s="26" t="str">
        <f t="shared" si="1"/>
        <v/>
      </c>
      <c r="D978" s="26" t="str">
        <f t="array" ref="D978">XLOOKUP($A978,Facebook_follows_raw!$A$4:$A1000,Facebook_follows_raw!$B$4:$B1000)</f>
        <v>#N/A</v>
      </c>
      <c r="E978" s="26" t="str">
        <f t="array" ref="E978">XLOOKUP($A978,Facebook_interactions_raw!$A$4:$A1000,Facebook_interactions_raw!$B$4:$B1000)</f>
        <v>#N/A</v>
      </c>
      <c r="F978" s="26" t="str">
        <f t="array" ref="F978">XLOOKUP($A978,Facebook_reach_raw!$A$4:$A1000,Facebook_reach_raw!$B$4:$B1000)</f>
        <v>#N/A</v>
      </c>
    </row>
    <row r="979">
      <c r="A979" s="30" t="str">
        <f>Facebook_reach_raw!$A981</f>
        <v/>
      </c>
      <c r="B979" s="29" t="str">
        <f>Facebook_interactions_raw!$A981</f>
        <v/>
      </c>
      <c r="C979" s="26" t="str">
        <f t="shared" si="1"/>
        <v/>
      </c>
      <c r="D979" s="26" t="str">
        <f t="array" ref="D979">XLOOKUP($A979,Facebook_follows_raw!$A$4:$A1000,Facebook_follows_raw!$B$4:$B1000)</f>
        <v>#N/A</v>
      </c>
      <c r="E979" s="26" t="str">
        <f t="array" ref="E979">XLOOKUP($A979,Facebook_interactions_raw!$A$4:$A1000,Facebook_interactions_raw!$B$4:$B1000)</f>
        <v>#N/A</v>
      </c>
      <c r="F979" s="26" t="str">
        <f t="array" ref="F979">XLOOKUP($A979,Facebook_reach_raw!$A$4:$A1000,Facebook_reach_raw!$B$4:$B1000)</f>
        <v>#N/A</v>
      </c>
    </row>
    <row r="980">
      <c r="A980" s="30" t="str">
        <f>Facebook_reach_raw!$A982</f>
        <v/>
      </c>
      <c r="B980" s="29" t="str">
        <f>Facebook_interactions_raw!$A982</f>
        <v/>
      </c>
      <c r="C980" s="26" t="str">
        <f t="shared" si="1"/>
        <v/>
      </c>
      <c r="D980" s="26" t="str">
        <f t="array" ref="D980">XLOOKUP($A980,Facebook_follows_raw!$A$4:$A1000,Facebook_follows_raw!$B$4:$B1000)</f>
        <v>#N/A</v>
      </c>
      <c r="E980" s="26" t="str">
        <f t="array" ref="E980">XLOOKUP($A980,Facebook_interactions_raw!$A$4:$A1000,Facebook_interactions_raw!$B$4:$B1000)</f>
        <v>#N/A</v>
      </c>
      <c r="F980" s="26" t="str">
        <f t="array" ref="F980">XLOOKUP($A980,Facebook_reach_raw!$A$4:$A1000,Facebook_reach_raw!$B$4:$B1000)</f>
        <v>#N/A</v>
      </c>
    </row>
    <row r="981">
      <c r="A981" s="30" t="str">
        <f>Facebook_reach_raw!$A983</f>
        <v/>
      </c>
      <c r="B981" s="29" t="str">
        <f>Facebook_interactions_raw!$A983</f>
        <v/>
      </c>
      <c r="C981" s="26" t="str">
        <f t="shared" si="1"/>
        <v/>
      </c>
      <c r="D981" s="26" t="str">
        <f t="array" ref="D981">XLOOKUP($A981,Facebook_follows_raw!$A$4:$A1000,Facebook_follows_raw!$B$4:$B1000)</f>
        <v>#N/A</v>
      </c>
      <c r="E981" s="26" t="str">
        <f t="array" ref="E981">XLOOKUP($A981,Facebook_interactions_raw!$A$4:$A1000,Facebook_interactions_raw!$B$4:$B1000)</f>
        <v>#N/A</v>
      </c>
      <c r="F981" s="26" t="str">
        <f t="array" ref="F981">XLOOKUP($A981,Facebook_reach_raw!$A$4:$A1000,Facebook_reach_raw!$B$4:$B1000)</f>
        <v>#N/A</v>
      </c>
    </row>
    <row r="982">
      <c r="A982" s="30" t="str">
        <f>Facebook_reach_raw!$A984</f>
        <v/>
      </c>
      <c r="B982" s="29" t="str">
        <f>Facebook_interactions_raw!$A984</f>
        <v/>
      </c>
      <c r="C982" s="26" t="str">
        <f t="shared" si="1"/>
        <v/>
      </c>
      <c r="D982" s="26" t="str">
        <f t="array" ref="D982">XLOOKUP($A982,Facebook_follows_raw!$A$4:$A1000,Facebook_follows_raw!$B$4:$B1000)</f>
        <v>#N/A</v>
      </c>
      <c r="E982" s="26" t="str">
        <f t="array" ref="E982">XLOOKUP($A982,Facebook_interactions_raw!$A$4:$A1000,Facebook_interactions_raw!$B$4:$B1000)</f>
        <v>#N/A</v>
      </c>
      <c r="F982" s="26" t="str">
        <f t="array" ref="F982">XLOOKUP($A982,Facebook_reach_raw!$A$4:$A1000,Facebook_reach_raw!$B$4:$B1000)</f>
        <v>#N/A</v>
      </c>
    </row>
    <row r="983">
      <c r="A983" s="30" t="str">
        <f>Facebook_reach_raw!$A985</f>
        <v/>
      </c>
      <c r="B983" s="29" t="str">
        <f>Facebook_interactions_raw!$A985</f>
        <v/>
      </c>
      <c r="C983" s="26" t="str">
        <f t="shared" si="1"/>
        <v/>
      </c>
      <c r="D983" s="26" t="str">
        <f t="array" ref="D983">XLOOKUP($A983,Facebook_follows_raw!$A$4:$A1000,Facebook_follows_raw!$B$4:$B1000)</f>
        <v>#N/A</v>
      </c>
      <c r="E983" s="26" t="str">
        <f t="array" ref="E983">XLOOKUP($A983,Facebook_interactions_raw!$A$4:$A1000,Facebook_interactions_raw!$B$4:$B1000)</f>
        <v>#N/A</v>
      </c>
      <c r="F983" s="26" t="str">
        <f t="array" ref="F983">XLOOKUP($A983,Facebook_reach_raw!$A$4:$A1000,Facebook_reach_raw!$B$4:$B1000)</f>
        <v>#N/A</v>
      </c>
    </row>
    <row r="984">
      <c r="A984" s="30" t="str">
        <f>Facebook_reach_raw!$A986</f>
        <v/>
      </c>
      <c r="B984" s="29" t="str">
        <f>Facebook_interactions_raw!$A986</f>
        <v/>
      </c>
      <c r="C984" s="26" t="str">
        <f t="shared" si="1"/>
        <v/>
      </c>
      <c r="D984" s="26" t="str">
        <f t="array" ref="D984">XLOOKUP($A984,Facebook_follows_raw!$A$4:$A1000,Facebook_follows_raw!$B$4:$B1000)</f>
        <v>#N/A</v>
      </c>
      <c r="E984" s="26" t="str">
        <f t="array" ref="E984">XLOOKUP($A984,Facebook_interactions_raw!$A$4:$A1000,Facebook_interactions_raw!$B$4:$B1000)</f>
        <v>#N/A</v>
      </c>
      <c r="F984" s="26" t="str">
        <f t="array" ref="F984">XLOOKUP($A984,Facebook_reach_raw!$A$4:$A1000,Facebook_reach_raw!$B$4:$B1000)</f>
        <v>#N/A</v>
      </c>
    </row>
    <row r="985">
      <c r="A985" s="30" t="str">
        <f>Facebook_reach_raw!$A987</f>
        <v/>
      </c>
      <c r="B985" s="29" t="str">
        <f>Facebook_interactions_raw!$A987</f>
        <v/>
      </c>
      <c r="C985" s="26" t="str">
        <f t="shared" si="1"/>
        <v/>
      </c>
      <c r="D985" s="26" t="str">
        <f t="array" ref="D985">XLOOKUP($A985,Facebook_follows_raw!$A$4:$A1000,Facebook_follows_raw!$B$4:$B1000)</f>
        <v>#N/A</v>
      </c>
      <c r="E985" s="26" t="str">
        <f t="array" ref="E985">XLOOKUP($A985,Facebook_interactions_raw!$A$4:$A1000,Facebook_interactions_raw!$B$4:$B1000)</f>
        <v>#N/A</v>
      </c>
      <c r="F985" s="26" t="str">
        <f t="array" ref="F985">XLOOKUP($A985,Facebook_reach_raw!$A$4:$A1000,Facebook_reach_raw!$B$4:$B1000)</f>
        <v>#N/A</v>
      </c>
    </row>
    <row r="986">
      <c r="A986" s="30" t="str">
        <f>Facebook_reach_raw!$A988</f>
        <v/>
      </c>
      <c r="B986" s="29" t="str">
        <f>Facebook_interactions_raw!$A988</f>
        <v/>
      </c>
      <c r="C986" s="26" t="str">
        <f t="shared" si="1"/>
        <v/>
      </c>
      <c r="D986" s="26" t="str">
        <f t="array" ref="D986">XLOOKUP($A986,Facebook_follows_raw!$A$4:$A1000,Facebook_follows_raw!$B$4:$B1000)</f>
        <v>#N/A</v>
      </c>
      <c r="E986" s="26" t="str">
        <f t="array" ref="E986">XLOOKUP($A986,Facebook_interactions_raw!$A$4:$A1000,Facebook_interactions_raw!$B$4:$B1000)</f>
        <v>#N/A</v>
      </c>
      <c r="F986" s="26" t="str">
        <f t="array" ref="F986">XLOOKUP($A986,Facebook_reach_raw!$A$4:$A1000,Facebook_reach_raw!$B$4:$B1000)</f>
        <v>#N/A</v>
      </c>
    </row>
    <row r="987">
      <c r="A987" s="30" t="str">
        <f>Facebook_reach_raw!$A989</f>
        <v/>
      </c>
      <c r="B987" s="29" t="str">
        <f>Facebook_interactions_raw!$A989</f>
        <v/>
      </c>
      <c r="C987" s="26" t="str">
        <f t="shared" si="1"/>
        <v/>
      </c>
      <c r="D987" s="26" t="str">
        <f t="array" ref="D987">XLOOKUP($A987,Facebook_follows_raw!$A$4:$A1000,Facebook_follows_raw!$B$4:$B1000)</f>
        <v>#N/A</v>
      </c>
      <c r="E987" s="26" t="str">
        <f t="array" ref="E987">XLOOKUP($A987,Facebook_interactions_raw!$A$4:$A1000,Facebook_interactions_raw!$B$4:$B1000)</f>
        <v>#N/A</v>
      </c>
      <c r="F987" s="26" t="str">
        <f t="array" ref="F987">XLOOKUP($A987,Facebook_reach_raw!$A$4:$A1000,Facebook_reach_raw!$B$4:$B1000)</f>
        <v>#N/A</v>
      </c>
    </row>
    <row r="988">
      <c r="A988" s="30" t="str">
        <f>Facebook_reach_raw!$A990</f>
        <v/>
      </c>
      <c r="B988" s="29" t="str">
        <f>Facebook_interactions_raw!$A990</f>
        <v/>
      </c>
      <c r="C988" s="26" t="str">
        <f t="shared" si="1"/>
        <v/>
      </c>
      <c r="D988" s="26" t="str">
        <f t="array" ref="D988">XLOOKUP($A988,Facebook_follows_raw!$A$4:$A1000,Facebook_follows_raw!$B$4:$B1000)</f>
        <v>#N/A</v>
      </c>
      <c r="E988" s="26" t="str">
        <f t="array" ref="E988">XLOOKUP($A988,Facebook_interactions_raw!$A$4:$A1000,Facebook_interactions_raw!$B$4:$B1000)</f>
        <v>#N/A</v>
      </c>
      <c r="F988" s="26" t="str">
        <f t="array" ref="F988">XLOOKUP($A988,Facebook_reach_raw!$A$4:$A1000,Facebook_reach_raw!$B$4:$B1000)</f>
        <v>#N/A</v>
      </c>
    </row>
    <row r="989">
      <c r="A989" s="30" t="str">
        <f>Facebook_reach_raw!$A991</f>
        <v/>
      </c>
      <c r="B989" s="29" t="str">
        <f>Facebook_interactions_raw!$A991</f>
        <v/>
      </c>
      <c r="C989" s="26" t="str">
        <f t="shared" si="1"/>
        <v/>
      </c>
      <c r="D989" s="26" t="str">
        <f t="array" ref="D989">XLOOKUP($A989,Facebook_follows_raw!$A$4:$A1000,Facebook_follows_raw!$B$4:$B1000)</f>
        <v>#N/A</v>
      </c>
      <c r="E989" s="26" t="str">
        <f t="array" ref="E989">XLOOKUP($A989,Facebook_interactions_raw!$A$4:$A1000,Facebook_interactions_raw!$B$4:$B1000)</f>
        <v>#N/A</v>
      </c>
      <c r="F989" s="26" t="str">
        <f t="array" ref="F989">XLOOKUP($A989,Facebook_reach_raw!$A$4:$A1000,Facebook_reach_raw!$B$4:$B1000)</f>
        <v>#N/A</v>
      </c>
    </row>
    <row r="990">
      <c r="A990" s="30" t="str">
        <f>Facebook_reach_raw!$A992</f>
        <v/>
      </c>
      <c r="B990" s="29" t="str">
        <f>Facebook_interactions_raw!$A992</f>
        <v/>
      </c>
      <c r="C990" s="26" t="str">
        <f t="shared" si="1"/>
        <v/>
      </c>
      <c r="D990" s="26" t="str">
        <f t="array" ref="D990">XLOOKUP($A990,Facebook_follows_raw!$A$4:$A1000,Facebook_follows_raw!$B$4:$B1000)</f>
        <v>#N/A</v>
      </c>
      <c r="E990" s="26" t="str">
        <f t="array" ref="E990">XLOOKUP($A990,Facebook_interactions_raw!$A$4:$A1000,Facebook_interactions_raw!$B$4:$B1000)</f>
        <v>#N/A</v>
      </c>
      <c r="F990" s="26" t="str">
        <f t="array" ref="F990">XLOOKUP($A990,Facebook_reach_raw!$A$4:$A1000,Facebook_reach_raw!$B$4:$B1000)</f>
        <v>#N/A</v>
      </c>
    </row>
    <row r="991">
      <c r="A991" s="30" t="str">
        <f>Facebook_reach_raw!$A993</f>
        <v/>
      </c>
      <c r="B991" s="29" t="str">
        <f>Facebook_interactions_raw!$A993</f>
        <v/>
      </c>
      <c r="C991" s="26" t="str">
        <f t="shared" si="1"/>
        <v/>
      </c>
      <c r="D991" s="26" t="str">
        <f t="array" ref="D991">XLOOKUP($A991,Facebook_follows_raw!$A$4:$A1000,Facebook_follows_raw!$B$4:$B1000)</f>
        <v>#N/A</v>
      </c>
      <c r="E991" s="26" t="str">
        <f t="array" ref="E991">XLOOKUP($A991,Facebook_interactions_raw!$A$4:$A1000,Facebook_interactions_raw!$B$4:$B1000)</f>
        <v>#N/A</v>
      </c>
      <c r="F991" s="26" t="str">
        <f t="array" ref="F991">XLOOKUP($A991,Facebook_reach_raw!$A$4:$A1000,Facebook_reach_raw!$B$4:$B1000)</f>
        <v>#N/A</v>
      </c>
    </row>
    <row r="992">
      <c r="A992" s="30" t="str">
        <f>Facebook_reach_raw!$A994</f>
        <v/>
      </c>
      <c r="B992" s="29" t="str">
        <f>Facebook_interactions_raw!$A994</f>
        <v/>
      </c>
      <c r="C992" s="26" t="str">
        <f t="shared" si="1"/>
        <v/>
      </c>
      <c r="D992" s="26" t="str">
        <f t="array" ref="D992">XLOOKUP($A992,Facebook_follows_raw!$A$4:$A1000,Facebook_follows_raw!$B$4:$B1000)</f>
        <v>#N/A</v>
      </c>
      <c r="E992" s="26" t="str">
        <f t="array" ref="E992">XLOOKUP($A992,Facebook_interactions_raw!$A$4:$A1000,Facebook_interactions_raw!$B$4:$B1000)</f>
        <v>#N/A</v>
      </c>
      <c r="F992" s="26" t="str">
        <f t="array" ref="F992">XLOOKUP($A992,Facebook_reach_raw!$A$4:$A1000,Facebook_reach_raw!$B$4:$B1000)</f>
        <v>#N/A</v>
      </c>
    </row>
    <row r="993">
      <c r="A993" s="30" t="str">
        <f>Facebook_reach_raw!$A995</f>
        <v/>
      </c>
      <c r="B993" s="29" t="str">
        <f>Facebook_interactions_raw!$A995</f>
        <v/>
      </c>
      <c r="C993" s="26" t="str">
        <f t="shared" si="1"/>
        <v/>
      </c>
      <c r="D993" s="26" t="str">
        <f t="array" ref="D993">XLOOKUP($A993,Facebook_follows_raw!$A$4:$A1000,Facebook_follows_raw!$B$4:$B1000)</f>
        <v>#N/A</v>
      </c>
      <c r="E993" s="26" t="str">
        <f t="array" ref="E993">XLOOKUP($A993,Facebook_interactions_raw!$A$4:$A1000,Facebook_interactions_raw!$B$4:$B1000)</f>
        <v>#N/A</v>
      </c>
      <c r="F993" s="26" t="str">
        <f t="array" ref="F993">XLOOKUP($A993,Facebook_reach_raw!$A$4:$A1000,Facebook_reach_raw!$B$4:$B1000)</f>
        <v>#N/A</v>
      </c>
    </row>
    <row r="994">
      <c r="A994" s="30" t="str">
        <f>Facebook_reach_raw!$A996</f>
        <v/>
      </c>
      <c r="B994" s="29" t="str">
        <f>Facebook_interactions_raw!$A996</f>
        <v/>
      </c>
      <c r="C994" s="26" t="str">
        <f t="shared" si="1"/>
        <v/>
      </c>
      <c r="D994" s="26" t="str">
        <f t="array" ref="D994">XLOOKUP($A994,Facebook_follows_raw!$A$4:$A1000,Facebook_follows_raw!$B$4:$B1000)</f>
        <v>#N/A</v>
      </c>
      <c r="E994" s="26" t="str">
        <f t="array" ref="E994">XLOOKUP($A994,Facebook_interactions_raw!$A$4:$A1000,Facebook_interactions_raw!$B$4:$B1000)</f>
        <v>#N/A</v>
      </c>
      <c r="F994" s="26" t="str">
        <f t="array" ref="F994">XLOOKUP($A994,Facebook_reach_raw!$A$4:$A1000,Facebook_reach_raw!$B$4:$B1000)</f>
        <v>#N/A</v>
      </c>
    </row>
    <row r="995">
      <c r="A995" s="30" t="str">
        <f>Facebook_reach_raw!$A997</f>
        <v/>
      </c>
      <c r="B995" s="29" t="str">
        <f>Facebook_interactions_raw!$A997</f>
        <v/>
      </c>
      <c r="C995" s="26" t="str">
        <f t="shared" si="1"/>
        <v/>
      </c>
      <c r="D995" s="26" t="str">
        <f t="array" ref="D995">XLOOKUP($A995,Facebook_follows_raw!$A$4:$A1000,Facebook_follows_raw!$B$4:$B1000)</f>
        <v>#N/A</v>
      </c>
      <c r="E995" s="26" t="str">
        <f t="array" ref="E995">XLOOKUP($A995,Facebook_interactions_raw!$A$4:$A1000,Facebook_interactions_raw!$B$4:$B1000)</f>
        <v>#N/A</v>
      </c>
      <c r="F995" s="26" t="str">
        <f t="array" ref="F995">XLOOKUP($A995,Facebook_reach_raw!$A$4:$A1000,Facebook_reach_raw!$B$4:$B1000)</f>
        <v>#N/A</v>
      </c>
    </row>
    <row r="996">
      <c r="A996" s="30" t="str">
        <f>Facebook_reach_raw!$A998</f>
        <v/>
      </c>
      <c r="B996" s="29" t="str">
        <f>Facebook_interactions_raw!$A998</f>
        <v/>
      </c>
      <c r="C996" s="26" t="str">
        <f t="shared" si="1"/>
        <v/>
      </c>
      <c r="D996" s="26" t="str">
        <f t="array" ref="D996">XLOOKUP($A996,Facebook_follows_raw!$A$4:$A1000,Facebook_follows_raw!$B$4:$B1000)</f>
        <v>#N/A</v>
      </c>
      <c r="E996" s="26" t="str">
        <f t="array" ref="E996">XLOOKUP($A996,Facebook_interactions_raw!$A$4:$A1000,Facebook_interactions_raw!$B$4:$B1000)</f>
        <v>#N/A</v>
      </c>
      <c r="F996" s="26" t="str">
        <f t="array" ref="F996">XLOOKUP($A996,Facebook_reach_raw!$A$4:$A1000,Facebook_reach_raw!$B$4:$B1000)</f>
        <v>#N/A</v>
      </c>
    </row>
    <row r="997">
      <c r="A997" s="30" t="str">
        <f>Facebook_reach_raw!$A999</f>
        <v/>
      </c>
      <c r="B997" s="29" t="str">
        <f>Facebook_interactions_raw!$A999</f>
        <v/>
      </c>
      <c r="C997" s="26" t="str">
        <f t="shared" si="1"/>
        <v/>
      </c>
      <c r="D997" s="26" t="str">
        <f t="array" ref="D997">XLOOKUP($A997,Facebook_follows_raw!$A$4:$A1000,Facebook_follows_raw!$B$4:$B1000)</f>
        <v>#N/A</v>
      </c>
      <c r="E997" s="26" t="str">
        <f t="array" ref="E997">XLOOKUP($A997,Facebook_interactions_raw!$A$4:$A1000,Facebook_interactions_raw!$B$4:$B1000)</f>
        <v>#N/A</v>
      </c>
      <c r="F997" s="26" t="str">
        <f t="array" ref="F997">XLOOKUP($A997,Facebook_reach_raw!$A$4:$A1000,Facebook_reach_raw!$B$4:$B1000)</f>
        <v>#N/A</v>
      </c>
    </row>
    <row r="998">
      <c r="A998" s="30" t="str">
        <f>Facebook_reach_raw!$A1000</f>
        <v/>
      </c>
      <c r="B998" s="29" t="str">
        <f>Facebook_interactions_raw!$A1000</f>
        <v/>
      </c>
      <c r="C998" s="26" t="str">
        <f t="shared" si="1"/>
        <v/>
      </c>
      <c r="D998" s="26" t="str">
        <f t="array" ref="D998">XLOOKUP($A998,Facebook_follows_raw!$A$4:$A1000,Facebook_follows_raw!$B$4:$B1000)</f>
        <v>#N/A</v>
      </c>
      <c r="E998" s="26" t="str">
        <f t="array" ref="E998">XLOOKUP($A998,Facebook_interactions_raw!$A$4:$A1000,Facebook_interactions_raw!$B$4:$B1000)</f>
        <v>#N/A</v>
      </c>
      <c r="F998" s="26" t="str">
        <f t="array" ref="F998">XLOOKUP($A998,Facebook_reach_raw!$A$4:$A1000,Facebook_reach_raw!$B$4:$B1000)</f>
        <v>#N/A</v>
      </c>
    </row>
    <row r="999">
      <c r="A999" s="30" t="str">
        <f>Facebook_reach_raw!$A1001</f>
        <v/>
      </c>
      <c r="B999" s="29" t="str">
        <f>Facebook_interactions_raw!$A1001</f>
        <v/>
      </c>
      <c r="C999" s="26" t="str">
        <f t="shared" si="1"/>
        <v/>
      </c>
      <c r="D999" s="26" t="str">
        <f t="array" ref="D999">XLOOKUP($A999,Facebook_follows_raw!$A$4:$A1000,Facebook_follows_raw!$B$4:$B1000)</f>
        <v>#N/A</v>
      </c>
      <c r="E999" s="26" t="str">
        <f t="array" ref="E999">XLOOKUP($A999,Facebook_interactions_raw!$A$4:$A1000,Facebook_interactions_raw!$B$4:$B1000)</f>
        <v>#N/A</v>
      </c>
      <c r="F999" s="26" t="str">
        <f t="array" ref="F999">XLOOKUP($A999,Facebook_reach_raw!$A$4:$A1000,Facebook_reach_raw!$B$4:$B1000)</f>
        <v>#N/A</v>
      </c>
    </row>
    <row r="1000">
      <c r="A1000" s="30" t="str">
        <f>Facebook_reach_raw!$A1002</f>
        <v/>
      </c>
      <c r="B1000" s="29" t="str">
        <f>Facebook_interactions_raw!$A1002</f>
        <v/>
      </c>
      <c r="C1000" s="26" t="str">
        <f t="shared" si="1"/>
        <v/>
      </c>
      <c r="D1000" s="26" t="str">
        <f t="array" ref="D1000">XLOOKUP($A1000,Facebook_follows_raw!$A$4:$A1000,Facebook_follows_raw!$B$4:$B1000)</f>
        <v>#N/A</v>
      </c>
      <c r="E1000" s="26" t="str">
        <f t="array" ref="E1000">XLOOKUP($A1000,Facebook_interactions_raw!$A$4:$A1000,Facebook_interactions_raw!$B$4:$B1000)</f>
        <v>#N/A</v>
      </c>
      <c r="F1000" s="26" t="str">
        <f t="array" ref="F1000">XLOOKUP($A1000,Facebook_reach_raw!$A$4:$A1000,Facebook_reach_raw!$B$4:$B1000)</f>
        <v>#N/A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36</v>
      </c>
      <c r="B1" s="31" t="s">
        <v>37</v>
      </c>
      <c r="C1" s="31" t="s">
        <v>38</v>
      </c>
      <c r="D1" s="31" t="s">
        <v>39</v>
      </c>
      <c r="E1" s="31" t="s">
        <v>40</v>
      </c>
      <c r="F1" s="31" t="s">
        <v>41</v>
      </c>
      <c r="G1" s="31" t="s">
        <v>42</v>
      </c>
      <c r="H1" s="31" t="s">
        <v>43</v>
      </c>
      <c r="I1" s="31" t="s">
        <v>44</v>
      </c>
      <c r="J1" s="31" t="s">
        <v>45</v>
      </c>
      <c r="K1" s="31" t="s">
        <v>46</v>
      </c>
      <c r="L1" s="31" t="s">
        <v>47</v>
      </c>
      <c r="M1" s="31" t="s">
        <v>48</v>
      </c>
      <c r="N1" s="31" t="s">
        <v>49</v>
      </c>
      <c r="O1" s="31" t="s">
        <v>50</v>
      </c>
      <c r="P1" s="31" t="s">
        <v>51</v>
      </c>
      <c r="Q1" s="31" t="s">
        <v>52</v>
      </c>
    </row>
    <row r="2">
      <c r="A2" s="32">
        <v>45474.0</v>
      </c>
      <c r="B2" s="31" t="s">
        <v>53</v>
      </c>
      <c r="C2" s="33">
        <v>0.625</v>
      </c>
      <c r="D2" s="34">
        <v>45492.0</v>
      </c>
      <c r="E2" s="13">
        <v>12848.0</v>
      </c>
      <c r="F2" s="13">
        <v>5397.0</v>
      </c>
      <c r="G2" s="13">
        <v>7670.0</v>
      </c>
      <c r="H2" s="13">
        <v>42.3</v>
      </c>
      <c r="I2" s="13">
        <v>12758.0</v>
      </c>
      <c r="J2" s="13">
        <v>334.0</v>
      </c>
      <c r="K2" s="13">
        <v>2603.0</v>
      </c>
      <c r="L2" s="13">
        <v>2.6</v>
      </c>
      <c r="M2" s="13">
        <v>96.0</v>
      </c>
      <c r="N2" s="13">
        <v>0.75</v>
      </c>
      <c r="O2" s="13">
        <v>10.0</v>
      </c>
      <c r="P2" s="13">
        <v>0.08</v>
      </c>
      <c r="Q2" s="13">
        <v>6.18862331</v>
      </c>
    </row>
    <row r="3">
      <c r="A3" s="32">
        <v>45505.0</v>
      </c>
      <c r="B3" s="31" t="s">
        <v>54</v>
      </c>
      <c r="C3" s="33">
        <v>0.6111111111111112</v>
      </c>
      <c r="D3" s="34">
        <v>45526.0</v>
      </c>
      <c r="E3" s="13">
        <v>12826.0</v>
      </c>
      <c r="F3" s="13">
        <v>5199.0</v>
      </c>
      <c r="G3" s="13">
        <v>7538.0</v>
      </c>
      <c r="H3" s="13">
        <v>40.8</v>
      </c>
      <c r="I3" s="13">
        <v>12742.0</v>
      </c>
      <c r="J3" s="13">
        <v>329.0</v>
      </c>
      <c r="K3" s="13">
        <v>899.0</v>
      </c>
      <c r="L3" s="13">
        <v>2.6</v>
      </c>
      <c r="M3" s="13">
        <v>78.0</v>
      </c>
      <c r="N3" s="13">
        <v>0.61</v>
      </c>
      <c r="O3" s="13">
        <v>29.0</v>
      </c>
      <c r="P3" s="13">
        <v>0.23</v>
      </c>
      <c r="Q3" s="13">
        <v>6.32814003</v>
      </c>
    </row>
    <row r="4">
      <c r="A4" s="32">
        <v>45536.0</v>
      </c>
      <c r="B4" s="31" t="s">
        <v>54</v>
      </c>
      <c r="C4" s="33">
        <v>0.5743055555555555</v>
      </c>
      <c r="D4" s="34">
        <v>45561.0</v>
      </c>
      <c r="E4" s="13">
        <v>12766.0</v>
      </c>
      <c r="F4" s="13">
        <v>4962.0</v>
      </c>
      <c r="G4" s="13">
        <v>7441.0</v>
      </c>
      <c r="H4" s="13">
        <v>39.1</v>
      </c>
      <c r="I4" s="13">
        <v>12690.0</v>
      </c>
      <c r="J4" s="13">
        <v>154.0</v>
      </c>
      <c r="K4" s="13">
        <v>452.0</v>
      </c>
      <c r="L4" s="13">
        <v>1.2</v>
      </c>
      <c r="M4" s="13">
        <v>82.0</v>
      </c>
      <c r="N4" s="13">
        <v>0.64</v>
      </c>
      <c r="O4" s="13">
        <v>17.0</v>
      </c>
      <c r="P4" s="13">
        <v>0.13</v>
      </c>
      <c r="Q4" s="13">
        <v>3.10358726</v>
      </c>
    </row>
    <row r="5">
      <c r="A5" s="35">
        <v>45566.0</v>
      </c>
      <c r="B5" s="31" t="s">
        <v>53</v>
      </c>
      <c r="C5" s="33">
        <v>0.6611111111111111</v>
      </c>
      <c r="D5" s="34">
        <v>45590.0</v>
      </c>
      <c r="E5" s="13">
        <v>12734.0</v>
      </c>
      <c r="F5" s="13">
        <v>5536.0</v>
      </c>
      <c r="G5" s="13">
        <v>8451.0</v>
      </c>
      <c r="H5" s="13">
        <v>43.85</v>
      </c>
      <c r="I5" s="13">
        <v>12624.0</v>
      </c>
      <c r="J5" s="13">
        <v>448.0</v>
      </c>
      <c r="K5" s="13">
        <v>1911.0</v>
      </c>
      <c r="L5" s="13">
        <v>3.5</v>
      </c>
      <c r="M5" s="13">
        <v>84.0</v>
      </c>
      <c r="N5" s="13">
        <v>0.66</v>
      </c>
      <c r="O5" s="13">
        <v>13.0</v>
      </c>
      <c r="P5" s="13">
        <v>0.1</v>
      </c>
      <c r="Q5" s="13">
        <v>8.09248555</v>
      </c>
    </row>
    <row r="6">
      <c r="A6" s="35">
        <v>45597.0</v>
      </c>
      <c r="B6" s="31" t="s">
        <v>55</v>
      </c>
      <c r="C6" s="33">
        <v>0.7340277777777777</v>
      </c>
      <c r="D6" s="34">
        <v>45622.0</v>
      </c>
      <c r="E6" s="13">
        <v>70897.0</v>
      </c>
      <c r="F6" s="13">
        <v>35259.0</v>
      </c>
      <c r="G6" s="13">
        <v>53132.0</v>
      </c>
      <c r="H6" s="13">
        <v>52.1</v>
      </c>
      <c r="I6" s="13">
        <v>67675.0</v>
      </c>
      <c r="J6" s="13">
        <v>1243.0</v>
      </c>
      <c r="K6" s="13">
        <v>3538.0</v>
      </c>
      <c r="L6" s="13">
        <v>1.8</v>
      </c>
      <c r="M6" s="13">
        <v>3245.0</v>
      </c>
      <c r="N6" s="13">
        <v>4.6</v>
      </c>
      <c r="O6" s="13">
        <v>574.0</v>
      </c>
      <c r="P6" s="13">
        <v>0.85</v>
      </c>
      <c r="Q6" s="13">
        <v>3.52534105</v>
      </c>
    </row>
    <row r="7">
      <c r="A7" s="35">
        <v>45627.0</v>
      </c>
      <c r="B7" s="31" t="s">
        <v>56</v>
      </c>
      <c r="C7" s="33">
        <v>0.375</v>
      </c>
      <c r="D7" s="34">
        <v>45649.0</v>
      </c>
      <c r="E7" s="13">
        <v>64975.0</v>
      </c>
      <c r="F7" s="13">
        <v>29930.0</v>
      </c>
      <c r="G7" s="13">
        <v>43990.0</v>
      </c>
      <c r="H7" s="13">
        <v>46.2</v>
      </c>
      <c r="I7" s="13">
        <v>64783.0</v>
      </c>
      <c r="J7" s="13">
        <v>990.0</v>
      </c>
      <c r="K7" s="13">
        <v>3169.0</v>
      </c>
      <c r="L7" s="13">
        <v>1.5</v>
      </c>
      <c r="M7" s="13">
        <v>212.0</v>
      </c>
      <c r="N7" s="13">
        <v>0.33</v>
      </c>
      <c r="O7" s="13">
        <v>376.0</v>
      </c>
      <c r="P7" s="13">
        <v>0.58</v>
      </c>
      <c r="Q7" s="13">
        <v>3.30771801</v>
      </c>
    </row>
    <row r="8">
      <c r="A8" s="32">
        <v>45658.0</v>
      </c>
      <c r="B8" s="31" t="s">
        <v>54</v>
      </c>
      <c r="C8" s="33">
        <v>0.71875</v>
      </c>
      <c r="D8" s="34">
        <v>45680.0</v>
      </c>
      <c r="E8" s="13">
        <v>64281.0</v>
      </c>
      <c r="F8" s="13">
        <v>30590.0</v>
      </c>
      <c r="G8" s="13">
        <v>47067.0</v>
      </c>
      <c r="H8" s="13">
        <v>47.8</v>
      </c>
      <c r="I8" s="13">
        <v>63995.0</v>
      </c>
      <c r="J8" s="13">
        <v>1347.0</v>
      </c>
      <c r="K8" s="13">
        <v>3908.0</v>
      </c>
      <c r="L8" s="13">
        <v>2.1</v>
      </c>
      <c r="M8" s="13">
        <v>249.0</v>
      </c>
      <c r="N8" s="13">
        <v>0.39</v>
      </c>
      <c r="O8" s="13">
        <v>348.0</v>
      </c>
      <c r="P8" s="13">
        <v>0.54</v>
      </c>
      <c r="Q8" s="13">
        <v>4.4033998</v>
      </c>
    </row>
    <row r="9">
      <c r="A9" s="32">
        <v>45689.0</v>
      </c>
      <c r="B9" s="31" t="s">
        <v>55</v>
      </c>
      <c r="C9" s="33">
        <v>0.71875</v>
      </c>
      <c r="D9" s="34">
        <v>45713.0</v>
      </c>
      <c r="E9" s="13">
        <v>63585.0</v>
      </c>
      <c r="F9" s="13">
        <v>31866.0</v>
      </c>
      <c r="G9" s="13">
        <v>46648.0</v>
      </c>
      <c r="H9" s="13">
        <v>50.3</v>
      </c>
      <c r="I9" s="13">
        <v>63351.0</v>
      </c>
      <c r="J9" s="13">
        <v>1055.0</v>
      </c>
      <c r="K9" s="13">
        <v>3255.0</v>
      </c>
      <c r="L9" s="13">
        <v>1.7</v>
      </c>
      <c r="M9" s="13">
        <v>188.0</v>
      </c>
      <c r="N9" s="13">
        <v>0.3</v>
      </c>
      <c r="O9" s="13">
        <v>280.0</v>
      </c>
      <c r="P9" s="13">
        <v>0.44</v>
      </c>
      <c r="Q9" s="13">
        <v>3.31073872</v>
      </c>
    </row>
    <row r="10">
      <c r="A10" s="32">
        <v>45717.0</v>
      </c>
      <c r="B10" s="31" t="s">
        <v>54</v>
      </c>
      <c r="C10" s="33">
        <v>0.71875</v>
      </c>
      <c r="D10" s="34">
        <v>45736.0</v>
      </c>
      <c r="E10" s="13">
        <v>78805.0</v>
      </c>
      <c r="F10" s="13">
        <v>8873.0</v>
      </c>
      <c r="G10" s="13">
        <v>12824.0</v>
      </c>
      <c r="H10" s="13">
        <v>11.4</v>
      </c>
      <c r="I10" s="13">
        <v>77833.0</v>
      </c>
      <c r="J10" s="13">
        <v>916.0</v>
      </c>
      <c r="K10" s="13">
        <v>916.0</v>
      </c>
      <c r="L10" s="13">
        <v>1.2</v>
      </c>
      <c r="M10" s="13">
        <v>1052.0</v>
      </c>
      <c r="N10" s="13">
        <v>1.3</v>
      </c>
      <c r="O10" s="13">
        <v>641.0</v>
      </c>
      <c r="P10" s="13">
        <v>0.82</v>
      </c>
      <c r="Q10" s="13">
        <v>10.3234532</v>
      </c>
    </row>
    <row r="11">
      <c r="A11" s="14"/>
      <c r="B11" s="14"/>
      <c r="C11" s="14"/>
      <c r="D11" s="14"/>
      <c r="E11" s="14"/>
      <c r="F11" s="14"/>
      <c r="G11" s="14"/>
      <c r="H11" s="14"/>
      <c r="I11" s="36" t="e">
        <v>#DIV/0!</v>
      </c>
      <c r="J11" s="14"/>
      <c r="K11" s="14"/>
      <c r="L11" s="14"/>
      <c r="M11" s="14"/>
      <c r="N11" s="14"/>
      <c r="O11" s="14"/>
      <c r="P11" s="14"/>
      <c r="Q11" s="36" t="e">
        <v>#DIV/0!</v>
      </c>
    </row>
    <row r="12">
      <c r="A12" s="14"/>
      <c r="B12" s="14"/>
      <c r="C12" s="14"/>
      <c r="D12" s="14"/>
      <c r="E12" s="14"/>
      <c r="F12" s="14"/>
      <c r="G12" s="14"/>
      <c r="H12" s="14"/>
      <c r="I12" s="36" t="e">
        <v>#DIV/0!</v>
      </c>
      <c r="J12" s="14"/>
      <c r="K12" s="14"/>
      <c r="L12" s="14"/>
      <c r="M12" s="14"/>
      <c r="N12" s="14"/>
      <c r="O12" s="14"/>
      <c r="P12" s="14"/>
      <c r="Q12" s="36" t="e">
        <v>#DIV/0!</v>
      </c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4" t="s">
        <v>2</v>
      </c>
      <c r="B1" s="24" t="s">
        <v>32</v>
      </c>
      <c r="C1" s="24" t="s">
        <v>6</v>
      </c>
      <c r="D1" s="24" t="s">
        <v>33</v>
      </c>
      <c r="E1" s="24" t="s">
        <v>34</v>
      </c>
    </row>
    <row r="2">
      <c r="A2" s="25">
        <f>IFERROR(__xludf.DUMMYFUNCTION("QUERY({
  {LinkedIn_metrics!A:E; Instagram_metrics!B:F; Facebook_metrics!B:F}
}, ""SELECT Col1, Col2, Col3, Col4, Col5 WHERE Col1 IS NOT NULL"", 0)
"),45474.0)</f>
        <v>45474</v>
      </c>
      <c r="B2" s="26" t="str">
        <f>IFERROR(__xludf.DUMMYFUNCTION("""COMPUTED_VALUE"""),"LinkedIn")</f>
        <v>LinkedIn</v>
      </c>
      <c r="C2" s="26">
        <f>IFERROR(__xludf.DUMMYFUNCTION("""COMPUTED_VALUE"""),1.0)</f>
        <v>1</v>
      </c>
      <c r="D2" s="26">
        <f>IFERROR(__xludf.DUMMYFUNCTION("""COMPUTED_VALUE"""),15.0)</f>
        <v>15</v>
      </c>
      <c r="E2" s="26">
        <f>IFERROR(__xludf.DUMMYFUNCTION("""COMPUTED_VALUE"""),62.0)</f>
        <v>62</v>
      </c>
    </row>
    <row r="3">
      <c r="A3" s="25">
        <f>IFERROR(__xludf.DUMMYFUNCTION("""COMPUTED_VALUE"""),45475.0)</f>
        <v>45475</v>
      </c>
      <c r="B3" s="26" t="str">
        <f>IFERROR(__xludf.DUMMYFUNCTION("""COMPUTED_VALUE"""),"LinkedIn")</f>
        <v>LinkedIn</v>
      </c>
      <c r="C3" s="26">
        <f>IFERROR(__xludf.DUMMYFUNCTION("""COMPUTED_VALUE"""),1.0)</f>
        <v>1</v>
      </c>
      <c r="D3" s="26">
        <f>IFERROR(__xludf.DUMMYFUNCTION("""COMPUTED_VALUE"""),4.0)</f>
        <v>4</v>
      </c>
      <c r="E3" s="26">
        <f>IFERROR(__xludf.DUMMYFUNCTION("""COMPUTED_VALUE"""),43.0)</f>
        <v>43</v>
      </c>
    </row>
    <row r="4">
      <c r="A4" s="25">
        <f>IFERROR(__xludf.DUMMYFUNCTION("""COMPUTED_VALUE"""),45476.0)</f>
        <v>45476</v>
      </c>
      <c r="B4" s="26" t="str">
        <f>IFERROR(__xludf.DUMMYFUNCTION("""COMPUTED_VALUE"""),"LinkedIn")</f>
        <v>LinkedIn</v>
      </c>
      <c r="C4" s="26">
        <f>IFERROR(__xludf.DUMMYFUNCTION("""COMPUTED_VALUE"""),4.0)</f>
        <v>4</v>
      </c>
      <c r="D4" s="26">
        <f>IFERROR(__xludf.DUMMYFUNCTION("""COMPUTED_VALUE"""),35.0)</f>
        <v>35</v>
      </c>
      <c r="E4" s="26">
        <f>IFERROR(__xludf.DUMMYFUNCTION("""COMPUTED_VALUE"""),228.0)</f>
        <v>228</v>
      </c>
    </row>
    <row r="5">
      <c r="A5" s="25">
        <f>IFERROR(__xludf.DUMMYFUNCTION("""COMPUTED_VALUE"""),45477.0)</f>
        <v>45477</v>
      </c>
      <c r="B5" s="26" t="str">
        <f>IFERROR(__xludf.DUMMYFUNCTION("""COMPUTED_VALUE"""),"LinkedIn")</f>
        <v>LinkedIn</v>
      </c>
      <c r="C5" s="26">
        <f>IFERROR(__xludf.DUMMYFUNCTION("""COMPUTED_VALUE"""),2.0)</f>
        <v>2</v>
      </c>
      <c r="D5" s="26">
        <f>IFERROR(__xludf.DUMMYFUNCTION("""COMPUTED_VALUE"""),10.0)</f>
        <v>10</v>
      </c>
      <c r="E5" s="26">
        <f>IFERROR(__xludf.DUMMYFUNCTION("""COMPUTED_VALUE"""),68.0)</f>
        <v>68</v>
      </c>
    </row>
    <row r="6">
      <c r="A6" s="25">
        <f>IFERROR(__xludf.DUMMYFUNCTION("""COMPUTED_VALUE"""),45478.0)</f>
        <v>45478</v>
      </c>
      <c r="B6" s="26" t="str">
        <f>IFERROR(__xludf.DUMMYFUNCTION("""COMPUTED_VALUE"""),"LinkedIn")</f>
        <v>LinkedIn</v>
      </c>
      <c r="C6" s="26">
        <f>IFERROR(__xludf.DUMMYFUNCTION("""COMPUTED_VALUE"""),2.0)</f>
        <v>2</v>
      </c>
      <c r="D6" s="26">
        <f>IFERROR(__xludf.DUMMYFUNCTION("""COMPUTED_VALUE"""),23.0)</f>
        <v>23</v>
      </c>
      <c r="E6" s="26">
        <f>IFERROR(__xludf.DUMMYFUNCTION("""COMPUTED_VALUE"""),140.0)</f>
        <v>140</v>
      </c>
    </row>
    <row r="7">
      <c r="A7" s="25">
        <f>IFERROR(__xludf.DUMMYFUNCTION("""COMPUTED_VALUE"""),45479.0)</f>
        <v>45479</v>
      </c>
      <c r="B7" s="26" t="str">
        <f>IFERROR(__xludf.DUMMYFUNCTION("""COMPUTED_VALUE"""),"LinkedIn")</f>
        <v>LinkedIn</v>
      </c>
      <c r="C7" s="26">
        <f>IFERROR(__xludf.DUMMYFUNCTION("""COMPUTED_VALUE"""),0.0)</f>
        <v>0</v>
      </c>
      <c r="D7" s="26">
        <f>IFERROR(__xludf.DUMMYFUNCTION("""COMPUTED_VALUE"""),10.0)</f>
        <v>10</v>
      </c>
      <c r="E7" s="26">
        <f>IFERROR(__xludf.DUMMYFUNCTION("""COMPUTED_VALUE"""),85.0)</f>
        <v>85</v>
      </c>
    </row>
    <row r="8">
      <c r="A8" s="25">
        <f>IFERROR(__xludf.DUMMYFUNCTION("""COMPUTED_VALUE"""),45480.0)</f>
        <v>45480</v>
      </c>
      <c r="B8" s="26" t="str">
        <f>IFERROR(__xludf.DUMMYFUNCTION("""COMPUTED_VALUE"""),"LinkedIn")</f>
        <v>LinkedIn</v>
      </c>
      <c r="C8" s="26">
        <f>IFERROR(__xludf.DUMMYFUNCTION("""COMPUTED_VALUE"""),0.0)</f>
        <v>0</v>
      </c>
      <c r="D8" s="26">
        <f>IFERROR(__xludf.DUMMYFUNCTION("""COMPUTED_VALUE"""),14.0)</f>
        <v>14</v>
      </c>
      <c r="E8" s="26">
        <f>IFERROR(__xludf.DUMMYFUNCTION("""COMPUTED_VALUE"""),83.0)</f>
        <v>83</v>
      </c>
    </row>
    <row r="9">
      <c r="A9" s="25">
        <f>IFERROR(__xludf.DUMMYFUNCTION("""COMPUTED_VALUE"""),45481.0)</f>
        <v>45481</v>
      </c>
      <c r="B9" s="26" t="str">
        <f>IFERROR(__xludf.DUMMYFUNCTION("""COMPUTED_VALUE"""),"LinkedIn")</f>
        <v>LinkedIn</v>
      </c>
      <c r="C9" s="26">
        <f>IFERROR(__xludf.DUMMYFUNCTION("""COMPUTED_VALUE"""),1.0)</f>
        <v>1</v>
      </c>
      <c r="D9" s="26">
        <f>IFERROR(__xludf.DUMMYFUNCTION("""COMPUTED_VALUE"""),8.0)</f>
        <v>8</v>
      </c>
      <c r="E9" s="26">
        <f>IFERROR(__xludf.DUMMYFUNCTION("""COMPUTED_VALUE"""),72.0)</f>
        <v>72</v>
      </c>
    </row>
    <row r="10">
      <c r="A10" s="25">
        <f>IFERROR(__xludf.DUMMYFUNCTION("""COMPUTED_VALUE"""),45482.0)</f>
        <v>45482</v>
      </c>
      <c r="B10" s="26" t="str">
        <f>IFERROR(__xludf.DUMMYFUNCTION("""COMPUTED_VALUE"""),"LinkedIn")</f>
        <v>LinkedIn</v>
      </c>
      <c r="C10" s="26">
        <f>IFERROR(__xludf.DUMMYFUNCTION("""COMPUTED_VALUE"""),1.0)</f>
        <v>1</v>
      </c>
      <c r="D10" s="26">
        <f>IFERROR(__xludf.DUMMYFUNCTION("""COMPUTED_VALUE"""),32.0)</f>
        <v>32</v>
      </c>
      <c r="E10" s="26">
        <f>IFERROR(__xludf.DUMMYFUNCTION("""COMPUTED_VALUE"""),100.0)</f>
        <v>100</v>
      </c>
    </row>
    <row r="11">
      <c r="A11" s="25">
        <f>IFERROR(__xludf.DUMMYFUNCTION("""COMPUTED_VALUE"""),45483.0)</f>
        <v>45483</v>
      </c>
      <c r="B11" s="26" t="str">
        <f>IFERROR(__xludf.DUMMYFUNCTION("""COMPUTED_VALUE"""),"LinkedIn")</f>
        <v>LinkedIn</v>
      </c>
      <c r="C11" s="26">
        <f>IFERROR(__xludf.DUMMYFUNCTION("""COMPUTED_VALUE"""),0.0)</f>
        <v>0</v>
      </c>
      <c r="D11" s="26">
        <f>IFERROR(__xludf.DUMMYFUNCTION("""COMPUTED_VALUE"""),19.0)</f>
        <v>19</v>
      </c>
      <c r="E11" s="26">
        <f>IFERROR(__xludf.DUMMYFUNCTION("""COMPUTED_VALUE"""),108.0)</f>
        <v>108</v>
      </c>
    </row>
    <row r="12">
      <c r="A12" s="25">
        <f>IFERROR(__xludf.DUMMYFUNCTION("""COMPUTED_VALUE"""),45484.0)</f>
        <v>45484</v>
      </c>
      <c r="B12" s="26" t="str">
        <f>IFERROR(__xludf.DUMMYFUNCTION("""COMPUTED_VALUE"""),"LinkedIn")</f>
        <v>LinkedIn</v>
      </c>
      <c r="C12" s="26">
        <f>IFERROR(__xludf.DUMMYFUNCTION("""COMPUTED_VALUE"""),2.0)</f>
        <v>2</v>
      </c>
      <c r="D12" s="26">
        <f>IFERROR(__xludf.DUMMYFUNCTION("""COMPUTED_VALUE"""),16.0)</f>
        <v>16</v>
      </c>
      <c r="E12" s="26">
        <f>IFERROR(__xludf.DUMMYFUNCTION("""COMPUTED_VALUE"""),57.0)</f>
        <v>57</v>
      </c>
    </row>
    <row r="13">
      <c r="A13" s="25">
        <f>IFERROR(__xludf.DUMMYFUNCTION("""COMPUTED_VALUE"""),45485.0)</f>
        <v>45485</v>
      </c>
      <c r="B13" s="26" t="str">
        <f>IFERROR(__xludf.DUMMYFUNCTION("""COMPUTED_VALUE"""),"LinkedIn")</f>
        <v>LinkedIn</v>
      </c>
      <c r="C13" s="26">
        <f>IFERROR(__xludf.DUMMYFUNCTION("""COMPUTED_VALUE"""),0.0)</f>
        <v>0</v>
      </c>
      <c r="D13" s="26">
        <f>IFERROR(__xludf.DUMMYFUNCTION("""COMPUTED_VALUE"""),4.0)</f>
        <v>4</v>
      </c>
      <c r="E13" s="26">
        <f>IFERROR(__xludf.DUMMYFUNCTION("""COMPUTED_VALUE"""),48.0)</f>
        <v>48</v>
      </c>
    </row>
    <row r="14">
      <c r="A14" s="25">
        <f>IFERROR(__xludf.DUMMYFUNCTION("""COMPUTED_VALUE"""),45486.0)</f>
        <v>45486</v>
      </c>
      <c r="B14" s="26" t="str">
        <f>IFERROR(__xludf.DUMMYFUNCTION("""COMPUTED_VALUE"""),"LinkedIn")</f>
        <v>LinkedIn</v>
      </c>
      <c r="C14" s="26">
        <f>IFERROR(__xludf.DUMMYFUNCTION("""COMPUTED_VALUE"""),3.0)</f>
        <v>3</v>
      </c>
      <c r="D14" s="26">
        <f>IFERROR(__xludf.DUMMYFUNCTION("""COMPUTED_VALUE"""),59.0)</f>
        <v>59</v>
      </c>
      <c r="E14" s="26">
        <f>IFERROR(__xludf.DUMMYFUNCTION("""COMPUTED_VALUE"""),179.0)</f>
        <v>179</v>
      </c>
    </row>
    <row r="15">
      <c r="A15" s="25">
        <f>IFERROR(__xludf.DUMMYFUNCTION("""COMPUTED_VALUE"""),45487.0)</f>
        <v>45487</v>
      </c>
      <c r="B15" s="26" t="str">
        <f>IFERROR(__xludf.DUMMYFUNCTION("""COMPUTED_VALUE"""),"LinkedIn")</f>
        <v>LinkedIn</v>
      </c>
      <c r="C15" s="26">
        <f>IFERROR(__xludf.DUMMYFUNCTION("""COMPUTED_VALUE"""),1.0)</f>
        <v>1</v>
      </c>
      <c r="D15" s="26">
        <f>IFERROR(__xludf.DUMMYFUNCTION("""COMPUTED_VALUE"""),17.0)</f>
        <v>17</v>
      </c>
      <c r="E15" s="26">
        <f>IFERROR(__xludf.DUMMYFUNCTION("""COMPUTED_VALUE"""),127.0)</f>
        <v>127</v>
      </c>
    </row>
    <row r="16">
      <c r="A16" s="25">
        <f>IFERROR(__xludf.DUMMYFUNCTION("""COMPUTED_VALUE"""),45488.0)</f>
        <v>45488</v>
      </c>
      <c r="B16" s="26" t="str">
        <f>IFERROR(__xludf.DUMMYFUNCTION("""COMPUTED_VALUE"""),"LinkedIn")</f>
        <v>LinkedIn</v>
      </c>
      <c r="C16" s="26">
        <f>IFERROR(__xludf.DUMMYFUNCTION("""COMPUTED_VALUE"""),0.0)</f>
        <v>0</v>
      </c>
      <c r="D16" s="26">
        <f>IFERROR(__xludf.DUMMYFUNCTION("""COMPUTED_VALUE"""),5.0)</f>
        <v>5</v>
      </c>
      <c r="E16" s="26">
        <f>IFERROR(__xludf.DUMMYFUNCTION("""COMPUTED_VALUE"""),93.0)</f>
        <v>93</v>
      </c>
    </row>
    <row r="17">
      <c r="A17" s="25">
        <f>IFERROR(__xludf.DUMMYFUNCTION("""COMPUTED_VALUE"""),45489.0)</f>
        <v>45489</v>
      </c>
      <c r="B17" s="26" t="str">
        <f>IFERROR(__xludf.DUMMYFUNCTION("""COMPUTED_VALUE"""),"LinkedIn")</f>
        <v>LinkedIn</v>
      </c>
      <c r="C17" s="26">
        <f>IFERROR(__xludf.DUMMYFUNCTION("""COMPUTED_VALUE"""),2.0)</f>
        <v>2</v>
      </c>
      <c r="D17" s="26">
        <f>IFERROR(__xludf.DUMMYFUNCTION("""COMPUTED_VALUE"""),15.0)</f>
        <v>15</v>
      </c>
      <c r="E17" s="26">
        <f>IFERROR(__xludf.DUMMYFUNCTION("""COMPUTED_VALUE"""),42.0)</f>
        <v>42</v>
      </c>
    </row>
    <row r="18">
      <c r="A18" s="25">
        <f>IFERROR(__xludf.DUMMYFUNCTION("""COMPUTED_VALUE"""),45490.0)</f>
        <v>45490</v>
      </c>
      <c r="B18" s="26" t="str">
        <f>IFERROR(__xludf.DUMMYFUNCTION("""COMPUTED_VALUE"""),"LinkedIn")</f>
        <v>LinkedIn</v>
      </c>
      <c r="C18" s="26">
        <f>IFERROR(__xludf.DUMMYFUNCTION("""COMPUTED_VALUE"""),1.0)</f>
        <v>1</v>
      </c>
      <c r="D18" s="26">
        <f>IFERROR(__xludf.DUMMYFUNCTION("""COMPUTED_VALUE"""),2.0)</f>
        <v>2</v>
      </c>
      <c r="E18" s="26">
        <f>IFERROR(__xludf.DUMMYFUNCTION("""COMPUTED_VALUE"""),37.0)</f>
        <v>37</v>
      </c>
    </row>
    <row r="19">
      <c r="A19" s="25">
        <f>IFERROR(__xludf.DUMMYFUNCTION("""COMPUTED_VALUE"""),45491.0)</f>
        <v>45491</v>
      </c>
      <c r="B19" s="26" t="str">
        <f>IFERROR(__xludf.DUMMYFUNCTION("""COMPUTED_VALUE"""),"LinkedIn")</f>
        <v>LinkedIn</v>
      </c>
      <c r="C19" s="26">
        <f>IFERROR(__xludf.DUMMYFUNCTION("""COMPUTED_VALUE"""),4.0)</f>
        <v>4</v>
      </c>
      <c r="D19" s="26">
        <f>IFERROR(__xludf.DUMMYFUNCTION("""COMPUTED_VALUE"""),4.0)</f>
        <v>4</v>
      </c>
      <c r="E19" s="26">
        <f>IFERROR(__xludf.DUMMYFUNCTION("""COMPUTED_VALUE"""),28.0)</f>
        <v>28</v>
      </c>
    </row>
    <row r="20">
      <c r="A20" s="25">
        <f>IFERROR(__xludf.DUMMYFUNCTION("""COMPUTED_VALUE"""),45492.0)</f>
        <v>45492</v>
      </c>
      <c r="B20" s="26" t="str">
        <f>IFERROR(__xludf.DUMMYFUNCTION("""COMPUTED_VALUE"""),"LinkedIn")</f>
        <v>LinkedIn</v>
      </c>
      <c r="C20" s="26">
        <f>IFERROR(__xludf.DUMMYFUNCTION("""COMPUTED_VALUE"""),0.0)</f>
        <v>0</v>
      </c>
      <c r="D20" s="26">
        <f>IFERROR(__xludf.DUMMYFUNCTION("""COMPUTED_VALUE"""),2.0)</f>
        <v>2</v>
      </c>
      <c r="E20" s="26">
        <f>IFERROR(__xludf.DUMMYFUNCTION("""COMPUTED_VALUE"""),44.0)</f>
        <v>44</v>
      </c>
    </row>
    <row r="21">
      <c r="A21" s="25">
        <f>IFERROR(__xludf.DUMMYFUNCTION("""COMPUTED_VALUE"""),45493.0)</f>
        <v>45493</v>
      </c>
      <c r="B21" s="26" t="str">
        <f>IFERROR(__xludf.DUMMYFUNCTION("""COMPUTED_VALUE"""),"LinkedIn")</f>
        <v>LinkedIn</v>
      </c>
      <c r="C21" s="26">
        <f>IFERROR(__xludf.DUMMYFUNCTION("""COMPUTED_VALUE"""),1.0)</f>
        <v>1</v>
      </c>
      <c r="D21" s="26">
        <f>IFERROR(__xludf.DUMMYFUNCTION("""COMPUTED_VALUE"""),4.0)</f>
        <v>4</v>
      </c>
      <c r="E21" s="26">
        <f>IFERROR(__xludf.DUMMYFUNCTION("""COMPUTED_VALUE"""),70.0)</f>
        <v>70</v>
      </c>
    </row>
    <row r="22">
      <c r="A22" s="25">
        <f>IFERROR(__xludf.DUMMYFUNCTION("""COMPUTED_VALUE"""),45494.0)</f>
        <v>45494</v>
      </c>
      <c r="B22" s="26" t="str">
        <f>IFERROR(__xludf.DUMMYFUNCTION("""COMPUTED_VALUE"""),"LinkedIn")</f>
        <v>LinkedIn</v>
      </c>
      <c r="C22" s="26">
        <f>IFERROR(__xludf.DUMMYFUNCTION("""COMPUTED_VALUE"""),0.0)</f>
        <v>0</v>
      </c>
      <c r="D22" s="26">
        <f>IFERROR(__xludf.DUMMYFUNCTION("""COMPUTED_VALUE"""),1.0)</f>
        <v>1</v>
      </c>
      <c r="E22" s="26">
        <f>IFERROR(__xludf.DUMMYFUNCTION("""COMPUTED_VALUE"""),33.0)</f>
        <v>33</v>
      </c>
    </row>
    <row r="23">
      <c r="A23" s="25">
        <f>IFERROR(__xludf.DUMMYFUNCTION("""COMPUTED_VALUE"""),45495.0)</f>
        <v>45495</v>
      </c>
      <c r="B23" s="26" t="str">
        <f>IFERROR(__xludf.DUMMYFUNCTION("""COMPUTED_VALUE"""),"LinkedIn")</f>
        <v>LinkedIn</v>
      </c>
      <c r="C23" s="26">
        <f>IFERROR(__xludf.DUMMYFUNCTION("""COMPUTED_VALUE"""),2.0)</f>
        <v>2</v>
      </c>
      <c r="D23" s="26">
        <f>IFERROR(__xludf.DUMMYFUNCTION("""COMPUTED_VALUE"""),3.0)</f>
        <v>3</v>
      </c>
      <c r="E23" s="26">
        <f>IFERROR(__xludf.DUMMYFUNCTION("""COMPUTED_VALUE"""),47.0)</f>
        <v>47</v>
      </c>
    </row>
    <row r="24">
      <c r="A24" s="25">
        <f>IFERROR(__xludf.DUMMYFUNCTION("""COMPUTED_VALUE"""),45496.0)</f>
        <v>45496</v>
      </c>
      <c r="B24" s="26" t="str">
        <f>IFERROR(__xludf.DUMMYFUNCTION("""COMPUTED_VALUE"""),"LinkedIn")</f>
        <v>LinkedIn</v>
      </c>
      <c r="C24" s="26">
        <f>IFERROR(__xludf.DUMMYFUNCTION("""COMPUTED_VALUE"""),0.0)</f>
        <v>0</v>
      </c>
      <c r="D24" s="26">
        <f>IFERROR(__xludf.DUMMYFUNCTION("""COMPUTED_VALUE"""),3.0)</f>
        <v>3</v>
      </c>
      <c r="E24" s="26">
        <f>IFERROR(__xludf.DUMMYFUNCTION("""COMPUTED_VALUE"""),36.0)</f>
        <v>36</v>
      </c>
    </row>
    <row r="25">
      <c r="A25" s="25">
        <f>IFERROR(__xludf.DUMMYFUNCTION("""COMPUTED_VALUE"""),45497.0)</f>
        <v>45497</v>
      </c>
      <c r="B25" s="26" t="str">
        <f>IFERROR(__xludf.DUMMYFUNCTION("""COMPUTED_VALUE"""),"LinkedIn")</f>
        <v>LinkedIn</v>
      </c>
      <c r="C25" s="26">
        <f>IFERROR(__xludf.DUMMYFUNCTION("""COMPUTED_VALUE"""),2.0)</f>
        <v>2</v>
      </c>
      <c r="D25" s="26">
        <f>IFERROR(__xludf.DUMMYFUNCTION("""COMPUTED_VALUE"""),12.0)</f>
        <v>12</v>
      </c>
      <c r="E25" s="26">
        <f>IFERROR(__xludf.DUMMYFUNCTION("""COMPUTED_VALUE"""),83.0)</f>
        <v>83</v>
      </c>
    </row>
    <row r="26">
      <c r="A26" s="25">
        <f>IFERROR(__xludf.DUMMYFUNCTION("""COMPUTED_VALUE"""),45498.0)</f>
        <v>45498</v>
      </c>
      <c r="B26" s="26" t="str">
        <f>IFERROR(__xludf.DUMMYFUNCTION("""COMPUTED_VALUE"""),"LinkedIn")</f>
        <v>LinkedIn</v>
      </c>
      <c r="C26" s="26">
        <f>IFERROR(__xludf.DUMMYFUNCTION("""COMPUTED_VALUE"""),0.0)</f>
        <v>0</v>
      </c>
      <c r="D26" s="26">
        <f>IFERROR(__xludf.DUMMYFUNCTION("""COMPUTED_VALUE"""),3.0)</f>
        <v>3</v>
      </c>
      <c r="E26" s="26">
        <f>IFERROR(__xludf.DUMMYFUNCTION("""COMPUTED_VALUE"""),68.0)</f>
        <v>68</v>
      </c>
    </row>
    <row r="27">
      <c r="A27" s="25">
        <f>IFERROR(__xludf.DUMMYFUNCTION("""COMPUTED_VALUE"""),45499.0)</f>
        <v>45499</v>
      </c>
      <c r="B27" s="26" t="str">
        <f>IFERROR(__xludf.DUMMYFUNCTION("""COMPUTED_VALUE"""),"LinkedIn")</f>
        <v>LinkedIn</v>
      </c>
      <c r="C27" s="26">
        <f>IFERROR(__xludf.DUMMYFUNCTION("""COMPUTED_VALUE"""),0.0)</f>
        <v>0</v>
      </c>
      <c r="D27" s="26">
        <f>IFERROR(__xludf.DUMMYFUNCTION("""COMPUTED_VALUE"""),1.0)</f>
        <v>1</v>
      </c>
      <c r="E27" s="26">
        <f>IFERROR(__xludf.DUMMYFUNCTION("""COMPUTED_VALUE"""),40.0)</f>
        <v>40</v>
      </c>
    </row>
    <row r="28">
      <c r="A28" s="25">
        <f>IFERROR(__xludf.DUMMYFUNCTION("""COMPUTED_VALUE"""),45500.0)</f>
        <v>45500</v>
      </c>
      <c r="B28" s="26" t="str">
        <f>IFERROR(__xludf.DUMMYFUNCTION("""COMPUTED_VALUE"""),"LinkedIn")</f>
        <v>LinkedIn</v>
      </c>
      <c r="C28" s="26">
        <f>IFERROR(__xludf.DUMMYFUNCTION("""COMPUTED_VALUE"""),1.0)</f>
        <v>1</v>
      </c>
      <c r="D28" s="26">
        <f>IFERROR(__xludf.DUMMYFUNCTION("""COMPUTED_VALUE"""),0.0)</f>
        <v>0</v>
      </c>
      <c r="E28" s="26">
        <f>IFERROR(__xludf.DUMMYFUNCTION("""COMPUTED_VALUE"""),36.0)</f>
        <v>36</v>
      </c>
    </row>
    <row r="29">
      <c r="A29" s="25">
        <f>IFERROR(__xludf.DUMMYFUNCTION("""COMPUTED_VALUE"""),45501.0)</f>
        <v>45501</v>
      </c>
      <c r="B29" s="26" t="str">
        <f>IFERROR(__xludf.DUMMYFUNCTION("""COMPUTED_VALUE"""),"LinkedIn")</f>
        <v>LinkedIn</v>
      </c>
      <c r="C29" s="26">
        <f>IFERROR(__xludf.DUMMYFUNCTION("""COMPUTED_VALUE"""),0.0)</f>
        <v>0</v>
      </c>
      <c r="D29" s="26">
        <f>IFERROR(__xludf.DUMMYFUNCTION("""COMPUTED_VALUE"""),2.0)</f>
        <v>2</v>
      </c>
      <c r="E29" s="26">
        <f>IFERROR(__xludf.DUMMYFUNCTION("""COMPUTED_VALUE"""),15.0)</f>
        <v>15</v>
      </c>
    </row>
    <row r="30">
      <c r="A30" s="25">
        <f>IFERROR(__xludf.DUMMYFUNCTION("""COMPUTED_VALUE"""),45502.0)</f>
        <v>45502</v>
      </c>
      <c r="B30" s="26" t="str">
        <f>IFERROR(__xludf.DUMMYFUNCTION("""COMPUTED_VALUE"""),"LinkedIn")</f>
        <v>LinkedIn</v>
      </c>
      <c r="C30" s="26">
        <f>IFERROR(__xludf.DUMMYFUNCTION("""COMPUTED_VALUE"""),0.0)</f>
        <v>0</v>
      </c>
      <c r="D30" s="26">
        <f>IFERROR(__xludf.DUMMYFUNCTION("""COMPUTED_VALUE"""),2.0)</f>
        <v>2</v>
      </c>
      <c r="E30" s="26">
        <f>IFERROR(__xludf.DUMMYFUNCTION("""COMPUTED_VALUE"""),28.0)</f>
        <v>28</v>
      </c>
    </row>
    <row r="31">
      <c r="A31" s="25">
        <f>IFERROR(__xludf.DUMMYFUNCTION("""COMPUTED_VALUE"""),45503.0)</f>
        <v>45503</v>
      </c>
      <c r="B31" s="26" t="str">
        <f>IFERROR(__xludf.DUMMYFUNCTION("""COMPUTED_VALUE"""),"LinkedIn")</f>
        <v>LinkedIn</v>
      </c>
      <c r="C31" s="26">
        <f>IFERROR(__xludf.DUMMYFUNCTION("""COMPUTED_VALUE"""),3.0)</f>
        <v>3</v>
      </c>
      <c r="D31" s="26">
        <f>IFERROR(__xludf.DUMMYFUNCTION("""COMPUTED_VALUE"""),2.0)</f>
        <v>2</v>
      </c>
      <c r="E31" s="26">
        <f>IFERROR(__xludf.DUMMYFUNCTION("""COMPUTED_VALUE"""),20.0)</f>
        <v>20</v>
      </c>
    </row>
    <row r="32">
      <c r="A32" s="25">
        <f>IFERROR(__xludf.DUMMYFUNCTION("""COMPUTED_VALUE"""),45504.0)</f>
        <v>45504</v>
      </c>
      <c r="B32" s="26" t="str">
        <f>IFERROR(__xludf.DUMMYFUNCTION("""COMPUTED_VALUE"""),"LinkedIn")</f>
        <v>LinkedIn</v>
      </c>
      <c r="C32" s="26">
        <f>IFERROR(__xludf.DUMMYFUNCTION("""COMPUTED_VALUE"""),2.0)</f>
        <v>2</v>
      </c>
      <c r="D32" s="26">
        <f>IFERROR(__xludf.DUMMYFUNCTION("""COMPUTED_VALUE"""),12.0)</f>
        <v>12</v>
      </c>
      <c r="E32" s="26">
        <f>IFERROR(__xludf.DUMMYFUNCTION("""COMPUTED_VALUE"""),156.0)</f>
        <v>156</v>
      </c>
    </row>
    <row r="33">
      <c r="A33" s="25">
        <f>IFERROR(__xludf.DUMMYFUNCTION("""COMPUTED_VALUE"""),45505.0)</f>
        <v>45505</v>
      </c>
      <c r="B33" s="26" t="str">
        <f>IFERROR(__xludf.DUMMYFUNCTION("""COMPUTED_VALUE"""),"LinkedIn")</f>
        <v>LinkedIn</v>
      </c>
      <c r="C33" s="26">
        <f>IFERROR(__xludf.DUMMYFUNCTION("""COMPUTED_VALUE"""),1.0)</f>
        <v>1</v>
      </c>
      <c r="D33" s="26">
        <f>IFERROR(__xludf.DUMMYFUNCTION("""COMPUTED_VALUE"""),1.0)</f>
        <v>1</v>
      </c>
      <c r="E33" s="26">
        <f>IFERROR(__xludf.DUMMYFUNCTION("""COMPUTED_VALUE"""),34.0)</f>
        <v>34</v>
      </c>
    </row>
    <row r="34">
      <c r="A34" s="25">
        <f>IFERROR(__xludf.DUMMYFUNCTION("""COMPUTED_VALUE"""),45506.0)</f>
        <v>45506</v>
      </c>
      <c r="B34" s="26" t="str">
        <f>IFERROR(__xludf.DUMMYFUNCTION("""COMPUTED_VALUE"""),"LinkedIn")</f>
        <v>LinkedIn</v>
      </c>
      <c r="C34" s="26">
        <f>IFERROR(__xludf.DUMMYFUNCTION("""COMPUTED_VALUE"""),0.0)</f>
        <v>0</v>
      </c>
      <c r="D34" s="26">
        <f>IFERROR(__xludf.DUMMYFUNCTION("""COMPUTED_VALUE"""),7.0)</f>
        <v>7</v>
      </c>
      <c r="E34" s="26">
        <f>IFERROR(__xludf.DUMMYFUNCTION("""COMPUTED_VALUE"""),42.0)</f>
        <v>42</v>
      </c>
    </row>
    <row r="35">
      <c r="A35" s="25">
        <f>IFERROR(__xludf.DUMMYFUNCTION("""COMPUTED_VALUE"""),45507.0)</f>
        <v>45507</v>
      </c>
      <c r="B35" s="26" t="str">
        <f>IFERROR(__xludf.DUMMYFUNCTION("""COMPUTED_VALUE"""),"LinkedIn")</f>
        <v>LinkedIn</v>
      </c>
      <c r="C35" s="26">
        <f>IFERROR(__xludf.DUMMYFUNCTION("""COMPUTED_VALUE"""),0.0)</f>
        <v>0</v>
      </c>
      <c r="D35" s="26">
        <f>IFERROR(__xludf.DUMMYFUNCTION("""COMPUTED_VALUE"""),3.0)</f>
        <v>3</v>
      </c>
      <c r="E35" s="26">
        <f>IFERROR(__xludf.DUMMYFUNCTION("""COMPUTED_VALUE"""),30.0)</f>
        <v>30</v>
      </c>
    </row>
    <row r="36">
      <c r="A36" s="25">
        <f>IFERROR(__xludf.DUMMYFUNCTION("""COMPUTED_VALUE"""),45508.0)</f>
        <v>45508</v>
      </c>
      <c r="B36" s="26" t="str">
        <f>IFERROR(__xludf.DUMMYFUNCTION("""COMPUTED_VALUE"""),"LinkedIn")</f>
        <v>LinkedIn</v>
      </c>
      <c r="C36" s="26">
        <f>IFERROR(__xludf.DUMMYFUNCTION("""COMPUTED_VALUE"""),0.0)</f>
        <v>0</v>
      </c>
      <c r="D36" s="26">
        <f>IFERROR(__xludf.DUMMYFUNCTION("""COMPUTED_VALUE"""),3.0)</f>
        <v>3</v>
      </c>
      <c r="E36" s="26">
        <f>IFERROR(__xludf.DUMMYFUNCTION("""COMPUTED_VALUE"""),19.0)</f>
        <v>19</v>
      </c>
    </row>
    <row r="37">
      <c r="A37" s="25">
        <f>IFERROR(__xludf.DUMMYFUNCTION("""COMPUTED_VALUE"""),45509.0)</f>
        <v>45509</v>
      </c>
      <c r="B37" s="26" t="str">
        <f>IFERROR(__xludf.DUMMYFUNCTION("""COMPUTED_VALUE"""),"LinkedIn")</f>
        <v>LinkedIn</v>
      </c>
      <c r="C37" s="26">
        <f>IFERROR(__xludf.DUMMYFUNCTION("""COMPUTED_VALUE"""),1.0)</f>
        <v>1</v>
      </c>
      <c r="D37" s="26">
        <f>IFERROR(__xludf.DUMMYFUNCTION("""COMPUTED_VALUE"""),0.0)</f>
        <v>0</v>
      </c>
      <c r="E37" s="26">
        <f>IFERROR(__xludf.DUMMYFUNCTION("""COMPUTED_VALUE"""),30.0)</f>
        <v>30</v>
      </c>
    </row>
    <row r="38">
      <c r="A38" s="25">
        <f>IFERROR(__xludf.DUMMYFUNCTION("""COMPUTED_VALUE"""),45510.0)</f>
        <v>45510</v>
      </c>
      <c r="B38" s="26" t="str">
        <f>IFERROR(__xludf.DUMMYFUNCTION("""COMPUTED_VALUE"""),"LinkedIn")</f>
        <v>LinkedIn</v>
      </c>
      <c r="C38" s="26">
        <f>IFERROR(__xludf.DUMMYFUNCTION("""COMPUTED_VALUE"""),0.0)</f>
        <v>0</v>
      </c>
      <c r="D38" s="26">
        <f>IFERROR(__xludf.DUMMYFUNCTION("""COMPUTED_VALUE"""),3.0)</f>
        <v>3</v>
      </c>
      <c r="E38" s="26">
        <f>IFERROR(__xludf.DUMMYFUNCTION("""COMPUTED_VALUE"""),18.0)</f>
        <v>18</v>
      </c>
    </row>
    <row r="39">
      <c r="A39" s="25">
        <f>IFERROR(__xludf.DUMMYFUNCTION("""COMPUTED_VALUE"""),45511.0)</f>
        <v>45511</v>
      </c>
      <c r="B39" s="26" t="str">
        <f>IFERROR(__xludf.DUMMYFUNCTION("""COMPUTED_VALUE"""),"LinkedIn")</f>
        <v>LinkedIn</v>
      </c>
      <c r="C39" s="26">
        <f>IFERROR(__xludf.DUMMYFUNCTION("""COMPUTED_VALUE"""),2.0)</f>
        <v>2</v>
      </c>
      <c r="D39" s="26">
        <f>IFERROR(__xludf.DUMMYFUNCTION("""COMPUTED_VALUE"""),5.0)</f>
        <v>5</v>
      </c>
      <c r="E39" s="26">
        <f>IFERROR(__xludf.DUMMYFUNCTION("""COMPUTED_VALUE"""),133.0)</f>
        <v>133</v>
      </c>
    </row>
    <row r="40">
      <c r="A40" s="25">
        <f>IFERROR(__xludf.DUMMYFUNCTION("""COMPUTED_VALUE"""),45512.0)</f>
        <v>45512</v>
      </c>
      <c r="B40" s="26" t="str">
        <f>IFERROR(__xludf.DUMMYFUNCTION("""COMPUTED_VALUE"""),"LinkedIn")</f>
        <v>LinkedIn</v>
      </c>
      <c r="C40" s="26">
        <f>IFERROR(__xludf.DUMMYFUNCTION("""COMPUTED_VALUE"""),-1.0)</f>
        <v>-1</v>
      </c>
      <c r="D40" s="26">
        <f>IFERROR(__xludf.DUMMYFUNCTION("""COMPUTED_VALUE"""),4.0)</f>
        <v>4</v>
      </c>
      <c r="E40" s="26">
        <f>IFERROR(__xludf.DUMMYFUNCTION("""COMPUTED_VALUE"""),49.0)</f>
        <v>49</v>
      </c>
    </row>
    <row r="41">
      <c r="A41" s="25">
        <f>IFERROR(__xludf.DUMMYFUNCTION("""COMPUTED_VALUE"""),45513.0)</f>
        <v>45513</v>
      </c>
      <c r="B41" s="26" t="str">
        <f>IFERROR(__xludf.DUMMYFUNCTION("""COMPUTED_VALUE"""),"LinkedIn")</f>
        <v>LinkedIn</v>
      </c>
      <c r="C41" s="26">
        <f>IFERROR(__xludf.DUMMYFUNCTION("""COMPUTED_VALUE"""),3.0)</f>
        <v>3</v>
      </c>
      <c r="D41" s="26">
        <f>IFERROR(__xludf.DUMMYFUNCTION("""COMPUTED_VALUE"""),3.0)</f>
        <v>3</v>
      </c>
      <c r="E41" s="26">
        <f>IFERROR(__xludf.DUMMYFUNCTION("""COMPUTED_VALUE"""),34.0)</f>
        <v>34</v>
      </c>
    </row>
    <row r="42">
      <c r="A42" s="25">
        <f>IFERROR(__xludf.DUMMYFUNCTION("""COMPUTED_VALUE"""),45514.0)</f>
        <v>45514</v>
      </c>
      <c r="B42" s="26" t="str">
        <f>IFERROR(__xludf.DUMMYFUNCTION("""COMPUTED_VALUE"""),"LinkedIn")</f>
        <v>LinkedIn</v>
      </c>
      <c r="C42" s="26">
        <f>IFERROR(__xludf.DUMMYFUNCTION("""COMPUTED_VALUE"""),0.0)</f>
        <v>0</v>
      </c>
      <c r="D42" s="26">
        <f>IFERROR(__xludf.DUMMYFUNCTION("""COMPUTED_VALUE"""),13.0)</f>
        <v>13</v>
      </c>
      <c r="E42" s="26">
        <f>IFERROR(__xludf.DUMMYFUNCTION("""COMPUTED_VALUE"""),182.0)</f>
        <v>182</v>
      </c>
    </row>
    <row r="43">
      <c r="A43" s="25">
        <f>IFERROR(__xludf.DUMMYFUNCTION("""COMPUTED_VALUE"""),45515.0)</f>
        <v>45515</v>
      </c>
      <c r="B43" s="26" t="str">
        <f>IFERROR(__xludf.DUMMYFUNCTION("""COMPUTED_VALUE"""),"LinkedIn")</f>
        <v>LinkedIn</v>
      </c>
      <c r="C43" s="26">
        <f>IFERROR(__xludf.DUMMYFUNCTION("""COMPUTED_VALUE"""),-1.0)</f>
        <v>-1</v>
      </c>
      <c r="D43" s="26">
        <f>IFERROR(__xludf.DUMMYFUNCTION("""COMPUTED_VALUE"""),4.0)</f>
        <v>4</v>
      </c>
      <c r="E43" s="26">
        <f>IFERROR(__xludf.DUMMYFUNCTION("""COMPUTED_VALUE"""),44.0)</f>
        <v>44</v>
      </c>
    </row>
    <row r="44">
      <c r="A44" s="25">
        <f>IFERROR(__xludf.DUMMYFUNCTION("""COMPUTED_VALUE"""),45516.0)</f>
        <v>45516</v>
      </c>
      <c r="B44" s="26" t="str">
        <f>IFERROR(__xludf.DUMMYFUNCTION("""COMPUTED_VALUE"""),"LinkedIn")</f>
        <v>LinkedIn</v>
      </c>
      <c r="C44" s="26">
        <f>IFERROR(__xludf.DUMMYFUNCTION("""COMPUTED_VALUE"""),2.0)</f>
        <v>2</v>
      </c>
      <c r="D44" s="26">
        <f>IFERROR(__xludf.DUMMYFUNCTION("""COMPUTED_VALUE"""),7.0)</f>
        <v>7</v>
      </c>
      <c r="E44" s="26">
        <f>IFERROR(__xludf.DUMMYFUNCTION("""COMPUTED_VALUE"""),67.0)</f>
        <v>67</v>
      </c>
    </row>
    <row r="45">
      <c r="A45" s="25">
        <f>IFERROR(__xludf.DUMMYFUNCTION("""COMPUTED_VALUE"""),45517.0)</f>
        <v>45517</v>
      </c>
      <c r="B45" s="26" t="str">
        <f>IFERROR(__xludf.DUMMYFUNCTION("""COMPUTED_VALUE"""),"LinkedIn")</f>
        <v>LinkedIn</v>
      </c>
      <c r="C45" s="26">
        <f>IFERROR(__xludf.DUMMYFUNCTION("""COMPUTED_VALUE"""),0.0)</f>
        <v>0</v>
      </c>
      <c r="D45" s="26">
        <f>IFERROR(__xludf.DUMMYFUNCTION("""COMPUTED_VALUE"""),5.0)</f>
        <v>5</v>
      </c>
      <c r="E45" s="26">
        <f>IFERROR(__xludf.DUMMYFUNCTION("""COMPUTED_VALUE"""),106.0)</f>
        <v>106</v>
      </c>
    </row>
    <row r="46">
      <c r="A46" s="25">
        <f>IFERROR(__xludf.DUMMYFUNCTION("""COMPUTED_VALUE"""),45518.0)</f>
        <v>45518</v>
      </c>
      <c r="B46" s="26" t="str">
        <f>IFERROR(__xludf.DUMMYFUNCTION("""COMPUTED_VALUE"""),"LinkedIn")</f>
        <v>LinkedIn</v>
      </c>
      <c r="C46" s="26">
        <f>IFERROR(__xludf.DUMMYFUNCTION("""COMPUTED_VALUE"""),1.0)</f>
        <v>1</v>
      </c>
      <c r="D46" s="26">
        <f>IFERROR(__xludf.DUMMYFUNCTION("""COMPUTED_VALUE"""),6.0)</f>
        <v>6</v>
      </c>
      <c r="E46" s="26">
        <f>IFERROR(__xludf.DUMMYFUNCTION("""COMPUTED_VALUE"""),89.0)</f>
        <v>89</v>
      </c>
    </row>
    <row r="47">
      <c r="A47" s="25">
        <f>IFERROR(__xludf.DUMMYFUNCTION("""COMPUTED_VALUE"""),45519.0)</f>
        <v>45519</v>
      </c>
      <c r="B47" s="26" t="str">
        <f>IFERROR(__xludf.DUMMYFUNCTION("""COMPUTED_VALUE"""),"LinkedIn")</f>
        <v>LinkedIn</v>
      </c>
      <c r="C47" s="26">
        <f>IFERROR(__xludf.DUMMYFUNCTION("""COMPUTED_VALUE"""),0.0)</f>
        <v>0</v>
      </c>
      <c r="D47" s="26">
        <f>IFERROR(__xludf.DUMMYFUNCTION("""COMPUTED_VALUE"""),13.0)</f>
        <v>13</v>
      </c>
      <c r="E47" s="26">
        <f>IFERROR(__xludf.DUMMYFUNCTION("""COMPUTED_VALUE"""),142.0)</f>
        <v>142</v>
      </c>
    </row>
    <row r="48">
      <c r="A48" s="25">
        <f>IFERROR(__xludf.DUMMYFUNCTION("""COMPUTED_VALUE"""),45520.0)</f>
        <v>45520</v>
      </c>
      <c r="B48" s="26" t="str">
        <f>IFERROR(__xludf.DUMMYFUNCTION("""COMPUTED_VALUE"""),"LinkedIn")</f>
        <v>LinkedIn</v>
      </c>
      <c r="C48" s="26">
        <f>IFERROR(__xludf.DUMMYFUNCTION("""COMPUTED_VALUE"""),5.0)</f>
        <v>5</v>
      </c>
      <c r="D48" s="26">
        <f>IFERROR(__xludf.DUMMYFUNCTION("""COMPUTED_VALUE"""),21.0)</f>
        <v>21</v>
      </c>
      <c r="E48" s="26">
        <f>IFERROR(__xludf.DUMMYFUNCTION("""COMPUTED_VALUE"""),181.0)</f>
        <v>181</v>
      </c>
    </row>
    <row r="49">
      <c r="A49" s="25">
        <f>IFERROR(__xludf.DUMMYFUNCTION("""COMPUTED_VALUE"""),45521.0)</f>
        <v>45521</v>
      </c>
      <c r="B49" s="26" t="str">
        <f>IFERROR(__xludf.DUMMYFUNCTION("""COMPUTED_VALUE"""),"LinkedIn")</f>
        <v>LinkedIn</v>
      </c>
      <c r="C49" s="26">
        <f>IFERROR(__xludf.DUMMYFUNCTION("""COMPUTED_VALUE"""),0.0)</f>
        <v>0</v>
      </c>
      <c r="D49" s="26">
        <f>IFERROR(__xludf.DUMMYFUNCTION("""COMPUTED_VALUE"""),11.0)</f>
        <v>11</v>
      </c>
      <c r="E49" s="26">
        <f>IFERROR(__xludf.DUMMYFUNCTION("""COMPUTED_VALUE"""),100.0)</f>
        <v>100</v>
      </c>
    </row>
    <row r="50">
      <c r="A50" s="25">
        <f>IFERROR(__xludf.DUMMYFUNCTION("""COMPUTED_VALUE"""),45522.0)</f>
        <v>45522</v>
      </c>
      <c r="B50" s="26" t="str">
        <f>IFERROR(__xludf.DUMMYFUNCTION("""COMPUTED_VALUE"""),"LinkedIn")</f>
        <v>LinkedIn</v>
      </c>
      <c r="C50" s="26">
        <f>IFERROR(__xludf.DUMMYFUNCTION("""COMPUTED_VALUE"""),0.0)</f>
        <v>0</v>
      </c>
      <c r="D50" s="26">
        <f>IFERROR(__xludf.DUMMYFUNCTION("""COMPUTED_VALUE"""),7.0)</f>
        <v>7</v>
      </c>
      <c r="E50" s="26">
        <f>IFERROR(__xludf.DUMMYFUNCTION("""COMPUTED_VALUE"""),40.0)</f>
        <v>40</v>
      </c>
    </row>
    <row r="51">
      <c r="A51" s="25">
        <f>IFERROR(__xludf.DUMMYFUNCTION("""COMPUTED_VALUE"""),45523.0)</f>
        <v>45523</v>
      </c>
      <c r="B51" s="26" t="str">
        <f>IFERROR(__xludf.DUMMYFUNCTION("""COMPUTED_VALUE"""),"LinkedIn")</f>
        <v>LinkedIn</v>
      </c>
      <c r="C51" s="26">
        <f>IFERROR(__xludf.DUMMYFUNCTION("""COMPUTED_VALUE"""),3.0)</f>
        <v>3</v>
      </c>
      <c r="D51" s="26">
        <f>IFERROR(__xludf.DUMMYFUNCTION("""COMPUTED_VALUE"""),4.0)</f>
        <v>4</v>
      </c>
      <c r="E51" s="26">
        <f>IFERROR(__xludf.DUMMYFUNCTION("""COMPUTED_VALUE"""),55.0)</f>
        <v>55</v>
      </c>
    </row>
    <row r="52">
      <c r="A52" s="25">
        <f>IFERROR(__xludf.DUMMYFUNCTION("""COMPUTED_VALUE"""),45524.0)</f>
        <v>45524</v>
      </c>
      <c r="B52" s="26" t="str">
        <f>IFERROR(__xludf.DUMMYFUNCTION("""COMPUTED_VALUE"""),"LinkedIn")</f>
        <v>LinkedIn</v>
      </c>
      <c r="C52" s="26">
        <f>IFERROR(__xludf.DUMMYFUNCTION("""COMPUTED_VALUE"""),0.0)</f>
        <v>0</v>
      </c>
      <c r="D52" s="26">
        <f>IFERROR(__xludf.DUMMYFUNCTION("""COMPUTED_VALUE"""),11.0)</f>
        <v>11</v>
      </c>
      <c r="E52" s="26">
        <f>IFERROR(__xludf.DUMMYFUNCTION("""COMPUTED_VALUE"""),72.0)</f>
        <v>72</v>
      </c>
    </row>
    <row r="53">
      <c r="A53" s="25">
        <f>IFERROR(__xludf.DUMMYFUNCTION("""COMPUTED_VALUE"""),45525.0)</f>
        <v>45525</v>
      </c>
      <c r="B53" s="26" t="str">
        <f>IFERROR(__xludf.DUMMYFUNCTION("""COMPUTED_VALUE"""),"LinkedIn")</f>
        <v>LinkedIn</v>
      </c>
      <c r="C53" s="26">
        <f>IFERROR(__xludf.DUMMYFUNCTION("""COMPUTED_VALUE"""),3.0)</f>
        <v>3</v>
      </c>
      <c r="D53" s="26">
        <f>IFERROR(__xludf.DUMMYFUNCTION("""COMPUTED_VALUE"""),27.0)</f>
        <v>27</v>
      </c>
      <c r="E53" s="26">
        <f>IFERROR(__xludf.DUMMYFUNCTION("""COMPUTED_VALUE"""),152.0)</f>
        <v>152</v>
      </c>
    </row>
    <row r="54">
      <c r="A54" s="25">
        <f>IFERROR(__xludf.DUMMYFUNCTION("""COMPUTED_VALUE"""),45526.0)</f>
        <v>45526</v>
      </c>
      <c r="B54" s="26" t="str">
        <f>IFERROR(__xludf.DUMMYFUNCTION("""COMPUTED_VALUE"""),"LinkedIn")</f>
        <v>LinkedIn</v>
      </c>
      <c r="C54" s="26">
        <f>IFERROR(__xludf.DUMMYFUNCTION("""COMPUTED_VALUE"""),0.0)</f>
        <v>0</v>
      </c>
      <c r="D54" s="26">
        <f>IFERROR(__xludf.DUMMYFUNCTION("""COMPUTED_VALUE"""),20.0)</f>
        <v>20</v>
      </c>
      <c r="E54" s="26">
        <f>IFERROR(__xludf.DUMMYFUNCTION("""COMPUTED_VALUE"""),125.0)</f>
        <v>125</v>
      </c>
    </row>
    <row r="55">
      <c r="A55" s="25">
        <f>IFERROR(__xludf.DUMMYFUNCTION("""COMPUTED_VALUE"""),45527.0)</f>
        <v>45527</v>
      </c>
      <c r="B55" s="26" t="str">
        <f>IFERROR(__xludf.DUMMYFUNCTION("""COMPUTED_VALUE"""),"LinkedIn")</f>
        <v>LinkedIn</v>
      </c>
      <c r="C55" s="26">
        <f>IFERROR(__xludf.DUMMYFUNCTION("""COMPUTED_VALUE"""),-1.0)</f>
        <v>-1</v>
      </c>
      <c r="D55" s="26">
        <f>IFERROR(__xludf.DUMMYFUNCTION("""COMPUTED_VALUE"""),28.0)</f>
        <v>28</v>
      </c>
      <c r="E55" s="26">
        <f>IFERROR(__xludf.DUMMYFUNCTION("""COMPUTED_VALUE"""),168.0)</f>
        <v>168</v>
      </c>
    </row>
    <row r="56">
      <c r="A56" s="25">
        <f>IFERROR(__xludf.DUMMYFUNCTION("""COMPUTED_VALUE"""),45528.0)</f>
        <v>45528</v>
      </c>
      <c r="B56" s="26" t="str">
        <f>IFERROR(__xludf.DUMMYFUNCTION("""COMPUTED_VALUE"""),"LinkedIn")</f>
        <v>LinkedIn</v>
      </c>
      <c r="C56" s="26">
        <f>IFERROR(__xludf.DUMMYFUNCTION("""COMPUTED_VALUE"""),0.0)</f>
        <v>0</v>
      </c>
      <c r="D56" s="26">
        <f>IFERROR(__xludf.DUMMYFUNCTION("""COMPUTED_VALUE"""),8.0)</f>
        <v>8</v>
      </c>
      <c r="E56" s="26">
        <f>IFERROR(__xludf.DUMMYFUNCTION("""COMPUTED_VALUE"""),92.0)</f>
        <v>92</v>
      </c>
    </row>
    <row r="57">
      <c r="A57" s="25">
        <f>IFERROR(__xludf.DUMMYFUNCTION("""COMPUTED_VALUE"""),45529.0)</f>
        <v>45529</v>
      </c>
      <c r="B57" s="26" t="str">
        <f>IFERROR(__xludf.DUMMYFUNCTION("""COMPUTED_VALUE"""),"LinkedIn")</f>
        <v>LinkedIn</v>
      </c>
      <c r="C57" s="26">
        <f>IFERROR(__xludf.DUMMYFUNCTION("""COMPUTED_VALUE"""),2.0)</f>
        <v>2</v>
      </c>
      <c r="D57" s="26">
        <f>IFERROR(__xludf.DUMMYFUNCTION("""COMPUTED_VALUE"""),8.0)</f>
        <v>8</v>
      </c>
      <c r="E57" s="26">
        <f>IFERROR(__xludf.DUMMYFUNCTION("""COMPUTED_VALUE"""),69.0)</f>
        <v>69</v>
      </c>
    </row>
    <row r="58">
      <c r="A58" s="25">
        <f>IFERROR(__xludf.DUMMYFUNCTION("""COMPUTED_VALUE"""),45530.0)</f>
        <v>45530</v>
      </c>
      <c r="B58" s="26" t="str">
        <f>IFERROR(__xludf.DUMMYFUNCTION("""COMPUTED_VALUE"""),"LinkedIn")</f>
        <v>LinkedIn</v>
      </c>
      <c r="C58" s="26">
        <f>IFERROR(__xludf.DUMMYFUNCTION("""COMPUTED_VALUE"""),1.0)</f>
        <v>1</v>
      </c>
      <c r="D58" s="26">
        <f>IFERROR(__xludf.DUMMYFUNCTION("""COMPUTED_VALUE"""),2.0)</f>
        <v>2</v>
      </c>
      <c r="E58" s="26">
        <f>IFERROR(__xludf.DUMMYFUNCTION("""COMPUTED_VALUE"""),61.0)</f>
        <v>61</v>
      </c>
    </row>
    <row r="59">
      <c r="A59" s="25">
        <f>IFERROR(__xludf.DUMMYFUNCTION("""COMPUTED_VALUE"""),45531.0)</f>
        <v>45531</v>
      </c>
      <c r="B59" s="26" t="str">
        <f>IFERROR(__xludf.DUMMYFUNCTION("""COMPUTED_VALUE"""),"LinkedIn")</f>
        <v>LinkedIn</v>
      </c>
      <c r="C59" s="26">
        <f>IFERROR(__xludf.DUMMYFUNCTION("""COMPUTED_VALUE"""),1.0)</f>
        <v>1</v>
      </c>
      <c r="D59" s="26">
        <f>IFERROR(__xludf.DUMMYFUNCTION("""COMPUTED_VALUE"""),4.0)</f>
        <v>4</v>
      </c>
      <c r="E59" s="26">
        <f>IFERROR(__xludf.DUMMYFUNCTION("""COMPUTED_VALUE"""),60.0)</f>
        <v>60</v>
      </c>
    </row>
    <row r="60">
      <c r="A60" s="25">
        <f>IFERROR(__xludf.DUMMYFUNCTION("""COMPUTED_VALUE"""),45532.0)</f>
        <v>45532</v>
      </c>
      <c r="B60" s="26" t="str">
        <f>IFERROR(__xludf.DUMMYFUNCTION("""COMPUTED_VALUE"""),"LinkedIn")</f>
        <v>LinkedIn</v>
      </c>
      <c r="C60" s="26">
        <f>IFERROR(__xludf.DUMMYFUNCTION("""COMPUTED_VALUE"""),0.0)</f>
        <v>0</v>
      </c>
      <c r="D60" s="26">
        <f>IFERROR(__xludf.DUMMYFUNCTION("""COMPUTED_VALUE"""),18.0)</f>
        <v>18</v>
      </c>
      <c r="E60" s="26">
        <f>IFERROR(__xludf.DUMMYFUNCTION("""COMPUTED_VALUE"""),109.0)</f>
        <v>109</v>
      </c>
    </row>
    <row r="61">
      <c r="A61" s="25">
        <f>IFERROR(__xludf.DUMMYFUNCTION("""COMPUTED_VALUE"""),45533.0)</f>
        <v>45533</v>
      </c>
      <c r="B61" s="26" t="str">
        <f>IFERROR(__xludf.DUMMYFUNCTION("""COMPUTED_VALUE"""),"LinkedIn")</f>
        <v>LinkedIn</v>
      </c>
      <c r="C61" s="26">
        <f>IFERROR(__xludf.DUMMYFUNCTION("""COMPUTED_VALUE"""),0.0)</f>
        <v>0</v>
      </c>
      <c r="D61" s="26">
        <f>IFERROR(__xludf.DUMMYFUNCTION("""COMPUTED_VALUE"""),12.0)</f>
        <v>12</v>
      </c>
      <c r="E61" s="26">
        <f>IFERROR(__xludf.DUMMYFUNCTION("""COMPUTED_VALUE"""),107.0)</f>
        <v>107</v>
      </c>
    </row>
    <row r="62">
      <c r="A62" s="25">
        <f>IFERROR(__xludf.DUMMYFUNCTION("""COMPUTED_VALUE"""),45534.0)</f>
        <v>45534</v>
      </c>
      <c r="B62" s="26" t="str">
        <f>IFERROR(__xludf.DUMMYFUNCTION("""COMPUTED_VALUE"""),"LinkedIn")</f>
        <v>LinkedIn</v>
      </c>
      <c r="C62" s="26">
        <f>IFERROR(__xludf.DUMMYFUNCTION("""COMPUTED_VALUE"""),2.0)</f>
        <v>2</v>
      </c>
      <c r="D62" s="26">
        <f>IFERROR(__xludf.DUMMYFUNCTION("""COMPUTED_VALUE"""),12.0)</f>
        <v>12</v>
      </c>
      <c r="E62" s="26">
        <f>IFERROR(__xludf.DUMMYFUNCTION("""COMPUTED_VALUE"""),119.0)</f>
        <v>119</v>
      </c>
    </row>
    <row r="63">
      <c r="A63" s="25">
        <f>IFERROR(__xludf.DUMMYFUNCTION("""COMPUTED_VALUE"""),45535.0)</f>
        <v>45535</v>
      </c>
      <c r="B63" s="26" t="str">
        <f>IFERROR(__xludf.DUMMYFUNCTION("""COMPUTED_VALUE"""),"LinkedIn")</f>
        <v>LinkedIn</v>
      </c>
      <c r="C63" s="26">
        <f>IFERROR(__xludf.DUMMYFUNCTION("""COMPUTED_VALUE"""),0.0)</f>
        <v>0</v>
      </c>
      <c r="D63" s="26">
        <f>IFERROR(__xludf.DUMMYFUNCTION("""COMPUTED_VALUE"""),10.0)</f>
        <v>10</v>
      </c>
      <c r="E63" s="26">
        <f>IFERROR(__xludf.DUMMYFUNCTION("""COMPUTED_VALUE"""),74.0)</f>
        <v>74</v>
      </c>
    </row>
    <row r="64">
      <c r="A64" s="25">
        <f>IFERROR(__xludf.DUMMYFUNCTION("""COMPUTED_VALUE"""),45536.0)</f>
        <v>45536</v>
      </c>
      <c r="B64" s="26" t="str">
        <f>IFERROR(__xludf.DUMMYFUNCTION("""COMPUTED_VALUE"""),"LinkedIn")</f>
        <v>LinkedIn</v>
      </c>
      <c r="C64" s="26">
        <f>IFERROR(__xludf.DUMMYFUNCTION("""COMPUTED_VALUE"""),0.0)</f>
        <v>0</v>
      </c>
      <c r="D64" s="26">
        <f>IFERROR(__xludf.DUMMYFUNCTION("""COMPUTED_VALUE"""),2.0)</f>
        <v>2</v>
      </c>
      <c r="E64" s="26">
        <f>IFERROR(__xludf.DUMMYFUNCTION("""COMPUTED_VALUE"""),28.0)</f>
        <v>28</v>
      </c>
    </row>
    <row r="65">
      <c r="A65" s="25">
        <f>IFERROR(__xludf.DUMMYFUNCTION("""COMPUTED_VALUE"""),45537.0)</f>
        <v>45537</v>
      </c>
      <c r="B65" s="26" t="str">
        <f>IFERROR(__xludf.DUMMYFUNCTION("""COMPUTED_VALUE"""),"LinkedIn")</f>
        <v>LinkedIn</v>
      </c>
      <c r="C65" s="26">
        <f>IFERROR(__xludf.DUMMYFUNCTION("""COMPUTED_VALUE"""),1.0)</f>
        <v>1</v>
      </c>
      <c r="D65" s="26">
        <f>IFERROR(__xludf.DUMMYFUNCTION("""COMPUTED_VALUE"""),4.0)</f>
        <v>4</v>
      </c>
      <c r="E65" s="26">
        <f>IFERROR(__xludf.DUMMYFUNCTION("""COMPUTED_VALUE"""),36.0)</f>
        <v>36</v>
      </c>
    </row>
    <row r="66">
      <c r="A66" s="25">
        <f>IFERROR(__xludf.DUMMYFUNCTION("""COMPUTED_VALUE"""),45538.0)</f>
        <v>45538</v>
      </c>
      <c r="B66" s="26" t="str">
        <f>IFERROR(__xludf.DUMMYFUNCTION("""COMPUTED_VALUE"""),"LinkedIn")</f>
        <v>LinkedIn</v>
      </c>
      <c r="C66" s="26">
        <f>IFERROR(__xludf.DUMMYFUNCTION("""COMPUTED_VALUE"""),1.0)</f>
        <v>1</v>
      </c>
      <c r="D66" s="26">
        <f>IFERROR(__xludf.DUMMYFUNCTION("""COMPUTED_VALUE"""),26.0)</f>
        <v>26</v>
      </c>
      <c r="E66" s="26">
        <f>IFERROR(__xludf.DUMMYFUNCTION("""COMPUTED_VALUE"""),144.0)</f>
        <v>144</v>
      </c>
    </row>
    <row r="67">
      <c r="A67" s="25">
        <f>IFERROR(__xludf.DUMMYFUNCTION("""COMPUTED_VALUE"""),45539.0)</f>
        <v>45539</v>
      </c>
      <c r="B67" s="26" t="str">
        <f>IFERROR(__xludf.DUMMYFUNCTION("""COMPUTED_VALUE"""),"LinkedIn")</f>
        <v>LinkedIn</v>
      </c>
      <c r="C67" s="26">
        <f>IFERROR(__xludf.DUMMYFUNCTION("""COMPUTED_VALUE"""),-1.0)</f>
        <v>-1</v>
      </c>
      <c r="D67" s="26">
        <f>IFERROR(__xludf.DUMMYFUNCTION("""COMPUTED_VALUE"""),29.0)</f>
        <v>29</v>
      </c>
      <c r="E67" s="26">
        <f>IFERROR(__xludf.DUMMYFUNCTION("""COMPUTED_VALUE"""),261.0)</f>
        <v>261</v>
      </c>
    </row>
    <row r="68">
      <c r="A68" s="25">
        <f>IFERROR(__xludf.DUMMYFUNCTION("""COMPUTED_VALUE"""),45540.0)</f>
        <v>45540</v>
      </c>
      <c r="B68" s="26" t="str">
        <f>IFERROR(__xludf.DUMMYFUNCTION("""COMPUTED_VALUE"""),"LinkedIn")</f>
        <v>LinkedIn</v>
      </c>
      <c r="C68" s="26">
        <f>IFERROR(__xludf.DUMMYFUNCTION("""COMPUTED_VALUE"""),2.0)</f>
        <v>2</v>
      </c>
      <c r="D68" s="26">
        <f>IFERROR(__xludf.DUMMYFUNCTION("""COMPUTED_VALUE"""),22.0)</f>
        <v>22</v>
      </c>
      <c r="E68" s="26">
        <f>IFERROR(__xludf.DUMMYFUNCTION("""COMPUTED_VALUE"""),285.0)</f>
        <v>285</v>
      </c>
    </row>
    <row r="69">
      <c r="A69" s="25">
        <f>IFERROR(__xludf.DUMMYFUNCTION("""COMPUTED_VALUE"""),45541.0)</f>
        <v>45541</v>
      </c>
      <c r="B69" s="26" t="str">
        <f>IFERROR(__xludf.DUMMYFUNCTION("""COMPUTED_VALUE"""),"LinkedIn")</f>
        <v>LinkedIn</v>
      </c>
      <c r="C69" s="26">
        <f>IFERROR(__xludf.DUMMYFUNCTION("""COMPUTED_VALUE"""),0.0)</f>
        <v>0</v>
      </c>
      <c r="D69" s="26">
        <f>IFERROR(__xludf.DUMMYFUNCTION("""COMPUTED_VALUE"""),12.0)</f>
        <v>12</v>
      </c>
      <c r="E69" s="26">
        <f>IFERROR(__xludf.DUMMYFUNCTION("""COMPUTED_VALUE"""),188.0)</f>
        <v>188</v>
      </c>
    </row>
    <row r="70">
      <c r="A70" s="25">
        <f>IFERROR(__xludf.DUMMYFUNCTION("""COMPUTED_VALUE"""),45542.0)</f>
        <v>45542</v>
      </c>
      <c r="B70" s="26" t="str">
        <f>IFERROR(__xludf.DUMMYFUNCTION("""COMPUTED_VALUE"""),"LinkedIn")</f>
        <v>LinkedIn</v>
      </c>
      <c r="C70" s="26">
        <f>IFERROR(__xludf.DUMMYFUNCTION("""COMPUTED_VALUE"""),0.0)</f>
        <v>0</v>
      </c>
      <c r="D70" s="26">
        <f>IFERROR(__xludf.DUMMYFUNCTION("""COMPUTED_VALUE"""),10.0)</f>
        <v>10</v>
      </c>
      <c r="E70" s="26">
        <f>IFERROR(__xludf.DUMMYFUNCTION("""COMPUTED_VALUE"""),107.0)</f>
        <v>107</v>
      </c>
    </row>
    <row r="71">
      <c r="A71" s="25">
        <f>IFERROR(__xludf.DUMMYFUNCTION("""COMPUTED_VALUE"""),45543.0)</f>
        <v>45543</v>
      </c>
      <c r="B71" s="26" t="str">
        <f>IFERROR(__xludf.DUMMYFUNCTION("""COMPUTED_VALUE"""),"LinkedIn")</f>
        <v>LinkedIn</v>
      </c>
      <c r="C71" s="26">
        <f>IFERROR(__xludf.DUMMYFUNCTION("""COMPUTED_VALUE"""),0.0)</f>
        <v>0</v>
      </c>
      <c r="D71" s="26">
        <f>IFERROR(__xludf.DUMMYFUNCTION("""COMPUTED_VALUE"""),6.0)</f>
        <v>6</v>
      </c>
      <c r="E71" s="26">
        <f>IFERROR(__xludf.DUMMYFUNCTION("""COMPUTED_VALUE"""),45.0)</f>
        <v>45</v>
      </c>
    </row>
    <row r="72">
      <c r="A72" s="25">
        <f>IFERROR(__xludf.DUMMYFUNCTION("""COMPUTED_VALUE"""),45544.0)</f>
        <v>45544</v>
      </c>
      <c r="B72" s="26" t="str">
        <f>IFERROR(__xludf.DUMMYFUNCTION("""COMPUTED_VALUE"""),"LinkedIn")</f>
        <v>LinkedIn</v>
      </c>
      <c r="C72" s="26">
        <f>IFERROR(__xludf.DUMMYFUNCTION("""COMPUTED_VALUE"""),1.0)</f>
        <v>1</v>
      </c>
      <c r="D72" s="26">
        <f>IFERROR(__xludf.DUMMYFUNCTION("""COMPUTED_VALUE"""),7.0)</f>
        <v>7</v>
      </c>
      <c r="E72" s="26">
        <f>IFERROR(__xludf.DUMMYFUNCTION("""COMPUTED_VALUE"""),112.0)</f>
        <v>112</v>
      </c>
    </row>
    <row r="73">
      <c r="A73" s="25">
        <f>IFERROR(__xludf.DUMMYFUNCTION("""COMPUTED_VALUE"""),45545.0)</f>
        <v>45545</v>
      </c>
      <c r="B73" s="26" t="str">
        <f>IFERROR(__xludf.DUMMYFUNCTION("""COMPUTED_VALUE"""),"LinkedIn")</f>
        <v>LinkedIn</v>
      </c>
      <c r="C73" s="26">
        <f>IFERROR(__xludf.DUMMYFUNCTION("""COMPUTED_VALUE"""),0.0)</f>
        <v>0</v>
      </c>
      <c r="D73" s="26">
        <f>IFERROR(__xludf.DUMMYFUNCTION("""COMPUTED_VALUE"""),26.0)</f>
        <v>26</v>
      </c>
      <c r="E73" s="26">
        <f>IFERROR(__xludf.DUMMYFUNCTION("""COMPUTED_VALUE"""),173.0)</f>
        <v>173</v>
      </c>
    </row>
    <row r="74">
      <c r="A74" s="25">
        <f>IFERROR(__xludf.DUMMYFUNCTION("""COMPUTED_VALUE"""),45546.0)</f>
        <v>45546</v>
      </c>
      <c r="B74" s="26" t="str">
        <f>IFERROR(__xludf.DUMMYFUNCTION("""COMPUTED_VALUE"""),"LinkedIn")</f>
        <v>LinkedIn</v>
      </c>
      <c r="C74" s="26">
        <f>IFERROR(__xludf.DUMMYFUNCTION("""COMPUTED_VALUE"""),1.0)</f>
        <v>1</v>
      </c>
      <c r="D74" s="26">
        <f>IFERROR(__xludf.DUMMYFUNCTION("""COMPUTED_VALUE"""),47.0)</f>
        <v>47</v>
      </c>
      <c r="E74" s="26">
        <f>IFERROR(__xludf.DUMMYFUNCTION("""COMPUTED_VALUE"""),134.0)</f>
        <v>134</v>
      </c>
    </row>
    <row r="75">
      <c r="A75" s="25">
        <f>IFERROR(__xludf.DUMMYFUNCTION("""COMPUTED_VALUE"""),45547.0)</f>
        <v>45547</v>
      </c>
      <c r="B75" s="26" t="str">
        <f>IFERROR(__xludf.DUMMYFUNCTION("""COMPUTED_VALUE"""),"LinkedIn")</f>
        <v>LinkedIn</v>
      </c>
      <c r="C75" s="26">
        <f>IFERROR(__xludf.DUMMYFUNCTION("""COMPUTED_VALUE"""),4.0)</f>
        <v>4</v>
      </c>
      <c r="D75" s="26">
        <f>IFERROR(__xludf.DUMMYFUNCTION("""COMPUTED_VALUE"""),2.0)</f>
        <v>2</v>
      </c>
      <c r="E75" s="26">
        <f>IFERROR(__xludf.DUMMYFUNCTION("""COMPUTED_VALUE"""),86.0)</f>
        <v>86</v>
      </c>
    </row>
    <row r="76">
      <c r="A76" s="25">
        <f>IFERROR(__xludf.DUMMYFUNCTION("""COMPUTED_VALUE"""),45548.0)</f>
        <v>45548</v>
      </c>
      <c r="B76" s="26" t="str">
        <f>IFERROR(__xludf.DUMMYFUNCTION("""COMPUTED_VALUE"""),"LinkedIn")</f>
        <v>LinkedIn</v>
      </c>
      <c r="C76" s="26">
        <f>IFERROR(__xludf.DUMMYFUNCTION("""COMPUTED_VALUE"""),2.0)</f>
        <v>2</v>
      </c>
      <c r="D76" s="26">
        <f>IFERROR(__xludf.DUMMYFUNCTION("""COMPUTED_VALUE"""),15.0)</f>
        <v>15</v>
      </c>
      <c r="E76" s="26">
        <f>IFERROR(__xludf.DUMMYFUNCTION("""COMPUTED_VALUE"""),71.0)</f>
        <v>71</v>
      </c>
    </row>
    <row r="77">
      <c r="A77" s="25">
        <f>IFERROR(__xludf.DUMMYFUNCTION("""COMPUTED_VALUE"""),45549.0)</f>
        <v>45549</v>
      </c>
      <c r="B77" s="26" t="str">
        <f>IFERROR(__xludf.DUMMYFUNCTION("""COMPUTED_VALUE"""),"LinkedIn")</f>
        <v>LinkedIn</v>
      </c>
      <c r="C77" s="26">
        <f>IFERROR(__xludf.DUMMYFUNCTION("""COMPUTED_VALUE"""),1.0)</f>
        <v>1</v>
      </c>
      <c r="D77" s="26">
        <f>IFERROR(__xludf.DUMMYFUNCTION("""COMPUTED_VALUE"""),21.0)</f>
        <v>21</v>
      </c>
      <c r="E77" s="26">
        <f>IFERROR(__xludf.DUMMYFUNCTION("""COMPUTED_VALUE"""),120.0)</f>
        <v>120</v>
      </c>
    </row>
    <row r="78">
      <c r="A78" s="25">
        <f>IFERROR(__xludf.DUMMYFUNCTION("""COMPUTED_VALUE"""),45550.0)</f>
        <v>45550</v>
      </c>
      <c r="B78" s="26" t="str">
        <f>IFERROR(__xludf.DUMMYFUNCTION("""COMPUTED_VALUE"""),"LinkedIn")</f>
        <v>LinkedIn</v>
      </c>
      <c r="C78" s="26">
        <f>IFERROR(__xludf.DUMMYFUNCTION("""COMPUTED_VALUE"""),2.0)</f>
        <v>2</v>
      </c>
      <c r="D78" s="26">
        <f>IFERROR(__xludf.DUMMYFUNCTION("""COMPUTED_VALUE"""),3.0)</f>
        <v>3</v>
      </c>
      <c r="E78" s="26">
        <f>IFERROR(__xludf.DUMMYFUNCTION("""COMPUTED_VALUE"""),53.0)</f>
        <v>53</v>
      </c>
    </row>
    <row r="79">
      <c r="A79" s="25">
        <f>IFERROR(__xludf.DUMMYFUNCTION("""COMPUTED_VALUE"""),45551.0)</f>
        <v>45551</v>
      </c>
      <c r="B79" s="26" t="str">
        <f>IFERROR(__xludf.DUMMYFUNCTION("""COMPUTED_VALUE"""),"LinkedIn")</f>
        <v>LinkedIn</v>
      </c>
      <c r="C79" s="26">
        <f>IFERROR(__xludf.DUMMYFUNCTION("""COMPUTED_VALUE"""),1.0)</f>
        <v>1</v>
      </c>
      <c r="D79" s="26">
        <f>IFERROR(__xludf.DUMMYFUNCTION("""COMPUTED_VALUE"""),12.0)</f>
        <v>12</v>
      </c>
      <c r="E79" s="26">
        <f>IFERROR(__xludf.DUMMYFUNCTION("""COMPUTED_VALUE"""),66.0)</f>
        <v>66</v>
      </c>
    </row>
    <row r="80">
      <c r="A80" s="25">
        <f>IFERROR(__xludf.DUMMYFUNCTION("""COMPUTED_VALUE"""),45552.0)</f>
        <v>45552</v>
      </c>
      <c r="B80" s="26" t="str">
        <f>IFERROR(__xludf.DUMMYFUNCTION("""COMPUTED_VALUE"""),"LinkedIn")</f>
        <v>LinkedIn</v>
      </c>
      <c r="C80" s="26">
        <f>IFERROR(__xludf.DUMMYFUNCTION("""COMPUTED_VALUE"""),2.0)</f>
        <v>2</v>
      </c>
      <c r="D80" s="26">
        <f>IFERROR(__xludf.DUMMYFUNCTION("""COMPUTED_VALUE"""),13.0)</f>
        <v>13</v>
      </c>
      <c r="E80" s="26">
        <f>IFERROR(__xludf.DUMMYFUNCTION("""COMPUTED_VALUE"""),117.0)</f>
        <v>117</v>
      </c>
    </row>
    <row r="81">
      <c r="A81" s="25">
        <f>IFERROR(__xludf.DUMMYFUNCTION("""COMPUTED_VALUE"""),45553.0)</f>
        <v>45553</v>
      </c>
      <c r="B81" s="26" t="str">
        <f>IFERROR(__xludf.DUMMYFUNCTION("""COMPUTED_VALUE"""),"LinkedIn")</f>
        <v>LinkedIn</v>
      </c>
      <c r="C81" s="26">
        <f>IFERROR(__xludf.DUMMYFUNCTION("""COMPUTED_VALUE"""),1.0)</f>
        <v>1</v>
      </c>
      <c r="D81" s="26">
        <f>IFERROR(__xludf.DUMMYFUNCTION("""COMPUTED_VALUE"""),9.0)</f>
        <v>9</v>
      </c>
      <c r="E81" s="26">
        <f>IFERROR(__xludf.DUMMYFUNCTION("""COMPUTED_VALUE"""),91.0)</f>
        <v>91</v>
      </c>
    </row>
    <row r="82">
      <c r="A82" s="25">
        <f>IFERROR(__xludf.DUMMYFUNCTION("""COMPUTED_VALUE"""),45554.0)</f>
        <v>45554</v>
      </c>
      <c r="B82" s="26" t="str">
        <f>IFERROR(__xludf.DUMMYFUNCTION("""COMPUTED_VALUE"""),"LinkedIn")</f>
        <v>LinkedIn</v>
      </c>
      <c r="C82" s="26">
        <f>IFERROR(__xludf.DUMMYFUNCTION("""COMPUTED_VALUE"""),5.0)</f>
        <v>5</v>
      </c>
      <c r="D82" s="26">
        <f>IFERROR(__xludf.DUMMYFUNCTION("""COMPUTED_VALUE"""),7.0)</f>
        <v>7</v>
      </c>
      <c r="E82" s="26">
        <f>IFERROR(__xludf.DUMMYFUNCTION("""COMPUTED_VALUE"""),100.0)</f>
        <v>100</v>
      </c>
    </row>
    <row r="83">
      <c r="A83" s="25">
        <f>IFERROR(__xludf.DUMMYFUNCTION("""COMPUTED_VALUE"""),45555.0)</f>
        <v>45555</v>
      </c>
      <c r="B83" s="26" t="str">
        <f>IFERROR(__xludf.DUMMYFUNCTION("""COMPUTED_VALUE"""),"LinkedIn")</f>
        <v>LinkedIn</v>
      </c>
      <c r="C83" s="26">
        <f>IFERROR(__xludf.DUMMYFUNCTION("""COMPUTED_VALUE"""),0.0)</f>
        <v>0</v>
      </c>
      <c r="D83" s="26">
        <f>IFERROR(__xludf.DUMMYFUNCTION("""COMPUTED_VALUE"""),18.0)</f>
        <v>18</v>
      </c>
      <c r="E83" s="26">
        <f>IFERROR(__xludf.DUMMYFUNCTION("""COMPUTED_VALUE"""),86.0)</f>
        <v>86</v>
      </c>
    </row>
    <row r="84">
      <c r="A84" s="25">
        <f>IFERROR(__xludf.DUMMYFUNCTION("""COMPUTED_VALUE"""),45556.0)</f>
        <v>45556</v>
      </c>
      <c r="B84" s="26" t="str">
        <f>IFERROR(__xludf.DUMMYFUNCTION("""COMPUTED_VALUE"""),"LinkedIn")</f>
        <v>LinkedIn</v>
      </c>
      <c r="C84" s="26">
        <f>IFERROR(__xludf.DUMMYFUNCTION("""COMPUTED_VALUE"""),0.0)</f>
        <v>0</v>
      </c>
      <c r="D84" s="26">
        <f>IFERROR(__xludf.DUMMYFUNCTION("""COMPUTED_VALUE"""),9.0)</f>
        <v>9</v>
      </c>
      <c r="E84" s="26">
        <f>IFERROR(__xludf.DUMMYFUNCTION("""COMPUTED_VALUE"""),42.0)</f>
        <v>42</v>
      </c>
    </row>
    <row r="85">
      <c r="A85" s="25">
        <f>IFERROR(__xludf.DUMMYFUNCTION("""COMPUTED_VALUE"""),45557.0)</f>
        <v>45557</v>
      </c>
      <c r="B85" s="26" t="str">
        <f>IFERROR(__xludf.DUMMYFUNCTION("""COMPUTED_VALUE"""),"LinkedIn")</f>
        <v>LinkedIn</v>
      </c>
      <c r="C85" s="26">
        <f>IFERROR(__xludf.DUMMYFUNCTION("""COMPUTED_VALUE"""),0.0)</f>
        <v>0</v>
      </c>
      <c r="D85" s="26">
        <f>IFERROR(__xludf.DUMMYFUNCTION("""COMPUTED_VALUE"""),2.0)</f>
        <v>2</v>
      </c>
      <c r="E85" s="26">
        <f>IFERROR(__xludf.DUMMYFUNCTION("""COMPUTED_VALUE"""),20.0)</f>
        <v>20</v>
      </c>
    </row>
    <row r="86">
      <c r="A86" s="25">
        <f>IFERROR(__xludf.DUMMYFUNCTION("""COMPUTED_VALUE"""),45558.0)</f>
        <v>45558</v>
      </c>
      <c r="B86" s="26" t="str">
        <f>IFERROR(__xludf.DUMMYFUNCTION("""COMPUTED_VALUE"""),"LinkedIn")</f>
        <v>LinkedIn</v>
      </c>
      <c r="C86" s="26">
        <f>IFERROR(__xludf.DUMMYFUNCTION("""COMPUTED_VALUE"""),1.0)</f>
        <v>1</v>
      </c>
      <c r="D86" s="26">
        <f>IFERROR(__xludf.DUMMYFUNCTION("""COMPUTED_VALUE"""),4.0)</f>
        <v>4</v>
      </c>
      <c r="E86" s="26">
        <f>IFERROR(__xludf.DUMMYFUNCTION("""COMPUTED_VALUE"""),49.0)</f>
        <v>49</v>
      </c>
    </row>
    <row r="87">
      <c r="A87" s="25">
        <f>IFERROR(__xludf.DUMMYFUNCTION("""COMPUTED_VALUE"""),45559.0)</f>
        <v>45559</v>
      </c>
      <c r="B87" s="26" t="str">
        <f>IFERROR(__xludf.DUMMYFUNCTION("""COMPUTED_VALUE"""),"LinkedIn")</f>
        <v>LinkedIn</v>
      </c>
      <c r="C87" s="26">
        <f>IFERROR(__xludf.DUMMYFUNCTION("""COMPUTED_VALUE"""),0.0)</f>
        <v>0</v>
      </c>
      <c r="D87" s="26">
        <f>IFERROR(__xludf.DUMMYFUNCTION("""COMPUTED_VALUE"""),3.0)</f>
        <v>3</v>
      </c>
      <c r="E87" s="26">
        <f>IFERROR(__xludf.DUMMYFUNCTION("""COMPUTED_VALUE"""),23.0)</f>
        <v>23</v>
      </c>
    </row>
    <row r="88">
      <c r="A88" s="25">
        <f>IFERROR(__xludf.DUMMYFUNCTION("""COMPUTED_VALUE"""),45560.0)</f>
        <v>45560</v>
      </c>
      <c r="B88" s="26" t="str">
        <f>IFERROR(__xludf.DUMMYFUNCTION("""COMPUTED_VALUE"""),"LinkedIn")</f>
        <v>LinkedIn</v>
      </c>
      <c r="C88" s="26">
        <f>IFERROR(__xludf.DUMMYFUNCTION("""COMPUTED_VALUE"""),3.0)</f>
        <v>3</v>
      </c>
      <c r="D88" s="26">
        <f>IFERROR(__xludf.DUMMYFUNCTION("""COMPUTED_VALUE"""),14.0)</f>
        <v>14</v>
      </c>
      <c r="E88" s="26">
        <f>IFERROR(__xludf.DUMMYFUNCTION("""COMPUTED_VALUE"""),74.0)</f>
        <v>74</v>
      </c>
    </row>
    <row r="89">
      <c r="A89" s="25">
        <f>IFERROR(__xludf.DUMMYFUNCTION("""COMPUTED_VALUE"""),45561.0)</f>
        <v>45561</v>
      </c>
      <c r="B89" s="26" t="str">
        <f>IFERROR(__xludf.DUMMYFUNCTION("""COMPUTED_VALUE"""),"LinkedIn")</f>
        <v>LinkedIn</v>
      </c>
      <c r="C89" s="26">
        <f>IFERROR(__xludf.DUMMYFUNCTION("""COMPUTED_VALUE"""),1.0)</f>
        <v>1</v>
      </c>
      <c r="D89" s="26">
        <f>IFERROR(__xludf.DUMMYFUNCTION("""COMPUTED_VALUE"""),5.0)</f>
        <v>5</v>
      </c>
      <c r="E89" s="26">
        <f>IFERROR(__xludf.DUMMYFUNCTION("""COMPUTED_VALUE"""),77.0)</f>
        <v>77</v>
      </c>
    </row>
    <row r="90">
      <c r="A90" s="25">
        <f>IFERROR(__xludf.DUMMYFUNCTION("""COMPUTED_VALUE"""),45562.0)</f>
        <v>45562</v>
      </c>
      <c r="B90" s="26" t="str">
        <f>IFERROR(__xludf.DUMMYFUNCTION("""COMPUTED_VALUE"""),"LinkedIn")</f>
        <v>LinkedIn</v>
      </c>
      <c r="C90" s="26">
        <f>IFERROR(__xludf.DUMMYFUNCTION("""COMPUTED_VALUE"""),4.0)</f>
        <v>4</v>
      </c>
      <c r="D90" s="26">
        <f>IFERROR(__xludf.DUMMYFUNCTION("""COMPUTED_VALUE"""),17.0)</f>
        <v>17</v>
      </c>
      <c r="E90" s="26">
        <f>IFERROR(__xludf.DUMMYFUNCTION("""COMPUTED_VALUE"""),121.0)</f>
        <v>121</v>
      </c>
    </row>
    <row r="91">
      <c r="A91" s="25">
        <f>IFERROR(__xludf.DUMMYFUNCTION("""COMPUTED_VALUE"""),45563.0)</f>
        <v>45563</v>
      </c>
      <c r="B91" s="26" t="str">
        <f>IFERROR(__xludf.DUMMYFUNCTION("""COMPUTED_VALUE"""),"LinkedIn")</f>
        <v>LinkedIn</v>
      </c>
      <c r="C91" s="26">
        <f>IFERROR(__xludf.DUMMYFUNCTION("""COMPUTED_VALUE"""),3.0)</f>
        <v>3</v>
      </c>
      <c r="D91" s="26">
        <f>IFERROR(__xludf.DUMMYFUNCTION("""COMPUTED_VALUE"""),11.0)</f>
        <v>11</v>
      </c>
      <c r="E91" s="26">
        <f>IFERROR(__xludf.DUMMYFUNCTION("""COMPUTED_VALUE"""),140.0)</f>
        <v>140</v>
      </c>
    </row>
    <row r="92">
      <c r="A92" s="25">
        <f>IFERROR(__xludf.DUMMYFUNCTION("""COMPUTED_VALUE"""),45564.0)</f>
        <v>45564</v>
      </c>
      <c r="B92" s="26" t="str">
        <f>IFERROR(__xludf.DUMMYFUNCTION("""COMPUTED_VALUE"""),"LinkedIn")</f>
        <v>LinkedIn</v>
      </c>
      <c r="C92" s="26">
        <f>IFERROR(__xludf.DUMMYFUNCTION("""COMPUTED_VALUE"""),1.0)</f>
        <v>1</v>
      </c>
      <c r="D92" s="26">
        <f>IFERROR(__xludf.DUMMYFUNCTION("""COMPUTED_VALUE"""),4.0)</f>
        <v>4</v>
      </c>
      <c r="E92" s="26">
        <f>IFERROR(__xludf.DUMMYFUNCTION("""COMPUTED_VALUE"""),86.0)</f>
        <v>86</v>
      </c>
    </row>
    <row r="93">
      <c r="A93" s="25">
        <f>IFERROR(__xludf.DUMMYFUNCTION("""COMPUTED_VALUE"""),45565.0)</f>
        <v>45565</v>
      </c>
      <c r="B93" s="26" t="str">
        <f>IFERROR(__xludf.DUMMYFUNCTION("""COMPUTED_VALUE"""),"LinkedIn")</f>
        <v>LinkedIn</v>
      </c>
      <c r="C93" s="26">
        <f>IFERROR(__xludf.DUMMYFUNCTION("""COMPUTED_VALUE"""),2.0)</f>
        <v>2</v>
      </c>
      <c r="D93" s="26">
        <f>IFERROR(__xludf.DUMMYFUNCTION("""COMPUTED_VALUE"""),9.0)</f>
        <v>9</v>
      </c>
      <c r="E93" s="26">
        <f>IFERROR(__xludf.DUMMYFUNCTION("""COMPUTED_VALUE"""),94.0)</f>
        <v>94</v>
      </c>
    </row>
    <row r="94">
      <c r="A94" s="25">
        <f>IFERROR(__xludf.DUMMYFUNCTION("""COMPUTED_VALUE"""),45566.0)</f>
        <v>45566</v>
      </c>
      <c r="B94" s="26" t="str">
        <f>IFERROR(__xludf.DUMMYFUNCTION("""COMPUTED_VALUE"""),"LinkedIn")</f>
        <v>LinkedIn</v>
      </c>
      <c r="C94" s="26">
        <f>IFERROR(__xludf.DUMMYFUNCTION("""COMPUTED_VALUE"""),1.0)</f>
        <v>1</v>
      </c>
      <c r="D94" s="26">
        <f>IFERROR(__xludf.DUMMYFUNCTION("""COMPUTED_VALUE"""),20.0)</f>
        <v>20</v>
      </c>
      <c r="E94" s="26">
        <f>IFERROR(__xludf.DUMMYFUNCTION("""COMPUTED_VALUE"""),130.0)</f>
        <v>130</v>
      </c>
    </row>
    <row r="95">
      <c r="A95" s="25">
        <f>IFERROR(__xludf.DUMMYFUNCTION("""COMPUTED_VALUE"""),45567.0)</f>
        <v>45567</v>
      </c>
      <c r="B95" s="26" t="str">
        <f>IFERROR(__xludf.DUMMYFUNCTION("""COMPUTED_VALUE"""),"LinkedIn")</f>
        <v>LinkedIn</v>
      </c>
      <c r="C95" s="26">
        <f>IFERROR(__xludf.DUMMYFUNCTION("""COMPUTED_VALUE"""),1.0)</f>
        <v>1</v>
      </c>
      <c r="D95" s="26">
        <f>IFERROR(__xludf.DUMMYFUNCTION("""COMPUTED_VALUE"""),15.0)</f>
        <v>15</v>
      </c>
      <c r="E95" s="26">
        <f>IFERROR(__xludf.DUMMYFUNCTION("""COMPUTED_VALUE"""),121.0)</f>
        <v>121</v>
      </c>
    </row>
    <row r="96">
      <c r="A96" s="25">
        <f>IFERROR(__xludf.DUMMYFUNCTION("""COMPUTED_VALUE"""),45568.0)</f>
        <v>45568</v>
      </c>
      <c r="B96" s="26" t="str">
        <f>IFERROR(__xludf.DUMMYFUNCTION("""COMPUTED_VALUE"""),"LinkedIn")</f>
        <v>LinkedIn</v>
      </c>
      <c r="C96" s="26">
        <f>IFERROR(__xludf.DUMMYFUNCTION("""COMPUTED_VALUE"""),0.0)</f>
        <v>0</v>
      </c>
      <c r="D96" s="26">
        <f>IFERROR(__xludf.DUMMYFUNCTION("""COMPUTED_VALUE"""),13.0)</f>
        <v>13</v>
      </c>
      <c r="E96" s="26">
        <f>IFERROR(__xludf.DUMMYFUNCTION("""COMPUTED_VALUE"""),103.0)</f>
        <v>103</v>
      </c>
    </row>
    <row r="97">
      <c r="A97" s="25">
        <f>IFERROR(__xludf.DUMMYFUNCTION("""COMPUTED_VALUE"""),45569.0)</f>
        <v>45569</v>
      </c>
      <c r="B97" s="26" t="str">
        <f>IFERROR(__xludf.DUMMYFUNCTION("""COMPUTED_VALUE"""),"LinkedIn")</f>
        <v>LinkedIn</v>
      </c>
      <c r="C97" s="26">
        <f>IFERROR(__xludf.DUMMYFUNCTION("""COMPUTED_VALUE"""),0.0)</f>
        <v>0</v>
      </c>
      <c r="D97" s="26">
        <f>IFERROR(__xludf.DUMMYFUNCTION("""COMPUTED_VALUE"""),26.0)</f>
        <v>26</v>
      </c>
      <c r="E97" s="26">
        <f>IFERROR(__xludf.DUMMYFUNCTION("""COMPUTED_VALUE"""),144.0)</f>
        <v>144</v>
      </c>
    </row>
    <row r="98">
      <c r="A98" s="25">
        <f>IFERROR(__xludf.DUMMYFUNCTION("""COMPUTED_VALUE"""),45570.0)</f>
        <v>45570</v>
      </c>
      <c r="B98" s="26" t="str">
        <f>IFERROR(__xludf.DUMMYFUNCTION("""COMPUTED_VALUE"""),"LinkedIn")</f>
        <v>LinkedIn</v>
      </c>
      <c r="C98" s="26">
        <f>IFERROR(__xludf.DUMMYFUNCTION("""COMPUTED_VALUE"""),1.0)</f>
        <v>1</v>
      </c>
      <c r="D98" s="26">
        <f>IFERROR(__xludf.DUMMYFUNCTION("""COMPUTED_VALUE"""),40.0)</f>
        <v>40</v>
      </c>
      <c r="E98" s="26">
        <f>IFERROR(__xludf.DUMMYFUNCTION("""COMPUTED_VALUE"""),133.0)</f>
        <v>133</v>
      </c>
    </row>
    <row r="99">
      <c r="A99" s="25">
        <f>IFERROR(__xludf.DUMMYFUNCTION("""COMPUTED_VALUE"""),45571.0)</f>
        <v>45571</v>
      </c>
      <c r="B99" s="26" t="str">
        <f>IFERROR(__xludf.DUMMYFUNCTION("""COMPUTED_VALUE"""),"LinkedIn")</f>
        <v>LinkedIn</v>
      </c>
      <c r="C99" s="26">
        <f>IFERROR(__xludf.DUMMYFUNCTION("""COMPUTED_VALUE"""),1.0)</f>
        <v>1</v>
      </c>
      <c r="D99" s="26">
        <f>IFERROR(__xludf.DUMMYFUNCTION("""COMPUTED_VALUE"""),4.0)</f>
        <v>4</v>
      </c>
      <c r="E99" s="26">
        <f>IFERROR(__xludf.DUMMYFUNCTION("""COMPUTED_VALUE"""),96.0)</f>
        <v>96</v>
      </c>
    </row>
    <row r="100">
      <c r="A100" s="25">
        <f>IFERROR(__xludf.DUMMYFUNCTION("""COMPUTED_VALUE"""),45572.0)</f>
        <v>45572</v>
      </c>
      <c r="B100" s="26" t="str">
        <f>IFERROR(__xludf.DUMMYFUNCTION("""COMPUTED_VALUE"""),"LinkedIn")</f>
        <v>LinkedIn</v>
      </c>
      <c r="C100" s="26">
        <f>IFERROR(__xludf.DUMMYFUNCTION("""COMPUTED_VALUE"""),0.0)</f>
        <v>0</v>
      </c>
      <c r="D100" s="26">
        <f>IFERROR(__xludf.DUMMYFUNCTION("""COMPUTED_VALUE"""),4.0)</f>
        <v>4</v>
      </c>
      <c r="E100" s="26">
        <f>IFERROR(__xludf.DUMMYFUNCTION("""COMPUTED_VALUE"""),96.0)</f>
        <v>96</v>
      </c>
    </row>
    <row r="101">
      <c r="A101" s="25">
        <f>IFERROR(__xludf.DUMMYFUNCTION("""COMPUTED_VALUE"""),45573.0)</f>
        <v>45573</v>
      </c>
      <c r="B101" s="26" t="str">
        <f>IFERROR(__xludf.DUMMYFUNCTION("""COMPUTED_VALUE"""),"LinkedIn")</f>
        <v>LinkedIn</v>
      </c>
      <c r="C101" s="26">
        <f>IFERROR(__xludf.DUMMYFUNCTION("""COMPUTED_VALUE"""),1.0)</f>
        <v>1</v>
      </c>
      <c r="D101" s="26">
        <f>IFERROR(__xludf.DUMMYFUNCTION("""COMPUTED_VALUE"""),4.0)</f>
        <v>4</v>
      </c>
      <c r="E101" s="26">
        <f>IFERROR(__xludf.DUMMYFUNCTION("""COMPUTED_VALUE"""),63.0)</f>
        <v>63</v>
      </c>
    </row>
    <row r="102">
      <c r="A102" s="25">
        <f>IFERROR(__xludf.DUMMYFUNCTION("""COMPUTED_VALUE"""),45574.0)</f>
        <v>45574</v>
      </c>
      <c r="B102" s="26" t="str">
        <f>IFERROR(__xludf.DUMMYFUNCTION("""COMPUTED_VALUE"""),"LinkedIn")</f>
        <v>LinkedIn</v>
      </c>
      <c r="C102" s="26">
        <f>IFERROR(__xludf.DUMMYFUNCTION("""COMPUTED_VALUE"""),2.0)</f>
        <v>2</v>
      </c>
      <c r="D102" s="26">
        <f>IFERROR(__xludf.DUMMYFUNCTION("""COMPUTED_VALUE"""),6.0)</f>
        <v>6</v>
      </c>
      <c r="E102" s="26">
        <f>IFERROR(__xludf.DUMMYFUNCTION("""COMPUTED_VALUE"""),42.0)</f>
        <v>42</v>
      </c>
    </row>
    <row r="103">
      <c r="A103" s="25">
        <f>IFERROR(__xludf.DUMMYFUNCTION("""COMPUTED_VALUE"""),45575.0)</f>
        <v>45575</v>
      </c>
      <c r="B103" s="26" t="str">
        <f>IFERROR(__xludf.DUMMYFUNCTION("""COMPUTED_VALUE"""),"LinkedIn")</f>
        <v>LinkedIn</v>
      </c>
      <c r="C103" s="26">
        <f>IFERROR(__xludf.DUMMYFUNCTION("""COMPUTED_VALUE"""),1.0)</f>
        <v>1</v>
      </c>
      <c r="D103" s="26">
        <f>IFERROR(__xludf.DUMMYFUNCTION("""COMPUTED_VALUE"""),4.0)</f>
        <v>4</v>
      </c>
      <c r="E103" s="26">
        <f>IFERROR(__xludf.DUMMYFUNCTION("""COMPUTED_VALUE"""),58.0)</f>
        <v>58</v>
      </c>
    </row>
    <row r="104">
      <c r="A104" s="25">
        <f>IFERROR(__xludf.DUMMYFUNCTION("""COMPUTED_VALUE"""),45576.0)</f>
        <v>45576</v>
      </c>
      <c r="B104" s="26" t="str">
        <f>IFERROR(__xludf.DUMMYFUNCTION("""COMPUTED_VALUE"""),"LinkedIn")</f>
        <v>LinkedIn</v>
      </c>
      <c r="C104" s="26">
        <f>IFERROR(__xludf.DUMMYFUNCTION("""COMPUTED_VALUE"""),1.0)</f>
        <v>1</v>
      </c>
      <c r="D104" s="26">
        <f>IFERROR(__xludf.DUMMYFUNCTION("""COMPUTED_VALUE"""),12.0)</f>
        <v>12</v>
      </c>
      <c r="E104" s="26">
        <f>IFERROR(__xludf.DUMMYFUNCTION("""COMPUTED_VALUE"""),67.0)</f>
        <v>67</v>
      </c>
    </row>
    <row r="105">
      <c r="A105" s="25">
        <f>IFERROR(__xludf.DUMMYFUNCTION("""COMPUTED_VALUE"""),45577.0)</f>
        <v>45577</v>
      </c>
      <c r="B105" s="26" t="str">
        <f>IFERROR(__xludf.DUMMYFUNCTION("""COMPUTED_VALUE"""),"LinkedIn")</f>
        <v>LinkedIn</v>
      </c>
      <c r="C105" s="26">
        <f>IFERROR(__xludf.DUMMYFUNCTION("""COMPUTED_VALUE"""),0.0)</f>
        <v>0</v>
      </c>
      <c r="D105" s="26">
        <f>IFERROR(__xludf.DUMMYFUNCTION("""COMPUTED_VALUE"""),3.0)</f>
        <v>3</v>
      </c>
      <c r="E105" s="26">
        <f>IFERROR(__xludf.DUMMYFUNCTION("""COMPUTED_VALUE"""),44.0)</f>
        <v>44</v>
      </c>
    </row>
    <row r="106">
      <c r="A106" s="25">
        <f>IFERROR(__xludf.DUMMYFUNCTION("""COMPUTED_VALUE"""),45578.0)</f>
        <v>45578</v>
      </c>
      <c r="B106" s="26" t="str">
        <f>IFERROR(__xludf.DUMMYFUNCTION("""COMPUTED_VALUE"""),"LinkedIn")</f>
        <v>LinkedIn</v>
      </c>
      <c r="C106" s="26">
        <f>IFERROR(__xludf.DUMMYFUNCTION("""COMPUTED_VALUE"""),2.0)</f>
        <v>2</v>
      </c>
      <c r="D106" s="26">
        <f>IFERROR(__xludf.DUMMYFUNCTION("""COMPUTED_VALUE"""),2.0)</f>
        <v>2</v>
      </c>
      <c r="E106" s="26">
        <f>IFERROR(__xludf.DUMMYFUNCTION("""COMPUTED_VALUE"""),24.0)</f>
        <v>24</v>
      </c>
    </row>
    <row r="107">
      <c r="A107" s="25">
        <f>IFERROR(__xludf.DUMMYFUNCTION("""COMPUTED_VALUE"""),45579.0)</f>
        <v>45579</v>
      </c>
      <c r="B107" s="26" t="str">
        <f>IFERROR(__xludf.DUMMYFUNCTION("""COMPUTED_VALUE"""),"LinkedIn")</f>
        <v>LinkedIn</v>
      </c>
      <c r="C107" s="26">
        <f>IFERROR(__xludf.DUMMYFUNCTION("""COMPUTED_VALUE"""),3.0)</f>
        <v>3</v>
      </c>
      <c r="D107" s="26">
        <f>IFERROR(__xludf.DUMMYFUNCTION("""COMPUTED_VALUE"""),6.0)</f>
        <v>6</v>
      </c>
      <c r="E107" s="26">
        <f>IFERROR(__xludf.DUMMYFUNCTION("""COMPUTED_VALUE"""),47.0)</f>
        <v>47</v>
      </c>
    </row>
    <row r="108">
      <c r="A108" s="25">
        <f>IFERROR(__xludf.DUMMYFUNCTION("""COMPUTED_VALUE"""),45580.0)</f>
        <v>45580</v>
      </c>
      <c r="B108" s="26" t="str">
        <f>IFERROR(__xludf.DUMMYFUNCTION("""COMPUTED_VALUE"""),"LinkedIn")</f>
        <v>LinkedIn</v>
      </c>
      <c r="C108" s="26">
        <f>IFERROR(__xludf.DUMMYFUNCTION("""COMPUTED_VALUE"""),2.0)</f>
        <v>2</v>
      </c>
      <c r="D108" s="26">
        <f>IFERROR(__xludf.DUMMYFUNCTION("""COMPUTED_VALUE"""),13.0)</f>
        <v>13</v>
      </c>
      <c r="E108" s="26">
        <f>IFERROR(__xludf.DUMMYFUNCTION("""COMPUTED_VALUE"""),101.0)</f>
        <v>101</v>
      </c>
    </row>
    <row r="109">
      <c r="A109" s="25">
        <f>IFERROR(__xludf.DUMMYFUNCTION("""COMPUTED_VALUE"""),45581.0)</f>
        <v>45581</v>
      </c>
      <c r="B109" s="26" t="str">
        <f>IFERROR(__xludf.DUMMYFUNCTION("""COMPUTED_VALUE"""),"LinkedIn")</f>
        <v>LinkedIn</v>
      </c>
      <c r="C109" s="26">
        <f>IFERROR(__xludf.DUMMYFUNCTION("""COMPUTED_VALUE"""),0.0)</f>
        <v>0</v>
      </c>
      <c r="D109" s="26">
        <f>IFERROR(__xludf.DUMMYFUNCTION("""COMPUTED_VALUE"""),5.0)</f>
        <v>5</v>
      </c>
      <c r="E109" s="26">
        <f>IFERROR(__xludf.DUMMYFUNCTION("""COMPUTED_VALUE"""),65.0)</f>
        <v>65</v>
      </c>
    </row>
    <row r="110">
      <c r="A110" s="25">
        <f>IFERROR(__xludf.DUMMYFUNCTION("""COMPUTED_VALUE"""),45582.0)</f>
        <v>45582</v>
      </c>
      <c r="B110" s="26" t="str">
        <f>IFERROR(__xludf.DUMMYFUNCTION("""COMPUTED_VALUE"""),"LinkedIn")</f>
        <v>LinkedIn</v>
      </c>
      <c r="C110" s="26">
        <f>IFERROR(__xludf.DUMMYFUNCTION("""COMPUTED_VALUE"""),0.0)</f>
        <v>0</v>
      </c>
      <c r="D110" s="26">
        <f>IFERROR(__xludf.DUMMYFUNCTION("""COMPUTED_VALUE"""),0.0)</f>
        <v>0</v>
      </c>
      <c r="E110" s="26">
        <f>IFERROR(__xludf.DUMMYFUNCTION("""COMPUTED_VALUE"""),36.0)</f>
        <v>36</v>
      </c>
    </row>
    <row r="111">
      <c r="A111" s="25">
        <f>IFERROR(__xludf.DUMMYFUNCTION("""COMPUTED_VALUE"""),45583.0)</f>
        <v>45583</v>
      </c>
      <c r="B111" s="26" t="str">
        <f>IFERROR(__xludf.DUMMYFUNCTION("""COMPUTED_VALUE"""),"LinkedIn")</f>
        <v>LinkedIn</v>
      </c>
      <c r="C111" s="26">
        <f>IFERROR(__xludf.DUMMYFUNCTION("""COMPUTED_VALUE"""),0.0)</f>
        <v>0</v>
      </c>
      <c r="D111" s="26">
        <f>IFERROR(__xludf.DUMMYFUNCTION("""COMPUTED_VALUE"""),9.0)</f>
        <v>9</v>
      </c>
      <c r="E111" s="26">
        <f>IFERROR(__xludf.DUMMYFUNCTION("""COMPUTED_VALUE"""),79.0)</f>
        <v>79</v>
      </c>
    </row>
    <row r="112">
      <c r="A112" s="25">
        <f>IFERROR(__xludf.DUMMYFUNCTION("""COMPUTED_VALUE"""),45584.0)</f>
        <v>45584</v>
      </c>
      <c r="B112" s="26" t="str">
        <f>IFERROR(__xludf.DUMMYFUNCTION("""COMPUTED_VALUE"""),"LinkedIn")</f>
        <v>LinkedIn</v>
      </c>
      <c r="C112" s="26">
        <f>IFERROR(__xludf.DUMMYFUNCTION("""COMPUTED_VALUE"""),0.0)</f>
        <v>0</v>
      </c>
      <c r="D112" s="26">
        <f>IFERROR(__xludf.DUMMYFUNCTION("""COMPUTED_VALUE"""),12.0)</f>
        <v>12</v>
      </c>
      <c r="E112" s="26">
        <f>IFERROR(__xludf.DUMMYFUNCTION("""COMPUTED_VALUE"""),36.0)</f>
        <v>36</v>
      </c>
    </row>
    <row r="113">
      <c r="A113" s="25">
        <f>IFERROR(__xludf.DUMMYFUNCTION("""COMPUTED_VALUE"""),45585.0)</f>
        <v>45585</v>
      </c>
      <c r="B113" s="26" t="str">
        <f>IFERROR(__xludf.DUMMYFUNCTION("""COMPUTED_VALUE"""),"LinkedIn")</f>
        <v>LinkedIn</v>
      </c>
      <c r="C113" s="26">
        <f>IFERROR(__xludf.DUMMYFUNCTION("""COMPUTED_VALUE"""),1.0)</f>
        <v>1</v>
      </c>
      <c r="D113" s="26">
        <f>IFERROR(__xludf.DUMMYFUNCTION("""COMPUTED_VALUE"""),7.0)</f>
        <v>7</v>
      </c>
      <c r="E113" s="26">
        <f>IFERROR(__xludf.DUMMYFUNCTION("""COMPUTED_VALUE"""),39.0)</f>
        <v>39</v>
      </c>
    </row>
    <row r="114">
      <c r="A114" s="25">
        <f>IFERROR(__xludf.DUMMYFUNCTION("""COMPUTED_VALUE"""),45586.0)</f>
        <v>45586</v>
      </c>
      <c r="B114" s="26" t="str">
        <f>IFERROR(__xludf.DUMMYFUNCTION("""COMPUTED_VALUE"""),"LinkedIn")</f>
        <v>LinkedIn</v>
      </c>
      <c r="C114" s="26">
        <f>IFERROR(__xludf.DUMMYFUNCTION("""COMPUTED_VALUE"""),0.0)</f>
        <v>0</v>
      </c>
      <c r="D114" s="26">
        <f>IFERROR(__xludf.DUMMYFUNCTION("""COMPUTED_VALUE"""),0.0)</f>
        <v>0</v>
      </c>
      <c r="E114" s="26">
        <f>IFERROR(__xludf.DUMMYFUNCTION("""COMPUTED_VALUE"""),60.0)</f>
        <v>60</v>
      </c>
    </row>
    <row r="115">
      <c r="A115" s="25">
        <f>IFERROR(__xludf.DUMMYFUNCTION("""COMPUTED_VALUE"""),45587.0)</f>
        <v>45587</v>
      </c>
      <c r="B115" s="26" t="str">
        <f>IFERROR(__xludf.DUMMYFUNCTION("""COMPUTED_VALUE"""),"LinkedIn")</f>
        <v>LinkedIn</v>
      </c>
      <c r="C115" s="26">
        <f>IFERROR(__xludf.DUMMYFUNCTION("""COMPUTED_VALUE"""),1.0)</f>
        <v>1</v>
      </c>
      <c r="D115" s="26">
        <f>IFERROR(__xludf.DUMMYFUNCTION("""COMPUTED_VALUE"""),4.0)</f>
        <v>4</v>
      </c>
      <c r="E115" s="26">
        <f>IFERROR(__xludf.DUMMYFUNCTION("""COMPUTED_VALUE"""),41.0)</f>
        <v>41</v>
      </c>
    </row>
    <row r="116">
      <c r="A116" s="25">
        <f>IFERROR(__xludf.DUMMYFUNCTION("""COMPUTED_VALUE"""),45588.0)</f>
        <v>45588</v>
      </c>
      <c r="B116" s="26" t="str">
        <f>IFERROR(__xludf.DUMMYFUNCTION("""COMPUTED_VALUE"""),"LinkedIn")</f>
        <v>LinkedIn</v>
      </c>
      <c r="C116" s="26">
        <f>IFERROR(__xludf.DUMMYFUNCTION("""COMPUTED_VALUE"""),0.0)</f>
        <v>0</v>
      </c>
      <c r="D116" s="26">
        <f>IFERROR(__xludf.DUMMYFUNCTION("""COMPUTED_VALUE"""),0.0)</f>
        <v>0</v>
      </c>
      <c r="E116" s="26">
        <f>IFERROR(__xludf.DUMMYFUNCTION("""COMPUTED_VALUE"""),30.0)</f>
        <v>30</v>
      </c>
    </row>
    <row r="117">
      <c r="A117" s="25">
        <f>IFERROR(__xludf.DUMMYFUNCTION("""COMPUTED_VALUE"""),45589.0)</f>
        <v>45589</v>
      </c>
      <c r="B117" s="26" t="str">
        <f>IFERROR(__xludf.DUMMYFUNCTION("""COMPUTED_VALUE"""),"LinkedIn")</f>
        <v>LinkedIn</v>
      </c>
      <c r="C117" s="26">
        <f>IFERROR(__xludf.DUMMYFUNCTION("""COMPUTED_VALUE"""),0.0)</f>
        <v>0</v>
      </c>
      <c r="D117" s="26">
        <f>IFERROR(__xludf.DUMMYFUNCTION("""COMPUTED_VALUE"""),1.0)</f>
        <v>1</v>
      </c>
      <c r="E117" s="26">
        <f>IFERROR(__xludf.DUMMYFUNCTION("""COMPUTED_VALUE"""),20.0)</f>
        <v>20</v>
      </c>
    </row>
    <row r="118">
      <c r="A118" s="25">
        <f>IFERROR(__xludf.DUMMYFUNCTION("""COMPUTED_VALUE"""),45590.0)</f>
        <v>45590</v>
      </c>
      <c r="B118" s="26" t="str">
        <f>IFERROR(__xludf.DUMMYFUNCTION("""COMPUTED_VALUE"""),"LinkedIn")</f>
        <v>LinkedIn</v>
      </c>
      <c r="C118" s="26">
        <f>IFERROR(__xludf.DUMMYFUNCTION("""COMPUTED_VALUE"""),0.0)</f>
        <v>0</v>
      </c>
      <c r="D118" s="26">
        <f>IFERROR(__xludf.DUMMYFUNCTION("""COMPUTED_VALUE"""),47.0)</f>
        <v>47</v>
      </c>
      <c r="E118" s="26">
        <f>IFERROR(__xludf.DUMMYFUNCTION("""COMPUTED_VALUE"""),401.0)</f>
        <v>401</v>
      </c>
    </row>
    <row r="119">
      <c r="A119" s="25">
        <f>IFERROR(__xludf.DUMMYFUNCTION("""COMPUTED_VALUE"""),45591.0)</f>
        <v>45591</v>
      </c>
      <c r="B119" s="26" t="str">
        <f>IFERROR(__xludf.DUMMYFUNCTION("""COMPUTED_VALUE"""),"LinkedIn")</f>
        <v>LinkedIn</v>
      </c>
      <c r="C119" s="26">
        <f>IFERROR(__xludf.DUMMYFUNCTION("""COMPUTED_VALUE"""),1.0)</f>
        <v>1</v>
      </c>
      <c r="D119" s="26">
        <f>IFERROR(__xludf.DUMMYFUNCTION("""COMPUTED_VALUE"""),2.0)</f>
        <v>2</v>
      </c>
      <c r="E119" s="26">
        <f>IFERROR(__xludf.DUMMYFUNCTION("""COMPUTED_VALUE"""),129.0)</f>
        <v>129</v>
      </c>
    </row>
    <row r="120">
      <c r="A120" s="25">
        <f>IFERROR(__xludf.DUMMYFUNCTION("""COMPUTED_VALUE"""),45592.0)</f>
        <v>45592</v>
      </c>
      <c r="B120" s="26" t="str">
        <f>IFERROR(__xludf.DUMMYFUNCTION("""COMPUTED_VALUE"""),"LinkedIn")</f>
        <v>LinkedIn</v>
      </c>
      <c r="C120" s="26">
        <f>IFERROR(__xludf.DUMMYFUNCTION("""COMPUTED_VALUE"""),0.0)</f>
        <v>0</v>
      </c>
      <c r="D120" s="26">
        <f>IFERROR(__xludf.DUMMYFUNCTION("""COMPUTED_VALUE"""),5.0)</f>
        <v>5</v>
      </c>
      <c r="E120" s="26">
        <f>IFERROR(__xludf.DUMMYFUNCTION("""COMPUTED_VALUE"""),80.0)</f>
        <v>80</v>
      </c>
    </row>
    <row r="121">
      <c r="A121" s="25">
        <f>IFERROR(__xludf.DUMMYFUNCTION("""COMPUTED_VALUE"""),45593.0)</f>
        <v>45593</v>
      </c>
      <c r="B121" s="26" t="str">
        <f>IFERROR(__xludf.DUMMYFUNCTION("""COMPUTED_VALUE"""),"LinkedIn")</f>
        <v>LinkedIn</v>
      </c>
      <c r="C121" s="26">
        <f>IFERROR(__xludf.DUMMYFUNCTION("""COMPUTED_VALUE"""),1.0)</f>
        <v>1</v>
      </c>
      <c r="D121" s="26">
        <f>IFERROR(__xludf.DUMMYFUNCTION("""COMPUTED_VALUE"""),4.0)</f>
        <v>4</v>
      </c>
      <c r="E121" s="26">
        <f>IFERROR(__xludf.DUMMYFUNCTION("""COMPUTED_VALUE"""),66.0)</f>
        <v>66</v>
      </c>
    </row>
    <row r="122">
      <c r="A122" s="25">
        <f>IFERROR(__xludf.DUMMYFUNCTION("""COMPUTED_VALUE"""),45594.0)</f>
        <v>45594</v>
      </c>
      <c r="B122" s="26" t="str">
        <f>IFERROR(__xludf.DUMMYFUNCTION("""COMPUTED_VALUE"""),"LinkedIn")</f>
        <v>LinkedIn</v>
      </c>
      <c r="C122" s="26">
        <f>IFERROR(__xludf.DUMMYFUNCTION("""COMPUTED_VALUE"""),2.0)</f>
        <v>2</v>
      </c>
      <c r="D122" s="26">
        <f>IFERROR(__xludf.DUMMYFUNCTION("""COMPUTED_VALUE"""),2.0)</f>
        <v>2</v>
      </c>
      <c r="E122" s="26">
        <f>IFERROR(__xludf.DUMMYFUNCTION("""COMPUTED_VALUE"""),63.0)</f>
        <v>63</v>
      </c>
    </row>
    <row r="123">
      <c r="A123" s="25">
        <f>IFERROR(__xludf.DUMMYFUNCTION("""COMPUTED_VALUE"""),45595.0)</f>
        <v>45595</v>
      </c>
      <c r="B123" s="26" t="str">
        <f>IFERROR(__xludf.DUMMYFUNCTION("""COMPUTED_VALUE"""),"LinkedIn")</f>
        <v>LinkedIn</v>
      </c>
      <c r="C123" s="26">
        <f>IFERROR(__xludf.DUMMYFUNCTION("""COMPUTED_VALUE"""),0.0)</f>
        <v>0</v>
      </c>
      <c r="D123" s="26">
        <f>IFERROR(__xludf.DUMMYFUNCTION("""COMPUTED_VALUE"""),6.0)</f>
        <v>6</v>
      </c>
      <c r="E123" s="26">
        <f>IFERROR(__xludf.DUMMYFUNCTION("""COMPUTED_VALUE"""),71.0)</f>
        <v>71</v>
      </c>
    </row>
    <row r="124">
      <c r="A124" s="25">
        <f>IFERROR(__xludf.DUMMYFUNCTION("""COMPUTED_VALUE"""),45596.0)</f>
        <v>45596</v>
      </c>
      <c r="B124" s="26" t="str">
        <f>IFERROR(__xludf.DUMMYFUNCTION("""COMPUTED_VALUE"""),"LinkedIn")</f>
        <v>LinkedIn</v>
      </c>
      <c r="C124" s="26">
        <f>IFERROR(__xludf.DUMMYFUNCTION("""COMPUTED_VALUE"""),3.0)</f>
        <v>3</v>
      </c>
      <c r="D124" s="26">
        <f>IFERROR(__xludf.DUMMYFUNCTION("""COMPUTED_VALUE"""),20.0)</f>
        <v>20</v>
      </c>
      <c r="E124" s="26">
        <f>IFERROR(__xludf.DUMMYFUNCTION("""COMPUTED_VALUE"""),121.0)</f>
        <v>121</v>
      </c>
    </row>
    <row r="125">
      <c r="A125" s="25">
        <f>IFERROR(__xludf.DUMMYFUNCTION("""COMPUTED_VALUE"""),45597.0)</f>
        <v>45597</v>
      </c>
      <c r="B125" s="26" t="str">
        <f>IFERROR(__xludf.DUMMYFUNCTION("""COMPUTED_VALUE"""),"LinkedIn")</f>
        <v>LinkedIn</v>
      </c>
      <c r="C125" s="26">
        <f>IFERROR(__xludf.DUMMYFUNCTION("""COMPUTED_VALUE"""),0.0)</f>
        <v>0</v>
      </c>
      <c r="D125" s="26">
        <f>IFERROR(__xludf.DUMMYFUNCTION("""COMPUTED_VALUE"""),7.0)</f>
        <v>7</v>
      </c>
      <c r="E125" s="26">
        <f>IFERROR(__xludf.DUMMYFUNCTION("""COMPUTED_VALUE"""),54.0)</f>
        <v>54</v>
      </c>
    </row>
    <row r="126">
      <c r="A126" s="25">
        <f>IFERROR(__xludf.DUMMYFUNCTION("""COMPUTED_VALUE"""),45598.0)</f>
        <v>45598</v>
      </c>
      <c r="B126" s="26" t="str">
        <f>IFERROR(__xludf.DUMMYFUNCTION("""COMPUTED_VALUE"""),"LinkedIn")</f>
        <v>LinkedIn</v>
      </c>
      <c r="C126" s="26">
        <f>IFERROR(__xludf.DUMMYFUNCTION("""COMPUTED_VALUE"""),1.0)</f>
        <v>1</v>
      </c>
      <c r="D126" s="26">
        <f>IFERROR(__xludf.DUMMYFUNCTION("""COMPUTED_VALUE"""),0.0)</f>
        <v>0</v>
      </c>
      <c r="E126" s="26">
        <f>IFERROR(__xludf.DUMMYFUNCTION("""COMPUTED_VALUE"""),29.0)</f>
        <v>29</v>
      </c>
    </row>
    <row r="127">
      <c r="A127" s="25">
        <f>IFERROR(__xludf.DUMMYFUNCTION("""COMPUTED_VALUE"""),45599.0)</f>
        <v>45599</v>
      </c>
      <c r="B127" s="26" t="str">
        <f>IFERROR(__xludf.DUMMYFUNCTION("""COMPUTED_VALUE"""),"LinkedIn")</f>
        <v>LinkedIn</v>
      </c>
      <c r="C127" s="26">
        <f>IFERROR(__xludf.DUMMYFUNCTION("""COMPUTED_VALUE"""),0.0)</f>
        <v>0</v>
      </c>
      <c r="D127" s="26">
        <f>IFERROR(__xludf.DUMMYFUNCTION("""COMPUTED_VALUE"""),2.0)</f>
        <v>2</v>
      </c>
      <c r="E127" s="26">
        <f>IFERROR(__xludf.DUMMYFUNCTION("""COMPUTED_VALUE"""),34.0)</f>
        <v>34</v>
      </c>
    </row>
    <row r="128">
      <c r="A128" s="25">
        <f>IFERROR(__xludf.DUMMYFUNCTION("""COMPUTED_VALUE"""),45600.0)</f>
        <v>45600</v>
      </c>
      <c r="B128" s="26" t="str">
        <f>IFERROR(__xludf.DUMMYFUNCTION("""COMPUTED_VALUE"""),"LinkedIn")</f>
        <v>LinkedIn</v>
      </c>
      <c r="C128" s="26">
        <f>IFERROR(__xludf.DUMMYFUNCTION("""COMPUTED_VALUE"""),1.0)</f>
        <v>1</v>
      </c>
      <c r="D128" s="26">
        <f>IFERROR(__xludf.DUMMYFUNCTION("""COMPUTED_VALUE"""),3.0)</f>
        <v>3</v>
      </c>
      <c r="E128" s="26">
        <f>IFERROR(__xludf.DUMMYFUNCTION("""COMPUTED_VALUE"""),50.0)</f>
        <v>50</v>
      </c>
    </row>
    <row r="129">
      <c r="A129" s="25">
        <f>IFERROR(__xludf.DUMMYFUNCTION("""COMPUTED_VALUE"""),45601.0)</f>
        <v>45601</v>
      </c>
      <c r="B129" s="26" t="str">
        <f>IFERROR(__xludf.DUMMYFUNCTION("""COMPUTED_VALUE"""),"LinkedIn")</f>
        <v>LinkedIn</v>
      </c>
      <c r="C129" s="26">
        <f>IFERROR(__xludf.DUMMYFUNCTION("""COMPUTED_VALUE"""),0.0)</f>
        <v>0</v>
      </c>
      <c r="D129" s="26">
        <f>IFERROR(__xludf.DUMMYFUNCTION("""COMPUTED_VALUE"""),4.0)</f>
        <v>4</v>
      </c>
      <c r="E129" s="26">
        <f>IFERROR(__xludf.DUMMYFUNCTION("""COMPUTED_VALUE"""),82.0)</f>
        <v>82</v>
      </c>
    </row>
    <row r="130">
      <c r="A130" s="25">
        <f>IFERROR(__xludf.DUMMYFUNCTION("""COMPUTED_VALUE"""),45602.0)</f>
        <v>45602</v>
      </c>
      <c r="B130" s="26" t="str">
        <f>IFERROR(__xludf.DUMMYFUNCTION("""COMPUTED_VALUE"""),"LinkedIn")</f>
        <v>LinkedIn</v>
      </c>
      <c r="C130" s="26">
        <f>IFERROR(__xludf.DUMMYFUNCTION("""COMPUTED_VALUE"""),2.0)</f>
        <v>2</v>
      </c>
      <c r="D130" s="26">
        <f>IFERROR(__xludf.DUMMYFUNCTION("""COMPUTED_VALUE"""),3.0)</f>
        <v>3</v>
      </c>
      <c r="E130" s="26">
        <f>IFERROR(__xludf.DUMMYFUNCTION("""COMPUTED_VALUE"""),55.0)</f>
        <v>55</v>
      </c>
    </row>
    <row r="131">
      <c r="A131" s="25">
        <f>IFERROR(__xludf.DUMMYFUNCTION("""COMPUTED_VALUE"""),45603.0)</f>
        <v>45603</v>
      </c>
      <c r="B131" s="26" t="str">
        <f>IFERROR(__xludf.DUMMYFUNCTION("""COMPUTED_VALUE"""),"LinkedIn")</f>
        <v>LinkedIn</v>
      </c>
      <c r="C131" s="26">
        <f>IFERROR(__xludf.DUMMYFUNCTION("""COMPUTED_VALUE"""),0.0)</f>
        <v>0</v>
      </c>
      <c r="D131" s="26">
        <f>IFERROR(__xludf.DUMMYFUNCTION("""COMPUTED_VALUE"""),6.0)</f>
        <v>6</v>
      </c>
      <c r="E131" s="26">
        <f>IFERROR(__xludf.DUMMYFUNCTION("""COMPUTED_VALUE"""),88.0)</f>
        <v>88</v>
      </c>
    </row>
    <row r="132">
      <c r="A132" s="25">
        <f>IFERROR(__xludf.DUMMYFUNCTION("""COMPUTED_VALUE"""),45604.0)</f>
        <v>45604</v>
      </c>
      <c r="B132" s="26" t="str">
        <f>IFERROR(__xludf.DUMMYFUNCTION("""COMPUTED_VALUE"""),"LinkedIn")</f>
        <v>LinkedIn</v>
      </c>
      <c r="C132" s="26">
        <f>IFERROR(__xludf.DUMMYFUNCTION("""COMPUTED_VALUE"""),2.0)</f>
        <v>2</v>
      </c>
      <c r="D132" s="26">
        <f>IFERROR(__xludf.DUMMYFUNCTION("""COMPUTED_VALUE"""),3.0)</f>
        <v>3</v>
      </c>
      <c r="E132" s="26">
        <f>IFERROR(__xludf.DUMMYFUNCTION("""COMPUTED_VALUE"""),50.0)</f>
        <v>50</v>
      </c>
    </row>
    <row r="133">
      <c r="A133" s="25">
        <f>IFERROR(__xludf.DUMMYFUNCTION("""COMPUTED_VALUE"""),45605.0)</f>
        <v>45605</v>
      </c>
      <c r="B133" s="26" t="str">
        <f>IFERROR(__xludf.DUMMYFUNCTION("""COMPUTED_VALUE"""),"LinkedIn")</f>
        <v>LinkedIn</v>
      </c>
      <c r="C133" s="26">
        <f>IFERROR(__xludf.DUMMYFUNCTION("""COMPUTED_VALUE"""),0.0)</f>
        <v>0</v>
      </c>
      <c r="D133" s="26">
        <f>IFERROR(__xludf.DUMMYFUNCTION("""COMPUTED_VALUE"""),2.0)</f>
        <v>2</v>
      </c>
      <c r="E133" s="26">
        <f>IFERROR(__xludf.DUMMYFUNCTION("""COMPUTED_VALUE"""),45.0)</f>
        <v>45</v>
      </c>
    </row>
    <row r="134">
      <c r="A134" s="25">
        <f>IFERROR(__xludf.DUMMYFUNCTION("""COMPUTED_VALUE"""),45606.0)</f>
        <v>45606</v>
      </c>
      <c r="B134" s="26" t="str">
        <f>IFERROR(__xludf.DUMMYFUNCTION("""COMPUTED_VALUE"""),"LinkedIn")</f>
        <v>LinkedIn</v>
      </c>
      <c r="C134" s="26">
        <f>IFERROR(__xludf.DUMMYFUNCTION("""COMPUTED_VALUE"""),1.0)</f>
        <v>1</v>
      </c>
      <c r="D134" s="26">
        <f>IFERROR(__xludf.DUMMYFUNCTION("""COMPUTED_VALUE"""),6.0)</f>
        <v>6</v>
      </c>
      <c r="E134" s="26">
        <f>IFERROR(__xludf.DUMMYFUNCTION("""COMPUTED_VALUE"""),46.0)</f>
        <v>46</v>
      </c>
    </row>
    <row r="135">
      <c r="A135" s="25">
        <f>IFERROR(__xludf.DUMMYFUNCTION("""COMPUTED_VALUE"""),45607.0)</f>
        <v>45607</v>
      </c>
      <c r="B135" s="26" t="str">
        <f>IFERROR(__xludf.DUMMYFUNCTION("""COMPUTED_VALUE"""),"LinkedIn")</f>
        <v>LinkedIn</v>
      </c>
      <c r="C135" s="26">
        <f>IFERROR(__xludf.DUMMYFUNCTION("""COMPUTED_VALUE"""),1.0)</f>
        <v>1</v>
      </c>
      <c r="D135" s="26">
        <f>IFERROR(__xludf.DUMMYFUNCTION("""COMPUTED_VALUE"""),4.0)</f>
        <v>4</v>
      </c>
      <c r="E135" s="26">
        <f>IFERROR(__xludf.DUMMYFUNCTION("""COMPUTED_VALUE"""),56.0)</f>
        <v>56</v>
      </c>
    </row>
    <row r="136">
      <c r="A136" s="25">
        <f>IFERROR(__xludf.DUMMYFUNCTION("""COMPUTED_VALUE"""),45608.0)</f>
        <v>45608</v>
      </c>
      <c r="B136" s="26" t="str">
        <f>IFERROR(__xludf.DUMMYFUNCTION("""COMPUTED_VALUE"""),"LinkedIn")</f>
        <v>LinkedIn</v>
      </c>
      <c r="C136" s="26">
        <f>IFERROR(__xludf.DUMMYFUNCTION("""COMPUTED_VALUE"""),2.0)</f>
        <v>2</v>
      </c>
      <c r="D136" s="26">
        <f>IFERROR(__xludf.DUMMYFUNCTION("""COMPUTED_VALUE"""),4.0)</f>
        <v>4</v>
      </c>
      <c r="E136" s="26">
        <f>IFERROR(__xludf.DUMMYFUNCTION("""COMPUTED_VALUE"""),46.0)</f>
        <v>46</v>
      </c>
    </row>
    <row r="137">
      <c r="A137" s="25">
        <f>IFERROR(__xludf.DUMMYFUNCTION("""COMPUTED_VALUE"""),45609.0)</f>
        <v>45609</v>
      </c>
      <c r="B137" s="26" t="str">
        <f>IFERROR(__xludf.DUMMYFUNCTION("""COMPUTED_VALUE"""),"LinkedIn")</f>
        <v>LinkedIn</v>
      </c>
      <c r="C137" s="26">
        <f>IFERROR(__xludf.DUMMYFUNCTION("""COMPUTED_VALUE"""),1.0)</f>
        <v>1</v>
      </c>
      <c r="D137" s="26">
        <f>IFERROR(__xludf.DUMMYFUNCTION("""COMPUTED_VALUE"""),1.0)</f>
        <v>1</v>
      </c>
      <c r="E137" s="26">
        <f>IFERROR(__xludf.DUMMYFUNCTION("""COMPUTED_VALUE"""),41.0)</f>
        <v>41</v>
      </c>
    </row>
    <row r="138">
      <c r="A138" s="25">
        <f>IFERROR(__xludf.DUMMYFUNCTION("""COMPUTED_VALUE"""),45610.0)</f>
        <v>45610</v>
      </c>
      <c r="B138" s="26" t="str">
        <f>IFERROR(__xludf.DUMMYFUNCTION("""COMPUTED_VALUE"""),"LinkedIn")</f>
        <v>LinkedIn</v>
      </c>
      <c r="C138" s="26">
        <f>IFERROR(__xludf.DUMMYFUNCTION("""COMPUTED_VALUE"""),2.0)</f>
        <v>2</v>
      </c>
      <c r="D138" s="26">
        <f>IFERROR(__xludf.DUMMYFUNCTION("""COMPUTED_VALUE"""),1.0)</f>
        <v>1</v>
      </c>
      <c r="E138" s="26">
        <f>IFERROR(__xludf.DUMMYFUNCTION("""COMPUTED_VALUE"""),21.0)</f>
        <v>21</v>
      </c>
    </row>
    <row r="139">
      <c r="A139" s="25">
        <f>IFERROR(__xludf.DUMMYFUNCTION("""COMPUTED_VALUE"""),45611.0)</f>
        <v>45611</v>
      </c>
      <c r="B139" s="26" t="str">
        <f>IFERROR(__xludf.DUMMYFUNCTION("""COMPUTED_VALUE"""),"LinkedIn")</f>
        <v>LinkedIn</v>
      </c>
      <c r="C139" s="26">
        <f>IFERROR(__xludf.DUMMYFUNCTION("""COMPUTED_VALUE"""),2.0)</f>
        <v>2</v>
      </c>
      <c r="D139" s="26">
        <f>IFERROR(__xludf.DUMMYFUNCTION("""COMPUTED_VALUE"""),1.0)</f>
        <v>1</v>
      </c>
      <c r="E139" s="26">
        <f>IFERROR(__xludf.DUMMYFUNCTION("""COMPUTED_VALUE"""),50.0)</f>
        <v>50</v>
      </c>
    </row>
    <row r="140">
      <c r="A140" s="25">
        <f>IFERROR(__xludf.DUMMYFUNCTION("""COMPUTED_VALUE"""),45612.0)</f>
        <v>45612</v>
      </c>
      <c r="B140" s="26" t="str">
        <f>IFERROR(__xludf.DUMMYFUNCTION("""COMPUTED_VALUE"""),"LinkedIn")</f>
        <v>LinkedIn</v>
      </c>
      <c r="C140" s="26">
        <f>IFERROR(__xludf.DUMMYFUNCTION("""COMPUTED_VALUE"""),1.0)</f>
        <v>1</v>
      </c>
      <c r="D140" s="26">
        <f>IFERROR(__xludf.DUMMYFUNCTION("""COMPUTED_VALUE"""),18.0)</f>
        <v>18</v>
      </c>
      <c r="E140" s="26">
        <f>IFERROR(__xludf.DUMMYFUNCTION("""COMPUTED_VALUE"""),109.0)</f>
        <v>109</v>
      </c>
    </row>
    <row r="141">
      <c r="A141" s="25">
        <f>IFERROR(__xludf.DUMMYFUNCTION("""COMPUTED_VALUE"""),45613.0)</f>
        <v>45613</v>
      </c>
      <c r="B141" s="26" t="str">
        <f>IFERROR(__xludf.DUMMYFUNCTION("""COMPUTED_VALUE"""),"LinkedIn")</f>
        <v>LinkedIn</v>
      </c>
      <c r="C141" s="26">
        <f>IFERROR(__xludf.DUMMYFUNCTION("""COMPUTED_VALUE"""),0.0)</f>
        <v>0</v>
      </c>
      <c r="D141" s="26">
        <f>IFERROR(__xludf.DUMMYFUNCTION("""COMPUTED_VALUE"""),2.0)</f>
        <v>2</v>
      </c>
      <c r="E141" s="26">
        <f>IFERROR(__xludf.DUMMYFUNCTION("""COMPUTED_VALUE"""),28.0)</f>
        <v>28</v>
      </c>
    </row>
    <row r="142">
      <c r="A142" s="25">
        <f>IFERROR(__xludf.DUMMYFUNCTION("""COMPUTED_VALUE"""),45614.0)</f>
        <v>45614</v>
      </c>
      <c r="B142" s="26" t="str">
        <f>IFERROR(__xludf.DUMMYFUNCTION("""COMPUTED_VALUE"""),"LinkedIn")</f>
        <v>LinkedIn</v>
      </c>
      <c r="C142" s="26">
        <f>IFERROR(__xludf.DUMMYFUNCTION("""COMPUTED_VALUE"""),2.0)</f>
        <v>2</v>
      </c>
      <c r="D142" s="26">
        <f>IFERROR(__xludf.DUMMYFUNCTION("""COMPUTED_VALUE"""),10.0)</f>
        <v>10</v>
      </c>
      <c r="E142" s="26">
        <f>IFERROR(__xludf.DUMMYFUNCTION("""COMPUTED_VALUE"""),36.0)</f>
        <v>36</v>
      </c>
    </row>
    <row r="143">
      <c r="A143" s="25">
        <f>IFERROR(__xludf.DUMMYFUNCTION("""COMPUTED_VALUE"""),45615.0)</f>
        <v>45615</v>
      </c>
      <c r="B143" s="26" t="str">
        <f>IFERROR(__xludf.DUMMYFUNCTION("""COMPUTED_VALUE"""),"LinkedIn")</f>
        <v>LinkedIn</v>
      </c>
      <c r="C143" s="26">
        <f>IFERROR(__xludf.DUMMYFUNCTION("""COMPUTED_VALUE"""),1.0)</f>
        <v>1</v>
      </c>
      <c r="D143" s="26">
        <f>IFERROR(__xludf.DUMMYFUNCTION("""COMPUTED_VALUE"""),4.0)</f>
        <v>4</v>
      </c>
      <c r="E143" s="26">
        <f>IFERROR(__xludf.DUMMYFUNCTION("""COMPUTED_VALUE"""),47.0)</f>
        <v>47</v>
      </c>
    </row>
    <row r="144">
      <c r="A144" s="25">
        <f>IFERROR(__xludf.DUMMYFUNCTION("""COMPUTED_VALUE"""),45616.0)</f>
        <v>45616</v>
      </c>
      <c r="B144" s="26" t="str">
        <f>IFERROR(__xludf.DUMMYFUNCTION("""COMPUTED_VALUE"""),"LinkedIn")</f>
        <v>LinkedIn</v>
      </c>
      <c r="C144" s="26">
        <f>IFERROR(__xludf.DUMMYFUNCTION("""COMPUTED_VALUE"""),2.0)</f>
        <v>2</v>
      </c>
      <c r="D144" s="26">
        <f>IFERROR(__xludf.DUMMYFUNCTION("""COMPUTED_VALUE"""),3.0)</f>
        <v>3</v>
      </c>
      <c r="E144" s="26">
        <f>IFERROR(__xludf.DUMMYFUNCTION("""COMPUTED_VALUE"""),38.0)</f>
        <v>38</v>
      </c>
    </row>
    <row r="145">
      <c r="A145" s="25">
        <f>IFERROR(__xludf.DUMMYFUNCTION("""COMPUTED_VALUE"""),45617.0)</f>
        <v>45617</v>
      </c>
      <c r="B145" s="26" t="str">
        <f>IFERROR(__xludf.DUMMYFUNCTION("""COMPUTED_VALUE"""),"LinkedIn")</f>
        <v>LinkedIn</v>
      </c>
      <c r="C145" s="26">
        <f>IFERROR(__xludf.DUMMYFUNCTION("""COMPUTED_VALUE"""),6.0)</f>
        <v>6</v>
      </c>
      <c r="D145" s="26">
        <f>IFERROR(__xludf.DUMMYFUNCTION("""COMPUTED_VALUE"""),46.0)</f>
        <v>46</v>
      </c>
      <c r="E145" s="26">
        <f>IFERROR(__xludf.DUMMYFUNCTION("""COMPUTED_VALUE"""),361.0)</f>
        <v>361</v>
      </c>
    </row>
    <row r="146">
      <c r="A146" s="25">
        <f>IFERROR(__xludf.DUMMYFUNCTION("""COMPUTED_VALUE"""),45618.0)</f>
        <v>45618</v>
      </c>
      <c r="B146" s="26" t="str">
        <f>IFERROR(__xludf.DUMMYFUNCTION("""COMPUTED_VALUE"""),"LinkedIn")</f>
        <v>LinkedIn</v>
      </c>
      <c r="C146" s="26">
        <f>IFERROR(__xludf.DUMMYFUNCTION("""COMPUTED_VALUE"""),2.0)</f>
        <v>2</v>
      </c>
      <c r="D146" s="26">
        <f>IFERROR(__xludf.DUMMYFUNCTION("""COMPUTED_VALUE"""),15.0)</f>
        <v>15</v>
      </c>
      <c r="E146" s="26">
        <f>IFERROR(__xludf.DUMMYFUNCTION("""COMPUTED_VALUE"""),265.0)</f>
        <v>265</v>
      </c>
    </row>
    <row r="147">
      <c r="A147" s="25">
        <f>IFERROR(__xludf.DUMMYFUNCTION("""COMPUTED_VALUE"""),45619.0)</f>
        <v>45619</v>
      </c>
      <c r="B147" s="26" t="str">
        <f>IFERROR(__xludf.DUMMYFUNCTION("""COMPUTED_VALUE"""),"LinkedIn")</f>
        <v>LinkedIn</v>
      </c>
      <c r="C147" s="26">
        <f>IFERROR(__xludf.DUMMYFUNCTION("""COMPUTED_VALUE"""),1.0)</f>
        <v>1</v>
      </c>
      <c r="D147" s="26">
        <f>IFERROR(__xludf.DUMMYFUNCTION("""COMPUTED_VALUE"""),17.0)</f>
        <v>17</v>
      </c>
      <c r="E147" s="26">
        <f>IFERROR(__xludf.DUMMYFUNCTION("""COMPUTED_VALUE"""),167.0)</f>
        <v>167</v>
      </c>
    </row>
    <row r="148">
      <c r="A148" s="25">
        <f>IFERROR(__xludf.DUMMYFUNCTION("""COMPUTED_VALUE"""),45620.0)</f>
        <v>45620</v>
      </c>
      <c r="B148" s="26" t="str">
        <f>IFERROR(__xludf.DUMMYFUNCTION("""COMPUTED_VALUE"""),"LinkedIn")</f>
        <v>LinkedIn</v>
      </c>
      <c r="C148" s="26">
        <f>IFERROR(__xludf.DUMMYFUNCTION("""COMPUTED_VALUE"""),0.0)</f>
        <v>0</v>
      </c>
      <c r="D148" s="26">
        <f>IFERROR(__xludf.DUMMYFUNCTION("""COMPUTED_VALUE"""),6.0)</f>
        <v>6</v>
      </c>
      <c r="E148" s="26">
        <f>IFERROR(__xludf.DUMMYFUNCTION("""COMPUTED_VALUE"""),66.0)</f>
        <v>66</v>
      </c>
    </row>
    <row r="149">
      <c r="A149" s="25">
        <f>IFERROR(__xludf.DUMMYFUNCTION("""COMPUTED_VALUE"""),45621.0)</f>
        <v>45621</v>
      </c>
      <c r="B149" s="26" t="str">
        <f>IFERROR(__xludf.DUMMYFUNCTION("""COMPUTED_VALUE"""),"LinkedIn")</f>
        <v>LinkedIn</v>
      </c>
      <c r="C149" s="26">
        <f>IFERROR(__xludf.DUMMYFUNCTION("""COMPUTED_VALUE"""),1.0)</f>
        <v>1</v>
      </c>
      <c r="D149" s="26">
        <f>IFERROR(__xludf.DUMMYFUNCTION("""COMPUTED_VALUE"""),5.0)</f>
        <v>5</v>
      </c>
      <c r="E149" s="26">
        <f>IFERROR(__xludf.DUMMYFUNCTION("""COMPUTED_VALUE"""),68.0)</f>
        <v>68</v>
      </c>
    </row>
    <row r="150">
      <c r="A150" s="25">
        <f>IFERROR(__xludf.DUMMYFUNCTION("""COMPUTED_VALUE"""),45622.0)</f>
        <v>45622</v>
      </c>
      <c r="B150" s="26" t="str">
        <f>IFERROR(__xludf.DUMMYFUNCTION("""COMPUTED_VALUE"""),"LinkedIn")</f>
        <v>LinkedIn</v>
      </c>
      <c r="C150" s="26">
        <f>IFERROR(__xludf.DUMMYFUNCTION("""COMPUTED_VALUE"""),1.0)</f>
        <v>1</v>
      </c>
      <c r="D150" s="26">
        <f>IFERROR(__xludf.DUMMYFUNCTION("""COMPUTED_VALUE"""),3.0)</f>
        <v>3</v>
      </c>
      <c r="E150" s="26">
        <f>IFERROR(__xludf.DUMMYFUNCTION("""COMPUTED_VALUE"""),59.0)</f>
        <v>59</v>
      </c>
    </row>
    <row r="151">
      <c r="A151" s="25">
        <f>IFERROR(__xludf.DUMMYFUNCTION("""COMPUTED_VALUE"""),45623.0)</f>
        <v>45623</v>
      </c>
      <c r="B151" s="26" t="str">
        <f>IFERROR(__xludf.DUMMYFUNCTION("""COMPUTED_VALUE"""),"LinkedIn")</f>
        <v>LinkedIn</v>
      </c>
      <c r="C151" s="26">
        <f>IFERROR(__xludf.DUMMYFUNCTION("""COMPUTED_VALUE"""),0.0)</f>
        <v>0</v>
      </c>
      <c r="D151" s="26">
        <f>IFERROR(__xludf.DUMMYFUNCTION("""COMPUTED_VALUE"""),3.0)</f>
        <v>3</v>
      </c>
      <c r="E151" s="26">
        <f>IFERROR(__xludf.DUMMYFUNCTION("""COMPUTED_VALUE"""),41.0)</f>
        <v>41</v>
      </c>
    </row>
    <row r="152">
      <c r="A152" s="25">
        <f>IFERROR(__xludf.DUMMYFUNCTION("""COMPUTED_VALUE"""),45624.0)</f>
        <v>45624</v>
      </c>
      <c r="B152" s="26" t="str">
        <f>IFERROR(__xludf.DUMMYFUNCTION("""COMPUTED_VALUE"""),"LinkedIn")</f>
        <v>LinkedIn</v>
      </c>
      <c r="C152" s="26">
        <f>IFERROR(__xludf.DUMMYFUNCTION("""COMPUTED_VALUE"""),1.0)</f>
        <v>1</v>
      </c>
      <c r="D152" s="26">
        <f>IFERROR(__xludf.DUMMYFUNCTION("""COMPUTED_VALUE"""),5.0)</f>
        <v>5</v>
      </c>
      <c r="E152" s="26">
        <f>IFERROR(__xludf.DUMMYFUNCTION("""COMPUTED_VALUE"""),37.0)</f>
        <v>37</v>
      </c>
    </row>
    <row r="153">
      <c r="A153" s="25">
        <f>IFERROR(__xludf.DUMMYFUNCTION("""COMPUTED_VALUE"""),45625.0)</f>
        <v>45625</v>
      </c>
      <c r="B153" s="26" t="str">
        <f>IFERROR(__xludf.DUMMYFUNCTION("""COMPUTED_VALUE"""),"LinkedIn")</f>
        <v>LinkedIn</v>
      </c>
      <c r="C153" s="26">
        <f>IFERROR(__xludf.DUMMYFUNCTION("""COMPUTED_VALUE"""),0.0)</f>
        <v>0</v>
      </c>
      <c r="D153" s="26">
        <f>IFERROR(__xludf.DUMMYFUNCTION("""COMPUTED_VALUE"""),2.0)</f>
        <v>2</v>
      </c>
      <c r="E153" s="26">
        <f>IFERROR(__xludf.DUMMYFUNCTION("""COMPUTED_VALUE"""),30.0)</f>
        <v>30</v>
      </c>
    </row>
    <row r="154">
      <c r="A154" s="25">
        <f>IFERROR(__xludf.DUMMYFUNCTION("""COMPUTED_VALUE"""),45626.0)</f>
        <v>45626</v>
      </c>
      <c r="B154" s="26" t="str">
        <f>IFERROR(__xludf.DUMMYFUNCTION("""COMPUTED_VALUE"""),"LinkedIn")</f>
        <v>LinkedIn</v>
      </c>
      <c r="C154" s="26">
        <f>IFERROR(__xludf.DUMMYFUNCTION("""COMPUTED_VALUE"""),0.0)</f>
        <v>0</v>
      </c>
      <c r="D154" s="26">
        <f>IFERROR(__xludf.DUMMYFUNCTION("""COMPUTED_VALUE"""),0.0)</f>
        <v>0</v>
      </c>
      <c r="E154" s="26">
        <f>IFERROR(__xludf.DUMMYFUNCTION("""COMPUTED_VALUE"""),22.0)</f>
        <v>22</v>
      </c>
    </row>
    <row r="155">
      <c r="A155" s="25">
        <f>IFERROR(__xludf.DUMMYFUNCTION("""COMPUTED_VALUE"""),45627.0)</f>
        <v>45627</v>
      </c>
      <c r="B155" s="26" t="str">
        <f>IFERROR(__xludf.DUMMYFUNCTION("""COMPUTED_VALUE"""),"LinkedIn")</f>
        <v>LinkedIn</v>
      </c>
      <c r="C155" s="26">
        <f>IFERROR(__xludf.DUMMYFUNCTION("""COMPUTED_VALUE"""),-1.0)</f>
        <v>-1</v>
      </c>
      <c r="D155" s="26">
        <f>IFERROR(__xludf.DUMMYFUNCTION("""COMPUTED_VALUE"""),1.0)</f>
        <v>1</v>
      </c>
      <c r="E155" s="26">
        <f>IFERROR(__xludf.DUMMYFUNCTION("""COMPUTED_VALUE"""),19.0)</f>
        <v>19</v>
      </c>
    </row>
    <row r="156">
      <c r="A156" s="25">
        <f>IFERROR(__xludf.DUMMYFUNCTION("""COMPUTED_VALUE"""),45628.0)</f>
        <v>45628</v>
      </c>
      <c r="B156" s="26" t="str">
        <f>IFERROR(__xludf.DUMMYFUNCTION("""COMPUTED_VALUE"""),"LinkedIn")</f>
        <v>LinkedIn</v>
      </c>
      <c r="C156" s="26">
        <f>IFERROR(__xludf.DUMMYFUNCTION("""COMPUTED_VALUE"""),1.0)</f>
        <v>1</v>
      </c>
      <c r="D156" s="26">
        <f>IFERROR(__xludf.DUMMYFUNCTION("""COMPUTED_VALUE"""),1.0)</f>
        <v>1</v>
      </c>
      <c r="E156" s="26">
        <f>IFERROR(__xludf.DUMMYFUNCTION("""COMPUTED_VALUE"""),40.0)</f>
        <v>40</v>
      </c>
    </row>
    <row r="157">
      <c r="A157" s="25">
        <f>IFERROR(__xludf.DUMMYFUNCTION("""COMPUTED_VALUE"""),45629.0)</f>
        <v>45629</v>
      </c>
      <c r="B157" s="26" t="str">
        <f>IFERROR(__xludf.DUMMYFUNCTION("""COMPUTED_VALUE"""),"LinkedIn")</f>
        <v>LinkedIn</v>
      </c>
      <c r="C157" s="26">
        <f>IFERROR(__xludf.DUMMYFUNCTION("""COMPUTED_VALUE"""),0.0)</f>
        <v>0</v>
      </c>
      <c r="D157" s="26">
        <f>IFERROR(__xludf.DUMMYFUNCTION("""COMPUTED_VALUE"""),5.0)</f>
        <v>5</v>
      </c>
      <c r="E157" s="26">
        <f>IFERROR(__xludf.DUMMYFUNCTION("""COMPUTED_VALUE"""),60.0)</f>
        <v>60</v>
      </c>
    </row>
    <row r="158">
      <c r="A158" s="25">
        <f>IFERROR(__xludf.DUMMYFUNCTION("""COMPUTED_VALUE"""),45630.0)</f>
        <v>45630</v>
      </c>
      <c r="B158" s="26" t="str">
        <f>IFERROR(__xludf.DUMMYFUNCTION("""COMPUTED_VALUE"""),"LinkedIn")</f>
        <v>LinkedIn</v>
      </c>
      <c r="C158" s="26">
        <f>IFERROR(__xludf.DUMMYFUNCTION("""COMPUTED_VALUE"""),2.0)</f>
        <v>2</v>
      </c>
      <c r="D158" s="26">
        <f>IFERROR(__xludf.DUMMYFUNCTION("""COMPUTED_VALUE"""),6.0)</f>
        <v>6</v>
      </c>
      <c r="E158" s="26">
        <f>IFERROR(__xludf.DUMMYFUNCTION("""COMPUTED_VALUE"""),45.0)</f>
        <v>45</v>
      </c>
    </row>
    <row r="159">
      <c r="A159" s="25">
        <f>IFERROR(__xludf.DUMMYFUNCTION("""COMPUTED_VALUE"""),45631.0)</f>
        <v>45631</v>
      </c>
      <c r="B159" s="26" t="str">
        <f>IFERROR(__xludf.DUMMYFUNCTION("""COMPUTED_VALUE"""),"LinkedIn")</f>
        <v>LinkedIn</v>
      </c>
      <c r="C159" s="26">
        <f>IFERROR(__xludf.DUMMYFUNCTION("""COMPUTED_VALUE"""),0.0)</f>
        <v>0</v>
      </c>
      <c r="D159" s="26">
        <f>IFERROR(__xludf.DUMMYFUNCTION("""COMPUTED_VALUE"""),22.0)</f>
        <v>22</v>
      </c>
      <c r="E159" s="26">
        <f>IFERROR(__xludf.DUMMYFUNCTION("""COMPUTED_VALUE"""),154.0)</f>
        <v>154</v>
      </c>
    </row>
    <row r="160">
      <c r="A160" s="25">
        <f>IFERROR(__xludf.DUMMYFUNCTION("""COMPUTED_VALUE"""),45632.0)</f>
        <v>45632</v>
      </c>
      <c r="B160" s="26" t="str">
        <f>IFERROR(__xludf.DUMMYFUNCTION("""COMPUTED_VALUE"""),"LinkedIn")</f>
        <v>LinkedIn</v>
      </c>
      <c r="C160" s="26">
        <f>IFERROR(__xludf.DUMMYFUNCTION("""COMPUTED_VALUE"""),1.0)</f>
        <v>1</v>
      </c>
      <c r="D160" s="26">
        <f>IFERROR(__xludf.DUMMYFUNCTION("""COMPUTED_VALUE"""),26.0)</f>
        <v>26</v>
      </c>
      <c r="E160" s="26">
        <f>IFERROR(__xludf.DUMMYFUNCTION("""COMPUTED_VALUE"""),119.0)</f>
        <v>119</v>
      </c>
    </row>
    <row r="161">
      <c r="A161" s="25">
        <f>IFERROR(__xludf.DUMMYFUNCTION("""COMPUTED_VALUE"""),45633.0)</f>
        <v>45633</v>
      </c>
      <c r="B161" s="26" t="str">
        <f>IFERROR(__xludf.DUMMYFUNCTION("""COMPUTED_VALUE"""),"LinkedIn")</f>
        <v>LinkedIn</v>
      </c>
      <c r="C161" s="26">
        <f>IFERROR(__xludf.DUMMYFUNCTION("""COMPUTED_VALUE"""),-1.0)</f>
        <v>-1</v>
      </c>
      <c r="D161" s="26">
        <f>IFERROR(__xludf.DUMMYFUNCTION("""COMPUTED_VALUE"""),8.0)</f>
        <v>8</v>
      </c>
      <c r="E161" s="26">
        <f>IFERROR(__xludf.DUMMYFUNCTION("""COMPUTED_VALUE"""),50.0)</f>
        <v>50</v>
      </c>
    </row>
    <row r="162">
      <c r="A162" s="25">
        <f>IFERROR(__xludf.DUMMYFUNCTION("""COMPUTED_VALUE"""),45634.0)</f>
        <v>45634</v>
      </c>
      <c r="B162" s="26" t="str">
        <f>IFERROR(__xludf.DUMMYFUNCTION("""COMPUTED_VALUE"""),"LinkedIn")</f>
        <v>LinkedIn</v>
      </c>
      <c r="C162" s="26">
        <f>IFERROR(__xludf.DUMMYFUNCTION("""COMPUTED_VALUE"""),2.0)</f>
        <v>2</v>
      </c>
      <c r="D162" s="26">
        <f>IFERROR(__xludf.DUMMYFUNCTION("""COMPUTED_VALUE"""),3.0)</f>
        <v>3</v>
      </c>
      <c r="E162" s="26">
        <f>IFERROR(__xludf.DUMMYFUNCTION("""COMPUTED_VALUE"""),32.0)</f>
        <v>32</v>
      </c>
    </row>
    <row r="163">
      <c r="A163" s="25">
        <f>IFERROR(__xludf.DUMMYFUNCTION("""COMPUTED_VALUE"""),45635.0)</f>
        <v>45635</v>
      </c>
      <c r="B163" s="26" t="str">
        <f>IFERROR(__xludf.DUMMYFUNCTION("""COMPUTED_VALUE"""),"LinkedIn")</f>
        <v>LinkedIn</v>
      </c>
      <c r="C163" s="26">
        <f>IFERROR(__xludf.DUMMYFUNCTION("""COMPUTED_VALUE"""),1.0)</f>
        <v>1</v>
      </c>
      <c r="D163" s="26">
        <f>IFERROR(__xludf.DUMMYFUNCTION("""COMPUTED_VALUE"""),7.0)</f>
        <v>7</v>
      </c>
      <c r="E163" s="26">
        <f>IFERROR(__xludf.DUMMYFUNCTION("""COMPUTED_VALUE"""),120.0)</f>
        <v>120</v>
      </c>
    </row>
    <row r="164">
      <c r="A164" s="25">
        <f>IFERROR(__xludf.DUMMYFUNCTION("""COMPUTED_VALUE"""),45636.0)</f>
        <v>45636</v>
      </c>
      <c r="B164" s="26" t="str">
        <f>IFERROR(__xludf.DUMMYFUNCTION("""COMPUTED_VALUE"""),"LinkedIn")</f>
        <v>LinkedIn</v>
      </c>
      <c r="C164" s="26">
        <f>IFERROR(__xludf.DUMMYFUNCTION("""COMPUTED_VALUE"""),0.0)</f>
        <v>0</v>
      </c>
      <c r="D164" s="26">
        <f>IFERROR(__xludf.DUMMYFUNCTION("""COMPUTED_VALUE"""),7.0)</f>
        <v>7</v>
      </c>
      <c r="E164" s="26">
        <f>IFERROR(__xludf.DUMMYFUNCTION("""COMPUTED_VALUE"""),108.0)</f>
        <v>108</v>
      </c>
    </row>
    <row r="165">
      <c r="A165" s="25">
        <f>IFERROR(__xludf.DUMMYFUNCTION("""COMPUTED_VALUE"""),45637.0)</f>
        <v>45637</v>
      </c>
      <c r="B165" s="26" t="str">
        <f>IFERROR(__xludf.DUMMYFUNCTION("""COMPUTED_VALUE"""),"LinkedIn")</f>
        <v>LinkedIn</v>
      </c>
      <c r="C165" s="26">
        <f>IFERROR(__xludf.DUMMYFUNCTION("""COMPUTED_VALUE"""),0.0)</f>
        <v>0</v>
      </c>
      <c r="D165" s="26">
        <f>IFERROR(__xludf.DUMMYFUNCTION("""COMPUTED_VALUE"""),9.0)</f>
        <v>9</v>
      </c>
      <c r="E165" s="26">
        <f>IFERROR(__xludf.DUMMYFUNCTION("""COMPUTED_VALUE"""),86.0)</f>
        <v>86</v>
      </c>
    </row>
    <row r="166">
      <c r="A166" s="25">
        <f>IFERROR(__xludf.DUMMYFUNCTION("""COMPUTED_VALUE"""),45638.0)</f>
        <v>45638</v>
      </c>
      <c r="B166" s="26" t="str">
        <f>IFERROR(__xludf.DUMMYFUNCTION("""COMPUTED_VALUE"""),"LinkedIn")</f>
        <v>LinkedIn</v>
      </c>
      <c r="C166" s="26">
        <f>IFERROR(__xludf.DUMMYFUNCTION("""COMPUTED_VALUE"""),0.0)</f>
        <v>0</v>
      </c>
      <c r="D166" s="26">
        <f>IFERROR(__xludf.DUMMYFUNCTION("""COMPUTED_VALUE"""),9.0)</f>
        <v>9</v>
      </c>
      <c r="E166" s="26">
        <f>IFERROR(__xludf.DUMMYFUNCTION("""COMPUTED_VALUE"""),46.0)</f>
        <v>46</v>
      </c>
    </row>
    <row r="167">
      <c r="A167" s="25">
        <f>IFERROR(__xludf.DUMMYFUNCTION("""COMPUTED_VALUE"""),45639.0)</f>
        <v>45639</v>
      </c>
      <c r="B167" s="26" t="str">
        <f>IFERROR(__xludf.DUMMYFUNCTION("""COMPUTED_VALUE"""),"LinkedIn")</f>
        <v>LinkedIn</v>
      </c>
      <c r="C167" s="26">
        <f>IFERROR(__xludf.DUMMYFUNCTION("""COMPUTED_VALUE"""),2.0)</f>
        <v>2</v>
      </c>
      <c r="D167" s="26">
        <f>IFERROR(__xludf.DUMMYFUNCTION("""COMPUTED_VALUE"""),4.0)</f>
        <v>4</v>
      </c>
      <c r="E167" s="26">
        <f>IFERROR(__xludf.DUMMYFUNCTION("""COMPUTED_VALUE"""),51.0)</f>
        <v>51</v>
      </c>
    </row>
    <row r="168">
      <c r="A168" s="25">
        <f>IFERROR(__xludf.DUMMYFUNCTION("""COMPUTED_VALUE"""),45640.0)</f>
        <v>45640</v>
      </c>
      <c r="B168" s="26" t="str">
        <f>IFERROR(__xludf.DUMMYFUNCTION("""COMPUTED_VALUE"""),"LinkedIn")</f>
        <v>LinkedIn</v>
      </c>
      <c r="C168" s="26">
        <f>IFERROR(__xludf.DUMMYFUNCTION("""COMPUTED_VALUE"""),0.0)</f>
        <v>0</v>
      </c>
      <c r="D168" s="26">
        <f>IFERROR(__xludf.DUMMYFUNCTION("""COMPUTED_VALUE"""),2.0)</f>
        <v>2</v>
      </c>
      <c r="E168" s="26">
        <f>IFERROR(__xludf.DUMMYFUNCTION("""COMPUTED_VALUE"""),40.0)</f>
        <v>40</v>
      </c>
    </row>
    <row r="169">
      <c r="A169" s="25">
        <f>IFERROR(__xludf.DUMMYFUNCTION("""COMPUTED_VALUE"""),45641.0)</f>
        <v>45641</v>
      </c>
      <c r="B169" s="26" t="str">
        <f>IFERROR(__xludf.DUMMYFUNCTION("""COMPUTED_VALUE"""),"LinkedIn")</f>
        <v>LinkedIn</v>
      </c>
      <c r="C169" s="26">
        <f>IFERROR(__xludf.DUMMYFUNCTION("""COMPUTED_VALUE"""),0.0)</f>
        <v>0</v>
      </c>
      <c r="D169" s="26">
        <f>IFERROR(__xludf.DUMMYFUNCTION("""COMPUTED_VALUE"""),2.0)</f>
        <v>2</v>
      </c>
      <c r="E169" s="26">
        <f>IFERROR(__xludf.DUMMYFUNCTION("""COMPUTED_VALUE"""),26.0)</f>
        <v>26</v>
      </c>
    </row>
    <row r="170">
      <c r="A170" s="25">
        <f>IFERROR(__xludf.DUMMYFUNCTION("""COMPUTED_VALUE"""),45642.0)</f>
        <v>45642</v>
      </c>
      <c r="B170" s="26" t="str">
        <f>IFERROR(__xludf.DUMMYFUNCTION("""COMPUTED_VALUE"""),"LinkedIn")</f>
        <v>LinkedIn</v>
      </c>
      <c r="C170" s="26">
        <f>IFERROR(__xludf.DUMMYFUNCTION("""COMPUTED_VALUE"""),0.0)</f>
        <v>0</v>
      </c>
      <c r="D170" s="26">
        <f>IFERROR(__xludf.DUMMYFUNCTION("""COMPUTED_VALUE"""),7.0)</f>
        <v>7</v>
      </c>
      <c r="E170" s="26">
        <f>IFERROR(__xludf.DUMMYFUNCTION("""COMPUTED_VALUE"""),49.0)</f>
        <v>49</v>
      </c>
    </row>
    <row r="171">
      <c r="A171" s="25">
        <f>IFERROR(__xludf.DUMMYFUNCTION("""COMPUTED_VALUE"""),45643.0)</f>
        <v>45643</v>
      </c>
      <c r="B171" s="26" t="str">
        <f>IFERROR(__xludf.DUMMYFUNCTION("""COMPUTED_VALUE"""),"LinkedIn")</f>
        <v>LinkedIn</v>
      </c>
      <c r="C171" s="26">
        <f>IFERROR(__xludf.DUMMYFUNCTION("""COMPUTED_VALUE"""),0.0)</f>
        <v>0</v>
      </c>
      <c r="D171" s="26">
        <f>IFERROR(__xludf.DUMMYFUNCTION("""COMPUTED_VALUE"""),8.0)</f>
        <v>8</v>
      </c>
      <c r="E171" s="26">
        <f>IFERROR(__xludf.DUMMYFUNCTION("""COMPUTED_VALUE"""),68.0)</f>
        <v>68</v>
      </c>
    </row>
    <row r="172">
      <c r="A172" s="25">
        <f>IFERROR(__xludf.DUMMYFUNCTION("""COMPUTED_VALUE"""),45644.0)</f>
        <v>45644</v>
      </c>
      <c r="B172" s="26" t="str">
        <f>IFERROR(__xludf.DUMMYFUNCTION("""COMPUTED_VALUE"""),"LinkedIn")</f>
        <v>LinkedIn</v>
      </c>
      <c r="C172" s="26">
        <f>IFERROR(__xludf.DUMMYFUNCTION("""COMPUTED_VALUE"""),5.0)</f>
        <v>5</v>
      </c>
      <c r="D172" s="26">
        <f>IFERROR(__xludf.DUMMYFUNCTION("""COMPUTED_VALUE"""),23.0)</f>
        <v>23</v>
      </c>
      <c r="E172" s="26">
        <f>IFERROR(__xludf.DUMMYFUNCTION("""COMPUTED_VALUE"""),201.0)</f>
        <v>201</v>
      </c>
    </row>
    <row r="173">
      <c r="A173" s="25">
        <f>IFERROR(__xludf.DUMMYFUNCTION("""COMPUTED_VALUE"""),45645.0)</f>
        <v>45645</v>
      </c>
      <c r="B173" s="26" t="str">
        <f>IFERROR(__xludf.DUMMYFUNCTION("""COMPUTED_VALUE"""),"LinkedIn")</f>
        <v>LinkedIn</v>
      </c>
      <c r="C173" s="26">
        <f>IFERROR(__xludf.DUMMYFUNCTION("""COMPUTED_VALUE"""),0.0)</f>
        <v>0</v>
      </c>
      <c r="D173" s="26">
        <f>IFERROR(__xludf.DUMMYFUNCTION("""COMPUTED_VALUE"""),18.0)</f>
        <v>18</v>
      </c>
      <c r="E173" s="26">
        <f>IFERROR(__xludf.DUMMYFUNCTION("""COMPUTED_VALUE"""),131.0)</f>
        <v>131</v>
      </c>
    </row>
    <row r="174">
      <c r="A174" s="25">
        <f>IFERROR(__xludf.DUMMYFUNCTION("""COMPUTED_VALUE"""),45646.0)</f>
        <v>45646</v>
      </c>
      <c r="B174" s="26" t="str">
        <f>IFERROR(__xludf.DUMMYFUNCTION("""COMPUTED_VALUE"""),"LinkedIn")</f>
        <v>LinkedIn</v>
      </c>
      <c r="C174" s="26">
        <f>IFERROR(__xludf.DUMMYFUNCTION("""COMPUTED_VALUE"""),1.0)</f>
        <v>1</v>
      </c>
      <c r="D174" s="26">
        <f>IFERROR(__xludf.DUMMYFUNCTION("""COMPUTED_VALUE"""),8.0)</f>
        <v>8</v>
      </c>
      <c r="E174" s="26">
        <f>IFERROR(__xludf.DUMMYFUNCTION("""COMPUTED_VALUE"""),115.0)</f>
        <v>115</v>
      </c>
    </row>
    <row r="175">
      <c r="A175" s="25">
        <f>IFERROR(__xludf.DUMMYFUNCTION("""COMPUTED_VALUE"""),45647.0)</f>
        <v>45647</v>
      </c>
      <c r="B175" s="26" t="str">
        <f>IFERROR(__xludf.DUMMYFUNCTION("""COMPUTED_VALUE"""),"LinkedIn")</f>
        <v>LinkedIn</v>
      </c>
      <c r="C175" s="26">
        <f>IFERROR(__xludf.DUMMYFUNCTION("""COMPUTED_VALUE"""),1.0)</f>
        <v>1</v>
      </c>
      <c r="D175" s="26">
        <f>IFERROR(__xludf.DUMMYFUNCTION("""COMPUTED_VALUE"""),21.0)</f>
        <v>21</v>
      </c>
      <c r="E175" s="26">
        <f>IFERROR(__xludf.DUMMYFUNCTION("""COMPUTED_VALUE"""),143.0)</f>
        <v>143</v>
      </c>
    </row>
    <row r="176">
      <c r="A176" s="25">
        <f>IFERROR(__xludf.DUMMYFUNCTION("""COMPUTED_VALUE"""),45648.0)</f>
        <v>45648</v>
      </c>
      <c r="B176" s="26" t="str">
        <f>IFERROR(__xludf.DUMMYFUNCTION("""COMPUTED_VALUE"""),"LinkedIn")</f>
        <v>LinkedIn</v>
      </c>
      <c r="C176" s="26">
        <f>IFERROR(__xludf.DUMMYFUNCTION("""COMPUTED_VALUE"""),0.0)</f>
        <v>0</v>
      </c>
      <c r="D176" s="26">
        <f>IFERROR(__xludf.DUMMYFUNCTION("""COMPUTED_VALUE"""),2.0)</f>
        <v>2</v>
      </c>
      <c r="E176" s="26">
        <f>IFERROR(__xludf.DUMMYFUNCTION("""COMPUTED_VALUE"""),50.0)</f>
        <v>50</v>
      </c>
    </row>
    <row r="177">
      <c r="A177" s="25">
        <f>IFERROR(__xludf.DUMMYFUNCTION("""COMPUTED_VALUE"""),45649.0)</f>
        <v>45649</v>
      </c>
      <c r="B177" s="26" t="str">
        <f>IFERROR(__xludf.DUMMYFUNCTION("""COMPUTED_VALUE"""),"LinkedIn")</f>
        <v>LinkedIn</v>
      </c>
      <c r="C177" s="26">
        <f>IFERROR(__xludf.DUMMYFUNCTION("""COMPUTED_VALUE"""),0.0)</f>
        <v>0</v>
      </c>
      <c r="D177" s="26">
        <f>IFERROR(__xludf.DUMMYFUNCTION("""COMPUTED_VALUE"""),2.0)</f>
        <v>2</v>
      </c>
      <c r="E177" s="26">
        <f>IFERROR(__xludf.DUMMYFUNCTION("""COMPUTED_VALUE"""),63.0)</f>
        <v>63</v>
      </c>
    </row>
    <row r="178">
      <c r="A178" s="25">
        <f>IFERROR(__xludf.DUMMYFUNCTION("""COMPUTED_VALUE"""),45650.0)</f>
        <v>45650</v>
      </c>
      <c r="B178" s="26" t="str">
        <f>IFERROR(__xludf.DUMMYFUNCTION("""COMPUTED_VALUE"""),"LinkedIn")</f>
        <v>LinkedIn</v>
      </c>
      <c r="C178" s="26">
        <f>IFERROR(__xludf.DUMMYFUNCTION("""COMPUTED_VALUE"""),1.0)</f>
        <v>1</v>
      </c>
      <c r="D178" s="26">
        <f>IFERROR(__xludf.DUMMYFUNCTION("""COMPUTED_VALUE"""),5.0)</f>
        <v>5</v>
      </c>
      <c r="E178" s="26">
        <f>IFERROR(__xludf.DUMMYFUNCTION("""COMPUTED_VALUE"""),40.0)</f>
        <v>40</v>
      </c>
    </row>
    <row r="179">
      <c r="A179" s="25">
        <f>IFERROR(__xludf.DUMMYFUNCTION("""COMPUTED_VALUE"""),45651.0)</f>
        <v>45651</v>
      </c>
      <c r="B179" s="26" t="str">
        <f>IFERROR(__xludf.DUMMYFUNCTION("""COMPUTED_VALUE"""),"LinkedIn")</f>
        <v>LinkedIn</v>
      </c>
      <c r="C179" s="26">
        <f>IFERROR(__xludf.DUMMYFUNCTION("""COMPUTED_VALUE"""),1.0)</f>
        <v>1</v>
      </c>
      <c r="D179" s="26">
        <f>IFERROR(__xludf.DUMMYFUNCTION("""COMPUTED_VALUE"""),1.0)</f>
        <v>1</v>
      </c>
      <c r="E179" s="26">
        <f>IFERROR(__xludf.DUMMYFUNCTION("""COMPUTED_VALUE"""),22.0)</f>
        <v>22</v>
      </c>
    </row>
    <row r="180">
      <c r="A180" s="25">
        <f>IFERROR(__xludf.DUMMYFUNCTION("""COMPUTED_VALUE"""),45652.0)</f>
        <v>45652</v>
      </c>
      <c r="B180" s="26" t="str">
        <f>IFERROR(__xludf.DUMMYFUNCTION("""COMPUTED_VALUE"""),"LinkedIn")</f>
        <v>LinkedIn</v>
      </c>
      <c r="C180" s="26">
        <f>IFERROR(__xludf.DUMMYFUNCTION("""COMPUTED_VALUE"""),2.0)</f>
        <v>2</v>
      </c>
      <c r="D180" s="26">
        <f>IFERROR(__xludf.DUMMYFUNCTION("""COMPUTED_VALUE"""),1.0)</f>
        <v>1</v>
      </c>
      <c r="E180" s="26">
        <f>IFERROR(__xludf.DUMMYFUNCTION("""COMPUTED_VALUE"""),36.0)</f>
        <v>36</v>
      </c>
    </row>
    <row r="181">
      <c r="A181" s="25">
        <f>IFERROR(__xludf.DUMMYFUNCTION("""COMPUTED_VALUE"""),45653.0)</f>
        <v>45653</v>
      </c>
      <c r="B181" s="26" t="str">
        <f>IFERROR(__xludf.DUMMYFUNCTION("""COMPUTED_VALUE"""),"LinkedIn")</f>
        <v>LinkedIn</v>
      </c>
      <c r="C181" s="26">
        <f>IFERROR(__xludf.DUMMYFUNCTION("""COMPUTED_VALUE"""),1.0)</f>
        <v>1</v>
      </c>
      <c r="D181" s="26">
        <f>IFERROR(__xludf.DUMMYFUNCTION("""COMPUTED_VALUE"""),1.0)</f>
        <v>1</v>
      </c>
      <c r="E181" s="26">
        <f>IFERROR(__xludf.DUMMYFUNCTION("""COMPUTED_VALUE"""),40.0)</f>
        <v>40</v>
      </c>
    </row>
    <row r="182">
      <c r="A182" s="25">
        <f>IFERROR(__xludf.DUMMYFUNCTION("""COMPUTED_VALUE"""),45654.0)</f>
        <v>45654</v>
      </c>
      <c r="B182" s="26" t="str">
        <f>IFERROR(__xludf.DUMMYFUNCTION("""COMPUTED_VALUE"""),"LinkedIn")</f>
        <v>LinkedIn</v>
      </c>
      <c r="C182" s="26">
        <f>IFERROR(__xludf.DUMMYFUNCTION("""COMPUTED_VALUE"""),1.0)</f>
        <v>1</v>
      </c>
      <c r="D182" s="26">
        <f>IFERROR(__xludf.DUMMYFUNCTION("""COMPUTED_VALUE"""),3.0)</f>
        <v>3</v>
      </c>
      <c r="E182" s="26">
        <f>IFERROR(__xludf.DUMMYFUNCTION("""COMPUTED_VALUE"""),29.0)</f>
        <v>29</v>
      </c>
    </row>
    <row r="183">
      <c r="A183" s="25">
        <f>IFERROR(__xludf.DUMMYFUNCTION("""COMPUTED_VALUE"""),45655.0)</f>
        <v>45655</v>
      </c>
      <c r="B183" s="26" t="str">
        <f>IFERROR(__xludf.DUMMYFUNCTION("""COMPUTED_VALUE"""),"LinkedIn")</f>
        <v>LinkedIn</v>
      </c>
      <c r="C183" s="26">
        <f>IFERROR(__xludf.DUMMYFUNCTION("""COMPUTED_VALUE"""),0.0)</f>
        <v>0</v>
      </c>
      <c r="D183" s="26">
        <f>IFERROR(__xludf.DUMMYFUNCTION("""COMPUTED_VALUE"""),3.0)</f>
        <v>3</v>
      </c>
      <c r="E183" s="26">
        <f>IFERROR(__xludf.DUMMYFUNCTION("""COMPUTED_VALUE"""),37.0)</f>
        <v>37</v>
      </c>
    </row>
    <row r="184">
      <c r="A184" s="25">
        <f>IFERROR(__xludf.DUMMYFUNCTION("""COMPUTED_VALUE"""),45656.0)</f>
        <v>45656</v>
      </c>
      <c r="B184" s="26" t="str">
        <f>IFERROR(__xludf.DUMMYFUNCTION("""COMPUTED_VALUE"""),"LinkedIn")</f>
        <v>LinkedIn</v>
      </c>
      <c r="C184" s="26">
        <f>IFERROR(__xludf.DUMMYFUNCTION("""COMPUTED_VALUE"""),1.0)</f>
        <v>1</v>
      </c>
      <c r="D184" s="26">
        <f>IFERROR(__xludf.DUMMYFUNCTION("""COMPUTED_VALUE"""),4.0)</f>
        <v>4</v>
      </c>
      <c r="E184" s="26">
        <f>IFERROR(__xludf.DUMMYFUNCTION("""COMPUTED_VALUE"""),40.0)</f>
        <v>40</v>
      </c>
    </row>
    <row r="185">
      <c r="A185" s="25">
        <f>IFERROR(__xludf.DUMMYFUNCTION("""COMPUTED_VALUE"""),45657.0)</f>
        <v>45657</v>
      </c>
      <c r="B185" s="26" t="str">
        <f>IFERROR(__xludf.DUMMYFUNCTION("""COMPUTED_VALUE"""),"LinkedIn")</f>
        <v>LinkedIn</v>
      </c>
      <c r="C185" s="26">
        <f>IFERROR(__xludf.DUMMYFUNCTION("""COMPUTED_VALUE"""),1.0)</f>
        <v>1</v>
      </c>
      <c r="D185" s="26">
        <f>IFERROR(__xludf.DUMMYFUNCTION("""COMPUTED_VALUE"""),0.0)</f>
        <v>0</v>
      </c>
      <c r="E185" s="26">
        <f>IFERROR(__xludf.DUMMYFUNCTION("""COMPUTED_VALUE"""),29.0)</f>
        <v>29</v>
      </c>
    </row>
    <row r="186">
      <c r="A186" s="25">
        <f>IFERROR(__xludf.DUMMYFUNCTION("""COMPUTED_VALUE"""),45658.0)</f>
        <v>45658</v>
      </c>
      <c r="B186" s="26" t="str">
        <f>IFERROR(__xludf.DUMMYFUNCTION("""COMPUTED_VALUE"""),"LinkedIn")</f>
        <v>LinkedIn</v>
      </c>
      <c r="C186" s="26">
        <f>IFERROR(__xludf.DUMMYFUNCTION("""COMPUTED_VALUE"""),0.0)</f>
        <v>0</v>
      </c>
      <c r="D186" s="26">
        <f>IFERROR(__xludf.DUMMYFUNCTION("""COMPUTED_VALUE"""),7.0)</f>
        <v>7</v>
      </c>
      <c r="E186" s="26">
        <f>IFERROR(__xludf.DUMMYFUNCTION("""COMPUTED_VALUE"""),62.0)</f>
        <v>62</v>
      </c>
    </row>
    <row r="187">
      <c r="A187" s="25">
        <f>IFERROR(__xludf.DUMMYFUNCTION("""COMPUTED_VALUE"""),45659.0)</f>
        <v>45659</v>
      </c>
      <c r="B187" s="26" t="str">
        <f>IFERROR(__xludf.DUMMYFUNCTION("""COMPUTED_VALUE"""),"LinkedIn")</f>
        <v>LinkedIn</v>
      </c>
      <c r="C187" s="26">
        <f>IFERROR(__xludf.DUMMYFUNCTION("""COMPUTED_VALUE"""),0.0)</f>
        <v>0</v>
      </c>
      <c r="D187" s="26">
        <f>IFERROR(__xludf.DUMMYFUNCTION("""COMPUTED_VALUE"""),10.0)</f>
        <v>10</v>
      </c>
      <c r="E187" s="26">
        <f>IFERROR(__xludf.DUMMYFUNCTION("""COMPUTED_VALUE"""),69.0)</f>
        <v>69</v>
      </c>
    </row>
    <row r="188">
      <c r="A188" s="25">
        <f>IFERROR(__xludf.DUMMYFUNCTION("""COMPUTED_VALUE"""),45660.0)</f>
        <v>45660</v>
      </c>
      <c r="B188" s="26" t="str">
        <f>IFERROR(__xludf.DUMMYFUNCTION("""COMPUTED_VALUE"""),"LinkedIn")</f>
        <v>LinkedIn</v>
      </c>
      <c r="C188" s="26">
        <f>IFERROR(__xludf.DUMMYFUNCTION("""COMPUTED_VALUE"""),2.0)</f>
        <v>2</v>
      </c>
      <c r="D188" s="26">
        <f>IFERROR(__xludf.DUMMYFUNCTION("""COMPUTED_VALUE"""),7.0)</f>
        <v>7</v>
      </c>
      <c r="E188" s="26">
        <f>IFERROR(__xludf.DUMMYFUNCTION("""COMPUTED_VALUE"""),85.0)</f>
        <v>85</v>
      </c>
    </row>
    <row r="189">
      <c r="A189" s="25">
        <f>IFERROR(__xludf.DUMMYFUNCTION("""COMPUTED_VALUE"""),45661.0)</f>
        <v>45661</v>
      </c>
      <c r="B189" s="26" t="str">
        <f>IFERROR(__xludf.DUMMYFUNCTION("""COMPUTED_VALUE"""),"LinkedIn")</f>
        <v>LinkedIn</v>
      </c>
      <c r="C189" s="26">
        <f>IFERROR(__xludf.DUMMYFUNCTION("""COMPUTED_VALUE"""),1.0)</f>
        <v>1</v>
      </c>
      <c r="D189" s="26">
        <f>IFERROR(__xludf.DUMMYFUNCTION("""COMPUTED_VALUE"""),0.0)</f>
        <v>0</v>
      </c>
      <c r="E189" s="26">
        <f>IFERROR(__xludf.DUMMYFUNCTION("""COMPUTED_VALUE"""),22.0)</f>
        <v>22</v>
      </c>
    </row>
    <row r="190">
      <c r="A190" s="25">
        <f>IFERROR(__xludf.DUMMYFUNCTION("""COMPUTED_VALUE"""),45662.0)</f>
        <v>45662</v>
      </c>
      <c r="B190" s="26" t="str">
        <f>IFERROR(__xludf.DUMMYFUNCTION("""COMPUTED_VALUE"""),"LinkedIn")</f>
        <v>LinkedIn</v>
      </c>
      <c r="C190" s="26">
        <f>IFERROR(__xludf.DUMMYFUNCTION("""COMPUTED_VALUE"""),1.0)</f>
        <v>1</v>
      </c>
      <c r="D190" s="26">
        <f>IFERROR(__xludf.DUMMYFUNCTION("""COMPUTED_VALUE"""),1.0)</f>
        <v>1</v>
      </c>
      <c r="E190" s="26">
        <f>IFERROR(__xludf.DUMMYFUNCTION("""COMPUTED_VALUE"""),24.0)</f>
        <v>24</v>
      </c>
    </row>
    <row r="191">
      <c r="A191" s="25">
        <f>IFERROR(__xludf.DUMMYFUNCTION("""COMPUTED_VALUE"""),45663.0)</f>
        <v>45663</v>
      </c>
      <c r="B191" s="26" t="str">
        <f>IFERROR(__xludf.DUMMYFUNCTION("""COMPUTED_VALUE"""),"LinkedIn")</f>
        <v>LinkedIn</v>
      </c>
      <c r="C191" s="26">
        <f>IFERROR(__xludf.DUMMYFUNCTION("""COMPUTED_VALUE"""),3.0)</f>
        <v>3</v>
      </c>
      <c r="D191" s="26">
        <f>IFERROR(__xludf.DUMMYFUNCTION("""COMPUTED_VALUE"""),5.0)</f>
        <v>5</v>
      </c>
      <c r="E191" s="26">
        <f>IFERROR(__xludf.DUMMYFUNCTION("""COMPUTED_VALUE"""),33.0)</f>
        <v>33</v>
      </c>
    </row>
    <row r="192">
      <c r="A192" s="25">
        <f>IFERROR(__xludf.DUMMYFUNCTION("""COMPUTED_VALUE"""),45664.0)</f>
        <v>45664</v>
      </c>
      <c r="B192" s="26" t="str">
        <f>IFERROR(__xludf.DUMMYFUNCTION("""COMPUTED_VALUE"""),"LinkedIn")</f>
        <v>LinkedIn</v>
      </c>
      <c r="C192" s="26">
        <f>IFERROR(__xludf.DUMMYFUNCTION("""COMPUTED_VALUE"""),2.0)</f>
        <v>2</v>
      </c>
      <c r="D192" s="26">
        <f>IFERROR(__xludf.DUMMYFUNCTION("""COMPUTED_VALUE"""),1.0)</f>
        <v>1</v>
      </c>
      <c r="E192" s="26">
        <f>IFERROR(__xludf.DUMMYFUNCTION("""COMPUTED_VALUE"""),33.0)</f>
        <v>33</v>
      </c>
    </row>
    <row r="193">
      <c r="A193" s="25">
        <f>IFERROR(__xludf.DUMMYFUNCTION("""COMPUTED_VALUE"""),45665.0)</f>
        <v>45665</v>
      </c>
      <c r="B193" s="26" t="str">
        <f>IFERROR(__xludf.DUMMYFUNCTION("""COMPUTED_VALUE"""),"LinkedIn")</f>
        <v>LinkedIn</v>
      </c>
      <c r="C193" s="26">
        <f>IFERROR(__xludf.DUMMYFUNCTION("""COMPUTED_VALUE"""),10.0)</f>
        <v>10</v>
      </c>
      <c r="D193" s="26">
        <f>IFERROR(__xludf.DUMMYFUNCTION("""COMPUTED_VALUE"""),1.0)</f>
        <v>1</v>
      </c>
      <c r="E193" s="26">
        <f>IFERROR(__xludf.DUMMYFUNCTION("""COMPUTED_VALUE"""),30.0)</f>
        <v>30</v>
      </c>
    </row>
    <row r="194">
      <c r="A194" s="25">
        <f>IFERROR(__xludf.DUMMYFUNCTION("""COMPUTED_VALUE"""),45666.0)</f>
        <v>45666</v>
      </c>
      <c r="B194" s="26" t="str">
        <f>IFERROR(__xludf.DUMMYFUNCTION("""COMPUTED_VALUE"""),"LinkedIn")</f>
        <v>LinkedIn</v>
      </c>
      <c r="C194" s="26">
        <f>IFERROR(__xludf.DUMMYFUNCTION("""COMPUTED_VALUE"""),1.0)</f>
        <v>1</v>
      </c>
      <c r="D194" s="26">
        <f>IFERROR(__xludf.DUMMYFUNCTION("""COMPUTED_VALUE"""),1.0)</f>
        <v>1</v>
      </c>
      <c r="E194" s="26">
        <f>IFERROR(__xludf.DUMMYFUNCTION("""COMPUTED_VALUE"""),23.0)</f>
        <v>23</v>
      </c>
    </row>
    <row r="195">
      <c r="A195" s="25">
        <f>IFERROR(__xludf.DUMMYFUNCTION("""COMPUTED_VALUE"""),45667.0)</f>
        <v>45667</v>
      </c>
      <c r="B195" s="26" t="str">
        <f>IFERROR(__xludf.DUMMYFUNCTION("""COMPUTED_VALUE"""),"LinkedIn")</f>
        <v>LinkedIn</v>
      </c>
      <c r="C195" s="26">
        <f>IFERROR(__xludf.DUMMYFUNCTION("""COMPUTED_VALUE"""),2.0)</f>
        <v>2</v>
      </c>
      <c r="D195" s="26">
        <f>IFERROR(__xludf.DUMMYFUNCTION("""COMPUTED_VALUE"""),2.0)</f>
        <v>2</v>
      </c>
      <c r="E195" s="26">
        <f>IFERROR(__xludf.DUMMYFUNCTION("""COMPUTED_VALUE"""),21.0)</f>
        <v>21</v>
      </c>
    </row>
    <row r="196">
      <c r="A196" s="25">
        <f>IFERROR(__xludf.DUMMYFUNCTION("""COMPUTED_VALUE"""),45668.0)</f>
        <v>45668</v>
      </c>
      <c r="B196" s="26" t="str">
        <f>IFERROR(__xludf.DUMMYFUNCTION("""COMPUTED_VALUE"""),"LinkedIn")</f>
        <v>LinkedIn</v>
      </c>
      <c r="C196" s="26">
        <f>IFERROR(__xludf.DUMMYFUNCTION("""COMPUTED_VALUE"""),1.0)</f>
        <v>1</v>
      </c>
      <c r="D196" s="26">
        <f>IFERROR(__xludf.DUMMYFUNCTION("""COMPUTED_VALUE"""),2.0)</f>
        <v>2</v>
      </c>
      <c r="E196" s="26">
        <f>IFERROR(__xludf.DUMMYFUNCTION("""COMPUTED_VALUE"""),22.0)</f>
        <v>22</v>
      </c>
    </row>
    <row r="197">
      <c r="A197" s="25">
        <f>IFERROR(__xludf.DUMMYFUNCTION("""COMPUTED_VALUE"""),45669.0)</f>
        <v>45669</v>
      </c>
      <c r="B197" s="26" t="str">
        <f>IFERROR(__xludf.DUMMYFUNCTION("""COMPUTED_VALUE"""),"LinkedIn")</f>
        <v>LinkedIn</v>
      </c>
      <c r="C197" s="26">
        <f>IFERROR(__xludf.DUMMYFUNCTION("""COMPUTED_VALUE"""),1.0)</f>
        <v>1</v>
      </c>
      <c r="D197" s="26">
        <f>IFERROR(__xludf.DUMMYFUNCTION("""COMPUTED_VALUE"""),0.0)</f>
        <v>0</v>
      </c>
      <c r="E197" s="26">
        <f>IFERROR(__xludf.DUMMYFUNCTION("""COMPUTED_VALUE"""),10.0)</f>
        <v>10</v>
      </c>
    </row>
    <row r="198">
      <c r="A198" s="25">
        <f>IFERROR(__xludf.DUMMYFUNCTION("""COMPUTED_VALUE"""),45670.0)</f>
        <v>45670</v>
      </c>
      <c r="B198" s="26" t="str">
        <f>IFERROR(__xludf.DUMMYFUNCTION("""COMPUTED_VALUE"""),"LinkedIn")</f>
        <v>LinkedIn</v>
      </c>
      <c r="C198" s="26">
        <f>IFERROR(__xludf.DUMMYFUNCTION("""COMPUTED_VALUE"""),1.0)</f>
        <v>1</v>
      </c>
      <c r="D198" s="26">
        <f>IFERROR(__xludf.DUMMYFUNCTION("""COMPUTED_VALUE"""),2.0)</f>
        <v>2</v>
      </c>
      <c r="E198" s="26">
        <f>IFERROR(__xludf.DUMMYFUNCTION("""COMPUTED_VALUE"""),46.0)</f>
        <v>46</v>
      </c>
    </row>
    <row r="199">
      <c r="A199" s="25">
        <f>IFERROR(__xludf.DUMMYFUNCTION("""COMPUTED_VALUE"""),45671.0)</f>
        <v>45671</v>
      </c>
      <c r="B199" s="26" t="str">
        <f>IFERROR(__xludf.DUMMYFUNCTION("""COMPUTED_VALUE"""),"LinkedIn")</f>
        <v>LinkedIn</v>
      </c>
      <c r="C199" s="26">
        <f>IFERROR(__xludf.DUMMYFUNCTION("""COMPUTED_VALUE"""),-1.0)</f>
        <v>-1</v>
      </c>
      <c r="D199" s="26">
        <f>IFERROR(__xludf.DUMMYFUNCTION("""COMPUTED_VALUE"""),7.0)</f>
        <v>7</v>
      </c>
      <c r="E199" s="26">
        <f>IFERROR(__xludf.DUMMYFUNCTION("""COMPUTED_VALUE"""),55.0)</f>
        <v>55</v>
      </c>
    </row>
    <row r="200">
      <c r="A200" s="25">
        <f>IFERROR(__xludf.DUMMYFUNCTION("""COMPUTED_VALUE"""),45672.0)</f>
        <v>45672</v>
      </c>
      <c r="B200" s="26" t="str">
        <f>IFERROR(__xludf.DUMMYFUNCTION("""COMPUTED_VALUE"""),"LinkedIn")</f>
        <v>LinkedIn</v>
      </c>
      <c r="C200" s="26">
        <f>IFERROR(__xludf.DUMMYFUNCTION("""COMPUTED_VALUE"""),1.0)</f>
        <v>1</v>
      </c>
      <c r="D200" s="26">
        <f>IFERROR(__xludf.DUMMYFUNCTION("""COMPUTED_VALUE"""),1.0)</f>
        <v>1</v>
      </c>
      <c r="E200" s="26">
        <f>IFERROR(__xludf.DUMMYFUNCTION("""COMPUTED_VALUE"""),19.0)</f>
        <v>19</v>
      </c>
    </row>
    <row r="201">
      <c r="A201" s="25">
        <f>IFERROR(__xludf.DUMMYFUNCTION("""COMPUTED_VALUE"""),45673.0)</f>
        <v>45673</v>
      </c>
      <c r="B201" s="26" t="str">
        <f>IFERROR(__xludf.DUMMYFUNCTION("""COMPUTED_VALUE"""),"LinkedIn")</f>
        <v>LinkedIn</v>
      </c>
      <c r="C201" s="26">
        <f>IFERROR(__xludf.DUMMYFUNCTION("""COMPUTED_VALUE"""),0.0)</f>
        <v>0</v>
      </c>
      <c r="D201" s="26">
        <f>IFERROR(__xludf.DUMMYFUNCTION("""COMPUTED_VALUE"""),18.0)</f>
        <v>18</v>
      </c>
      <c r="E201" s="26">
        <f>IFERROR(__xludf.DUMMYFUNCTION("""COMPUTED_VALUE"""),124.0)</f>
        <v>124</v>
      </c>
    </row>
    <row r="202">
      <c r="A202" s="25">
        <f>IFERROR(__xludf.DUMMYFUNCTION("""COMPUTED_VALUE"""),45674.0)</f>
        <v>45674</v>
      </c>
      <c r="B202" s="26" t="str">
        <f>IFERROR(__xludf.DUMMYFUNCTION("""COMPUTED_VALUE"""),"LinkedIn")</f>
        <v>LinkedIn</v>
      </c>
      <c r="C202" s="26">
        <f>IFERROR(__xludf.DUMMYFUNCTION("""COMPUTED_VALUE"""),2.0)</f>
        <v>2</v>
      </c>
      <c r="D202" s="26">
        <f>IFERROR(__xludf.DUMMYFUNCTION("""COMPUTED_VALUE"""),10.0)</f>
        <v>10</v>
      </c>
      <c r="E202" s="26">
        <f>IFERROR(__xludf.DUMMYFUNCTION("""COMPUTED_VALUE"""),111.0)</f>
        <v>111</v>
      </c>
    </row>
    <row r="203">
      <c r="A203" s="25">
        <f>IFERROR(__xludf.DUMMYFUNCTION("""COMPUTED_VALUE"""),45675.0)</f>
        <v>45675</v>
      </c>
      <c r="B203" s="26" t="str">
        <f>IFERROR(__xludf.DUMMYFUNCTION("""COMPUTED_VALUE"""),"LinkedIn")</f>
        <v>LinkedIn</v>
      </c>
      <c r="C203" s="26">
        <f>IFERROR(__xludf.DUMMYFUNCTION("""COMPUTED_VALUE"""),0.0)</f>
        <v>0</v>
      </c>
      <c r="D203" s="26">
        <f>IFERROR(__xludf.DUMMYFUNCTION("""COMPUTED_VALUE"""),9.0)</f>
        <v>9</v>
      </c>
      <c r="E203" s="26">
        <f>IFERROR(__xludf.DUMMYFUNCTION("""COMPUTED_VALUE"""),93.0)</f>
        <v>93</v>
      </c>
    </row>
    <row r="204">
      <c r="A204" s="25">
        <f>IFERROR(__xludf.DUMMYFUNCTION("""COMPUTED_VALUE"""),45676.0)</f>
        <v>45676</v>
      </c>
      <c r="B204" s="26" t="str">
        <f>IFERROR(__xludf.DUMMYFUNCTION("""COMPUTED_VALUE"""),"LinkedIn")</f>
        <v>LinkedIn</v>
      </c>
      <c r="C204" s="26">
        <f>IFERROR(__xludf.DUMMYFUNCTION("""COMPUTED_VALUE"""),0.0)</f>
        <v>0</v>
      </c>
      <c r="D204" s="26">
        <f>IFERROR(__xludf.DUMMYFUNCTION("""COMPUTED_VALUE"""),2.0)</f>
        <v>2</v>
      </c>
      <c r="E204" s="26">
        <f>IFERROR(__xludf.DUMMYFUNCTION("""COMPUTED_VALUE"""),29.0)</f>
        <v>29</v>
      </c>
    </row>
    <row r="205">
      <c r="A205" s="25">
        <f>IFERROR(__xludf.DUMMYFUNCTION("""COMPUTED_VALUE"""),45677.0)</f>
        <v>45677</v>
      </c>
      <c r="B205" s="26" t="str">
        <f>IFERROR(__xludf.DUMMYFUNCTION("""COMPUTED_VALUE"""),"LinkedIn")</f>
        <v>LinkedIn</v>
      </c>
      <c r="C205" s="26">
        <f>IFERROR(__xludf.DUMMYFUNCTION("""COMPUTED_VALUE"""),1.0)</f>
        <v>1</v>
      </c>
      <c r="D205" s="26">
        <f>IFERROR(__xludf.DUMMYFUNCTION("""COMPUTED_VALUE"""),0.0)</f>
        <v>0</v>
      </c>
      <c r="E205" s="26">
        <f>IFERROR(__xludf.DUMMYFUNCTION("""COMPUTED_VALUE"""),29.0)</f>
        <v>29</v>
      </c>
    </row>
    <row r="206">
      <c r="A206" s="25">
        <f>IFERROR(__xludf.DUMMYFUNCTION("""COMPUTED_VALUE"""),45678.0)</f>
        <v>45678</v>
      </c>
      <c r="B206" s="26" t="str">
        <f>IFERROR(__xludf.DUMMYFUNCTION("""COMPUTED_VALUE"""),"LinkedIn")</f>
        <v>LinkedIn</v>
      </c>
      <c r="C206" s="26">
        <f>IFERROR(__xludf.DUMMYFUNCTION("""COMPUTED_VALUE"""),1.0)</f>
        <v>1</v>
      </c>
      <c r="D206" s="26">
        <f>IFERROR(__xludf.DUMMYFUNCTION("""COMPUTED_VALUE"""),11.0)</f>
        <v>11</v>
      </c>
      <c r="E206" s="26">
        <f>IFERROR(__xludf.DUMMYFUNCTION("""COMPUTED_VALUE"""),118.0)</f>
        <v>118</v>
      </c>
    </row>
    <row r="207">
      <c r="A207" s="25">
        <f>IFERROR(__xludf.DUMMYFUNCTION("""COMPUTED_VALUE"""),45679.0)</f>
        <v>45679</v>
      </c>
      <c r="B207" s="26" t="str">
        <f>IFERROR(__xludf.DUMMYFUNCTION("""COMPUTED_VALUE"""),"LinkedIn")</f>
        <v>LinkedIn</v>
      </c>
      <c r="C207" s="26">
        <f>IFERROR(__xludf.DUMMYFUNCTION("""COMPUTED_VALUE"""),1.0)</f>
        <v>1</v>
      </c>
      <c r="D207" s="26">
        <f>IFERROR(__xludf.DUMMYFUNCTION("""COMPUTED_VALUE"""),6.0)</f>
        <v>6</v>
      </c>
      <c r="E207" s="26">
        <f>IFERROR(__xludf.DUMMYFUNCTION("""COMPUTED_VALUE"""),53.0)</f>
        <v>53</v>
      </c>
    </row>
    <row r="208">
      <c r="A208" s="25">
        <f>IFERROR(__xludf.DUMMYFUNCTION("""COMPUTED_VALUE"""),45680.0)</f>
        <v>45680</v>
      </c>
      <c r="B208" s="26" t="str">
        <f>IFERROR(__xludf.DUMMYFUNCTION("""COMPUTED_VALUE"""),"LinkedIn")</f>
        <v>LinkedIn</v>
      </c>
      <c r="C208" s="26">
        <f>IFERROR(__xludf.DUMMYFUNCTION("""COMPUTED_VALUE"""),2.0)</f>
        <v>2</v>
      </c>
      <c r="D208" s="26">
        <f>IFERROR(__xludf.DUMMYFUNCTION("""COMPUTED_VALUE"""),13.0)</f>
        <v>13</v>
      </c>
      <c r="E208" s="26">
        <f>IFERROR(__xludf.DUMMYFUNCTION("""COMPUTED_VALUE"""),43.0)</f>
        <v>43</v>
      </c>
    </row>
    <row r="209">
      <c r="A209" s="25">
        <f>IFERROR(__xludf.DUMMYFUNCTION("""COMPUTED_VALUE"""),45681.0)</f>
        <v>45681</v>
      </c>
      <c r="B209" s="26" t="str">
        <f>IFERROR(__xludf.DUMMYFUNCTION("""COMPUTED_VALUE"""),"LinkedIn")</f>
        <v>LinkedIn</v>
      </c>
      <c r="C209" s="26">
        <f>IFERROR(__xludf.DUMMYFUNCTION("""COMPUTED_VALUE"""),0.0)</f>
        <v>0</v>
      </c>
      <c r="D209" s="26">
        <f>IFERROR(__xludf.DUMMYFUNCTION("""COMPUTED_VALUE"""),0.0)</f>
        <v>0</v>
      </c>
      <c r="E209" s="26">
        <f>IFERROR(__xludf.DUMMYFUNCTION("""COMPUTED_VALUE"""),30.0)</f>
        <v>30</v>
      </c>
    </row>
    <row r="210">
      <c r="A210" s="25">
        <f>IFERROR(__xludf.DUMMYFUNCTION("""COMPUTED_VALUE"""),45682.0)</f>
        <v>45682</v>
      </c>
      <c r="B210" s="26" t="str">
        <f>IFERROR(__xludf.DUMMYFUNCTION("""COMPUTED_VALUE"""),"LinkedIn")</f>
        <v>LinkedIn</v>
      </c>
      <c r="C210" s="26">
        <f>IFERROR(__xludf.DUMMYFUNCTION("""COMPUTED_VALUE"""),0.0)</f>
        <v>0</v>
      </c>
      <c r="D210" s="26">
        <f>IFERROR(__xludf.DUMMYFUNCTION("""COMPUTED_VALUE"""),1.0)</f>
        <v>1</v>
      </c>
      <c r="E210" s="26">
        <f>IFERROR(__xludf.DUMMYFUNCTION("""COMPUTED_VALUE"""),18.0)</f>
        <v>18</v>
      </c>
    </row>
    <row r="211">
      <c r="A211" s="25">
        <f>IFERROR(__xludf.DUMMYFUNCTION("""COMPUTED_VALUE"""),45683.0)</f>
        <v>45683</v>
      </c>
      <c r="B211" s="26" t="str">
        <f>IFERROR(__xludf.DUMMYFUNCTION("""COMPUTED_VALUE"""),"LinkedIn")</f>
        <v>LinkedIn</v>
      </c>
      <c r="C211" s="26">
        <f>IFERROR(__xludf.DUMMYFUNCTION("""COMPUTED_VALUE"""),1.0)</f>
        <v>1</v>
      </c>
      <c r="D211" s="26">
        <f>IFERROR(__xludf.DUMMYFUNCTION("""COMPUTED_VALUE"""),1.0)</f>
        <v>1</v>
      </c>
      <c r="E211" s="26">
        <f>IFERROR(__xludf.DUMMYFUNCTION("""COMPUTED_VALUE"""),12.0)</f>
        <v>12</v>
      </c>
    </row>
    <row r="212">
      <c r="A212" s="25">
        <f>IFERROR(__xludf.DUMMYFUNCTION("""COMPUTED_VALUE"""),45684.0)</f>
        <v>45684</v>
      </c>
      <c r="B212" s="26" t="str">
        <f>IFERROR(__xludf.DUMMYFUNCTION("""COMPUTED_VALUE"""),"LinkedIn")</f>
        <v>LinkedIn</v>
      </c>
      <c r="C212" s="26">
        <f>IFERROR(__xludf.DUMMYFUNCTION("""COMPUTED_VALUE"""),2.0)</f>
        <v>2</v>
      </c>
      <c r="D212" s="26">
        <f>IFERROR(__xludf.DUMMYFUNCTION("""COMPUTED_VALUE"""),0.0)</f>
        <v>0</v>
      </c>
      <c r="E212" s="26">
        <f>IFERROR(__xludf.DUMMYFUNCTION("""COMPUTED_VALUE"""),11.0)</f>
        <v>11</v>
      </c>
    </row>
    <row r="213">
      <c r="A213" s="25">
        <f>IFERROR(__xludf.DUMMYFUNCTION("""COMPUTED_VALUE"""),45685.0)</f>
        <v>45685</v>
      </c>
      <c r="B213" s="26" t="str">
        <f>IFERROR(__xludf.DUMMYFUNCTION("""COMPUTED_VALUE"""),"LinkedIn")</f>
        <v>LinkedIn</v>
      </c>
      <c r="C213" s="26">
        <f>IFERROR(__xludf.DUMMYFUNCTION("""COMPUTED_VALUE"""),0.0)</f>
        <v>0</v>
      </c>
      <c r="D213" s="26">
        <f>IFERROR(__xludf.DUMMYFUNCTION("""COMPUTED_VALUE"""),2.0)</f>
        <v>2</v>
      </c>
      <c r="E213" s="26">
        <f>IFERROR(__xludf.DUMMYFUNCTION("""COMPUTED_VALUE"""),13.0)</f>
        <v>13</v>
      </c>
    </row>
    <row r="214">
      <c r="A214" s="25">
        <f>IFERROR(__xludf.DUMMYFUNCTION("""COMPUTED_VALUE"""),45686.0)</f>
        <v>45686</v>
      </c>
      <c r="B214" s="26" t="str">
        <f>IFERROR(__xludf.DUMMYFUNCTION("""COMPUTED_VALUE"""),"LinkedIn")</f>
        <v>LinkedIn</v>
      </c>
      <c r="C214" s="26">
        <f>IFERROR(__xludf.DUMMYFUNCTION("""COMPUTED_VALUE"""),0.0)</f>
        <v>0</v>
      </c>
      <c r="D214" s="26">
        <f>IFERROR(__xludf.DUMMYFUNCTION("""COMPUTED_VALUE"""),0.0)</f>
        <v>0</v>
      </c>
      <c r="E214" s="26">
        <f>IFERROR(__xludf.DUMMYFUNCTION("""COMPUTED_VALUE"""),25.0)</f>
        <v>25</v>
      </c>
    </row>
    <row r="215">
      <c r="A215" s="25">
        <f>IFERROR(__xludf.DUMMYFUNCTION("""COMPUTED_VALUE"""),45687.0)</f>
        <v>45687</v>
      </c>
      <c r="B215" s="26" t="str">
        <f>IFERROR(__xludf.DUMMYFUNCTION("""COMPUTED_VALUE"""),"LinkedIn")</f>
        <v>LinkedIn</v>
      </c>
      <c r="C215" s="26">
        <f>IFERROR(__xludf.DUMMYFUNCTION("""COMPUTED_VALUE"""),2.0)</f>
        <v>2</v>
      </c>
      <c r="D215" s="26">
        <f>IFERROR(__xludf.DUMMYFUNCTION("""COMPUTED_VALUE"""),6.0)</f>
        <v>6</v>
      </c>
      <c r="E215" s="26">
        <f>IFERROR(__xludf.DUMMYFUNCTION("""COMPUTED_VALUE"""),53.0)</f>
        <v>53</v>
      </c>
    </row>
    <row r="216">
      <c r="A216" s="25">
        <f>IFERROR(__xludf.DUMMYFUNCTION("""COMPUTED_VALUE"""),45688.0)</f>
        <v>45688</v>
      </c>
      <c r="B216" s="26" t="str">
        <f>IFERROR(__xludf.DUMMYFUNCTION("""COMPUTED_VALUE"""),"LinkedIn")</f>
        <v>LinkedIn</v>
      </c>
      <c r="C216" s="26">
        <f>IFERROR(__xludf.DUMMYFUNCTION("""COMPUTED_VALUE"""),1.0)</f>
        <v>1</v>
      </c>
      <c r="D216" s="26">
        <f>IFERROR(__xludf.DUMMYFUNCTION("""COMPUTED_VALUE"""),5.0)</f>
        <v>5</v>
      </c>
      <c r="E216" s="26">
        <f>IFERROR(__xludf.DUMMYFUNCTION("""COMPUTED_VALUE"""),79.0)</f>
        <v>79</v>
      </c>
    </row>
    <row r="217">
      <c r="A217" s="25">
        <f>IFERROR(__xludf.DUMMYFUNCTION("""COMPUTED_VALUE"""),45689.0)</f>
        <v>45689</v>
      </c>
      <c r="B217" s="26" t="str">
        <f>IFERROR(__xludf.DUMMYFUNCTION("""COMPUTED_VALUE"""),"LinkedIn")</f>
        <v>LinkedIn</v>
      </c>
      <c r="C217" s="26">
        <f>IFERROR(__xludf.DUMMYFUNCTION("""COMPUTED_VALUE"""),0.0)</f>
        <v>0</v>
      </c>
      <c r="D217" s="26">
        <f>IFERROR(__xludf.DUMMYFUNCTION("""COMPUTED_VALUE"""),7.0)</f>
        <v>7</v>
      </c>
      <c r="E217" s="26">
        <f>IFERROR(__xludf.DUMMYFUNCTION("""COMPUTED_VALUE"""),65.0)</f>
        <v>65</v>
      </c>
    </row>
    <row r="218">
      <c r="A218" s="25">
        <f>IFERROR(__xludf.DUMMYFUNCTION("""COMPUTED_VALUE"""),45690.0)</f>
        <v>45690</v>
      </c>
      <c r="B218" s="26" t="str">
        <f>IFERROR(__xludf.DUMMYFUNCTION("""COMPUTED_VALUE"""),"LinkedIn")</f>
        <v>LinkedIn</v>
      </c>
      <c r="C218" s="26">
        <f>IFERROR(__xludf.DUMMYFUNCTION("""COMPUTED_VALUE"""),1.0)</f>
        <v>1</v>
      </c>
      <c r="D218" s="26">
        <f>IFERROR(__xludf.DUMMYFUNCTION("""COMPUTED_VALUE"""),2.0)</f>
        <v>2</v>
      </c>
      <c r="E218" s="26">
        <f>IFERROR(__xludf.DUMMYFUNCTION("""COMPUTED_VALUE"""),35.0)</f>
        <v>35</v>
      </c>
    </row>
    <row r="219">
      <c r="A219" s="25">
        <f>IFERROR(__xludf.DUMMYFUNCTION("""COMPUTED_VALUE"""),45691.0)</f>
        <v>45691</v>
      </c>
      <c r="B219" s="26" t="str">
        <f>IFERROR(__xludf.DUMMYFUNCTION("""COMPUTED_VALUE"""),"LinkedIn")</f>
        <v>LinkedIn</v>
      </c>
      <c r="C219" s="26">
        <f>IFERROR(__xludf.DUMMYFUNCTION("""COMPUTED_VALUE"""),0.0)</f>
        <v>0</v>
      </c>
      <c r="D219" s="26">
        <f>IFERROR(__xludf.DUMMYFUNCTION("""COMPUTED_VALUE"""),3.0)</f>
        <v>3</v>
      </c>
      <c r="E219" s="26">
        <f>IFERROR(__xludf.DUMMYFUNCTION("""COMPUTED_VALUE"""),35.0)</f>
        <v>35</v>
      </c>
    </row>
    <row r="220">
      <c r="A220" s="25">
        <f>IFERROR(__xludf.DUMMYFUNCTION("""COMPUTED_VALUE"""),45692.0)</f>
        <v>45692</v>
      </c>
      <c r="B220" s="26" t="str">
        <f>IFERROR(__xludf.DUMMYFUNCTION("""COMPUTED_VALUE"""),"LinkedIn")</f>
        <v>LinkedIn</v>
      </c>
      <c r="C220" s="26">
        <f>IFERROR(__xludf.DUMMYFUNCTION("""COMPUTED_VALUE"""),1.0)</f>
        <v>1</v>
      </c>
      <c r="D220" s="26">
        <f>IFERROR(__xludf.DUMMYFUNCTION("""COMPUTED_VALUE"""),3.0)</f>
        <v>3</v>
      </c>
      <c r="E220" s="26">
        <f>IFERROR(__xludf.DUMMYFUNCTION("""COMPUTED_VALUE"""),30.0)</f>
        <v>30</v>
      </c>
    </row>
    <row r="221">
      <c r="A221" s="25">
        <f>IFERROR(__xludf.DUMMYFUNCTION("""COMPUTED_VALUE"""),45693.0)</f>
        <v>45693</v>
      </c>
      <c r="B221" s="26" t="str">
        <f>IFERROR(__xludf.DUMMYFUNCTION("""COMPUTED_VALUE"""),"LinkedIn")</f>
        <v>LinkedIn</v>
      </c>
      <c r="C221" s="26">
        <f>IFERROR(__xludf.DUMMYFUNCTION("""COMPUTED_VALUE"""),1.0)</f>
        <v>1</v>
      </c>
      <c r="D221" s="26">
        <f>IFERROR(__xludf.DUMMYFUNCTION("""COMPUTED_VALUE"""),0.0)</f>
        <v>0</v>
      </c>
      <c r="E221" s="26">
        <f>IFERROR(__xludf.DUMMYFUNCTION("""COMPUTED_VALUE"""),20.0)</f>
        <v>20</v>
      </c>
    </row>
    <row r="222">
      <c r="A222" s="25">
        <f>IFERROR(__xludf.DUMMYFUNCTION("""COMPUTED_VALUE"""),45694.0)</f>
        <v>45694</v>
      </c>
      <c r="B222" s="26" t="str">
        <f>IFERROR(__xludf.DUMMYFUNCTION("""COMPUTED_VALUE"""),"LinkedIn")</f>
        <v>LinkedIn</v>
      </c>
      <c r="C222" s="26">
        <f>IFERROR(__xludf.DUMMYFUNCTION("""COMPUTED_VALUE"""),4.0)</f>
        <v>4</v>
      </c>
      <c r="D222" s="26">
        <f>IFERROR(__xludf.DUMMYFUNCTION("""COMPUTED_VALUE"""),5.0)</f>
        <v>5</v>
      </c>
      <c r="E222" s="26">
        <f>IFERROR(__xludf.DUMMYFUNCTION("""COMPUTED_VALUE"""),64.0)</f>
        <v>64</v>
      </c>
    </row>
    <row r="223">
      <c r="A223" s="25">
        <f>IFERROR(__xludf.DUMMYFUNCTION("""COMPUTED_VALUE"""),45695.0)</f>
        <v>45695</v>
      </c>
      <c r="B223" s="26" t="str">
        <f>IFERROR(__xludf.DUMMYFUNCTION("""COMPUTED_VALUE"""),"LinkedIn")</f>
        <v>LinkedIn</v>
      </c>
      <c r="C223" s="26">
        <f>IFERROR(__xludf.DUMMYFUNCTION("""COMPUTED_VALUE"""),6.0)</f>
        <v>6</v>
      </c>
      <c r="D223" s="26">
        <f>IFERROR(__xludf.DUMMYFUNCTION("""COMPUTED_VALUE"""),22.0)</f>
        <v>22</v>
      </c>
      <c r="E223" s="26">
        <f>IFERROR(__xludf.DUMMYFUNCTION("""COMPUTED_VALUE"""),133.0)</f>
        <v>133</v>
      </c>
    </row>
    <row r="224">
      <c r="A224" s="25">
        <f>IFERROR(__xludf.DUMMYFUNCTION("""COMPUTED_VALUE"""),45696.0)</f>
        <v>45696</v>
      </c>
      <c r="B224" s="26" t="str">
        <f>IFERROR(__xludf.DUMMYFUNCTION("""COMPUTED_VALUE"""),"LinkedIn")</f>
        <v>LinkedIn</v>
      </c>
      <c r="C224" s="26">
        <f>IFERROR(__xludf.DUMMYFUNCTION("""COMPUTED_VALUE"""),1.0)</f>
        <v>1</v>
      </c>
      <c r="D224" s="26">
        <f>IFERROR(__xludf.DUMMYFUNCTION("""COMPUTED_VALUE"""),8.0)</f>
        <v>8</v>
      </c>
      <c r="E224" s="26">
        <f>IFERROR(__xludf.DUMMYFUNCTION("""COMPUTED_VALUE"""),87.0)</f>
        <v>87</v>
      </c>
    </row>
    <row r="225">
      <c r="A225" s="25">
        <f>IFERROR(__xludf.DUMMYFUNCTION("""COMPUTED_VALUE"""),45697.0)</f>
        <v>45697</v>
      </c>
      <c r="B225" s="26" t="str">
        <f>IFERROR(__xludf.DUMMYFUNCTION("""COMPUTED_VALUE"""),"LinkedIn")</f>
        <v>LinkedIn</v>
      </c>
      <c r="C225" s="26">
        <f>IFERROR(__xludf.DUMMYFUNCTION("""COMPUTED_VALUE"""),2.0)</f>
        <v>2</v>
      </c>
      <c r="D225" s="26">
        <f>IFERROR(__xludf.DUMMYFUNCTION("""COMPUTED_VALUE"""),6.0)</f>
        <v>6</v>
      </c>
      <c r="E225" s="26">
        <f>IFERROR(__xludf.DUMMYFUNCTION("""COMPUTED_VALUE"""),45.0)</f>
        <v>45</v>
      </c>
    </row>
    <row r="226">
      <c r="A226" s="25">
        <f>IFERROR(__xludf.DUMMYFUNCTION("""COMPUTED_VALUE"""),45698.0)</f>
        <v>45698</v>
      </c>
      <c r="B226" s="26" t="str">
        <f>IFERROR(__xludf.DUMMYFUNCTION("""COMPUTED_VALUE"""),"LinkedIn")</f>
        <v>LinkedIn</v>
      </c>
      <c r="C226" s="26">
        <f>IFERROR(__xludf.DUMMYFUNCTION("""COMPUTED_VALUE"""),2.0)</f>
        <v>2</v>
      </c>
      <c r="D226" s="26">
        <f>IFERROR(__xludf.DUMMYFUNCTION("""COMPUTED_VALUE"""),3.0)</f>
        <v>3</v>
      </c>
      <c r="E226" s="26">
        <f>IFERROR(__xludf.DUMMYFUNCTION("""COMPUTED_VALUE"""),39.0)</f>
        <v>39</v>
      </c>
    </row>
    <row r="227">
      <c r="A227" s="25">
        <f>IFERROR(__xludf.DUMMYFUNCTION("""COMPUTED_VALUE"""),45699.0)</f>
        <v>45699</v>
      </c>
      <c r="B227" s="26" t="str">
        <f>IFERROR(__xludf.DUMMYFUNCTION("""COMPUTED_VALUE"""),"LinkedIn")</f>
        <v>LinkedIn</v>
      </c>
      <c r="C227" s="26">
        <f>IFERROR(__xludf.DUMMYFUNCTION("""COMPUTED_VALUE"""),1.0)</f>
        <v>1</v>
      </c>
      <c r="D227" s="26">
        <f>IFERROR(__xludf.DUMMYFUNCTION("""COMPUTED_VALUE"""),1.0)</f>
        <v>1</v>
      </c>
      <c r="E227" s="26">
        <f>IFERROR(__xludf.DUMMYFUNCTION("""COMPUTED_VALUE"""),25.0)</f>
        <v>25</v>
      </c>
    </row>
    <row r="228">
      <c r="A228" s="25">
        <f>IFERROR(__xludf.DUMMYFUNCTION("""COMPUTED_VALUE"""),45700.0)</f>
        <v>45700</v>
      </c>
      <c r="B228" s="26" t="str">
        <f>IFERROR(__xludf.DUMMYFUNCTION("""COMPUTED_VALUE"""),"LinkedIn")</f>
        <v>LinkedIn</v>
      </c>
      <c r="C228" s="26">
        <f>IFERROR(__xludf.DUMMYFUNCTION("""COMPUTED_VALUE"""),3.0)</f>
        <v>3</v>
      </c>
      <c r="D228" s="26">
        <f>IFERROR(__xludf.DUMMYFUNCTION("""COMPUTED_VALUE"""),1.0)</f>
        <v>1</v>
      </c>
      <c r="E228" s="26">
        <f>IFERROR(__xludf.DUMMYFUNCTION("""COMPUTED_VALUE"""),33.0)</f>
        <v>33</v>
      </c>
    </row>
    <row r="229">
      <c r="A229" s="25">
        <f>IFERROR(__xludf.DUMMYFUNCTION("""COMPUTED_VALUE"""),45701.0)</f>
        <v>45701</v>
      </c>
      <c r="B229" s="26" t="str">
        <f>IFERROR(__xludf.DUMMYFUNCTION("""COMPUTED_VALUE"""),"LinkedIn")</f>
        <v>LinkedIn</v>
      </c>
      <c r="C229" s="26">
        <f>IFERROR(__xludf.DUMMYFUNCTION("""COMPUTED_VALUE"""),2.0)</f>
        <v>2</v>
      </c>
      <c r="D229" s="26">
        <f>IFERROR(__xludf.DUMMYFUNCTION("""COMPUTED_VALUE"""),17.0)</f>
        <v>17</v>
      </c>
      <c r="E229" s="26">
        <f>IFERROR(__xludf.DUMMYFUNCTION("""COMPUTED_VALUE"""),100.0)</f>
        <v>100</v>
      </c>
    </row>
    <row r="230">
      <c r="A230" s="25">
        <f>IFERROR(__xludf.DUMMYFUNCTION("""COMPUTED_VALUE"""),45702.0)</f>
        <v>45702</v>
      </c>
      <c r="B230" s="26" t="str">
        <f>IFERROR(__xludf.DUMMYFUNCTION("""COMPUTED_VALUE"""),"LinkedIn")</f>
        <v>LinkedIn</v>
      </c>
      <c r="C230" s="26">
        <f>IFERROR(__xludf.DUMMYFUNCTION("""COMPUTED_VALUE"""),5.0)</f>
        <v>5</v>
      </c>
      <c r="D230" s="26">
        <f>IFERROR(__xludf.DUMMYFUNCTION("""COMPUTED_VALUE"""),21.0)</f>
        <v>21</v>
      </c>
      <c r="E230" s="26">
        <f>IFERROR(__xludf.DUMMYFUNCTION("""COMPUTED_VALUE"""),277.0)</f>
        <v>277</v>
      </c>
    </row>
    <row r="231">
      <c r="A231" s="25">
        <f>IFERROR(__xludf.DUMMYFUNCTION("""COMPUTED_VALUE"""),45703.0)</f>
        <v>45703</v>
      </c>
      <c r="B231" s="26" t="str">
        <f>IFERROR(__xludf.DUMMYFUNCTION("""COMPUTED_VALUE"""),"LinkedIn")</f>
        <v>LinkedIn</v>
      </c>
      <c r="C231" s="26">
        <f>IFERROR(__xludf.DUMMYFUNCTION("""COMPUTED_VALUE"""),0.0)</f>
        <v>0</v>
      </c>
      <c r="D231" s="26">
        <f>IFERROR(__xludf.DUMMYFUNCTION("""COMPUTED_VALUE"""),21.0)</f>
        <v>21</v>
      </c>
      <c r="E231" s="26">
        <f>IFERROR(__xludf.DUMMYFUNCTION("""COMPUTED_VALUE"""),203.0)</f>
        <v>203</v>
      </c>
    </row>
    <row r="232">
      <c r="A232" s="25">
        <f>IFERROR(__xludf.DUMMYFUNCTION("""COMPUTED_VALUE"""),45704.0)</f>
        <v>45704</v>
      </c>
      <c r="B232" s="26" t="str">
        <f>IFERROR(__xludf.DUMMYFUNCTION("""COMPUTED_VALUE"""),"LinkedIn")</f>
        <v>LinkedIn</v>
      </c>
      <c r="C232" s="26">
        <f>IFERROR(__xludf.DUMMYFUNCTION("""COMPUTED_VALUE"""),2.0)</f>
        <v>2</v>
      </c>
      <c r="D232" s="26">
        <f>IFERROR(__xludf.DUMMYFUNCTION("""COMPUTED_VALUE"""),9.0)</f>
        <v>9</v>
      </c>
      <c r="E232" s="26">
        <f>IFERROR(__xludf.DUMMYFUNCTION("""COMPUTED_VALUE"""),128.0)</f>
        <v>128</v>
      </c>
    </row>
    <row r="233">
      <c r="A233" s="25">
        <f>IFERROR(__xludf.DUMMYFUNCTION("""COMPUTED_VALUE"""),45705.0)</f>
        <v>45705</v>
      </c>
      <c r="B233" s="26" t="str">
        <f>IFERROR(__xludf.DUMMYFUNCTION("""COMPUTED_VALUE"""),"LinkedIn")</f>
        <v>LinkedIn</v>
      </c>
      <c r="C233" s="26">
        <f>IFERROR(__xludf.DUMMYFUNCTION("""COMPUTED_VALUE"""),0.0)</f>
        <v>0</v>
      </c>
      <c r="D233" s="26">
        <f>IFERROR(__xludf.DUMMYFUNCTION("""COMPUTED_VALUE"""),8.0)</f>
        <v>8</v>
      </c>
      <c r="E233" s="26">
        <f>IFERROR(__xludf.DUMMYFUNCTION("""COMPUTED_VALUE"""),128.0)</f>
        <v>128</v>
      </c>
    </row>
    <row r="234">
      <c r="A234" s="25">
        <f>IFERROR(__xludf.DUMMYFUNCTION("""COMPUTED_VALUE"""),45706.0)</f>
        <v>45706</v>
      </c>
      <c r="B234" s="26" t="str">
        <f>IFERROR(__xludf.DUMMYFUNCTION("""COMPUTED_VALUE"""),"LinkedIn")</f>
        <v>LinkedIn</v>
      </c>
      <c r="C234" s="26">
        <f>IFERROR(__xludf.DUMMYFUNCTION("""COMPUTED_VALUE"""),2.0)</f>
        <v>2</v>
      </c>
      <c r="D234" s="26">
        <f>IFERROR(__xludf.DUMMYFUNCTION("""COMPUTED_VALUE"""),9.0)</f>
        <v>9</v>
      </c>
      <c r="E234" s="26">
        <f>IFERROR(__xludf.DUMMYFUNCTION("""COMPUTED_VALUE"""),161.0)</f>
        <v>161</v>
      </c>
    </row>
    <row r="235">
      <c r="A235" s="25">
        <f>IFERROR(__xludf.DUMMYFUNCTION("""COMPUTED_VALUE"""),45707.0)</f>
        <v>45707</v>
      </c>
      <c r="B235" s="26" t="str">
        <f>IFERROR(__xludf.DUMMYFUNCTION("""COMPUTED_VALUE"""),"LinkedIn")</f>
        <v>LinkedIn</v>
      </c>
      <c r="C235" s="26">
        <f>IFERROR(__xludf.DUMMYFUNCTION("""COMPUTED_VALUE"""),2.0)</f>
        <v>2</v>
      </c>
      <c r="D235" s="26">
        <f>IFERROR(__xludf.DUMMYFUNCTION("""COMPUTED_VALUE"""),3.0)</f>
        <v>3</v>
      </c>
      <c r="E235" s="26">
        <f>IFERROR(__xludf.DUMMYFUNCTION("""COMPUTED_VALUE"""),152.0)</f>
        <v>152</v>
      </c>
    </row>
    <row r="236">
      <c r="A236" s="25">
        <f>IFERROR(__xludf.DUMMYFUNCTION("""COMPUTED_VALUE"""),45708.0)</f>
        <v>45708</v>
      </c>
      <c r="B236" s="26" t="str">
        <f>IFERROR(__xludf.DUMMYFUNCTION("""COMPUTED_VALUE"""),"LinkedIn")</f>
        <v>LinkedIn</v>
      </c>
      <c r="C236" s="26">
        <f>IFERROR(__xludf.DUMMYFUNCTION("""COMPUTED_VALUE"""),6.0)</f>
        <v>6</v>
      </c>
      <c r="D236" s="26">
        <f>IFERROR(__xludf.DUMMYFUNCTION("""COMPUTED_VALUE"""),12.0)</f>
        <v>12</v>
      </c>
      <c r="E236" s="26">
        <f>IFERROR(__xludf.DUMMYFUNCTION("""COMPUTED_VALUE"""),100.0)</f>
        <v>100</v>
      </c>
    </row>
    <row r="237">
      <c r="A237" s="25">
        <f>IFERROR(__xludf.DUMMYFUNCTION("""COMPUTED_VALUE"""),45709.0)</f>
        <v>45709</v>
      </c>
      <c r="B237" s="26" t="str">
        <f>IFERROR(__xludf.DUMMYFUNCTION("""COMPUTED_VALUE"""),"LinkedIn")</f>
        <v>LinkedIn</v>
      </c>
      <c r="C237" s="26">
        <f>IFERROR(__xludf.DUMMYFUNCTION("""COMPUTED_VALUE"""),6.0)</f>
        <v>6</v>
      </c>
      <c r="D237" s="26">
        <f>IFERROR(__xludf.DUMMYFUNCTION("""COMPUTED_VALUE"""),2.0)</f>
        <v>2</v>
      </c>
      <c r="E237" s="26">
        <f>IFERROR(__xludf.DUMMYFUNCTION("""COMPUTED_VALUE"""),69.0)</f>
        <v>69</v>
      </c>
    </row>
    <row r="238">
      <c r="A238" s="25">
        <f>IFERROR(__xludf.DUMMYFUNCTION("""COMPUTED_VALUE"""),45710.0)</f>
        <v>45710</v>
      </c>
      <c r="B238" s="26" t="str">
        <f>IFERROR(__xludf.DUMMYFUNCTION("""COMPUTED_VALUE"""),"LinkedIn")</f>
        <v>LinkedIn</v>
      </c>
      <c r="C238" s="26">
        <f>IFERROR(__xludf.DUMMYFUNCTION("""COMPUTED_VALUE"""),3.0)</f>
        <v>3</v>
      </c>
      <c r="D238" s="26">
        <f>IFERROR(__xludf.DUMMYFUNCTION("""COMPUTED_VALUE"""),5.0)</f>
        <v>5</v>
      </c>
      <c r="E238" s="26">
        <f>IFERROR(__xludf.DUMMYFUNCTION("""COMPUTED_VALUE"""),52.0)</f>
        <v>52</v>
      </c>
    </row>
    <row r="239">
      <c r="A239" s="25">
        <f>IFERROR(__xludf.DUMMYFUNCTION("""COMPUTED_VALUE"""),45711.0)</f>
        <v>45711</v>
      </c>
      <c r="B239" s="26" t="str">
        <f>IFERROR(__xludf.DUMMYFUNCTION("""COMPUTED_VALUE"""),"LinkedIn")</f>
        <v>LinkedIn</v>
      </c>
      <c r="C239" s="26">
        <f>IFERROR(__xludf.DUMMYFUNCTION("""COMPUTED_VALUE"""),3.0)</f>
        <v>3</v>
      </c>
      <c r="D239" s="26">
        <f>IFERROR(__xludf.DUMMYFUNCTION("""COMPUTED_VALUE"""),0.0)</f>
        <v>0</v>
      </c>
      <c r="E239" s="26">
        <f>IFERROR(__xludf.DUMMYFUNCTION("""COMPUTED_VALUE"""),47.0)</f>
        <v>47</v>
      </c>
    </row>
    <row r="240">
      <c r="A240" s="25">
        <f>IFERROR(__xludf.DUMMYFUNCTION("""COMPUTED_VALUE"""),45712.0)</f>
        <v>45712</v>
      </c>
      <c r="B240" s="26" t="str">
        <f>IFERROR(__xludf.DUMMYFUNCTION("""COMPUTED_VALUE"""),"LinkedIn")</f>
        <v>LinkedIn</v>
      </c>
      <c r="C240" s="26">
        <f>IFERROR(__xludf.DUMMYFUNCTION("""COMPUTED_VALUE"""),3.0)</f>
        <v>3</v>
      </c>
      <c r="D240" s="26">
        <f>IFERROR(__xludf.DUMMYFUNCTION("""COMPUTED_VALUE"""),2.0)</f>
        <v>2</v>
      </c>
      <c r="E240" s="26">
        <f>IFERROR(__xludf.DUMMYFUNCTION("""COMPUTED_VALUE"""),42.0)</f>
        <v>42</v>
      </c>
    </row>
    <row r="241">
      <c r="A241" s="25">
        <f>IFERROR(__xludf.DUMMYFUNCTION("""COMPUTED_VALUE"""),45713.0)</f>
        <v>45713</v>
      </c>
      <c r="B241" s="26" t="str">
        <f>IFERROR(__xludf.DUMMYFUNCTION("""COMPUTED_VALUE"""),"LinkedIn")</f>
        <v>LinkedIn</v>
      </c>
      <c r="C241" s="26">
        <f>IFERROR(__xludf.DUMMYFUNCTION("""COMPUTED_VALUE"""),3.0)</f>
        <v>3</v>
      </c>
      <c r="D241" s="26">
        <f>IFERROR(__xludf.DUMMYFUNCTION("""COMPUTED_VALUE"""),4.0)</f>
        <v>4</v>
      </c>
      <c r="E241" s="26">
        <f>IFERROR(__xludf.DUMMYFUNCTION("""COMPUTED_VALUE"""),44.0)</f>
        <v>44</v>
      </c>
    </row>
    <row r="242">
      <c r="A242" s="25">
        <f>IFERROR(__xludf.DUMMYFUNCTION("""COMPUTED_VALUE"""),45714.0)</f>
        <v>45714</v>
      </c>
      <c r="B242" s="26" t="str">
        <f>IFERROR(__xludf.DUMMYFUNCTION("""COMPUTED_VALUE"""),"LinkedIn")</f>
        <v>LinkedIn</v>
      </c>
      <c r="C242" s="26">
        <f>IFERROR(__xludf.DUMMYFUNCTION("""COMPUTED_VALUE"""),6.0)</f>
        <v>6</v>
      </c>
      <c r="D242" s="26">
        <f>IFERROR(__xludf.DUMMYFUNCTION("""COMPUTED_VALUE"""),2.0)</f>
        <v>2</v>
      </c>
      <c r="E242" s="26">
        <f>IFERROR(__xludf.DUMMYFUNCTION("""COMPUTED_VALUE"""),51.0)</f>
        <v>51</v>
      </c>
    </row>
    <row r="243">
      <c r="A243" s="25">
        <f>IFERROR(__xludf.DUMMYFUNCTION("""COMPUTED_VALUE"""),45715.0)</f>
        <v>45715</v>
      </c>
      <c r="B243" s="26" t="str">
        <f>IFERROR(__xludf.DUMMYFUNCTION("""COMPUTED_VALUE"""),"LinkedIn")</f>
        <v>LinkedIn</v>
      </c>
      <c r="C243" s="26">
        <f>IFERROR(__xludf.DUMMYFUNCTION("""COMPUTED_VALUE"""),2.0)</f>
        <v>2</v>
      </c>
      <c r="D243" s="26">
        <f>IFERROR(__xludf.DUMMYFUNCTION("""COMPUTED_VALUE"""),16.0)</f>
        <v>16</v>
      </c>
      <c r="E243" s="26">
        <f>IFERROR(__xludf.DUMMYFUNCTION("""COMPUTED_VALUE"""),98.0)</f>
        <v>98</v>
      </c>
    </row>
    <row r="244">
      <c r="A244" s="25">
        <f>IFERROR(__xludf.DUMMYFUNCTION("""COMPUTED_VALUE"""),45716.0)</f>
        <v>45716</v>
      </c>
      <c r="B244" s="26" t="str">
        <f>IFERROR(__xludf.DUMMYFUNCTION("""COMPUTED_VALUE"""),"LinkedIn")</f>
        <v>LinkedIn</v>
      </c>
      <c r="C244" s="26">
        <f>IFERROR(__xludf.DUMMYFUNCTION("""COMPUTED_VALUE"""),2.0)</f>
        <v>2</v>
      </c>
      <c r="D244" s="26">
        <f>IFERROR(__xludf.DUMMYFUNCTION("""COMPUTED_VALUE"""),22.0)</f>
        <v>22</v>
      </c>
      <c r="E244" s="26">
        <f>IFERROR(__xludf.DUMMYFUNCTION("""COMPUTED_VALUE"""),151.0)</f>
        <v>151</v>
      </c>
    </row>
    <row r="245">
      <c r="A245" s="25">
        <f>IFERROR(__xludf.DUMMYFUNCTION("""COMPUTED_VALUE"""),45717.0)</f>
        <v>45717</v>
      </c>
      <c r="B245" s="26" t="str">
        <f>IFERROR(__xludf.DUMMYFUNCTION("""COMPUTED_VALUE"""),"LinkedIn")</f>
        <v>LinkedIn</v>
      </c>
      <c r="C245" s="26">
        <f>IFERROR(__xludf.DUMMYFUNCTION("""COMPUTED_VALUE"""),3.0)</f>
        <v>3</v>
      </c>
      <c r="D245" s="26">
        <f>IFERROR(__xludf.DUMMYFUNCTION("""COMPUTED_VALUE"""),14.0)</f>
        <v>14</v>
      </c>
      <c r="E245" s="26">
        <f>IFERROR(__xludf.DUMMYFUNCTION("""COMPUTED_VALUE"""),114.0)</f>
        <v>114</v>
      </c>
    </row>
    <row r="246">
      <c r="A246" s="25">
        <f>IFERROR(__xludf.DUMMYFUNCTION("""COMPUTED_VALUE"""),45718.0)</f>
        <v>45718</v>
      </c>
      <c r="B246" s="26" t="str">
        <f>IFERROR(__xludf.DUMMYFUNCTION("""COMPUTED_VALUE"""),"LinkedIn")</f>
        <v>LinkedIn</v>
      </c>
      <c r="C246" s="26">
        <f>IFERROR(__xludf.DUMMYFUNCTION("""COMPUTED_VALUE"""),1.0)</f>
        <v>1</v>
      </c>
      <c r="D246" s="26">
        <f>IFERROR(__xludf.DUMMYFUNCTION("""COMPUTED_VALUE"""),11.0)</f>
        <v>11</v>
      </c>
      <c r="E246" s="26">
        <f>IFERROR(__xludf.DUMMYFUNCTION("""COMPUTED_VALUE"""),128.0)</f>
        <v>128</v>
      </c>
    </row>
    <row r="247">
      <c r="A247" s="25">
        <f>IFERROR(__xludf.DUMMYFUNCTION("""COMPUTED_VALUE"""),45719.0)</f>
        <v>45719</v>
      </c>
      <c r="B247" s="26" t="str">
        <f>IFERROR(__xludf.DUMMYFUNCTION("""COMPUTED_VALUE"""),"LinkedIn")</f>
        <v>LinkedIn</v>
      </c>
      <c r="C247" s="26">
        <f>IFERROR(__xludf.DUMMYFUNCTION("""COMPUTED_VALUE"""),5.0)</f>
        <v>5</v>
      </c>
      <c r="D247" s="26">
        <f>IFERROR(__xludf.DUMMYFUNCTION("""COMPUTED_VALUE"""),18.0)</f>
        <v>18</v>
      </c>
      <c r="E247" s="26">
        <f>IFERROR(__xludf.DUMMYFUNCTION("""COMPUTED_VALUE"""),116.0)</f>
        <v>116</v>
      </c>
    </row>
    <row r="248">
      <c r="A248" s="25">
        <f>IFERROR(__xludf.DUMMYFUNCTION("""COMPUTED_VALUE"""),45720.0)</f>
        <v>45720</v>
      </c>
      <c r="B248" s="26" t="str">
        <f>IFERROR(__xludf.DUMMYFUNCTION("""COMPUTED_VALUE"""),"LinkedIn")</f>
        <v>LinkedIn</v>
      </c>
      <c r="C248" s="26">
        <f>IFERROR(__xludf.DUMMYFUNCTION("""COMPUTED_VALUE"""),0.0)</f>
        <v>0</v>
      </c>
      <c r="D248" s="26">
        <f>IFERROR(__xludf.DUMMYFUNCTION("""COMPUTED_VALUE"""),25.0)</f>
        <v>25</v>
      </c>
      <c r="E248" s="26">
        <f>IFERROR(__xludf.DUMMYFUNCTION("""COMPUTED_VALUE"""),152.0)</f>
        <v>152</v>
      </c>
    </row>
    <row r="249">
      <c r="A249" s="25">
        <f>IFERROR(__xludf.DUMMYFUNCTION("""COMPUTED_VALUE"""),45721.0)</f>
        <v>45721</v>
      </c>
      <c r="B249" s="26" t="str">
        <f>IFERROR(__xludf.DUMMYFUNCTION("""COMPUTED_VALUE"""),"LinkedIn")</f>
        <v>LinkedIn</v>
      </c>
      <c r="C249" s="26">
        <f>IFERROR(__xludf.DUMMYFUNCTION("""COMPUTED_VALUE"""),0.0)</f>
        <v>0</v>
      </c>
      <c r="D249" s="26">
        <f>IFERROR(__xludf.DUMMYFUNCTION("""COMPUTED_VALUE"""),4.0)</f>
        <v>4</v>
      </c>
      <c r="E249" s="26">
        <f>IFERROR(__xludf.DUMMYFUNCTION("""COMPUTED_VALUE"""),76.0)</f>
        <v>76</v>
      </c>
    </row>
    <row r="250">
      <c r="A250" s="25">
        <f>IFERROR(__xludf.DUMMYFUNCTION("""COMPUTED_VALUE"""),45722.0)</f>
        <v>45722</v>
      </c>
      <c r="B250" s="26" t="str">
        <f>IFERROR(__xludf.DUMMYFUNCTION("""COMPUTED_VALUE"""),"LinkedIn")</f>
        <v>LinkedIn</v>
      </c>
      <c r="C250" s="26">
        <f>IFERROR(__xludf.DUMMYFUNCTION("""COMPUTED_VALUE"""),2.0)</f>
        <v>2</v>
      </c>
      <c r="D250" s="26">
        <f>IFERROR(__xludf.DUMMYFUNCTION("""COMPUTED_VALUE"""),8.0)</f>
        <v>8</v>
      </c>
      <c r="E250" s="26">
        <f>IFERROR(__xludf.DUMMYFUNCTION("""COMPUTED_VALUE"""),43.0)</f>
        <v>43</v>
      </c>
    </row>
    <row r="251">
      <c r="A251" s="25">
        <f>IFERROR(__xludf.DUMMYFUNCTION("""COMPUTED_VALUE"""),45723.0)</f>
        <v>45723</v>
      </c>
      <c r="B251" s="26" t="str">
        <f>IFERROR(__xludf.DUMMYFUNCTION("""COMPUTED_VALUE"""),"LinkedIn")</f>
        <v>LinkedIn</v>
      </c>
      <c r="C251" s="26">
        <f>IFERROR(__xludf.DUMMYFUNCTION("""COMPUTED_VALUE"""),3.0)</f>
        <v>3</v>
      </c>
      <c r="D251" s="26">
        <f>IFERROR(__xludf.DUMMYFUNCTION("""COMPUTED_VALUE"""),5.0)</f>
        <v>5</v>
      </c>
      <c r="E251" s="26">
        <f>IFERROR(__xludf.DUMMYFUNCTION("""COMPUTED_VALUE"""),39.0)</f>
        <v>39</v>
      </c>
    </row>
    <row r="252">
      <c r="A252" s="25">
        <f>IFERROR(__xludf.DUMMYFUNCTION("""COMPUTED_VALUE"""),45724.0)</f>
        <v>45724</v>
      </c>
      <c r="B252" s="26" t="str">
        <f>IFERROR(__xludf.DUMMYFUNCTION("""COMPUTED_VALUE"""),"LinkedIn")</f>
        <v>LinkedIn</v>
      </c>
      <c r="C252" s="26">
        <f>IFERROR(__xludf.DUMMYFUNCTION("""COMPUTED_VALUE"""),0.0)</f>
        <v>0</v>
      </c>
      <c r="D252" s="26">
        <f>IFERROR(__xludf.DUMMYFUNCTION("""COMPUTED_VALUE"""),3.0)</f>
        <v>3</v>
      </c>
      <c r="E252" s="26">
        <f>IFERROR(__xludf.DUMMYFUNCTION("""COMPUTED_VALUE"""),27.0)</f>
        <v>27</v>
      </c>
    </row>
    <row r="253">
      <c r="A253" s="25">
        <f>IFERROR(__xludf.DUMMYFUNCTION("""COMPUTED_VALUE"""),45725.0)</f>
        <v>45725</v>
      </c>
      <c r="B253" s="26" t="str">
        <f>IFERROR(__xludf.DUMMYFUNCTION("""COMPUTED_VALUE"""),"LinkedIn")</f>
        <v>LinkedIn</v>
      </c>
      <c r="C253" s="26">
        <f>IFERROR(__xludf.DUMMYFUNCTION("""COMPUTED_VALUE"""),1.0)</f>
        <v>1</v>
      </c>
      <c r="D253" s="26">
        <f>IFERROR(__xludf.DUMMYFUNCTION("""COMPUTED_VALUE"""),0.0)</f>
        <v>0</v>
      </c>
      <c r="E253" s="26">
        <f>IFERROR(__xludf.DUMMYFUNCTION("""COMPUTED_VALUE"""),22.0)</f>
        <v>22</v>
      </c>
    </row>
    <row r="254">
      <c r="A254" s="25">
        <f>IFERROR(__xludf.DUMMYFUNCTION("""COMPUTED_VALUE"""),45726.0)</f>
        <v>45726</v>
      </c>
      <c r="B254" s="26" t="str">
        <f>IFERROR(__xludf.DUMMYFUNCTION("""COMPUTED_VALUE"""),"LinkedIn")</f>
        <v>LinkedIn</v>
      </c>
      <c r="C254" s="26">
        <f>IFERROR(__xludf.DUMMYFUNCTION("""COMPUTED_VALUE"""),2.0)</f>
        <v>2</v>
      </c>
      <c r="D254" s="26">
        <f>IFERROR(__xludf.DUMMYFUNCTION("""COMPUTED_VALUE"""),3.0)</f>
        <v>3</v>
      </c>
      <c r="E254" s="26">
        <f>IFERROR(__xludf.DUMMYFUNCTION("""COMPUTED_VALUE"""),31.0)</f>
        <v>31</v>
      </c>
    </row>
    <row r="255">
      <c r="A255" s="25">
        <f>IFERROR(__xludf.DUMMYFUNCTION("""COMPUTED_VALUE"""),45727.0)</f>
        <v>45727</v>
      </c>
      <c r="B255" s="26" t="str">
        <f>IFERROR(__xludf.DUMMYFUNCTION("""COMPUTED_VALUE"""),"LinkedIn")</f>
        <v>LinkedIn</v>
      </c>
      <c r="C255" s="26">
        <f>IFERROR(__xludf.DUMMYFUNCTION("""COMPUTED_VALUE"""),1.0)</f>
        <v>1</v>
      </c>
      <c r="D255" s="26">
        <f>IFERROR(__xludf.DUMMYFUNCTION("""COMPUTED_VALUE"""),15.0)</f>
        <v>15</v>
      </c>
      <c r="E255" s="26">
        <f>IFERROR(__xludf.DUMMYFUNCTION("""COMPUTED_VALUE"""),60.0)</f>
        <v>60</v>
      </c>
    </row>
    <row r="256">
      <c r="A256" s="25">
        <f>IFERROR(__xludf.DUMMYFUNCTION("""COMPUTED_VALUE"""),45728.0)</f>
        <v>45728</v>
      </c>
      <c r="B256" s="26" t="str">
        <f>IFERROR(__xludf.DUMMYFUNCTION("""COMPUTED_VALUE"""),"LinkedIn")</f>
        <v>LinkedIn</v>
      </c>
      <c r="C256" s="26">
        <f>IFERROR(__xludf.DUMMYFUNCTION("""COMPUTED_VALUE"""),3.0)</f>
        <v>3</v>
      </c>
      <c r="D256" s="26">
        <f>IFERROR(__xludf.DUMMYFUNCTION("""COMPUTED_VALUE"""),5.0)</f>
        <v>5</v>
      </c>
      <c r="E256" s="26">
        <f>IFERROR(__xludf.DUMMYFUNCTION("""COMPUTED_VALUE"""),87.0)</f>
        <v>87</v>
      </c>
    </row>
    <row r="257">
      <c r="A257" s="25">
        <f>IFERROR(__xludf.DUMMYFUNCTION("""COMPUTED_VALUE"""),45729.0)</f>
        <v>45729</v>
      </c>
      <c r="B257" s="26" t="str">
        <f>IFERROR(__xludf.DUMMYFUNCTION("""COMPUTED_VALUE"""),"LinkedIn")</f>
        <v>LinkedIn</v>
      </c>
      <c r="C257" s="26">
        <f>IFERROR(__xludf.DUMMYFUNCTION("""COMPUTED_VALUE"""),5.0)</f>
        <v>5</v>
      </c>
      <c r="D257" s="26">
        <f>IFERROR(__xludf.DUMMYFUNCTION("""COMPUTED_VALUE"""),10.0)</f>
        <v>10</v>
      </c>
      <c r="E257" s="26">
        <f>IFERROR(__xludf.DUMMYFUNCTION("""COMPUTED_VALUE"""),33.0)</f>
        <v>33</v>
      </c>
    </row>
    <row r="258">
      <c r="A258" s="25">
        <f>IFERROR(__xludf.DUMMYFUNCTION("""COMPUTED_VALUE"""),45730.0)</f>
        <v>45730</v>
      </c>
      <c r="B258" s="26" t="str">
        <f>IFERROR(__xludf.DUMMYFUNCTION("""COMPUTED_VALUE"""),"LinkedIn")</f>
        <v>LinkedIn</v>
      </c>
      <c r="C258" s="26">
        <f>IFERROR(__xludf.DUMMYFUNCTION("""COMPUTED_VALUE"""),3.0)</f>
        <v>3</v>
      </c>
      <c r="D258" s="26">
        <f>IFERROR(__xludf.DUMMYFUNCTION("""COMPUTED_VALUE"""),18.0)</f>
        <v>18</v>
      </c>
      <c r="E258" s="26">
        <f>IFERROR(__xludf.DUMMYFUNCTION("""COMPUTED_VALUE"""),104.0)</f>
        <v>104</v>
      </c>
    </row>
    <row r="259">
      <c r="A259" s="25">
        <f>IFERROR(__xludf.DUMMYFUNCTION("""COMPUTED_VALUE"""),45731.0)</f>
        <v>45731</v>
      </c>
      <c r="B259" s="26" t="str">
        <f>IFERROR(__xludf.DUMMYFUNCTION("""COMPUTED_VALUE"""),"LinkedIn")</f>
        <v>LinkedIn</v>
      </c>
      <c r="C259" s="26">
        <f>IFERROR(__xludf.DUMMYFUNCTION("""COMPUTED_VALUE"""),1.0)</f>
        <v>1</v>
      </c>
      <c r="D259" s="26">
        <f>IFERROR(__xludf.DUMMYFUNCTION("""COMPUTED_VALUE"""),8.0)</f>
        <v>8</v>
      </c>
      <c r="E259" s="26">
        <f>IFERROR(__xludf.DUMMYFUNCTION("""COMPUTED_VALUE"""),42.0)</f>
        <v>42</v>
      </c>
    </row>
    <row r="260">
      <c r="A260" s="25">
        <f>IFERROR(__xludf.DUMMYFUNCTION("""COMPUTED_VALUE"""),45732.0)</f>
        <v>45732</v>
      </c>
      <c r="B260" s="26" t="str">
        <f>IFERROR(__xludf.DUMMYFUNCTION("""COMPUTED_VALUE"""),"LinkedIn")</f>
        <v>LinkedIn</v>
      </c>
      <c r="C260" s="26">
        <f>IFERROR(__xludf.DUMMYFUNCTION("""COMPUTED_VALUE"""),-1.0)</f>
        <v>-1</v>
      </c>
      <c r="D260" s="26">
        <f>IFERROR(__xludf.DUMMYFUNCTION("""COMPUTED_VALUE"""),2.0)</f>
        <v>2</v>
      </c>
      <c r="E260" s="26">
        <f>IFERROR(__xludf.DUMMYFUNCTION("""COMPUTED_VALUE"""),36.0)</f>
        <v>36</v>
      </c>
    </row>
    <row r="261">
      <c r="A261" s="25">
        <f>IFERROR(__xludf.DUMMYFUNCTION("""COMPUTED_VALUE"""),45733.0)</f>
        <v>45733</v>
      </c>
      <c r="B261" s="26" t="str">
        <f>IFERROR(__xludf.DUMMYFUNCTION("""COMPUTED_VALUE"""),"LinkedIn")</f>
        <v>LinkedIn</v>
      </c>
      <c r="C261" s="26">
        <f>IFERROR(__xludf.DUMMYFUNCTION("""COMPUTED_VALUE"""),2.0)</f>
        <v>2</v>
      </c>
      <c r="D261" s="26">
        <f>IFERROR(__xludf.DUMMYFUNCTION("""COMPUTED_VALUE"""),2.0)</f>
        <v>2</v>
      </c>
      <c r="E261" s="26">
        <f>IFERROR(__xludf.DUMMYFUNCTION("""COMPUTED_VALUE"""),47.0)</f>
        <v>47</v>
      </c>
    </row>
    <row r="262">
      <c r="A262" s="25">
        <f>IFERROR(__xludf.DUMMYFUNCTION("""COMPUTED_VALUE"""),45734.0)</f>
        <v>45734</v>
      </c>
      <c r="B262" s="26" t="str">
        <f>IFERROR(__xludf.DUMMYFUNCTION("""COMPUTED_VALUE"""),"LinkedIn")</f>
        <v>LinkedIn</v>
      </c>
      <c r="C262" s="26">
        <f>IFERROR(__xludf.DUMMYFUNCTION("""COMPUTED_VALUE"""),4.0)</f>
        <v>4</v>
      </c>
      <c r="D262" s="26">
        <f>IFERROR(__xludf.DUMMYFUNCTION("""COMPUTED_VALUE"""),10.0)</f>
        <v>10</v>
      </c>
      <c r="E262" s="26">
        <f>IFERROR(__xludf.DUMMYFUNCTION("""COMPUTED_VALUE"""),37.0)</f>
        <v>37</v>
      </c>
    </row>
    <row r="263">
      <c r="A263" s="25">
        <f>IFERROR(__xludf.DUMMYFUNCTION("""COMPUTED_VALUE"""),45735.0)</f>
        <v>45735</v>
      </c>
      <c r="B263" s="26" t="str">
        <f>IFERROR(__xludf.DUMMYFUNCTION("""COMPUTED_VALUE"""),"LinkedIn")</f>
        <v>LinkedIn</v>
      </c>
      <c r="C263" s="26">
        <f>IFERROR(__xludf.DUMMYFUNCTION("""COMPUTED_VALUE"""),3.0)</f>
        <v>3</v>
      </c>
      <c r="D263" s="26">
        <f>IFERROR(__xludf.DUMMYFUNCTION("""COMPUTED_VALUE"""),7.0)</f>
        <v>7</v>
      </c>
      <c r="E263" s="26">
        <f>IFERROR(__xludf.DUMMYFUNCTION("""COMPUTED_VALUE"""),52.0)</f>
        <v>52</v>
      </c>
    </row>
    <row r="264">
      <c r="A264" s="25">
        <f>IFERROR(__xludf.DUMMYFUNCTION("""COMPUTED_VALUE"""),45736.0)</f>
        <v>45736</v>
      </c>
      <c r="B264" s="26" t="str">
        <f>IFERROR(__xludf.DUMMYFUNCTION("""COMPUTED_VALUE"""),"LinkedIn")</f>
        <v>LinkedIn</v>
      </c>
      <c r="C264" s="26">
        <f>IFERROR(__xludf.DUMMYFUNCTION("""COMPUTED_VALUE"""),2.0)</f>
        <v>2</v>
      </c>
      <c r="D264" s="26">
        <f>IFERROR(__xludf.DUMMYFUNCTION("""COMPUTED_VALUE"""),30.0)</f>
        <v>30</v>
      </c>
      <c r="E264" s="26">
        <f>IFERROR(__xludf.DUMMYFUNCTION("""COMPUTED_VALUE"""),158.0)</f>
        <v>158</v>
      </c>
    </row>
    <row r="265">
      <c r="A265" s="25">
        <f>IFERROR(__xludf.DUMMYFUNCTION("""COMPUTED_VALUE"""),45737.0)</f>
        <v>45737</v>
      </c>
      <c r="B265" s="26" t="str">
        <f>IFERROR(__xludf.DUMMYFUNCTION("""COMPUTED_VALUE"""),"LinkedIn")</f>
        <v>LinkedIn</v>
      </c>
      <c r="C265" s="26">
        <f>IFERROR(__xludf.DUMMYFUNCTION("""COMPUTED_VALUE"""),0.0)</f>
        <v>0</v>
      </c>
      <c r="D265" s="26">
        <f>IFERROR(__xludf.DUMMYFUNCTION("""COMPUTED_VALUE"""),8.0)</f>
        <v>8</v>
      </c>
      <c r="E265" s="26">
        <f>IFERROR(__xludf.DUMMYFUNCTION("""COMPUTED_VALUE"""),109.0)</f>
        <v>109</v>
      </c>
    </row>
    <row r="266">
      <c r="A266" s="25">
        <f>IFERROR(__xludf.DUMMYFUNCTION("""COMPUTED_VALUE"""),45738.0)</f>
        <v>45738</v>
      </c>
      <c r="B266" s="26" t="str">
        <f>IFERROR(__xludf.DUMMYFUNCTION("""COMPUTED_VALUE"""),"LinkedIn")</f>
        <v>LinkedIn</v>
      </c>
      <c r="C266" s="26">
        <f>IFERROR(__xludf.DUMMYFUNCTION("""COMPUTED_VALUE"""),1.0)</f>
        <v>1</v>
      </c>
      <c r="D266" s="26">
        <f>IFERROR(__xludf.DUMMYFUNCTION("""COMPUTED_VALUE"""),9.0)</f>
        <v>9</v>
      </c>
      <c r="E266" s="26">
        <f>IFERROR(__xludf.DUMMYFUNCTION("""COMPUTED_VALUE"""),78.0)</f>
        <v>78</v>
      </c>
    </row>
    <row r="267">
      <c r="A267" s="25">
        <f>IFERROR(__xludf.DUMMYFUNCTION("""COMPUTED_VALUE"""),45739.0)</f>
        <v>45739</v>
      </c>
      <c r="B267" s="26" t="str">
        <f>IFERROR(__xludf.DUMMYFUNCTION("""COMPUTED_VALUE"""),"LinkedIn")</f>
        <v>LinkedIn</v>
      </c>
      <c r="C267" s="26">
        <f>IFERROR(__xludf.DUMMYFUNCTION("""COMPUTED_VALUE"""),0.0)</f>
        <v>0</v>
      </c>
      <c r="D267" s="26">
        <f>IFERROR(__xludf.DUMMYFUNCTION("""COMPUTED_VALUE"""),4.0)</f>
        <v>4</v>
      </c>
      <c r="E267" s="26">
        <f>IFERROR(__xludf.DUMMYFUNCTION("""COMPUTED_VALUE"""),53.0)</f>
        <v>53</v>
      </c>
    </row>
    <row r="268">
      <c r="A268" s="25">
        <f>IFERROR(__xludf.DUMMYFUNCTION("""COMPUTED_VALUE"""),45740.0)</f>
        <v>45740</v>
      </c>
      <c r="B268" s="26" t="str">
        <f>IFERROR(__xludf.DUMMYFUNCTION("""COMPUTED_VALUE"""),"LinkedIn")</f>
        <v>LinkedIn</v>
      </c>
      <c r="C268" s="26">
        <f>IFERROR(__xludf.DUMMYFUNCTION("""COMPUTED_VALUE"""),2.0)</f>
        <v>2</v>
      </c>
      <c r="D268" s="26">
        <f>IFERROR(__xludf.DUMMYFUNCTION("""COMPUTED_VALUE"""),10.0)</f>
        <v>10</v>
      </c>
      <c r="E268" s="26">
        <f>IFERROR(__xludf.DUMMYFUNCTION("""COMPUTED_VALUE"""),150.0)</f>
        <v>150</v>
      </c>
    </row>
    <row r="269">
      <c r="A269" s="25">
        <f>IFERROR(__xludf.DUMMYFUNCTION("""COMPUTED_VALUE"""),45741.0)</f>
        <v>45741</v>
      </c>
      <c r="B269" s="26" t="str">
        <f>IFERROR(__xludf.DUMMYFUNCTION("""COMPUTED_VALUE"""),"LinkedIn")</f>
        <v>LinkedIn</v>
      </c>
      <c r="C269" s="26">
        <f>IFERROR(__xludf.DUMMYFUNCTION("""COMPUTED_VALUE"""),3.0)</f>
        <v>3</v>
      </c>
      <c r="D269" s="26">
        <f>IFERROR(__xludf.DUMMYFUNCTION("""COMPUTED_VALUE"""),18.0)</f>
        <v>18</v>
      </c>
      <c r="E269" s="26">
        <f>IFERROR(__xludf.DUMMYFUNCTION("""COMPUTED_VALUE"""),107.0)</f>
        <v>107</v>
      </c>
    </row>
    <row r="270">
      <c r="A270" s="25">
        <f>IFERROR(__xludf.DUMMYFUNCTION("""COMPUTED_VALUE"""),45742.0)</f>
        <v>45742</v>
      </c>
      <c r="B270" s="26" t="str">
        <f>IFERROR(__xludf.DUMMYFUNCTION("""COMPUTED_VALUE"""),"LinkedIn")</f>
        <v>LinkedIn</v>
      </c>
      <c r="C270" s="26">
        <f>IFERROR(__xludf.DUMMYFUNCTION("""COMPUTED_VALUE"""),6.0)</f>
        <v>6</v>
      </c>
      <c r="D270" s="26">
        <f>IFERROR(__xludf.DUMMYFUNCTION("""COMPUTED_VALUE"""),13.0)</f>
        <v>13</v>
      </c>
      <c r="E270" s="26">
        <f>IFERROR(__xludf.DUMMYFUNCTION("""COMPUTED_VALUE"""),127.0)</f>
        <v>127</v>
      </c>
    </row>
    <row r="271">
      <c r="A271" s="25">
        <f>IFERROR(__xludf.DUMMYFUNCTION("""COMPUTED_VALUE"""),45743.0)</f>
        <v>45743</v>
      </c>
      <c r="B271" s="26" t="str">
        <f>IFERROR(__xludf.DUMMYFUNCTION("""COMPUTED_VALUE"""),"LinkedIn")</f>
        <v>LinkedIn</v>
      </c>
      <c r="C271" s="26">
        <f>IFERROR(__xludf.DUMMYFUNCTION("""COMPUTED_VALUE"""),2.0)</f>
        <v>2</v>
      </c>
      <c r="D271" s="26">
        <f>IFERROR(__xludf.DUMMYFUNCTION("""COMPUTED_VALUE"""),24.0)</f>
        <v>24</v>
      </c>
      <c r="E271" s="26">
        <f>IFERROR(__xludf.DUMMYFUNCTION("""COMPUTED_VALUE"""),162.0)</f>
        <v>162</v>
      </c>
    </row>
    <row r="272">
      <c r="A272" s="25">
        <f>IFERROR(__xludf.DUMMYFUNCTION("""COMPUTED_VALUE"""),45744.0)</f>
        <v>45744</v>
      </c>
      <c r="B272" s="26" t="str">
        <f>IFERROR(__xludf.DUMMYFUNCTION("""COMPUTED_VALUE"""),"LinkedIn")</f>
        <v>LinkedIn</v>
      </c>
      <c r="C272" s="26">
        <f>IFERROR(__xludf.DUMMYFUNCTION("""COMPUTED_VALUE"""),1.0)</f>
        <v>1</v>
      </c>
      <c r="D272" s="26">
        <f>IFERROR(__xludf.DUMMYFUNCTION("""COMPUTED_VALUE"""),14.0)</f>
        <v>14</v>
      </c>
      <c r="E272" s="26">
        <f>IFERROR(__xludf.DUMMYFUNCTION("""COMPUTED_VALUE"""),133.0)</f>
        <v>133</v>
      </c>
    </row>
    <row r="273">
      <c r="A273" s="25">
        <f>IFERROR(__xludf.DUMMYFUNCTION("""COMPUTED_VALUE"""),45745.0)</f>
        <v>45745</v>
      </c>
      <c r="B273" s="26" t="str">
        <f>IFERROR(__xludf.DUMMYFUNCTION("""COMPUTED_VALUE"""),"LinkedIn")</f>
        <v>LinkedIn</v>
      </c>
      <c r="C273" s="26">
        <f>IFERROR(__xludf.DUMMYFUNCTION("""COMPUTED_VALUE"""),1.0)</f>
        <v>1</v>
      </c>
      <c r="D273" s="26">
        <f>IFERROR(__xludf.DUMMYFUNCTION("""COMPUTED_VALUE"""),8.0)</f>
        <v>8</v>
      </c>
      <c r="E273" s="26">
        <f>IFERROR(__xludf.DUMMYFUNCTION("""COMPUTED_VALUE"""),82.0)</f>
        <v>82</v>
      </c>
    </row>
    <row r="274">
      <c r="A274" s="25">
        <f>IFERROR(__xludf.DUMMYFUNCTION("""COMPUTED_VALUE"""),45746.0)</f>
        <v>45746</v>
      </c>
      <c r="B274" s="26" t="str">
        <f>IFERROR(__xludf.DUMMYFUNCTION("""COMPUTED_VALUE"""),"LinkedIn")</f>
        <v>LinkedIn</v>
      </c>
      <c r="C274" s="26">
        <f>IFERROR(__xludf.DUMMYFUNCTION("""COMPUTED_VALUE"""),0.0)</f>
        <v>0</v>
      </c>
      <c r="D274" s="26">
        <f>IFERROR(__xludf.DUMMYFUNCTION("""COMPUTED_VALUE"""),4.0)</f>
        <v>4</v>
      </c>
      <c r="E274" s="26">
        <f>IFERROR(__xludf.DUMMYFUNCTION("""COMPUTED_VALUE"""),50.0)</f>
        <v>50</v>
      </c>
    </row>
    <row r="275">
      <c r="A275" s="25">
        <f>IFERROR(__xludf.DUMMYFUNCTION("""COMPUTED_VALUE"""),45747.0)</f>
        <v>45747</v>
      </c>
      <c r="B275" s="26" t="str">
        <f>IFERROR(__xludf.DUMMYFUNCTION("""COMPUTED_VALUE"""),"LinkedIn")</f>
        <v>LinkedIn</v>
      </c>
      <c r="C275" s="26">
        <f>IFERROR(__xludf.DUMMYFUNCTION("""COMPUTED_VALUE"""),0.0)</f>
        <v>0</v>
      </c>
      <c r="D275" s="26">
        <f>IFERROR(__xludf.DUMMYFUNCTION("""COMPUTED_VALUE"""),8.0)</f>
        <v>8</v>
      </c>
      <c r="E275" s="26">
        <f>IFERROR(__xludf.DUMMYFUNCTION("""COMPUTED_VALUE"""),63.0)</f>
        <v>63</v>
      </c>
    </row>
    <row r="276">
      <c r="A276" s="25">
        <f>IFERROR(__xludf.DUMMYFUNCTION("""COMPUTED_VALUE"""),45748.0)</f>
        <v>45748</v>
      </c>
      <c r="B276" s="26" t="str">
        <f>IFERROR(__xludf.DUMMYFUNCTION("""COMPUTED_VALUE"""),"LinkedIn")</f>
        <v>LinkedIn</v>
      </c>
      <c r="C276" s="26">
        <f>IFERROR(__xludf.DUMMYFUNCTION("""COMPUTED_VALUE"""),0.0)</f>
        <v>0</v>
      </c>
      <c r="D276" s="26">
        <f>IFERROR(__xludf.DUMMYFUNCTION("""COMPUTED_VALUE"""),14.0)</f>
        <v>14</v>
      </c>
      <c r="E276" s="26">
        <f>IFERROR(__xludf.DUMMYFUNCTION("""COMPUTED_VALUE"""),113.0)</f>
        <v>113</v>
      </c>
    </row>
    <row r="277">
      <c r="A277" s="25">
        <f>IFERROR(__xludf.DUMMYFUNCTION("""COMPUTED_VALUE"""),45749.0)</f>
        <v>45749</v>
      </c>
      <c r="B277" s="26" t="str">
        <f>IFERROR(__xludf.DUMMYFUNCTION("""COMPUTED_VALUE"""),"LinkedIn")</f>
        <v>LinkedIn</v>
      </c>
      <c r="C277" s="26">
        <f>IFERROR(__xludf.DUMMYFUNCTION("""COMPUTED_VALUE"""),2.0)</f>
        <v>2</v>
      </c>
      <c r="D277" s="26">
        <f>IFERROR(__xludf.DUMMYFUNCTION("""COMPUTED_VALUE"""),24.0)</f>
        <v>24</v>
      </c>
      <c r="E277" s="26">
        <f>IFERROR(__xludf.DUMMYFUNCTION("""COMPUTED_VALUE"""),142.0)</f>
        <v>142</v>
      </c>
    </row>
    <row r="278">
      <c r="A278" s="25">
        <f>IFERROR(__xludf.DUMMYFUNCTION("""COMPUTED_VALUE"""),45750.0)</f>
        <v>45750</v>
      </c>
      <c r="B278" s="26" t="str">
        <f>IFERROR(__xludf.DUMMYFUNCTION("""COMPUTED_VALUE"""),"LinkedIn")</f>
        <v>LinkedIn</v>
      </c>
      <c r="C278" s="26">
        <f>IFERROR(__xludf.DUMMYFUNCTION("""COMPUTED_VALUE"""),2.0)</f>
        <v>2</v>
      </c>
      <c r="D278" s="26">
        <f>IFERROR(__xludf.DUMMYFUNCTION("""COMPUTED_VALUE"""),13.0)</f>
        <v>13</v>
      </c>
      <c r="E278" s="26">
        <f>IFERROR(__xludf.DUMMYFUNCTION("""COMPUTED_VALUE"""),88.0)</f>
        <v>88</v>
      </c>
    </row>
    <row r="279">
      <c r="A279" s="25">
        <f>IFERROR(__xludf.DUMMYFUNCTION("""COMPUTED_VALUE"""),45751.0)</f>
        <v>45751</v>
      </c>
      <c r="B279" s="26" t="str">
        <f>IFERROR(__xludf.DUMMYFUNCTION("""COMPUTED_VALUE"""),"LinkedIn")</f>
        <v>LinkedIn</v>
      </c>
      <c r="C279" s="26">
        <f>IFERROR(__xludf.DUMMYFUNCTION("""COMPUTED_VALUE"""),2.0)</f>
        <v>2</v>
      </c>
      <c r="D279" s="26">
        <f>IFERROR(__xludf.DUMMYFUNCTION("""COMPUTED_VALUE"""),6.0)</f>
        <v>6</v>
      </c>
      <c r="E279" s="26">
        <f>IFERROR(__xludf.DUMMYFUNCTION("""COMPUTED_VALUE"""),101.0)</f>
        <v>101</v>
      </c>
    </row>
    <row r="280">
      <c r="A280" s="25">
        <f>IFERROR(__xludf.DUMMYFUNCTION("""COMPUTED_VALUE"""),45752.0)</f>
        <v>45752</v>
      </c>
      <c r="B280" s="26" t="str">
        <f>IFERROR(__xludf.DUMMYFUNCTION("""COMPUTED_VALUE"""),"LinkedIn")</f>
        <v>LinkedIn</v>
      </c>
      <c r="C280" s="26">
        <f>IFERROR(__xludf.DUMMYFUNCTION("""COMPUTED_VALUE"""),0.0)</f>
        <v>0</v>
      </c>
      <c r="D280" s="26">
        <f>IFERROR(__xludf.DUMMYFUNCTION("""COMPUTED_VALUE"""),5.0)</f>
        <v>5</v>
      </c>
      <c r="E280" s="26">
        <f>IFERROR(__xludf.DUMMYFUNCTION("""COMPUTED_VALUE"""),93.0)</f>
        <v>93</v>
      </c>
    </row>
    <row r="281">
      <c r="A281" s="25">
        <f>IFERROR(__xludf.DUMMYFUNCTION("""COMPUTED_VALUE"""),45753.0)</f>
        <v>45753</v>
      </c>
      <c r="B281" s="26" t="str">
        <f>IFERROR(__xludf.DUMMYFUNCTION("""COMPUTED_VALUE"""),"LinkedIn")</f>
        <v>LinkedIn</v>
      </c>
      <c r="C281" s="26">
        <f>IFERROR(__xludf.DUMMYFUNCTION("""COMPUTED_VALUE"""),0.0)</f>
        <v>0</v>
      </c>
      <c r="D281" s="26">
        <f>IFERROR(__xludf.DUMMYFUNCTION("""COMPUTED_VALUE"""),5.0)</f>
        <v>5</v>
      </c>
      <c r="E281" s="26">
        <f>IFERROR(__xludf.DUMMYFUNCTION("""COMPUTED_VALUE"""),67.0)</f>
        <v>67</v>
      </c>
    </row>
    <row r="282">
      <c r="A282" s="25">
        <f>IFERROR(__xludf.DUMMYFUNCTION("""COMPUTED_VALUE"""),45754.0)</f>
        <v>45754</v>
      </c>
      <c r="B282" s="26" t="str">
        <f>IFERROR(__xludf.DUMMYFUNCTION("""COMPUTED_VALUE"""),"LinkedIn")</f>
        <v>LinkedIn</v>
      </c>
      <c r="C282" s="26">
        <f>IFERROR(__xludf.DUMMYFUNCTION("""COMPUTED_VALUE"""),1.0)</f>
        <v>1</v>
      </c>
      <c r="D282" s="26">
        <f>IFERROR(__xludf.DUMMYFUNCTION("""COMPUTED_VALUE"""),10.0)</f>
        <v>10</v>
      </c>
      <c r="E282" s="26">
        <f>IFERROR(__xludf.DUMMYFUNCTION("""COMPUTED_VALUE"""),78.0)</f>
        <v>78</v>
      </c>
    </row>
    <row r="283">
      <c r="A283" s="25">
        <f>IFERROR(__xludf.DUMMYFUNCTION("""COMPUTED_VALUE"""),45755.0)</f>
        <v>45755</v>
      </c>
      <c r="B283" s="26" t="str">
        <f>IFERROR(__xludf.DUMMYFUNCTION("""COMPUTED_VALUE"""),"LinkedIn")</f>
        <v>LinkedIn</v>
      </c>
      <c r="C283" s="26">
        <f>IFERROR(__xludf.DUMMYFUNCTION("""COMPUTED_VALUE"""),0.0)</f>
        <v>0</v>
      </c>
      <c r="D283" s="26">
        <f>IFERROR(__xludf.DUMMYFUNCTION("""COMPUTED_VALUE"""),6.0)</f>
        <v>6</v>
      </c>
      <c r="E283" s="26">
        <f>IFERROR(__xludf.DUMMYFUNCTION("""COMPUTED_VALUE"""),68.0)</f>
        <v>68</v>
      </c>
    </row>
    <row r="284">
      <c r="A284" s="25">
        <f>IFERROR(__xludf.DUMMYFUNCTION("""COMPUTED_VALUE"""),45756.0)</f>
        <v>45756</v>
      </c>
      <c r="B284" s="26" t="str">
        <f>IFERROR(__xludf.DUMMYFUNCTION("""COMPUTED_VALUE"""),"LinkedIn")</f>
        <v>LinkedIn</v>
      </c>
      <c r="C284" s="26">
        <f>IFERROR(__xludf.DUMMYFUNCTION("""COMPUTED_VALUE"""),3.0)</f>
        <v>3</v>
      </c>
      <c r="D284" s="26">
        <f>IFERROR(__xludf.DUMMYFUNCTION("""COMPUTED_VALUE"""),8.0)</f>
        <v>8</v>
      </c>
      <c r="E284" s="26">
        <f>IFERROR(__xludf.DUMMYFUNCTION("""COMPUTED_VALUE"""),67.0)</f>
        <v>67</v>
      </c>
    </row>
    <row r="285">
      <c r="A285" s="25">
        <f>IFERROR(__xludf.DUMMYFUNCTION("""COMPUTED_VALUE"""),45757.0)</f>
        <v>45757</v>
      </c>
      <c r="B285" s="26" t="str">
        <f>IFERROR(__xludf.DUMMYFUNCTION("""COMPUTED_VALUE"""),"LinkedIn")</f>
        <v>LinkedIn</v>
      </c>
      <c r="C285" s="26">
        <f>IFERROR(__xludf.DUMMYFUNCTION("""COMPUTED_VALUE"""),2.0)</f>
        <v>2</v>
      </c>
      <c r="D285" s="26">
        <f>IFERROR(__xludf.DUMMYFUNCTION("""COMPUTED_VALUE"""),16.0)</f>
        <v>16</v>
      </c>
      <c r="E285" s="26">
        <f>IFERROR(__xludf.DUMMYFUNCTION("""COMPUTED_VALUE"""),111.0)</f>
        <v>111</v>
      </c>
    </row>
    <row r="286">
      <c r="A286" s="25">
        <f>IFERROR(__xludf.DUMMYFUNCTION("""COMPUTED_VALUE"""),45758.0)</f>
        <v>45758</v>
      </c>
      <c r="B286" s="26" t="str">
        <f>IFERROR(__xludf.DUMMYFUNCTION("""COMPUTED_VALUE"""),"LinkedIn")</f>
        <v>LinkedIn</v>
      </c>
      <c r="C286" s="26">
        <f>IFERROR(__xludf.DUMMYFUNCTION("""COMPUTED_VALUE"""),2.0)</f>
        <v>2</v>
      </c>
      <c r="D286" s="26">
        <f>IFERROR(__xludf.DUMMYFUNCTION("""COMPUTED_VALUE"""),11.0)</f>
        <v>11</v>
      </c>
      <c r="E286" s="26">
        <f>IFERROR(__xludf.DUMMYFUNCTION("""COMPUTED_VALUE"""),64.0)</f>
        <v>64</v>
      </c>
    </row>
    <row r="287">
      <c r="A287" s="25">
        <f>IFERROR(__xludf.DUMMYFUNCTION("""COMPUTED_VALUE"""),45759.0)</f>
        <v>45759</v>
      </c>
      <c r="B287" s="26" t="str">
        <f>IFERROR(__xludf.DUMMYFUNCTION("""COMPUTED_VALUE"""),"LinkedIn")</f>
        <v>LinkedIn</v>
      </c>
      <c r="C287" s="26">
        <f>IFERROR(__xludf.DUMMYFUNCTION("""COMPUTED_VALUE"""),0.0)</f>
        <v>0</v>
      </c>
      <c r="D287" s="26">
        <f>IFERROR(__xludf.DUMMYFUNCTION("""COMPUTED_VALUE"""),7.0)</f>
        <v>7</v>
      </c>
      <c r="E287" s="26">
        <f>IFERROR(__xludf.DUMMYFUNCTION("""COMPUTED_VALUE"""),67.0)</f>
        <v>67</v>
      </c>
    </row>
    <row r="288">
      <c r="A288" s="25">
        <f>IFERROR(__xludf.DUMMYFUNCTION("""COMPUTED_VALUE"""),45760.0)</f>
        <v>45760</v>
      </c>
      <c r="B288" s="26" t="str">
        <f>IFERROR(__xludf.DUMMYFUNCTION("""COMPUTED_VALUE"""),"LinkedIn")</f>
        <v>LinkedIn</v>
      </c>
      <c r="C288" s="26">
        <f>IFERROR(__xludf.DUMMYFUNCTION("""COMPUTED_VALUE"""),0.0)</f>
        <v>0</v>
      </c>
      <c r="D288" s="26">
        <f>IFERROR(__xludf.DUMMYFUNCTION("""COMPUTED_VALUE"""),1.0)</f>
        <v>1</v>
      </c>
      <c r="E288" s="26">
        <f>IFERROR(__xludf.DUMMYFUNCTION("""COMPUTED_VALUE"""),33.0)</f>
        <v>33</v>
      </c>
    </row>
    <row r="289">
      <c r="A289" s="25">
        <f>IFERROR(__xludf.DUMMYFUNCTION("""COMPUTED_VALUE"""),45761.0)</f>
        <v>45761</v>
      </c>
      <c r="B289" s="26" t="str">
        <f>IFERROR(__xludf.DUMMYFUNCTION("""COMPUTED_VALUE"""),"LinkedIn")</f>
        <v>LinkedIn</v>
      </c>
      <c r="C289" s="26">
        <f>IFERROR(__xludf.DUMMYFUNCTION("""COMPUTED_VALUE"""),0.0)</f>
        <v>0</v>
      </c>
      <c r="D289" s="26">
        <f>IFERROR(__xludf.DUMMYFUNCTION("""COMPUTED_VALUE"""),1.0)</f>
        <v>1</v>
      </c>
      <c r="E289" s="26">
        <f>IFERROR(__xludf.DUMMYFUNCTION("""COMPUTED_VALUE"""),37.0)</f>
        <v>37</v>
      </c>
    </row>
    <row r="290">
      <c r="A290" s="25">
        <f>IFERROR(__xludf.DUMMYFUNCTION("""COMPUTED_VALUE"""),45762.0)</f>
        <v>45762</v>
      </c>
      <c r="B290" s="26" t="str">
        <f>IFERROR(__xludf.DUMMYFUNCTION("""COMPUTED_VALUE"""),"LinkedIn")</f>
        <v>LinkedIn</v>
      </c>
      <c r="C290" s="26">
        <f>IFERROR(__xludf.DUMMYFUNCTION("""COMPUTED_VALUE"""),0.0)</f>
        <v>0</v>
      </c>
      <c r="D290" s="26">
        <f>IFERROR(__xludf.DUMMYFUNCTION("""COMPUTED_VALUE"""),4.0)</f>
        <v>4</v>
      </c>
      <c r="E290" s="26">
        <f>IFERROR(__xludf.DUMMYFUNCTION("""COMPUTED_VALUE"""),53.0)</f>
        <v>53</v>
      </c>
    </row>
    <row r="291">
      <c r="A291" s="25">
        <f>IFERROR(__xludf.DUMMYFUNCTION("""COMPUTED_VALUE"""),45763.0)</f>
        <v>45763</v>
      </c>
      <c r="B291" s="26" t="str">
        <f>IFERROR(__xludf.DUMMYFUNCTION("""COMPUTED_VALUE"""),"LinkedIn")</f>
        <v>LinkedIn</v>
      </c>
      <c r="C291" s="26">
        <f>IFERROR(__xludf.DUMMYFUNCTION("""COMPUTED_VALUE"""),3.0)</f>
        <v>3</v>
      </c>
      <c r="D291" s="26">
        <f>IFERROR(__xludf.DUMMYFUNCTION("""COMPUTED_VALUE"""),11.0)</f>
        <v>11</v>
      </c>
      <c r="E291" s="26">
        <f>IFERROR(__xludf.DUMMYFUNCTION("""COMPUTED_VALUE"""),80.0)</f>
        <v>80</v>
      </c>
    </row>
    <row r="292">
      <c r="A292" s="25">
        <f>IFERROR(__xludf.DUMMYFUNCTION("""COMPUTED_VALUE"""),45764.0)</f>
        <v>45764</v>
      </c>
      <c r="B292" s="26" t="str">
        <f>IFERROR(__xludf.DUMMYFUNCTION("""COMPUTED_VALUE"""),"LinkedIn")</f>
        <v>LinkedIn</v>
      </c>
      <c r="C292" s="26">
        <f>IFERROR(__xludf.DUMMYFUNCTION("""COMPUTED_VALUE"""),2.0)</f>
        <v>2</v>
      </c>
      <c r="D292" s="26">
        <f>IFERROR(__xludf.DUMMYFUNCTION("""COMPUTED_VALUE"""),9.0)</f>
        <v>9</v>
      </c>
      <c r="E292" s="26">
        <f>IFERROR(__xludf.DUMMYFUNCTION("""COMPUTED_VALUE"""),116.0)</f>
        <v>116</v>
      </c>
    </row>
    <row r="293">
      <c r="A293" s="25">
        <f>IFERROR(__xludf.DUMMYFUNCTION("""COMPUTED_VALUE"""),45765.0)</f>
        <v>45765</v>
      </c>
      <c r="B293" s="26" t="str">
        <f>IFERROR(__xludf.DUMMYFUNCTION("""COMPUTED_VALUE"""),"LinkedIn")</f>
        <v>LinkedIn</v>
      </c>
      <c r="C293" s="26">
        <f>IFERROR(__xludf.DUMMYFUNCTION("""COMPUTED_VALUE"""),0.0)</f>
        <v>0</v>
      </c>
      <c r="D293" s="26">
        <f>IFERROR(__xludf.DUMMYFUNCTION("""COMPUTED_VALUE"""),6.0)</f>
        <v>6</v>
      </c>
      <c r="E293" s="26">
        <f>IFERROR(__xludf.DUMMYFUNCTION("""COMPUTED_VALUE"""),64.0)</f>
        <v>64</v>
      </c>
    </row>
    <row r="294">
      <c r="A294" s="25">
        <f>IFERROR(__xludf.DUMMYFUNCTION("""COMPUTED_VALUE"""),45766.0)</f>
        <v>45766</v>
      </c>
      <c r="B294" s="26" t="str">
        <f>IFERROR(__xludf.DUMMYFUNCTION("""COMPUTED_VALUE"""),"LinkedIn")</f>
        <v>LinkedIn</v>
      </c>
      <c r="C294" s="26">
        <f>IFERROR(__xludf.DUMMYFUNCTION("""COMPUTED_VALUE"""),1.0)</f>
        <v>1</v>
      </c>
      <c r="D294" s="26">
        <f>IFERROR(__xludf.DUMMYFUNCTION("""COMPUTED_VALUE"""),1.0)</f>
        <v>1</v>
      </c>
      <c r="E294" s="26">
        <f>IFERROR(__xludf.DUMMYFUNCTION("""COMPUTED_VALUE"""),32.0)</f>
        <v>32</v>
      </c>
    </row>
    <row r="295">
      <c r="A295" s="25">
        <f>IFERROR(__xludf.DUMMYFUNCTION("""COMPUTED_VALUE"""),45767.0)</f>
        <v>45767</v>
      </c>
      <c r="B295" s="26" t="str">
        <f>IFERROR(__xludf.DUMMYFUNCTION("""COMPUTED_VALUE"""),"LinkedIn")</f>
        <v>LinkedIn</v>
      </c>
      <c r="C295" s="26">
        <f>IFERROR(__xludf.DUMMYFUNCTION("""COMPUTED_VALUE"""),1.0)</f>
        <v>1</v>
      </c>
      <c r="D295" s="26">
        <f>IFERROR(__xludf.DUMMYFUNCTION("""COMPUTED_VALUE"""),1.0)</f>
        <v>1</v>
      </c>
      <c r="E295" s="26">
        <f>IFERROR(__xludf.DUMMYFUNCTION("""COMPUTED_VALUE"""),31.0)</f>
        <v>31</v>
      </c>
    </row>
    <row r="296">
      <c r="A296" s="25">
        <f>IFERROR(__xludf.DUMMYFUNCTION("""COMPUTED_VALUE"""),45768.0)</f>
        <v>45768</v>
      </c>
      <c r="B296" s="26" t="str">
        <f>IFERROR(__xludf.DUMMYFUNCTION("""COMPUTED_VALUE"""),"LinkedIn")</f>
        <v>LinkedIn</v>
      </c>
      <c r="C296" s="26">
        <f>IFERROR(__xludf.DUMMYFUNCTION("""COMPUTED_VALUE"""),2.0)</f>
        <v>2</v>
      </c>
      <c r="D296" s="26">
        <f>IFERROR(__xludf.DUMMYFUNCTION("""COMPUTED_VALUE"""),4.0)</f>
        <v>4</v>
      </c>
      <c r="E296" s="26">
        <f>IFERROR(__xludf.DUMMYFUNCTION("""COMPUTED_VALUE"""),92.0)</f>
        <v>92</v>
      </c>
    </row>
    <row r="297">
      <c r="A297" s="25">
        <f>IFERROR(__xludf.DUMMYFUNCTION("""COMPUTED_VALUE"""),45769.0)</f>
        <v>45769</v>
      </c>
      <c r="B297" s="26" t="str">
        <f>IFERROR(__xludf.DUMMYFUNCTION("""COMPUTED_VALUE"""),"LinkedIn")</f>
        <v>LinkedIn</v>
      </c>
      <c r="C297" s="26">
        <f>IFERROR(__xludf.DUMMYFUNCTION("""COMPUTED_VALUE"""),-1.0)</f>
        <v>-1</v>
      </c>
      <c r="D297" s="26">
        <f>IFERROR(__xludf.DUMMYFUNCTION("""COMPUTED_VALUE"""),9.0)</f>
        <v>9</v>
      </c>
      <c r="E297" s="26">
        <f>IFERROR(__xludf.DUMMYFUNCTION("""COMPUTED_VALUE"""),68.0)</f>
        <v>68</v>
      </c>
    </row>
    <row r="298">
      <c r="A298" s="25">
        <f>IFERROR(__xludf.DUMMYFUNCTION("""COMPUTED_VALUE"""),45770.0)</f>
        <v>45770</v>
      </c>
      <c r="B298" s="26" t="str">
        <f>IFERROR(__xludf.DUMMYFUNCTION("""COMPUTED_VALUE"""),"LinkedIn")</f>
        <v>LinkedIn</v>
      </c>
      <c r="C298" s="26">
        <f>IFERROR(__xludf.DUMMYFUNCTION("""COMPUTED_VALUE"""),3.0)</f>
        <v>3</v>
      </c>
      <c r="D298" s="26">
        <f>IFERROR(__xludf.DUMMYFUNCTION("""COMPUTED_VALUE"""),2.0)</f>
        <v>2</v>
      </c>
      <c r="E298" s="26">
        <f>IFERROR(__xludf.DUMMYFUNCTION("""COMPUTED_VALUE"""),48.0)</f>
        <v>48</v>
      </c>
    </row>
    <row r="299">
      <c r="A299" s="25">
        <f>IFERROR(__xludf.DUMMYFUNCTION("""COMPUTED_VALUE"""),45771.0)</f>
        <v>45771</v>
      </c>
      <c r="B299" s="26" t="str">
        <f>IFERROR(__xludf.DUMMYFUNCTION("""COMPUTED_VALUE"""),"LinkedIn")</f>
        <v>LinkedIn</v>
      </c>
      <c r="C299" s="26">
        <f>IFERROR(__xludf.DUMMYFUNCTION("""COMPUTED_VALUE"""),1.0)</f>
        <v>1</v>
      </c>
      <c r="D299" s="26">
        <f>IFERROR(__xludf.DUMMYFUNCTION("""COMPUTED_VALUE"""),5.0)</f>
        <v>5</v>
      </c>
      <c r="E299" s="26">
        <f>IFERROR(__xludf.DUMMYFUNCTION("""COMPUTED_VALUE"""),32.0)</f>
        <v>32</v>
      </c>
    </row>
    <row r="300">
      <c r="A300" s="25">
        <f>IFERROR(__xludf.DUMMYFUNCTION("""COMPUTED_VALUE"""),45772.0)</f>
        <v>45772</v>
      </c>
      <c r="B300" s="26" t="str">
        <f>IFERROR(__xludf.DUMMYFUNCTION("""COMPUTED_VALUE"""),"LinkedIn")</f>
        <v>LinkedIn</v>
      </c>
      <c r="C300" s="26">
        <f>IFERROR(__xludf.DUMMYFUNCTION("""COMPUTED_VALUE"""),0.0)</f>
        <v>0</v>
      </c>
      <c r="D300" s="26">
        <f>IFERROR(__xludf.DUMMYFUNCTION("""COMPUTED_VALUE"""),5.0)</f>
        <v>5</v>
      </c>
      <c r="E300" s="26">
        <f>IFERROR(__xludf.DUMMYFUNCTION("""COMPUTED_VALUE"""),63.0)</f>
        <v>63</v>
      </c>
    </row>
    <row r="301">
      <c r="A301" s="25">
        <f>IFERROR(__xludf.DUMMYFUNCTION("""COMPUTED_VALUE"""),45773.0)</f>
        <v>45773</v>
      </c>
      <c r="B301" s="26" t="str">
        <f>IFERROR(__xludf.DUMMYFUNCTION("""COMPUTED_VALUE"""),"LinkedIn")</f>
        <v>LinkedIn</v>
      </c>
      <c r="C301" s="26">
        <f>IFERROR(__xludf.DUMMYFUNCTION("""COMPUTED_VALUE"""),1.0)</f>
        <v>1</v>
      </c>
      <c r="D301" s="26">
        <f>IFERROR(__xludf.DUMMYFUNCTION("""COMPUTED_VALUE"""),6.0)</f>
        <v>6</v>
      </c>
      <c r="E301" s="26">
        <f>IFERROR(__xludf.DUMMYFUNCTION("""COMPUTED_VALUE"""),67.0)</f>
        <v>67</v>
      </c>
    </row>
    <row r="302">
      <c r="A302" s="25">
        <f>IFERROR(__xludf.DUMMYFUNCTION("""COMPUTED_VALUE"""),45774.0)</f>
        <v>45774</v>
      </c>
      <c r="B302" s="26" t="str">
        <f>IFERROR(__xludf.DUMMYFUNCTION("""COMPUTED_VALUE"""),"LinkedIn")</f>
        <v>LinkedIn</v>
      </c>
      <c r="C302" s="26">
        <f>IFERROR(__xludf.DUMMYFUNCTION("""COMPUTED_VALUE"""),0.0)</f>
        <v>0</v>
      </c>
      <c r="D302" s="26">
        <f>IFERROR(__xludf.DUMMYFUNCTION("""COMPUTED_VALUE"""),7.0)</f>
        <v>7</v>
      </c>
      <c r="E302" s="26">
        <f>IFERROR(__xludf.DUMMYFUNCTION("""COMPUTED_VALUE"""),60.0)</f>
        <v>60</v>
      </c>
    </row>
    <row r="303">
      <c r="A303" s="25">
        <f>IFERROR(__xludf.DUMMYFUNCTION("""COMPUTED_VALUE"""),45775.0)</f>
        <v>45775</v>
      </c>
      <c r="B303" s="26" t="str">
        <f>IFERROR(__xludf.DUMMYFUNCTION("""COMPUTED_VALUE"""),"LinkedIn")</f>
        <v>LinkedIn</v>
      </c>
      <c r="C303" s="26">
        <f>IFERROR(__xludf.DUMMYFUNCTION("""COMPUTED_VALUE"""),3.0)</f>
        <v>3</v>
      </c>
      <c r="D303" s="26">
        <f>IFERROR(__xludf.DUMMYFUNCTION("""COMPUTED_VALUE"""),16.0)</f>
        <v>16</v>
      </c>
      <c r="E303" s="26">
        <f>IFERROR(__xludf.DUMMYFUNCTION("""COMPUTED_VALUE"""),84.0)</f>
        <v>84</v>
      </c>
    </row>
    <row r="304">
      <c r="A304" s="25">
        <f>IFERROR(__xludf.DUMMYFUNCTION("""COMPUTED_VALUE"""),45776.0)</f>
        <v>45776</v>
      </c>
      <c r="B304" s="26" t="str">
        <f>IFERROR(__xludf.DUMMYFUNCTION("""COMPUTED_VALUE"""),"LinkedIn")</f>
        <v>LinkedIn</v>
      </c>
      <c r="C304" s="26">
        <f>IFERROR(__xludf.DUMMYFUNCTION("""COMPUTED_VALUE"""),1.0)</f>
        <v>1</v>
      </c>
      <c r="D304" s="26">
        <f>IFERROR(__xludf.DUMMYFUNCTION("""COMPUTED_VALUE"""),21.0)</f>
        <v>21</v>
      </c>
      <c r="E304" s="26">
        <f>IFERROR(__xludf.DUMMYFUNCTION("""COMPUTED_VALUE"""),195.0)</f>
        <v>195</v>
      </c>
    </row>
    <row r="305">
      <c r="A305" s="25">
        <f>IFERROR(__xludf.DUMMYFUNCTION("""COMPUTED_VALUE"""),45777.0)</f>
        <v>45777</v>
      </c>
      <c r="B305" s="26" t="str">
        <f>IFERROR(__xludf.DUMMYFUNCTION("""COMPUTED_VALUE"""),"LinkedIn")</f>
        <v>LinkedIn</v>
      </c>
      <c r="C305" s="26">
        <f>IFERROR(__xludf.DUMMYFUNCTION("""COMPUTED_VALUE"""),5.0)</f>
        <v>5</v>
      </c>
      <c r="D305" s="26">
        <f>IFERROR(__xludf.DUMMYFUNCTION("""COMPUTED_VALUE"""),21.0)</f>
        <v>21</v>
      </c>
      <c r="E305" s="26">
        <f>IFERROR(__xludf.DUMMYFUNCTION("""COMPUTED_VALUE"""),276.0)</f>
        <v>276</v>
      </c>
    </row>
    <row r="306">
      <c r="A306" s="25">
        <f>IFERROR(__xludf.DUMMYFUNCTION("""COMPUTED_VALUE"""),45474.0)</f>
        <v>45474</v>
      </c>
      <c r="B306" s="26" t="str">
        <f>IFERROR(__xludf.DUMMYFUNCTION("""COMPUTED_VALUE"""),"Instagram")</f>
        <v>Instagram</v>
      </c>
      <c r="C306" s="26"/>
      <c r="D306" s="26">
        <f>IFERROR(__xludf.DUMMYFUNCTION("""COMPUTED_VALUE"""),0.0)</f>
        <v>0</v>
      </c>
      <c r="E306" s="26">
        <f>IFERROR(__xludf.DUMMYFUNCTION("""COMPUTED_VALUE"""),1258.0)</f>
        <v>1258</v>
      </c>
    </row>
    <row r="307">
      <c r="A307" s="25">
        <f>IFERROR(__xludf.DUMMYFUNCTION("""COMPUTED_VALUE"""),45475.0)</f>
        <v>45475</v>
      </c>
      <c r="B307" s="26" t="str">
        <f>IFERROR(__xludf.DUMMYFUNCTION("""COMPUTED_VALUE"""),"Instagram")</f>
        <v>Instagram</v>
      </c>
      <c r="C307" s="26"/>
      <c r="D307" s="26">
        <f>IFERROR(__xludf.DUMMYFUNCTION("""COMPUTED_VALUE"""),0.0)</f>
        <v>0</v>
      </c>
      <c r="E307" s="26">
        <f>IFERROR(__xludf.DUMMYFUNCTION("""COMPUTED_VALUE"""),1180.0)</f>
        <v>1180</v>
      </c>
    </row>
    <row r="308">
      <c r="A308" s="25">
        <f>IFERROR(__xludf.DUMMYFUNCTION("""COMPUTED_VALUE"""),45476.0)</f>
        <v>45476</v>
      </c>
      <c r="B308" s="26" t="str">
        <f>IFERROR(__xludf.DUMMYFUNCTION("""COMPUTED_VALUE"""),"Instagram")</f>
        <v>Instagram</v>
      </c>
      <c r="C308" s="26"/>
      <c r="D308" s="26">
        <f>IFERROR(__xludf.DUMMYFUNCTION("""COMPUTED_VALUE"""),0.0)</f>
        <v>0</v>
      </c>
      <c r="E308" s="26">
        <f>IFERROR(__xludf.DUMMYFUNCTION("""COMPUTED_VALUE"""),1049.0)</f>
        <v>1049</v>
      </c>
    </row>
    <row r="309">
      <c r="A309" s="25">
        <f>IFERROR(__xludf.DUMMYFUNCTION("""COMPUTED_VALUE"""),45477.0)</f>
        <v>45477</v>
      </c>
      <c r="B309" s="26" t="str">
        <f>IFERROR(__xludf.DUMMYFUNCTION("""COMPUTED_VALUE"""),"Instagram")</f>
        <v>Instagram</v>
      </c>
      <c r="C309" s="26"/>
      <c r="D309" s="26">
        <f>IFERROR(__xludf.DUMMYFUNCTION("""COMPUTED_VALUE"""),0.0)</f>
        <v>0</v>
      </c>
      <c r="E309" s="26">
        <f>IFERROR(__xludf.DUMMYFUNCTION("""COMPUTED_VALUE"""),1216.0)</f>
        <v>1216</v>
      </c>
    </row>
    <row r="310">
      <c r="A310" s="25">
        <f>IFERROR(__xludf.DUMMYFUNCTION("""COMPUTED_VALUE"""),45478.0)</f>
        <v>45478</v>
      </c>
      <c r="B310" s="26" t="str">
        <f>IFERROR(__xludf.DUMMYFUNCTION("""COMPUTED_VALUE"""),"Instagram")</f>
        <v>Instagram</v>
      </c>
      <c r="C310" s="26"/>
      <c r="D310" s="26">
        <f>IFERROR(__xludf.DUMMYFUNCTION("""COMPUTED_VALUE"""),0.0)</f>
        <v>0</v>
      </c>
      <c r="E310" s="26">
        <f>IFERROR(__xludf.DUMMYFUNCTION("""COMPUTED_VALUE"""),1324.0)</f>
        <v>1324</v>
      </c>
    </row>
    <row r="311">
      <c r="A311" s="25">
        <f>IFERROR(__xludf.DUMMYFUNCTION("""COMPUTED_VALUE"""),45479.0)</f>
        <v>45479</v>
      </c>
      <c r="B311" s="26" t="str">
        <f>IFERROR(__xludf.DUMMYFUNCTION("""COMPUTED_VALUE"""),"Instagram")</f>
        <v>Instagram</v>
      </c>
      <c r="C311" s="26"/>
      <c r="D311" s="26">
        <f>IFERROR(__xludf.DUMMYFUNCTION("""COMPUTED_VALUE"""),0.0)</f>
        <v>0</v>
      </c>
      <c r="E311" s="26">
        <f>IFERROR(__xludf.DUMMYFUNCTION("""COMPUTED_VALUE"""),423.0)</f>
        <v>423</v>
      </c>
    </row>
    <row r="312">
      <c r="A312" s="25">
        <f>IFERROR(__xludf.DUMMYFUNCTION("""COMPUTED_VALUE"""),45480.0)</f>
        <v>45480</v>
      </c>
      <c r="B312" s="26" t="str">
        <f>IFERROR(__xludf.DUMMYFUNCTION("""COMPUTED_VALUE"""),"Instagram")</f>
        <v>Instagram</v>
      </c>
      <c r="C312" s="26"/>
      <c r="D312" s="26">
        <f>IFERROR(__xludf.DUMMYFUNCTION("""COMPUTED_VALUE"""),0.0)</f>
        <v>0</v>
      </c>
      <c r="E312" s="26">
        <f>IFERROR(__xludf.DUMMYFUNCTION("""COMPUTED_VALUE"""),591.0)</f>
        <v>591</v>
      </c>
    </row>
    <row r="313">
      <c r="A313" s="25">
        <f>IFERROR(__xludf.DUMMYFUNCTION("""COMPUTED_VALUE"""),45481.0)</f>
        <v>45481</v>
      </c>
      <c r="B313" s="26" t="str">
        <f>IFERROR(__xludf.DUMMYFUNCTION("""COMPUTED_VALUE"""),"Instagram")</f>
        <v>Instagram</v>
      </c>
      <c r="C313" s="26"/>
      <c r="D313" s="26">
        <f>IFERROR(__xludf.DUMMYFUNCTION("""COMPUTED_VALUE"""),0.0)</f>
        <v>0</v>
      </c>
      <c r="E313" s="26">
        <f>IFERROR(__xludf.DUMMYFUNCTION("""COMPUTED_VALUE"""),398.0)</f>
        <v>398</v>
      </c>
    </row>
    <row r="314">
      <c r="A314" s="25">
        <f>IFERROR(__xludf.DUMMYFUNCTION("""COMPUTED_VALUE"""),45482.0)</f>
        <v>45482</v>
      </c>
      <c r="B314" s="26" t="str">
        <f>IFERROR(__xludf.DUMMYFUNCTION("""COMPUTED_VALUE"""),"Instagram")</f>
        <v>Instagram</v>
      </c>
      <c r="C314" s="26"/>
      <c r="D314" s="26">
        <f>IFERROR(__xludf.DUMMYFUNCTION("""COMPUTED_VALUE"""),0.0)</f>
        <v>0</v>
      </c>
      <c r="E314" s="26">
        <f>IFERROR(__xludf.DUMMYFUNCTION("""COMPUTED_VALUE"""),116.0)</f>
        <v>116</v>
      </c>
    </row>
    <row r="315">
      <c r="A315" s="25">
        <f>IFERROR(__xludf.DUMMYFUNCTION("""COMPUTED_VALUE"""),45483.0)</f>
        <v>45483</v>
      </c>
      <c r="B315" s="26" t="str">
        <f>IFERROR(__xludf.DUMMYFUNCTION("""COMPUTED_VALUE"""),"Instagram")</f>
        <v>Instagram</v>
      </c>
      <c r="C315" s="26"/>
      <c r="D315" s="26">
        <f>IFERROR(__xludf.DUMMYFUNCTION("""COMPUTED_VALUE"""),0.0)</f>
        <v>0</v>
      </c>
      <c r="E315" s="26">
        <f>IFERROR(__xludf.DUMMYFUNCTION("""COMPUTED_VALUE"""),70.0)</f>
        <v>70</v>
      </c>
    </row>
    <row r="316">
      <c r="A316" s="25">
        <f>IFERROR(__xludf.DUMMYFUNCTION("""COMPUTED_VALUE"""),45484.0)</f>
        <v>45484</v>
      </c>
      <c r="B316" s="26" t="str">
        <f>IFERROR(__xludf.DUMMYFUNCTION("""COMPUTED_VALUE"""),"Instagram")</f>
        <v>Instagram</v>
      </c>
      <c r="C316" s="26"/>
      <c r="D316" s="26">
        <f>IFERROR(__xludf.DUMMYFUNCTION("""COMPUTED_VALUE"""),0.0)</f>
        <v>0</v>
      </c>
      <c r="E316" s="26">
        <f>IFERROR(__xludf.DUMMYFUNCTION("""COMPUTED_VALUE"""),1890.0)</f>
        <v>1890</v>
      </c>
    </row>
    <row r="317">
      <c r="A317" s="25">
        <f>IFERROR(__xludf.DUMMYFUNCTION("""COMPUTED_VALUE"""),45485.0)</f>
        <v>45485</v>
      </c>
      <c r="B317" s="26" t="str">
        <f>IFERROR(__xludf.DUMMYFUNCTION("""COMPUTED_VALUE"""),"Instagram")</f>
        <v>Instagram</v>
      </c>
      <c r="C317" s="26"/>
      <c r="D317" s="26">
        <f>IFERROR(__xludf.DUMMYFUNCTION("""COMPUTED_VALUE"""),0.0)</f>
        <v>0</v>
      </c>
      <c r="E317" s="26">
        <f>IFERROR(__xludf.DUMMYFUNCTION("""COMPUTED_VALUE"""),3072.0)</f>
        <v>3072</v>
      </c>
    </row>
    <row r="318">
      <c r="A318" s="25">
        <f>IFERROR(__xludf.DUMMYFUNCTION("""COMPUTED_VALUE"""),45486.0)</f>
        <v>45486</v>
      </c>
      <c r="B318" s="26" t="str">
        <f>IFERROR(__xludf.DUMMYFUNCTION("""COMPUTED_VALUE"""),"Instagram")</f>
        <v>Instagram</v>
      </c>
      <c r="C318" s="26"/>
      <c r="D318" s="26">
        <f>IFERROR(__xludf.DUMMYFUNCTION("""COMPUTED_VALUE"""),0.0)</f>
        <v>0</v>
      </c>
      <c r="E318" s="26">
        <f>IFERROR(__xludf.DUMMYFUNCTION("""COMPUTED_VALUE"""),2484.0)</f>
        <v>2484</v>
      </c>
    </row>
    <row r="319">
      <c r="A319" s="25">
        <f>IFERROR(__xludf.DUMMYFUNCTION("""COMPUTED_VALUE"""),45487.0)</f>
        <v>45487</v>
      </c>
      <c r="B319" s="26" t="str">
        <f>IFERROR(__xludf.DUMMYFUNCTION("""COMPUTED_VALUE"""),"Instagram")</f>
        <v>Instagram</v>
      </c>
      <c r="C319" s="26"/>
      <c r="D319" s="26">
        <f>IFERROR(__xludf.DUMMYFUNCTION("""COMPUTED_VALUE"""),0.0)</f>
        <v>0</v>
      </c>
      <c r="E319" s="26">
        <f>IFERROR(__xludf.DUMMYFUNCTION("""COMPUTED_VALUE"""),3696.0)</f>
        <v>3696</v>
      </c>
    </row>
    <row r="320">
      <c r="A320" s="25">
        <f>IFERROR(__xludf.DUMMYFUNCTION("""COMPUTED_VALUE"""),45488.0)</f>
        <v>45488</v>
      </c>
      <c r="B320" s="26" t="str">
        <f>IFERROR(__xludf.DUMMYFUNCTION("""COMPUTED_VALUE"""),"Instagram")</f>
        <v>Instagram</v>
      </c>
      <c r="C320" s="26"/>
      <c r="D320" s="26">
        <f>IFERROR(__xludf.DUMMYFUNCTION("""COMPUTED_VALUE"""),0.0)</f>
        <v>0</v>
      </c>
      <c r="E320" s="26">
        <f>IFERROR(__xludf.DUMMYFUNCTION("""COMPUTED_VALUE"""),3873.0)</f>
        <v>3873</v>
      </c>
    </row>
    <row r="321">
      <c r="A321" s="25">
        <f>IFERROR(__xludf.DUMMYFUNCTION("""COMPUTED_VALUE"""),45489.0)</f>
        <v>45489</v>
      </c>
      <c r="B321" s="26" t="str">
        <f>IFERROR(__xludf.DUMMYFUNCTION("""COMPUTED_VALUE"""),"Instagram")</f>
        <v>Instagram</v>
      </c>
      <c r="C321" s="26"/>
      <c r="D321" s="26">
        <f>IFERROR(__xludf.DUMMYFUNCTION("""COMPUTED_VALUE"""),0.0)</f>
        <v>0</v>
      </c>
      <c r="E321" s="26">
        <f>IFERROR(__xludf.DUMMYFUNCTION("""COMPUTED_VALUE"""),3720.0)</f>
        <v>3720</v>
      </c>
    </row>
    <row r="322">
      <c r="A322" s="25">
        <f>IFERROR(__xludf.DUMMYFUNCTION("""COMPUTED_VALUE"""),45490.0)</f>
        <v>45490</v>
      </c>
      <c r="B322" s="26" t="str">
        <f>IFERROR(__xludf.DUMMYFUNCTION("""COMPUTED_VALUE"""),"Instagram")</f>
        <v>Instagram</v>
      </c>
      <c r="C322" s="26"/>
      <c r="D322" s="26">
        <f>IFERROR(__xludf.DUMMYFUNCTION("""COMPUTED_VALUE"""),0.0)</f>
        <v>0</v>
      </c>
      <c r="E322" s="26">
        <f>IFERROR(__xludf.DUMMYFUNCTION("""COMPUTED_VALUE"""),2741.0)</f>
        <v>2741</v>
      </c>
    </row>
    <row r="323">
      <c r="A323" s="25">
        <f>IFERROR(__xludf.DUMMYFUNCTION("""COMPUTED_VALUE"""),45491.0)</f>
        <v>45491</v>
      </c>
      <c r="B323" s="26" t="str">
        <f>IFERROR(__xludf.DUMMYFUNCTION("""COMPUTED_VALUE"""),"Instagram")</f>
        <v>Instagram</v>
      </c>
      <c r="C323" s="26"/>
      <c r="D323" s="26">
        <f>IFERROR(__xludf.DUMMYFUNCTION("""COMPUTED_VALUE"""),0.0)</f>
        <v>0</v>
      </c>
      <c r="E323" s="26">
        <f>IFERROR(__xludf.DUMMYFUNCTION("""COMPUTED_VALUE"""),2823.0)</f>
        <v>2823</v>
      </c>
    </row>
    <row r="324">
      <c r="A324" s="25">
        <f>IFERROR(__xludf.DUMMYFUNCTION("""COMPUTED_VALUE"""),45492.0)</f>
        <v>45492</v>
      </c>
      <c r="B324" s="26" t="str">
        <f>IFERROR(__xludf.DUMMYFUNCTION("""COMPUTED_VALUE"""),"Instagram")</f>
        <v>Instagram</v>
      </c>
      <c r="C324" s="26"/>
      <c r="D324" s="26">
        <f>IFERROR(__xludf.DUMMYFUNCTION("""COMPUTED_VALUE"""),0.0)</f>
        <v>0</v>
      </c>
      <c r="E324" s="26">
        <f>IFERROR(__xludf.DUMMYFUNCTION("""COMPUTED_VALUE"""),1737.0)</f>
        <v>1737</v>
      </c>
    </row>
    <row r="325">
      <c r="A325" s="25">
        <f>IFERROR(__xludf.DUMMYFUNCTION("""COMPUTED_VALUE"""),45493.0)</f>
        <v>45493</v>
      </c>
      <c r="B325" s="26" t="str">
        <f>IFERROR(__xludf.DUMMYFUNCTION("""COMPUTED_VALUE"""),"Instagram")</f>
        <v>Instagram</v>
      </c>
      <c r="C325" s="26"/>
      <c r="D325" s="26">
        <f>IFERROR(__xludf.DUMMYFUNCTION("""COMPUTED_VALUE"""),0.0)</f>
        <v>0</v>
      </c>
      <c r="E325" s="26">
        <f>IFERROR(__xludf.DUMMYFUNCTION("""COMPUTED_VALUE"""),1353.0)</f>
        <v>1353</v>
      </c>
    </row>
    <row r="326">
      <c r="A326" s="25">
        <f>IFERROR(__xludf.DUMMYFUNCTION("""COMPUTED_VALUE"""),45494.0)</f>
        <v>45494</v>
      </c>
      <c r="B326" s="26" t="str">
        <f>IFERROR(__xludf.DUMMYFUNCTION("""COMPUTED_VALUE"""),"Instagram")</f>
        <v>Instagram</v>
      </c>
      <c r="C326" s="26"/>
      <c r="D326" s="26">
        <f>IFERROR(__xludf.DUMMYFUNCTION("""COMPUTED_VALUE"""),0.0)</f>
        <v>0</v>
      </c>
      <c r="E326" s="26">
        <f>IFERROR(__xludf.DUMMYFUNCTION("""COMPUTED_VALUE"""),1380.0)</f>
        <v>1380</v>
      </c>
    </row>
    <row r="327">
      <c r="A327" s="25">
        <f>IFERROR(__xludf.DUMMYFUNCTION("""COMPUTED_VALUE"""),45495.0)</f>
        <v>45495</v>
      </c>
      <c r="B327" s="26" t="str">
        <f>IFERROR(__xludf.DUMMYFUNCTION("""COMPUTED_VALUE"""),"Instagram")</f>
        <v>Instagram</v>
      </c>
      <c r="C327" s="26"/>
      <c r="D327" s="26">
        <f>IFERROR(__xludf.DUMMYFUNCTION("""COMPUTED_VALUE"""),0.0)</f>
        <v>0</v>
      </c>
      <c r="E327" s="26">
        <f>IFERROR(__xludf.DUMMYFUNCTION("""COMPUTED_VALUE"""),2577.0)</f>
        <v>2577</v>
      </c>
    </row>
    <row r="328">
      <c r="A328" s="25">
        <f>IFERROR(__xludf.DUMMYFUNCTION("""COMPUTED_VALUE"""),45496.0)</f>
        <v>45496</v>
      </c>
      <c r="B328" s="26" t="str">
        <f>IFERROR(__xludf.DUMMYFUNCTION("""COMPUTED_VALUE"""),"Instagram")</f>
        <v>Instagram</v>
      </c>
      <c r="C328" s="26"/>
      <c r="D328" s="26">
        <f>IFERROR(__xludf.DUMMYFUNCTION("""COMPUTED_VALUE"""),0.0)</f>
        <v>0</v>
      </c>
      <c r="E328" s="26">
        <f>IFERROR(__xludf.DUMMYFUNCTION("""COMPUTED_VALUE"""),1850.0)</f>
        <v>1850</v>
      </c>
    </row>
    <row r="329">
      <c r="A329" s="25">
        <f>IFERROR(__xludf.DUMMYFUNCTION("""COMPUTED_VALUE"""),45497.0)</f>
        <v>45497</v>
      </c>
      <c r="B329" s="26" t="str">
        <f>IFERROR(__xludf.DUMMYFUNCTION("""COMPUTED_VALUE"""),"Instagram")</f>
        <v>Instagram</v>
      </c>
      <c r="C329" s="26"/>
      <c r="D329" s="26">
        <f>IFERROR(__xludf.DUMMYFUNCTION("""COMPUTED_VALUE"""),0.0)</f>
        <v>0</v>
      </c>
      <c r="E329" s="26">
        <f>IFERROR(__xludf.DUMMYFUNCTION("""COMPUTED_VALUE"""),3989.0)</f>
        <v>3989</v>
      </c>
    </row>
    <row r="330">
      <c r="A330" s="25">
        <f>IFERROR(__xludf.DUMMYFUNCTION("""COMPUTED_VALUE"""),45498.0)</f>
        <v>45498</v>
      </c>
      <c r="B330" s="26" t="str">
        <f>IFERROR(__xludf.DUMMYFUNCTION("""COMPUTED_VALUE"""),"Instagram")</f>
        <v>Instagram</v>
      </c>
      <c r="C330" s="26"/>
      <c r="D330" s="26">
        <f>IFERROR(__xludf.DUMMYFUNCTION("""COMPUTED_VALUE"""),0.0)</f>
        <v>0</v>
      </c>
      <c r="E330" s="26">
        <f>IFERROR(__xludf.DUMMYFUNCTION("""COMPUTED_VALUE"""),2896.0)</f>
        <v>2896</v>
      </c>
    </row>
    <row r="331">
      <c r="A331" s="25">
        <f>IFERROR(__xludf.DUMMYFUNCTION("""COMPUTED_VALUE"""),45499.0)</f>
        <v>45499</v>
      </c>
      <c r="B331" s="26" t="str">
        <f>IFERROR(__xludf.DUMMYFUNCTION("""COMPUTED_VALUE"""),"Instagram")</f>
        <v>Instagram</v>
      </c>
      <c r="C331" s="26"/>
      <c r="D331" s="26">
        <f>IFERROR(__xludf.DUMMYFUNCTION("""COMPUTED_VALUE"""),0.0)</f>
        <v>0</v>
      </c>
      <c r="E331" s="26">
        <f>IFERROR(__xludf.DUMMYFUNCTION("""COMPUTED_VALUE"""),2715.0)</f>
        <v>2715</v>
      </c>
    </row>
    <row r="332">
      <c r="A332" s="25">
        <f>IFERROR(__xludf.DUMMYFUNCTION("""COMPUTED_VALUE"""),45500.0)</f>
        <v>45500</v>
      </c>
      <c r="B332" s="26" t="str">
        <f>IFERROR(__xludf.DUMMYFUNCTION("""COMPUTED_VALUE"""),"Instagram")</f>
        <v>Instagram</v>
      </c>
      <c r="C332" s="26"/>
      <c r="D332" s="26">
        <f>IFERROR(__xludf.DUMMYFUNCTION("""COMPUTED_VALUE"""),0.0)</f>
        <v>0</v>
      </c>
      <c r="E332" s="26">
        <f>IFERROR(__xludf.DUMMYFUNCTION("""COMPUTED_VALUE"""),2057.0)</f>
        <v>2057</v>
      </c>
    </row>
    <row r="333">
      <c r="A333" s="25">
        <f>IFERROR(__xludf.DUMMYFUNCTION("""COMPUTED_VALUE"""),45501.0)</f>
        <v>45501</v>
      </c>
      <c r="B333" s="26" t="str">
        <f>IFERROR(__xludf.DUMMYFUNCTION("""COMPUTED_VALUE"""),"Instagram")</f>
        <v>Instagram</v>
      </c>
      <c r="C333" s="26"/>
      <c r="D333" s="26">
        <f>IFERROR(__xludf.DUMMYFUNCTION("""COMPUTED_VALUE"""),0.0)</f>
        <v>0</v>
      </c>
      <c r="E333" s="26">
        <f>IFERROR(__xludf.DUMMYFUNCTION("""COMPUTED_VALUE"""),3225.0)</f>
        <v>3225</v>
      </c>
    </row>
    <row r="334">
      <c r="A334" s="25">
        <f>IFERROR(__xludf.DUMMYFUNCTION("""COMPUTED_VALUE"""),45502.0)</f>
        <v>45502</v>
      </c>
      <c r="B334" s="26" t="str">
        <f>IFERROR(__xludf.DUMMYFUNCTION("""COMPUTED_VALUE"""),"Instagram")</f>
        <v>Instagram</v>
      </c>
      <c r="C334" s="26"/>
      <c r="D334" s="26">
        <f>IFERROR(__xludf.DUMMYFUNCTION("""COMPUTED_VALUE"""),0.0)</f>
        <v>0</v>
      </c>
      <c r="E334" s="26">
        <f>IFERROR(__xludf.DUMMYFUNCTION("""COMPUTED_VALUE"""),4165.0)</f>
        <v>4165</v>
      </c>
    </row>
    <row r="335">
      <c r="A335" s="25">
        <f>IFERROR(__xludf.DUMMYFUNCTION("""COMPUTED_VALUE"""),45503.0)</f>
        <v>45503</v>
      </c>
      <c r="B335" s="26" t="str">
        <f>IFERROR(__xludf.DUMMYFUNCTION("""COMPUTED_VALUE"""),"Instagram")</f>
        <v>Instagram</v>
      </c>
      <c r="C335" s="26"/>
      <c r="D335" s="26">
        <f>IFERROR(__xludf.DUMMYFUNCTION("""COMPUTED_VALUE"""),0.0)</f>
        <v>0</v>
      </c>
      <c r="E335" s="26">
        <f>IFERROR(__xludf.DUMMYFUNCTION("""COMPUTED_VALUE"""),3764.0)</f>
        <v>3764</v>
      </c>
    </row>
    <row r="336">
      <c r="A336" s="25">
        <f>IFERROR(__xludf.DUMMYFUNCTION("""COMPUTED_VALUE"""),45504.0)</f>
        <v>45504</v>
      </c>
      <c r="B336" s="26" t="str">
        <f>IFERROR(__xludf.DUMMYFUNCTION("""COMPUTED_VALUE"""),"Instagram")</f>
        <v>Instagram</v>
      </c>
      <c r="C336" s="26"/>
      <c r="D336" s="26">
        <f>IFERROR(__xludf.DUMMYFUNCTION("""COMPUTED_VALUE"""),0.0)</f>
        <v>0</v>
      </c>
      <c r="E336" s="26">
        <f>IFERROR(__xludf.DUMMYFUNCTION("""COMPUTED_VALUE"""),3001.0)</f>
        <v>3001</v>
      </c>
    </row>
    <row r="337">
      <c r="A337" s="25">
        <f>IFERROR(__xludf.DUMMYFUNCTION("""COMPUTED_VALUE"""),45505.0)</f>
        <v>45505</v>
      </c>
      <c r="B337" s="26" t="str">
        <f>IFERROR(__xludf.DUMMYFUNCTION("""COMPUTED_VALUE"""),"Instagram")</f>
        <v>Instagram</v>
      </c>
      <c r="C337" s="26"/>
      <c r="D337" s="26">
        <f>IFERROR(__xludf.DUMMYFUNCTION("""COMPUTED_VALUE"""),0.0)</f>
        <v>0</v>
      </c>
      <c r="E337" s="26">
        <f>IFERROR(__xludf.DUMMYFUNCTION("""COMPUTED_VALUE"""),953.0)</f>
        <v>953</v>
      </c>
    </row>
    <row r="338">
      <c r="A338" s="25">
        <f>IFERROR(__xludf.DUMMYFUNCTION("""COMPUTED_VALUE"""),45506.0)</f>
        <v>45506</v>
      </c>
      <c r="B338" s="26" t="str">
        <f>IFERROR(__xludf.DUMMYFUNCTION("""COMPUTED_VALUE"""),"Instagram")</f>
        <v>Instagram</v>
      </c>
      <c r="C338" s="26"/>
      <c r="D338" s="26">
        <f>IFERROR(__xludf.DUMMYFUNCTION("""COMPUTED_VALUE"""),0.0)</f>
        <v>0</v>
      </c>
      <c r="E338" s="26">
        <f>IFERROR(__xludf.DUMMYFUNCTION("""COMPUTED_VALUE"""),538.0)</f>
        <v>538</v>
      </c>
    </row>
    <row r="339">
      <c r="A339" s="25">
        <f>IFERROR(__xludf.DUMMYFUNCTION("""COMPUTED_VALUE"""),45507.0)</f>
        <v>45507</v>
      </c>
      <c r="B339" s="26" t="str">
        <f>IFERROR(__xludf.DUMMYFUNCTION("""COMPUTED_VALUE"""),"Instagram")</f>
        <v>Instagram</v>
      </c>
      <c r="C339" s="26"/>
      <c r="D339" s="26">
        <f>IFERROR(__xludf.DUMMYFUNCTION("""COMPUTED_VALUE"""),0.0)</f>
        <v>0</v>
      </c>
      <c r="E339" s="26">
        <f>IFERROR(__xludf.DUMMYFUNCTION("""COMPUTED_VALUE"""),436.0)</f>
        <v>436</v>
      </c>
    </row>
    <row r="340">
      <c r="A340" s="25">
        <f>IFERROR(__xludf.DUMMYFUNCTION("""COMPUTED_VALUE"""),45508.0)</f>
        <v>45508</v>
      </c>
      <c r="B340" s="26" t="str">
        <f>IFERROR(__xludf.DUMMYFUNCTION("""COMPUTED_VALUE"""),"Instagram")</f>
        <v>Instagram</v>
      </c>
      <c r="C340" s="26"/>
      <c r="D340" s="26">
        <f>IFERROR(__xludf.DUMMYFUNCTION("""COMPUTED_VALUE"""),0.0)</f>
        <v>0</v>
      </c>
      <c r="E340" s="26">
        <f>IFERROR(__xludf.DUMMYFUNCTION("""COMPUTED_VALUE"""),190.0)</f>
        <v>190</v>
      </c>
    </row>
    <row r="341">
      <c r="A341" s="25">
        <f>IFERROR(__xludf.DUMMYFUNCTION("""COMPUTED_VALUE"""),45509.0)</f>
        <v>45509</v>
      </c>
      <c r="B341" s="26" t="str">
        <f>IFERROR(__xludf.DUMMYFUNCTION("""COMPUTED_VALUE"""),"Instagram")</f>
        <v>Instagram</v>
      </c>
      <c r="C341" s="26"/>
      <c r="D341" s="26">
        <f>IFERROR(__xludf.DUMMYFUNCTION("""COMPUTED_VALUE"""),0.0)</f>
        <v>0</v>
      </c>
      <c r="E341" s="26">
        <f>IFERROR(__xludf.DUMMYFUNCTION("""COMPUTED_VALUE"""),82.0)</f>
        <v>82</v>
      </c>
    </row>
    <row r="342">
      <c r="A342" s="25">
        <f>IFERROR(__xludf.DUMMYFUNCTION("""COMPUTED_VALUE"""),45510.0)</f>
        <v>45510</v>
      </c>
      <c r="B342" s="26" t="str">
        <f>IFERROR(__xludf.DUMMYFUNCTION("""COMPUTED_VALUE"""),"Instagram")</f>
        <v>Instagram</v>
      </c>
      <c r="C342" s="26"/>
      <c r="D342" s="26">
        <f>IFERROR(__xludf.DUMMYFUNCTION("""COMPUTED_VALUE"""),0.0)</f>
        <v>0</v>
      </c>
      <c r="E342" s="26">
        <f>IFERROR(__xludf.DUMMYFUNCTION("""COMPUTED_VALUE"""),389.0)</f>
        <v>389</v>
      </c>
    </row>
    <row r="343">
      <c r="A343" s="25">
        <f>IFERROR(__xludf.DUMMYFUNCTION("""COMPUTED_VALUE"""),45511.0)</f>
        <v>45511</v>
      </c>
      <c r="B343" s="26" t="str">
        <f>IFERROR(__xludf.DUMMYFUNCTION("""COMPUTED_VALUE"""),"Instagram")</f>
        <v>Instagram</v>
      </c>
      <c r="C343" s="26"/>
      <c r="D343" s="26">
        <f>IFERROR(__xludf.DUMMYFUNCTION("""COMPUTED_VALUE"""),0.0)</f>
        <v>0</v>
      </c>
      <c r="E343" s="26">
        <f>IFERROR(__xludf.DUMMYFUNCTION("""COMPUTED_VALUE"""),287.0)</f>
        <v>287</v>
      </c>
    </row>
    <row r="344">
      <c r="A344" s="25">
        <f>IFERROR(__xludf.DUMMYFUNCTION("""COMPUTED_VALUE"""),45512.0)</f>
        <v>45512</v>
      </c>
      <c r="B344" s="26" t="str">
        <f>IFERROR(__xludf.DUMMYFUNCTION("""COMPUTED_VALUE"""),"Instagram")</f>
        <v>Instagram</v>
      </c>
      <c r="C344" s="26"/>
      <c r="D344" s="26">
        <f>IFERROR(__xludf.DUMMYFUNCTION("""COMPUTED_VALUE"""),0.0)</f>
        <v>0</v>
      </c>
      <c r="E344" s="26">
        <f>IFERROR(__xludf.DUMMYFUNCTION("""COMPUTED_VALUE"""),328.0)</f>
        <v>328</v>
      </c>
    </row>
    <row r="345">
      <c r="A345" s="25">
        <f>IFERROR(__xludf.DUMMYFUNCTION("""COMPUTED_VALUE"""),45513.0)</f>
        <v>45513</v>
      </c>
      <c r="B345" s="26" t="str">
        <f>IFERROR(__xludf.DUMMYFUNCTION("""COMPUTED_VALUE"""),"Instagram")</f>
        <v>Instagram</v>
      </c>
      <c r="C345" s="26"/>
      <c r="D345" s="26">
        <f>IFERROR(__xludf.DUMMYFUNCTION("""COMPUTED_VALUE"""),0.0)</f>
        <v>0</v>
      </c>
      <c r="E345" s="26">
        <f>IFERROR(__xludf.DUMMYFUNCTION("""COMPUTED_VALUE"""),7258.0)</f>
        <v>7258</v>
      </c>
    </row>
    <row r="346">
      <c r="A346" s="25">
        <f>IFERROR(__xludf.DUMMYFUNCTION("""COMPUTED_VALUE"""),45514.0)</f>
        <v>45514</v>
      </c>
      <c r="B346" s="26" t="str">
        <f>IFERROR(__xludf.DUMMYFUNCTION("""COMPUTED_VALUE"""),"Instagram")</f>
        <v>Instagram</v>
      </c>
      <c r="C346" s="26"/>
      <c r="D346" s="26">
        <f>IFERROR(__xludf.DUMMYFUNCTION("""COMPUTED_VALUE"""),0.0)</f>
        <v>0</v>
      </c>
      <c r="E346" s="26">
        <f>IFERROR(__xludf.DUMMYFUNCTION("""COMPUTED_VALUE"""),7242.0)</f>
        <v>7242</v>
      </c>
    </row>
    <row r="347">
      <c r="A347" s="25">
        <f>IFERROR(__xludf.DUMMYFUNCTION("""COMPUTED_VALUE"""),45515.0)</f>
        <v>45515</v>
      </c>
      <c r="B347" s="26" t="str">
        <f>IFERROR(__xludf.DUMMYFUNCTION("""COMPUTED_VALUE"""),"Instagram")</f>
        <v>Instagram</v>
      </c>
      <c r="C347" s="26">
        <f>IFERROR(__xludf.DUMMYFUNCTION("""COMPUTED_VALUE"""),4.0)</f>
        <v>4</v>
      </c>
      <c r="D347" s="26">
        <f>IFERROR(__xludf.DUMMYFUNCTION("""COMPUTED_VALUE"""),0.0)</f>
        <v>0</v>
      </c>
      <c r="E347" s="26">
        <f>IFERROR(__xludf.DUMMYFUNCTION("""COMPUTED_VALUE"""),3019.0)</f>
        <v>3019</v>
      </c>
    </row>
    <row r="348">
      <c r="A348" s="25">
        <f>IFERROR(__xludf.DUMMYFUNCTION("""COMPUTED_VALUE"""),45516.0)</f>
        <v>45516</v>
      </c>
      <c r="B348" s="26" t="str">
        <f>IFERROR(__xludf.DUMMYFUNCTION("""COMPUTED_VALUE"""),"Instagram")</f>
        <v>Instagram</v>
      </c>
      <c r="C348" s="26">
        <f>IFERROR(__xludf.DUMMYFUNCTION("""COMPUTED_VALUE"""),8.0)</f>
        <v>8</v>
      </c>
      <c r="D348" s="26">
        <f>IFERROR(__xludf.DUMMYFUNCTION("""COMPUTED_VALUE"""),0.0)</f>
        <v>0</v>
      </c>
      <c r="E348" s="26">
        <f>IFERROR(__xludf.DUMMYFUNCTION("""COMPUTED_VALUE"""),1454.0)</f>
        <v>1454</v>
      </c>
    </row>
    <row r="349">
      <c r="A349" s="25">
        <f>IFERROR(__xludf.DUMMYFUNCTION("""COMPUTED_VALUE"""),45517.0)</f>
        <v>45517</v>
      </c>
      <c r="B349" s="26" t="str">
        <f>IFERROR(__xludf.DUMMYFUNCTION("""COMPUTED_VALUE"""),"Instagram")</f>
        <v>Instagram</v>
      </c>
      <c r="C349" s="26">
        <f>IFERROR(__xludf.DUMMYFUNCTION("""COMPUTED_VALUE"""),2.0)</f>
        <v>2</v>
      </c>
      <c r="D349" s="26">
        <f>IFERROR(__xludf.DUMMYFUNCTION("""COMPUTED_VALUE"""),0.0)</f>
        <v>0</v>
      </c>
      <c r="E349" s="26">
        <f>IFERROR(__xludf.DUMMYFUNCTION("""COMPUTED_VALUE"""),635.0)</f>
        <v>635</v>
      </c>
    </row>
    <row r="350">
      <c r="A350" s="25">
        <f>IFERROR(__xludf.DUMMYFUNCTION("""COMPUTED_VALUE"""),45518.0)</f>
        <v>45518</v>
      </c>
      <c r="B350" s="26" t="str">
        <f>IFERROR(__xludf.DUMMYFUNCTION("""COMPUTED_VALUE"""),"Instagram")</f>
        <v>Instagram</v>
      </c>
      <c r="C350" s="26">
        <f>IFERROR(__xludf.DUMMYFUNCTION("""COMPUTED_VALUE"""),1.0)</f>
        <v>1</v>
      </c>
      <c r="D350" s="26">
        <f>IFERROR(__xludf.DUMMYFUNCTION("""COMPUTED_VALUE"""),0.0)</f>
        <v>0</v>
      </c>
      <c r="E350" s="26">
        <f>IFERROR(__xludf.DUMMYFUNCTION("""COMPUTED_VALUE"""),1723.0)</f>
        <v>1723</v>
      </c>
    </row>
    <row r="351">
      <c r="A351" s="25">
        <f>IFERROR(__xludf.DUMMYFUNCTION("""COMPUTED_VALUE"""),45519.0)</f>
        <v>45519</v>
      </c>
      <c r="B351" s="26" t="str">
        <f>IFERROR(__xludf.DUMMYFUNCTION("""COMPUTED_VALUE"""),"Instagram")</f>
        <v>Instagram</v>
      </c>
      <c r="C351" s="26">
        <f>IFERROR(__xludf.DUMMYFUNCTION("""COMPUTED_VALUE"""),2.0)</f>
        <v>2</v>
      </c>
      <c r="D351" s="26">
        <f>IFERROR(__xludf.DUMMYFUNCTION("""COMPUTED_VALUE"""),0.0)</f>
        <v>0</v>
      </c>
      <c r="E351" s="26">
        <f>IFERROR(__xludf.DUMMYFUNCTION("""COMPUTED_VALUE"""),1550.0)</f>
        <v>1550</v>
      </c>
    </row>
    <row r="352">
      <c r="A352" s="25">
        <f>IFERROR(__xludf.DUMMYFUNCTION("""COMPUTED_VALUE"""),45520.0)</f>
        <v>45520</v>
      </c>
      <c r="B352" s="26" t="str">
        <f>IFERROR(__xludf.DUMMYFUNCTION("""COMPUTED_VALUE"""),"Instagram")</f>
        <v>Instagram</v>
      </c>
      <c r="C352" s="26">
        <f>IFERROR(__xludf.DUMMYFUNCTION("""COMPUTED_VALUE"""),1.0)</f>
        <v>1</v>
      </c>
      <c r="D352" s="26">
        <f>IFERROR(__xludf.DUMMYFUNCTION("""COMPUTED_VALUE"""),0.0)</f>
        <v>0</v>
      </c>
      <c r="E352" s="26">
        <f>IFERROR(__xludf.DUMMYFUNCTION("""COMPUTED_VALUE"""),1098.0)</f>
        <v>1098</v>
      </c>
    </row>
    <row r="353">
      <c r="A353" s="25">
        <f>IFERROR(__xludf.DUMMYFUNCTION("""COMPUTED_VALUE"""),45521.0)</f>
        <v>45521</v>
      </c>
      <c r="B353" s="26" t="str">
        <f>IFERROR(__xludf.DUMMYFUNCTION("""COMPUTED_VALUE"""),"Instagram")</f>
        <v>Instagram</v>
      </c>
      <c r="C353" s="26">
        <f>IFERROR(__xludf.DUMMYFUNCTION("""COMPUTED_VALUE"""),2.0)</f>
        <v>2</v>
      </c>
      <c r="D353" s="26">
        <f>IFERROR(__xludf.DUMMYFUNCTION("""COMPUTED_VALUE"""),0.0)</f>
        <v>0</v>
      </c>
      <c r="E353" s="26">
        <f>IFERROR(__xludf.DUMMYFUNCTION("""COMPUTED_VALUE"""),841.0)</f>
        <v>841</v>
      </c>
    </row>
    <row r="354">
      <c r="A354" s="25">
        <f>IFERROR(__xludf.DUMMYFUNCTION("""COMPUTED_VALUE"""),45522.0)</f>
        <v>45522</v>
      </c>
      <c r="B354" s="26" t="str">
        <f>IFERROR(__xludf.DUMMYFUNCTION("""COMPUTED_VALUE"""),"Instagram")</f>
        <v>Instagram</v>
      </c>
      <c r="C354" s="26">
        <f>IFERROR(__xludf.DUMMYFUNCTION("""COMPUTED_VALUE"""),4.0)</f>
        <v>4</v>
      </c>
      <c r="D354" s="26">
        <f>IFERROR(__xludf.DUMMYFUNCTION("""COMPUTED_VALUE"""),0.0)</f>
        <v>0</v>
      </c>
      <c r="E354" s="26">
        <f>IFERROR(__xludf.DUMMYFUNCTION("""COMPUTED_VALUE"""),2033.0)</f>
        <v>2033</v>
      </c>
    </row>
    <row r="355">
      <c r="A355" s="25">
        <f>IFERROR(__xludf.DUMMYFUNCTION("""COMPUTED_VALUE"""),45523.0)</f>
        <v>45523</v>
      </c>
      <c r="B355" s="26" t="str">
        <f>IFERROR(__xludf.DUMMYFUNCTION("""COMPUTED_VALUE"""),"Instagram")</f>
        <v>Instagram</v>
      </c>
      <c r="C355" s="26">
        <f>IFERROR(__xludf.DUMMYFUNCTION("""COMPUTED_VALUE"""),3.0)</f>
        <v>3</v>
      </c>
      <c r="D355" s="26">
        <f>IFERROR(__xludf.DUMMYFUNCTION("""COMPUTED_VALUE"""),0.0)</f>
        <v>0</v>
      </c>
      <c r="E355" s="26">
        <f>IFERROR(__xludf.DUMMYFUNCTION("""COMPUTED_VALUE"""),2219.0)</f>
        <v>2219</v>
      </c>
    </row>
    <row r="356">
      <c r="A356" s="25">
        <f>IFERROR(__xludf.DUMMYFUNCTION("""COMPUTED_VALUE"""),45524.0)</f>
        <v>45524</v>
      </c>
      <c r="B356" s="26" t="str">
        <f>IFERROR(__xludf.DUMMYFUNCTION("""COMPUTED_VALUE"""),"Instagram")</f>
        <v>Instagram</v>
      </c>
      <c r="C356" s="26">
        <f>IFERROR(__xludf.DUMMYFUNCTION("""COMPUTED_VALUE"""),3.0)</f>
        <v>3</v>
      </c>
      <c r="D356" s="26">
        <f>IFERROR(__xludf.DUMMYFUNCTION("""COMPUTED_VALUE"""),0.0)</f>
        <v>0</v>
      </c>
      <c r="E356" s="26">
        <f>IFERROR(__xludf.DUMMYFUNCTION("""COMPUTED_VALUE"""),2480.0)</f>
        <v>2480</v>
      </c>
    </row>
    <row r="357">
      <c r="A357" s="25">
        <f>IFERROR(__xludf.DUMMYFUNCTION("""COMPUTED_VALUE"""),45525.0)</f>
        <v>45525</v>
      </c>
      <c r="B357" s="26" t="str">
        <f>IFERROR(__xludf.DUMMYFUNCTION("""COMPUTED_VALUE"""),"Instagram")</f>
        <v>Instagram</v>
      </c>
      <c r="C357" s="26">
        <f>IFERROR(__xludf.DUMMYFUNCTION("""COMPUTED_VALUE"""),3.0)</f>
        <v>3</v>
      </c>
      <c r="D357" s="26">
        <f>IFERROR(__xludf.DUMMYFUNCTION("""COMPUTED_VALUE"""),0.0)</f>
        <v>0</v>
      </c>
      <c r="E357" s="26">
        <f>IFERROR(__xludf.DUMMYFUNCTION("""COMPUTED_VALUE"""),1619.0)</f>
        <v>1619</v>
      </c>
    </row>
    <row r="358">
      <c r="A358" s="25">
        <f>IFERROR(__xludf.DUMMYFUNCTION("""COMPUTED_VALUE"""),45526.0)</f>
        <v>45526</v>
      </c>
      <c r="B358" s="26" t="str">
        <f>IFERROR(__xludf.DUMMYFUNCTION("""COMPUTED_VALUE"""),"Instagram")</f>
        <v>Instagram</v>
      </c>
      <c r="C358" s="26">
        <f>IFERROR(__xludf.DUMMYFUNCTION("""COMPUTED_VALUE"""),4.0)</f>
        <v>4</v>
      </c>
      <c r="D358" s="26">
        <f>IFERROR(__xludf.DUMMYFUNCTION("""COMPUTED_VALUE"""),0.0)</f>
        <v>0</v>
      </c>
      <c r="E358" s="26">
        <f>IFERROR(__xludf.DUMMYFUNCTION("""COMPUTED_VALUE"""),3058.0)</f>
        <v>3058</v>
      </c>
    </row>
    <row r="359">
      <c r="A359" s="25">
        <f>IFERROR(__xludf.DUMMYFUNCTION("""COMPUTED_VALUE"""),45527.0)</f>
        <v>45527</v>
      </c>
      <c r="B359" s="26" t="str">
        <f>IFERROR(__xludf.DUMMYFUNCTION("""COMPUTED_VALUE"""),"Instagram")</f>
        <v>Instagram</v>
      </c>
      <c r="C359" s="26"/>
      <c r="D359" s="26">
        <f>IFERROR(__xludf.DUMMYFUNCTION("""COMPUTED_VALUE"""),0.0)</f>
        <v>0</v>
      </c>
      <c r="E359" s="26">
        <f>IFERROR(__xludf.DUMMYFUNCTION("""COMPUTED_VALUE"""),2184.0)</f>
        <v>2184</v>
      </c>
    </row>
    <row r="360">
      <c r="A360" s="25">
        <f>IFERROR(__xludf.DUMMYFUNCTION("""COMPUTED_VALUE"""),45528.0)</f>
        <v>45528</v>
      </c>
      <c r="B360" s="26" t="str">
        <f>IFERROR(__xludf.DUMMYFUNCTION("""COMPUTED_VALUE"""),"Instagram")</f>
        <v>Instagram</v>
      </c>
      <c r="C360" s="26">
        <f>IFERROR(__xludf.DUMMYFUNCTION("""COMPUTED_VALUE"""),2.0)</f>
        <v>2</v>
      </c>
      <c r="D360" s="26">
        <f>IFERROR(__xludf.DUMMYFUNCTION("""COMPUTED_VALUE"""),0.0)</f>
        <v>0</v>
      </c>
      <c r="E360" s="26">
        <f>IFERROR(__xludf.DUMMYFUNCTION("""COMPUTED_VALUE"""),1688.0)</f>
        <v>1688</v>
      </c>
    </row>
    <row r="361">
      <c r="A361" s="25">
        <f>IFERROR(__xludf.DUMMYFUNCTION("""COMPUTED_VALUE"""),45529.0)</f>
        <v>45529</v>
      </c>
      <c r="B361" s="26" t="str">
        <f>IFERROR(__xludf.DUMMYFUNCTION("""COMPUTED_VALUE"""),"Instagram")</f>
        <v>Instagram</v>
      </c>
      <c r="C361" s="26">
        <f>IFERROR(__xludf.DUMMYFUNCTION("""COMPUTED_VALUE"""),3.0)</f>
        <v>3</v>
      </c>
      <c r="D361" s="26">
        <f>IFERROR(__xludf.DUMMYFUNCTION("""COMPUTED_VALUE"""),0.0)</f>
        <v>0</v>
      </c>
      <c r="E361" s="26">
        <f>IFERROR(__xludf.DUMMYFUNCTION("""COMPUTED_VALUE"""),1655.0)</f>
        <v>1655</v>
      </c>
    </row>
    <row r="362">
      <c r="A362" s="25">
        <f>IFERROR(__xludf.DUMMYFUNCTION("""COMPUTED_VALUE"""),45530.0)</f>
        <v>45530</v>
      </c>
      <c r="B362" s="26" t="str">
        <f>IFERROR(__xludf.DUMMYFUNCTION("""COMPUTED_VALUE"""),"Instagram")</f>
        <v>Instagram</v>
      </c>
      <c r="C362" s="26">
        <f>IFERROR(__xludf.DUMMYFUNCTION("""COMPUTED_VALUE"""),4.0)</f>
        <v>4</v>
      </c>
      <c r="D362" s="26">
        <f>IFERROR(__xludf.DUMMYFUNCTION("""COMPUTED_VALUE"""),0.0)</f>
        <v>0</v>
      </c>
      <c r="E362" s="26">
        <f>IFERROR(__xludf.DUMMYFUNCTION("""COMPUTED_VALUE"""),1735.0)</f>
        <v>1735</v>
      </c>
    </row>
    <row r="363">
      <c r="A363" s="25">
        <f>IFERROR(__xludf.DUMMYFUNCTION("""COMPUTED_VALUE"""),45531.0)</f>
        <v>45531</v>
      </c>
      <c r="B363" s="26" t="str">
        <f>IFERROR(__xludf.DUMMYFUNCTION("""COMPUTED_VALUE"""),"Instagram")</f>
        <v>Instagram</v>
      </c>
      <c r="C363" s="26">
        <f>IFERROR(__xludf.DUMMYFUNCTION("""COMPUTED_VALUE"""),1.0)</f>
        <v>1</v>
      </c>
      <c r="D363" s="26">
        <f>IFERROR(__xludf.DUMMYFUNCTION("""COMPUTED_VALUE"""),0.0)</f>
        <v>0</v>
      </c>
      <c r="E363" s="26">
        <f>IFERROR(__xludf.DUMMYFUNCTION("""COMPUTED_VALUE"""),1071.0)</f>
        <v>1071</v>
      </c>
    </row>
    <row r="364">
      <c r="A364" s="25">
        <f>IFERROR(__xludf.DUMMYFUNCTION("""COMPUTED_VALUE"""),45532.0)</f>
        <v>45532</v>
      </c>
      <c r="B364" s="26" t="str">
        <f>IFERROR(__xludf.DUMMYFUNCTION("""COMPUTED_VALUE"""),"Instagram")</f>
        <v>Instagram</v>
      </c>
      <c r="C364" s="26">
        <f>IFERROR(__xludf.DUMMYFUNCTION("""COMPUTED_VALUE"""),3.0)</f>
        <v>3</v>
      </c>
      <c r="D364" s="26">
        <f>IFERROR(__xludf.DUMMYFUNCTION("""COMPUTED_VALUE"""),0.0)</f>
        <v>0</v>
      </c>
      <c r="E364" s="26">
        <f>IFERROR(__xludf.DUMMYFUNCTION("""COMPUTED_VALUE"""),2093.0)</f>
        <v>2093</v>
      </c>
    </row>
    <row r="365">
      <c r="A365" s="25">
        <f>IFERROR(__xludf.DUMMYFUNCTION("""COMPUTED_VALUE"""),45533.0)</f>
        <v>45533</v>
      </c>
      <c r="B365" s="26" t="str">
        <f>IFERROR(__xludf.DUMMYFUNCTION("""COMPUTED_VALUE"""),"Instagram")</f>
        <v>Instagram</v>
      </c>
      <c r="C365" s="26">
        <f>IFERROR(__xludf.DUMMYFUNCTION("""COMPUTED_VALUE"""),2.0)</f>
        <v>2</v>
      </c>
      <c r="D365" s="26">
        <f>IFERROR(__xludf.DUMMYFUNCTION("""COMPUTED_VALUE"""),0.0)</f>
        <v>0</v>
      </c>
      <c r="E365" s="26">
        <f>IFERROR(__xludf.DUMMYFUNCTION("""COMPUTED_VALUE"""),8922.0)</f>
        <v>8922</v>
      </c>
    </row>
    <row r="366">
      <c r="A366" s="25">
        <f>IFERROR(__xludf.DUMMYFUNCTION("""COMPUTED_VALUE"""),45534.0)</f>
        <v>45534</v>
      </c>
      <c r="B366" s="26" t="str">
        <f>IFERROR(__xludf.DUMMYFUNCTION("""COMPUTED_VALUE"""),"Instagram")</f>
        <v>Instagram</v>
      </c>
      <c r="C366" s="26">
        <f>IFERROR(__xludf.DUMMYFUNCTION("""COMPUTED_VALUE"""),2.0)</f>
        <v>2</v>
      </c>
      <c r="D366" s="26">
        <f>IFERROR(__xludf.DUMMYFUNCTION("""COMPUTED_VALUE"""),0.0)</f>
        <v>0</v>
      </c>
      <c r="E366" s="26">
        <f>IFERROR(__xludf.DUMMYFUNCTION("""COMPUTED_VALUE"""),2715.0)</f>
        <v>2715</v>
      </c>
    </row>
    <row r="367">
      <c r="A367" s="25">
        <f>IFERROR(__xludf.DUMMYFUNCTION("""COMPUTED_VALUE"""),45535.0)</f>
        <v>45535</v>
      </c>
      <c r="B367" s="26" t="str">
        <f>IFERROR(__xludf.DUMMYFUNCTION("""COMPUTED_VALUE"""),"Instagram")</f>
        <v>Instagram</v>
      </c>
      <c r="C367" s="26">
        <f>IFERROR(__xludf.DUMMYFUNCTION("""COMPUTED_VALUE"""),2.0)</f>
        <v>2</v>
      </c>
      <c r="D367" s="26">
        <f>IFERROR(__xludf.DUMMYFUNCTION("""COMPUTED_VALUE"""),0.0)</f>
        <v>0</v>
      </c>
      <c r="E367" s="26">
        <f>IFERROR(__xludf.DUMMYFUNCTION("""COMPUTED_VALUE"""),390.0)</f>
        <v>390</v>
      </c>
    </row>
    <row r="368">
      <c r="A368" s="25">
        <f>IFERROR(__xludf.DUMMYFUNCTION("""COMPUTED_VALUE"""),45536.0)</f>
        <v>45536</v>
      </c>
      <c r="B368" s="26" t="str">
        <f>IFERROR(__xludf.DUMMYFUNCTION("""COMPUTED_VALUE"""),"Instagram")</f>
        <v>Instagram</v>
      </c>
      <c r="C368" s="26">
        <f>IFERROR(__xludf.DUMMYFUNCTION("""COMPUTED_VALUE"""),2.0)</f>
        <v>2</v>
      </c>
      <c r="D368" s="26">
        <f>IFERROR(__xludf.DUMMYFUNCTION("""COMPUTED_VALUE"""),0.0)</f>
        <v>0</v>
      </c>
      <c r="E368" s="26">
        <f>IFERROR(__xludf.DUMMYFUNCTION("""COMPUTED_VALUE"""),108.0)</f>
        <v>108</v>
      </c>
    </row>
    <row r="369">
      <c r="A369" s="25">
        <f>IFERROR(__xludf.DUMMYFUNCTION("""COMPUTED_VALUE"""),45537.0)</f>
        <v>45537</v>
      </c>
      <c r="B369" s="26" t="str">
        <f>IFERROR(__xludf.DUMMYFUNCTION("""COMPUTED_VALUE"""),"Instagram")</f>
        <v>Instagram</v>
      </c>
      <c r="C369" s="26">
        <f>IFERROR(__xludf.DUMMYFUNCTION("""COMPUTED_VALUE"""),1.0)</f>
        <v>1</v>
      </c>
      <c r="D369" s="26">
        <f>IFERROR(__xludf.DUMMYFUNCTION("""COMPUTED_VALUE"""),0.0)</f>
        <v>0</v>
      </c>
      <c r="E369" s="26">
        <f>IFERROR(__xludf.DUMMYFUNCTION("""COMPUTED_VALUE"""),323.0)</f>
        <v>323</v>
      </c>
    </row>
    <row r="370">
      <c r="A370" s="25">
        <f>IFERROR(__xludf.DUMMYFUNCTION("""COMPUTED_VALUE"""),45538.0)</f>
        <v>45538</v>
      </c>
      <c r="B370" s="26" t="str">
        <f>IFERROR(__xludf.DUMMYFUNCTION("""COMPUTED_VALUE"""),"Instagram")</f>
        <v>Instagram</v>
      </c>
      <c r="C370" s="26">
        <f>IFERROR(__xludf.DUMMYFUNCTION("""COMPUTED_VALUE"""),2.0)</f>
        <v>2</v>
      </c>
      <c r="D370" s="26">
        <f>IFERROR(__xludf.DUMMYFUNCTION("""COMPUTED_VALUE"""),0.0)</f>
        <v>0</v>
      </c>
      <c r="E370" s="26">
        <f>IFERROR(__xludf.DUMMYFUNCTION("""COMPUTED_VALUE"""),214.0)</f>
        <v>214</v>
      </c>
    </row>
    <row r="371">
      <c r="A371" s="25">
        <f>IFERROR(__xludf.DUMMYFUNCTION("""COMPUTED_VALUE"""),45539.0)</f>
        <v>45539</v>
      </c>
      <c r="B371" s="26" t="str">
        <f>IFERROR(__xludf.DUMMYFUNCTION("""COMPUTED_VALUE"""),"Instagram")</f>
        <v>Instagram</v>
      </c>
      <c r="C371" s="26">
        <f>IFERROR(__xludf.DUMMYFUNCTION("""COMPUTED_VALUE"""),1.0)</f>
        <v>1</v>
      </c>
      <c r="D371" s="26">
        <f>IFERROR(__xludf.DUMMYFUNCTION("""COMPUTED_VALUE"""),0.0)</f>
        <v>0</v>
      </c>
      <c r="E371" s="26">
        <f>IFERROR(__xludf.DUMMYFUNCTION("""COMPUTED_VALUE"""),96.0)</f>
        <v>96</v>
      </c>
    </row>
    <row r="372">
      <c r="A372" s="25">
        <f>IFERROR(__xludf.DUMMYFUNCTION("""COMPUTED_VALUE"""),45540.0)</f>
        <v>45540</v>
      </c>
      <c r="B372" s="26" t="str">
        <f>IFERROR(__xludf.DUMMYFUNCTION("""COMPUTED_VALUE"""),"Instagram")</f>
        <v>Instagram</v>
      </c>
      <c r="C372" s="26">
        <f>IFERROR(__xludf.DUMMYFUNCTION("""COMPUTED_VALUE"""),6.0)</f>
        <v>6</v>
      </c>
      <c r="D372" s="26">
        <f>IFERROR(__xludf.DUMMYFUNCTION("""COMPUTED_VALUE"""),0.0)</f>
        <v>0</v>
      </c>
      <c r="E372" s="26">
        <f>IFERROR(__xludf.DUMMYFUNCTION("""COMPUTED_VALUE"""),77.0)</f>
        <v>77</v>
      </c>
    </row>
    <row r="373">
      <c r="A373" s="25">
        <f>IFERROR(__xludf.DUMMYFUNCTION("""COMPUTED_VALUE"""),45541.0)</f>
        <v>45541</v>
      </c>
      <c r="B373" s="26" t="str">
        <f>IFERROR(__xludf.DUMMYFUNCTION("""COMPUTED_VALUE"""),"Instagram")</f>
        <v>Instagram</v>
      </c>
      <c r="C373" s="26">
        <f>IFERROR(__xludf.DUMMYFUNCTION("""COMPUTED_VALUE"""),4.0)</f>
        <v>4</v>
      </c>
      <c r="D373" s="26">
        <f>IFERROR(__xludf.DUMMYFUNCTION("""COMPUTED_VALUE"""),0.0)</f>
        <v>0</v>
      </c>
      <c r="E373" s="26">
        <f>IFERROR(__xludf.DUMMYFUNCTION("""COMPUTED_VALUE"""),1714.0)</f>
        <v>1714</v>
      </c>
    </row>
    <row r="374">
      <c r="A374" s="25">
        <f>IFERROR(__xludf.DUMMYFUNCTION("""COMPUTED_VALUE"""),45542.0)</f>
        <v>45542</v>
      </c>
      <c r="B374" s="26" t="str">
        <f>IFERROR(__xludf.DUMMYFUNCTION("""COMPUTED_VALUE"""),"Instagram")</f>
        <v>Instagram</v>
      </c>
      <c r="C374" s="26">
        <f>IFERROR(__xludf.DUMMYFUNCTION("""COMPUTED_VALUE"""),8.0)</f>
        <v>8</v>
      </c>
      <c r="D374" s="26">
        <f>IFERROR(__xludf.DUMMYFUNCTION("""COMPUTED_VALUE"""),0.0)</f>
        <v>0</v>
      </c>
      <c r="E374" s="26">
        <f>IFERROR(__xludf.DUMMYFUNCTION("""COMPUTED_VALUE"""),2847.0)</f>
        <v>2847</v>
      </c>
    </row>
    <row r="375">
      <c r="A375" s="25">
        <f>IFERROR(__xludf.DUMMYFUNCTION("""COMPUTED_VALUE"""),45543.0)</f>
        <v>45543</v>
      </c>
      <c r="B375" s="26" t="str">
        <f>IFERROR(__xludf.DUMMYFUNCTION("""COMPUTED_VALUE"""),"Instagram")</f>
        <v>Instagram</v>
      </c>
      <c r="C375" s="26">
        <f>IFERROR(__xludf.DUMMYFUNCTION("""COMPUTED_VALUE"""),3.0)</f>
        <v>3</v>
      </c>
      <c r="D375" s="26">
        <f>IFERROR(__xludf.DUMMYFUNCTION("""COMPUTED_VALUE"""),0.0)</f>
        <v>0</v>
      </c>
      <c r="E375" s="26">
        <f>IFERROR(__xludf.DUMMYFUNCTION("""COMPUTED_VALUE"""),1925.0)</f>
        <v>1925</v>
      </c>
    </row>
    <row r="376">
      <c r="A376" s="25">
        <f>IFERROR(__xludf.DUMMYFUNCTION("""COMPUTED_VALUE"""),45544.0)</f>
        <v>45544</v>
      </c>
      <c r="B376" s="26" t="str">
        <f>IFERROR(__xludf.DUMMYFUNCTION("""COMPUTED_VALUE"""),"Instagram")</f>
        <v>Instagram</v>
      </c>
      <c r="C376" s="26">
        <f>IFERROR(__xludf.DUMMYFUNCTION("""COMPUTED_VALUE"""),7.0)</f>
        <v>7</v>
      </c>
      <c r="D376" s="26">
        <f>IFERROR(__xludf.DUMMYFUNCTION("""COMPUTED_VALUE"""),0.0)</f>
        <v>0</v>
      </c>
      <c r="E376" s="26">
        <f>IFERROR(__xludf.DUMMYFUNCTION("""COMPUTED_VALUE"""),1520.0)</f>
        <v>1520</v>
      </c>
    </row>
    <row r="377">
      <c r="A377" s="25">
        <f>IFERROR(__xludf.DUMMYFUNCTION("""COMPUTED_VALUE"""),45545.0)</f>
        <v>45545</v>
      </c>
      <c r="B377" s="26" t="str">
        <f>IFERROR(__xludf.DUMMYFUNCTION("""COMPUTED_VALUE"""),"Instagram")</f>
        <v>Instagram</v>
      </c>
      <c r="C377" s="26">
        <f>IFERROR(__xludf.DUMMYFUNCTION("""COMPUTED_VALUE"""),2.0)</f>
        <v>2</v>
      </c>
      <c r="D377" s="26">
        <f>IFERROR(__xludf.DUMMYFUNCTION("""COMPUTED_VALUE"""),0.0)</f>
        <v>0</v>
      </c>
      <c r="E377" s="26">
        <f>IFERROR(__xludf.DUMMYFUNCTION("""COMPUTED_VALUE"""),1448.0)</f>
        <v>1448</v>
      </c>
    </row>
    <row r="378">
      <c r="A378" s="25">
        <f>IFERROR(__xludf.DUMMYFUNCTION("""COMPUTED_VALUE"""),45546.0)</f>
        <v>45546</v>
      </c>
      <c r="B378" s="26" t="str">
        <f>IFERROR(__xludf.DUMMYFUNCTION("""COMPUTED_VALUE"""),"Instagram")</f>
        <v>Instagram</v>
      </c>
      <c r="C378" s="26">
        <f>IFERROR(__xludf.DUMMYFUNCTION("""COMPUTED_VALUE"""),6.0)</f>
        <v>6</v>
      </c>
      <c r="D378" s="26">
        <f>IFERROR(__xludf.DUMMYFUNCTION("""COMPUTED_VALUE"""),0.0)</f>
        <v>0</v>
      </c>
      <c r="E378" s="26">
        <f>IFERROR(__xludf.DUMMYFUNCTION("""COMPUTED_VALUE"""),1044.0)</f>
        <v>1044</v>
      </c>
    </row>
    <row r="379">
      <c r="A379" s="25">
        <f>IFERROR(__xludf.DUMMYFUNCTION("""COMPUTED_VALUE"""),45547.0)</f>
        <v>45547</v>
      </c>
      <c r="B379" s="26" t="str">
        <f>IFERROR(__xludf.DUMMYFUNCTION("""COMPUTED_VALUE"""),"Instagram")</f>
        <v>Instagram</v>
      </c>
      <c r="C379" s="26">
        <f>IFERROR(__xludf.DUMMYFUNCTION("""COMPUTED_VALUE"""),3.0)</f>
        <v>3</v>
      </c>
      <c r="D379" s="26">
        <f>IFERROR(__xludf.DUMMYFUNCTION("""COMPUTED_VALUE"""),0.0)</f>
        <v>0</v>
      </c>
      <c r="E379" s="26">
        <f>IFERROR(__xludf.DUMMYFUNCTION("""COMPUTED_VALUE"""),759.0)</f>
        <v>759</v>
      </c>
    </row>
    <row r="380">
      <c r="A380" s="25">
        <f>IFERROR(__xludf.DUMMYFUNCTION("""COMPUTED_VALUE"""),45548.0)</f>
        <v>45548</v>
      </c>
      <c r="B380" s="26" t="str">
        <f>IFERROR(__xludf.DUMMYFUNCTION("""COMPUTED_VALUE"""),"Instagram")</f>
        <v>Instagram</v>
      </c>
      <c r="C380" s="26">
        <f>IFERROR(__xludf.DUMMYFUNCTION("""COMPUTED_VALUE"""),1.0)</f>
        <v>1</v>
      </c>
      <c r="D380" s="26">
        <f>IFERROR(__xludf.DUMMYFUNCTION("""COMPUTED_VALUE"""),0.0)</f>
        <v>0</v>
      </c>
      <c r="E380" s="26">
        <f>IFERROR(__xludf.DUMMYFUNCTION("""COMPUTED_VALUE"""),931.0)</f>
        <v>931</v>
      </c>
    </row>
    <row r="381">
      <c r="A381" s="25">
        <f>IFERROR(__xludf.DUMMYFUNCTION("""COMPUTED_VALUE"""),45549.0)</f>
        <v>45549</v>
      </c>
      <c r="B381" s="26" t="str">
        <f>IFERROR(__xludf.DUMMYFUNCTION("""COMPUTED_VALUE"""),"Instagram")</f>
        <v>Instagram</v>
      </c>
      <c r="C381" s="26">
        <f>IFERROR(__xludf.DUMMYFUNCTION("""COMPUTED_VALUE"""),2.0)</f>
        <v>2</v>
      </c>
      <c r="D381" s="26">
        <f>IFERROR(__xludf.DUMMYFUNCTION("""COMPUTED_VALUE"""),0.0)</f>
        <v>0</v>
      </c>
      <c r="E381" s="26">
        <f>IFERROR(__xludf.DUMMYFUNCTION("""COMPUTED_VALUE"""),794.0)</f>
        <v>794</v>
      </c>
    </row>
    <row r="382">
      <c r="A382" s="25">
        <f>IFERROR(__xludf.DUMMYFUNCTION("""COMPUTED_VALUE"""),45550.0)</f>
        <v>45550</v>
      </c>
      <c r="B382" s="26" t="str">
        <f>IFERROR(__xludf.DUMMYFUNCTION("""COMPUTED_VALUE"""),"Instagram")</f>
        <v>Instagram</v>
      </c>
      <c r="C382" s="26">
        <f>IFERROR(__xludf.DUMMYFUNCTION("""COMPUTED_VALUE"""),2.0)</f>
        <v>2</v>
      </c>
      <c r="D382" s="26">
        <f>IFERROR(__xludf.DUMMYFUNCTION("""COMPUTED_VALUE"""),0.0)</f>
        <v>0</v>
      </c>
      <c r="E382" s="26">
        <f>IFERROR(__xludf.DUMMYFUNCTION("""COMPUTED_VALUE"""),703.0)</f>
        <v>703</v>
      </c>
    </row>
    <row r="383">
      <c r="A383" s="25">
        <f>IFERROR(__xludf.DUMMYFUNCTION("""COMPUTED_VALUE"""),45551.0)</f>
        <v>45551</v>
      </c>
      <c r="B383" s="26" t="str">
        <f>IFERROR(__xludf.DUMMYFUNCTION("""COMPUTED_VALUE"""),"Instagram")</f>
        <v>Instagram</v>
      </c>
      <c r="C383" s="26">
        <f>IFERROR(__xludf.DUMMYFUNCTION("""COMPUTED_VALUE"""),7.0)</f>
        <v>7</v>
      </c>
      <c r="D383" s="26">
        <f>IFERROR(__xludf.DUMMYFUNCTION("""COMPUTED_VALUE"""),0.0)</f>
        <v>0</v>
      </c>
      <c r="E383" s="26">
        <f>IFERROR(__xludf.DUMMYFUNCTION("""COMPUTED_VALUE"""),1021.0)</f>
        <v>1021</v>
      </c>
    </row>
    <row r="384">
      <c r="A384" s="25">
        <f>IFERROR(__xludf.DUMMYFUNCTION("""COMPUTED_VALUE"""),45552.0)</f>
        <v>45552</v>
      </c>
      <c r="B384" s="26" t="str">
        <f>IFERROR(__xludf.DUMMYFUNCTION("""COMPUTED_VALUE"""),"Instagram")</f>
        <v>Instagram</v>
      </c>
      <c r="C384" s="26">
        <f>IFERROR(__xludf.DUMMYFUNCTION("""COMPUTED_VALUE"""),3.0)</f>
        <v>3</v>
      </c>
      <c r="D384" s="26">
        <f>IFERROR(__xludf.DUMMYFUNCTION("""COMPUTED_VALUE"""),0.0)</f>
        <v>0</v>
      </c>
      <c r="E384" s="26">
        <f>IFERROR(__xludf.DUMMYFUNCTION("""COMPUTED_VALUE"""),1867.0)</f>
        <v>1867</v>
      </c>
    </row>
    <row r="385">
      <c r="A385" s="25">
        <f>IFERROR(__xludf.DUMMYFUNCTION("""COMPUTED_VALUE"""),45553.0)</f>
        <v>45553</v>
      </c>
      <c r="B385" s="26" t="str">
        <f>IFERROR(__xludf.DUMMYFUNCTION("""COMPUTED_VALUE"""),"Instagram")</f>
        <v>Instagram</v>
      </c>
      <c r="C385" s="26">
        <f>IFERROR(__xludf.DUMMYFUNCTION("""COMPUTED_VALUE"""),2.0)</f>
        <v>2</v>
      </c>
      <c r="D385" s="26">
        <f>IFERROR(__xludf.DUMMYFUNCTION("""COMPUTED_VALUE"""),0.0)</f>
        <v>0</v>
      </c>
      <c r="E385" s="26">
        <f>IFERROR(__xludf.DUMMYFUNCTION("""COMPUTED_VALUE"""),2264.0)</f>
        <v>2264</v>
      </c>
    </row>
    <row r="386">
      <c r="A386" s="25">
        <f>IFERROR(__xludf.DUMMYFUNCTION("""COMPUTED_VALUE"""),45554.0)</f>
        <v>45554</v>
      </c>
      <c r="B386" s="26" t="str">
        <f>IFERROR(__xludf.DUMMYFUNCTION("""COMPUTED_VALUE"""),"Instagram")</f>
        <v>Instagram</v>
      </c>
      <c r="C386" s="26">
        <f>IFERROR(__xludf.DUMMYFUNCTION("""COMPUTED_VALUE"""),3.0)</f>
        <v>3</v>
      </c>
      <c r="D386" s="26">
        <f>IFERROR(__xludf.DUMMYFUNCTION("""COMPUTED_VALUE"""),0.0)</f>
        <v>0</v>
      </c>
      <c r="E386" s="26">
        <f>IFERROR(__xludf.DUMMYFUNCTION("""COMPUTED_VALUE"""),4569.0)</f>
        <v>4569</v>
      </c>
    </row>
    <row r="387">
      <c r="A387" s="25">
        <f>IFERROR(__xludf.DUMMYFUNCTION("""COMPUTED_VALUE"""),45555.0)</f>
        <v>45555</v>
      </c>
      <c r="B387" s="26" t="str">
        <f>IFERROR(__xludf.DUMMYFUNCTION("""COMPUTED_VALUE"""),"Instagram")</f>
        <v>Instagram</v>
      </c>
      <c r="C387" s="26">
        <f>IFERROR(__xludf.DUMMYFUNCTION("""COMPUTED_VALUE"""),3.0)</f>
        <v>3</v>
      </c>
      <c r="D387" s="26">
        <f>IFERROR(__xludf.DUMMYFUNCTION("""COMPUTED_VALUE"""),0.0)</f>
        <v>0</v>
      </c>
      <c r="E387" s="26">
        <f>IFERROR(__xludf.DUMMYFUNCTION("""COMPUTED_VALUE"""),7893.0)</f>
        <v>7893</v>
      </c>
    </row>
    <row r="388">
      <c r="A388" s="25">
        <f>IFERROR(__xludf.DUMMYFUNCTION("""COMPUTED_VALUE"""),45556.0)</f>
        <v>45556</v>
      </c>
      <c r="B388" s="26" t="str">
        <f>IFERROR(__xludf.DUMMYFUNCTION("""COMPUTED_VALUE"""),"Instagram")</f>
        <v>Instagram</v>
      </c>
      <c r="C388" s="26">
        <f>IFERROR(__xludf.DUMMYFUNCTION("""COMPUTED_VALUE"""),3.0)</f>
        <v>3</v>
      </c>
      <c r="D388" s="26">
        <f>IFERROR(__xludf.DUMMYFUNCTION("""COMPUTED_VALUE"""),0.0)</f>
        <v>0</v>
      </c>
      <c r="E388" s="26">
        <f>IFERROR(__xludf.DUMMYFUNCTION("""COMPUTED_VALUE"""),8049.0)</f>
        <v>8049</v>
      </c>
    </row>
    <row r="389">
      <c r="A389" s="25">
        <f>IFERROR(__xludf.DUMMYFUNCTION("""COMPUTED_VALUE"""),45557.0)</f>
        <v>45557</v>
      </c>
      <c r="B389" s="26" t="str">
        <f>IFERROR(__xludf.DUMMYFUNCTION("""COMPUTED_VALUE"""),"Instagram")</f>
        <v>Instagram</v>
      </c>
      <c r="C389" s="26">
        <f>IFERROR(__xludf.DUMMYFUNCTION("""COMPUTED_VALUE"""),8.0)</f>
        <v>8</v>
      </c>
      <c r="D389" s="26">
        <f>IFERROR(__xludf.DUMMYFUNCTION("""COMPUTED_VALUE"""),0.0)</f>
        <v>0</v>
      </c>
      <c r="E389" s="26">
        <f>IFERROR(__xludf.DUMMYFUNCTION("""COMPUTED_VALUE"""),8146.0)</f>
        <v>8146</v>
      </c>
    </row>
    <row r="390">
      <c r="A390" s="25">
        <f>IFERROR(__xludf.DUMMYFUNCTION("""COMPUTED_VALUE"""),45558.0)</f>
        <v>45558</v>
      </c>
      <c r="B390" s="26" t="str">
        <f>IFERROR(__xludf.DUMMYFUNCTION("""COMPUTED_VALUE"""),"Instagram")</f>
        <v>Instagram</v>
      </c>
      <c r="C390" s="26">
        <f>IFERROR(__xludf.DUMMYFUNCTION("""COMPUTED_VALUE"""),2.0)</f>
        <v>2</v>
      </c>
      <c r="D390" s="26">
        <f>IFERROR(__xludf.DUMMYFUNCTION("""COMPUTED_VALUE"""),0.0)</f>
        <v>0</v>
      </c>
      <c r="E390" s="26">
        <f>IFERROR(__xludf.DUMMYFUNCTION("""COMPUTED_VALUE"""),5438.0)</f>
        <v>5438</v>
      </c>
    </row>
    <row r="391">
      <c r="A391" s="25">
        <f>IFERROR(__xludf.DUMMYFUNCTION("""COMPUTED_VALUE"""),45559.0)</f>
        <v>45559</v>
      </c>
      <c r="B391" s="26" t="str">
        <f>IFERROR(__xludf.DUMMYFUNCTION("""COMPUTED_VALUE"""),"Instagram")</f>
        <v>Instagram</v>
      </c>
      <c r="C391" s="26">
        <f>IFERROR(__xludf.DUMMYFUNCTION("""COMPUTED_VALUE"""),3.0)</f>
        <v>3</v>
      </c>
      <c r="D391" s="26">
        <f>IFERROR(__xludf.DUMMYFUNCTION("""COMPUTED_VALUE"""),0.0)</f>
        <v>0</v>
      </c>
      <c r="E391" s="26">
        <f>IFERROR(__xludf.DUMMYFUNCTION("""COMPUTED_VALUE"""),3732.0)</f>
        <v>3732</v>
      </c>
    </row>
    <row r="392">
      <c r="A392" s="25">
        <f>IFERROR(__xludf.DUMMYFUNCTION("""COMPUTED_VALUE"""),45560.0)</f>
        <v>45560</v>
      </c>
      <c r="B392" s="26" t="str">
        <f>IFERROR(__xludf.DUMMYFUNCTION("""COMPUTED_VALUE"""),"Instagram")</f>
        <v>Instagram</v>
      </c>
      <c r="C392" s="26">
        <f>IFERROR(__xludf.DUMMYFUNCTION("""COMPUTED_VALUE"""),5.0)</f>
        <v>5</v>
      </c>
      <c r="D392" s="26">
        <f>IFERROR(__xludf.DUMMYFUNCTION("""COMPUTED_VALUE"""),0.0)</f>
        <v>0</v>
      </c>
      <c r="E392" s="26">
        <f>IFERROR(__xludf.DUMMYFUNCTION("""COMPUTED_VALUE"""),3873.0)</f>
        <v>3873</v>
      </c>
    </row>
    <row r="393">
      <c r="A393" s="25">
        <f>IFERROR(__xludf.DUMMYFUNCTION("""COMPUTED_VALUE"""),45561.0)</f>
        <v>45561</v>
      </c>
      <c r="B393" s="26" t="str">
        <f>IFERROR(__xludf.DUMMYFUNCTION("""COMPUTED_VALUE"""),"Instagram")</f>
        <v>Instagram</v>
      </c>
      <c r="C393" s="26">
        <f>IFERROR(__xludf.DUMMYFUNCTION("""COMPUTED_VALUE"""),5.0)</f>
        <v>5</v>
      </c>
      <c r="D393" s="26">
        <f>IFERROR(__xludf.DUMMYFUNCTION("""COMPUTED_VALUE"""),0.0)</f>
        <v>0</v>
      </c>
      <c r="E393" s="26">
        <f>IFERROR(__xludf.DUMMYFUNCTION("""COMPUTED_VALUE"""),3601.0)</f>
        <v>3601</v>
      </c>
    </row>
    <row r="394">
      <c r="A394" s="25">
        <f>IFERROR(__xludf.DUMMYFUNCTION("""COMPUTED_VALUE"""),45562.0)</f>
        <v>45562</v>
      </c>
      <c r="B394" s="26" t="str">
        <f>IFERROR(__xludf.DUMMYFUNCTION("""COMPUTED_VALUE"""),"Instagram")</f>
        <v>Instagram</v>
      </c>
      <c r="C394" s="26">
        <f>IFERROR(__xludf.DUMMYFUNCTION("""COMPUTED_VALUE"""),1.0)</f>
        <v>1</v>
      </c>
      <c r="D394" s="26">
        <f>IFERROR(__xludf.DUMMYFUNCTION("""COMPUTED_VALUE"""),0.0)</f>
        <v>0</v>
      </c>
      <c r="E394" s="26">
        <f>IFERROR(__xludf.DUMMYFUNCTION("""COMPUTED_VALUE"""),4283.0)</f>
        <v>4283</v>
      </c>
    </row>
    <row r="395">
      <c r="A395" s="25">
        <f>IFERROR(__xludf.DUMMYFUNCTION("""COMPUTED_VALUE"""),45563.0)</f>
        <v>45563</v>
      </c>
      <c r="B395" s="26" t="str">
        <f>IFERROR(__xludf.DUMMYFUNCTION("""COMPUTED_VALUE"""),"Instagram")</f>
        <v>Instagram</v>
      </c>
      <c r="C395" s="26">
        <f>IFERROR(__xludf.DUMMYFUNCTION("""COMPUTED_VALUE"""),1.0)</f>
        <v>1</v>
      </c>
      <c r="D395" s="26">
        <f>IFERROR(__xludf.DUMMYFUNCTION("""COMPUTED_VALUE"""),0.0)</f>
        <v>0</v>
      </c>
      <c r="E395" s="26">
        <f>IFERROR(__xludf.DUMMYFUNCTION("""COMPUTED_VALUE"""),4243.0)</f>
        <v>4243</v>
      </c>
    </row>
    <row r="396">
      <c r="A396" s="25">
        <f>IFERROR(__xludf.DUMMYFUNCTION("""COMPUTED_VALUE"""),45564.0)</f>
        <v>45564</v>
      </c>
      <c r="B396" s="26" t="str">
        <f>IFERROR(__xludf.DUMMYFUNCTION("""COMPUTED_VALUE"""),"Instagram")</f>
        <v>Instagram</v>
      </c>
      <c r="C396" s="26">
        <f>IFERROR(__xludf.DUMMYFUNCTION("""COMPUTED_VALUE"""),3.0)</f>
        <v>3</v>
      </c>
      <c r="D396" s="26">
        <f>IFERROR(__xludf.DUMMYFUNCTION("""COMPUTED_VALUE"""),0.0)</f>
        <v>0</v>
      </c>
      <c r="E396" s="26">
        <f>IFERROR(__xludf.DUMMYFUNCTION("""COMPUTED_VALUE"""),4142.0)</f>
        <v>4142</v>
      </c>
    </row>
    <row r="397">
      <c r="A397" s="25">
        <f>IFERROR(__xludf.DUMMYFUNCTION("""COMPUTED_VALUE"""),45565.0)</f>
        <v>45565</v>
      </c>
      <c r="B397" s="26" t="str">
        <f>IFERROR(__xludf.DUMMYFUNCTION("""COMPUTED_VALUE"""),"Instagram")</f>
        <v>Instagram</v>
      </c>
      <c r="C397" s="26">
        <f>IFERROR(__xludf.DUMMYFUNCTION("""COMPUTED_VALUE"""),1.0)</f>
        <v>1</v>
      </c>
      <c r="D397" s="26">
        <f>IFERROR(__xludf.DUMMYFUNCTION("""COMPUTED_VALUE"""),0.0)</f>
        <v>0</v>
      </c>
      <c r="E397" s="26">
        <f>IFERROR(__xludf.DUMMYFUNCTION("""COMPUTED_VALUE"""),4827.0)</f>
        <v>4827</v>
      </c>
    </row>
    <row r="398">
      <c r="A398" s="25">
        <f>IFERROR(__xludf.DUMMYFUNCTION("""COMPUTED_VALUE"""),45566.0)</f>
        <v>45566</v>
      </c>
      <c r="B398" s="26" t="str">
        <f>IFERROR(__xludf.DUMMYFUNCTION("""COMPUTED_VALUE"""),"Instagram")</f>
        <v>Instagram</v>
      </c>
      <c r="C398" s="26">
        <f>IFERROR(__xludf.DUMMYFUNCTION("""COMPUTED_VALUE"""),4.0)</f>
        <v>4</v>
      </c>
      <c r="D398" s="26">
        <f>IFERROR(__xludf.DUMMYFUNCTION("""COMPUTED_VALUE"""),0.0)</f>
        <v>0</v>
      </c>
      <c r="E398" s="26">
        <f>IFERROR(__xludf.DUMMYFUNCTION("""COMPUTED_VALUE"""),4469.0)</f>
        <v>4469</v>
      </c>
    </row>
    <row r="399">
      <c r="A399" s="25">
        <f>IFERROR(__xludf.DUMMYFUNCTION("""COMPUTED_VALUE"""),45567.0)</f>
        <v>45567</v>
      </c>
      <c r="B399" s="26" t="str">
        <f>IFERROR(__xludf.DUMMYFUNCTION("""COMPUTED_VALUE"""),"Instagram")</f>
        <v>Instagram</v>
      </c>
      <c r="C399" s="26">
        <f>IFERROR(__xludf.DUMMYFUNCTION("""COMPUTED_VALUE"""),3.0)</f>
        <v>3</v>
      </c>
      <c r="D399" s="26">
        <f>IFERROR(__xludf.DUMMYFUNCTION("""COMPUTED_VALUE"""),0.0)</f>
        <v>0</v>
      </c>
      <c r="E399" s="26">
        <f>IFERROR(__xludf.DUMMYFUNCTION("""COMPUTED_VALUE"""),5673.0)</f>
        <v>5673</v>
      </c>
    </row>
    <row r="400">
      <c r="A400" s="25">
        <f>IFERROR(__xludf.DUMMYFUNCTION("""COMPUTED_VALUE"""),45568.0)</f>
        <v>45568</v>
      </c>
      <c r="B400" s="26" t="str">
        <f>IFERROR(__xludf.DUMMYFUNCTION("""COMPUTED_VALUE"""),"Instagram")</f>
        <v>Instagram</v>
      </c>
      <c r="C400" s="26">
        <f>IFERROR(__xludf.DUMMYFUNCTION("""COMPUTED_VALUE"""),4.0)</f>
        <v>4</v>
      </c>
      <c r="D400" s="26">
        <f>IFERROR(__xludf.DUMMYFUNCTION("""COMPUTED_VALUE"""),0.0)</f>
        <v>0</v>
      </c>
      <c r="E400" s="26">
        <f>IFERROR(__xludf.DUMMYFUNCTION("""COMPUTED_VALUE"""),21015.0)</f>
        <v>21015</v>
      </c>
    </row>
    <row r="401">
      <c r="A401" s="25">
        <f>IFERROR(__xludf.DUMMYFUNCTION("""COMPUTED_VALUE"""),45569.0)</f>
        <v>45569</v>
      </c>
      <c r="B401" s="26" t="str">
        <f>IFERROR(__xludf.DUMMYFUNCTION("""COMPUTED_VALUE"""),"Instagram")</f>
        <v>Instagram</v>
      </c>
      <c r="C401" s="26">
        <f>IFERROR(__xludf.DUMMYFUNCTION("""COMPUTED_VALUE"""),4.0)</f>
        <v>4</v>
      </c>
      <c r="D401" s="26">
        <f>IFERROR(__xludf.DUMMYFUNCTION("""COMPUTED_VALUE"""),0.0)</f>
        <v>0</v>
      </c>
      <c r="E401" s="26">
        <f>IFERROR(__xludf.DUMMYFUNCTION("""COMPUTED_VALUE"""),55005.0)</f>
        <v>55005</v>
      </c>
    </row>
    <row r="402">
      <c r="A402" s="25">
        <f>IFERROR(__xludf.DUMMYFUNCTION("""COMPUTED_VALUE"""),45570.0)</f>
        <v>45570</v>
      </c>
      <c r="B402" s="26" t="str">
        <f>IFERROR(__xludf.DUMMYFUNCTION("""COMPUTED_VALUE"""),"Instagram")</f>
        <v>Instagram</v>
      </c>
      <c r="C402" s="26">
        <f>IFERROR(__xludf.DUMMYFUNCTION("""COMPUTED_VALUE"""),4.0)</f>
        <v>4</v>
      </c>
      <c r="D402" s="26">
        <f>IFERROR(__xludf.DUMMYFUNCTION("""COMPUTED_VALUE"""),0.0)</f>
        <v>0</v>
      </c>
      <c r="E402" s="26">
        <f>IFERROR(__xludf.DUMMYFUNCTION("""COMPUTED_VALUE"""),1518.0)</f>
        <v>1518</v>
      </c>
    </row>
    <row r="403">
      <c r="A403" s="25">
        <f>IFERROR(__xludf.DUMMYFUNCTION("""COMPUTED_VALUE"""),45571.0)</f>
        <v>45571</v>
      </c>
      <c r="B403" s="26" t="str">
        <f>IFERROR(__xludf.DUMMYFUNCTION("""COMPUTED_VALUE"""),"Instagram")</f>
        <v>Instagram</v>
      </c>
      <c r="C403" s="26">
        <f>IFERROR(__xludf.DUMMYFUNCTION("""COMPUTED_VALUE"""),7.0)</f>
        <v>7</v>
      </c>
      <c r="D403" s="26">
        <f>IFERROR(__xludf.DUMMYFUNCTION("""COMPUTED_VALUE"""),0.0)</f>
        <v>0</v>
      </c>
      <c r="E403" s="26">
        <f>IFERROR(__xludf.DUMMYFUNCTION("""COMPUTED_VALUE"""),355.0)</f>
        <v>355</v>
      </c>
    </row>
    <row r="404">
      <c r="A404" s="25">
        <f>IFERROR(__xludf.DUMMYFUNCTION("""COMPUTED_VALUE"""),45572.0)</f>
        <v>45572</v>
      </c>
      <c r="B404" s="26" t="str">
        <f>IFERROR(__xludf.DUMMYFUNCTION("""COMPUTED_VALUE"""),"Instagram")</f>
        <v>Instagram</v>
      </c>
      <c r="C404" s="26">
        <f>IFERROR(__xludf.DUMMYFUNCTION("""COMPUTED_VALUE"""),2.0)</f>
        <v>2</v>
      </c>
      <c r="D404" s="26">
        <f>IFERROR(__xludf.DUMMYFUNCTION("""COMPUTED_VALUE"""),0.0)</f>
        <v>0</v>
      </c>
      <c r="E404" s="26">
        <f>IFERROR(__xludf.DUMMYFUNCTION("""COMPUTED_VALUE"""),275.0)</f>
        <v>275</v>
      </c>
    </row>
    <row r="405">
      <c r="A405" s="25">
        <f>IFERROR(__xludf.DUMMYFUNCTION("""COMPUTED_VALUE"""),45573.0)</f>
        <v>45573</v>
      </c>
      <c r="B405" s="26" t="str">
        <f>IFERROR(__xludf.DUMMYFUNCTION("""COMPUTED_VALUE"""),"Instagram")</f>
        <v>Instagram</v>
      </c>
      <c r="C405" s="26">
        <f>IFERROR(__xludf.DUMMYFUNCTION("""COMPUTED_VALUE"""),2.0)</f>
        <v>2</v>
      </c>
      <c r="D405" s="26">
        <f>IFERROR(__xludf.DUMMYFUNCTION("""COMPUTED_VALUE"""),0.0)</f>
        <v>0</v>
      </c>
      <c r="E405" s="26">
        <f>IFERROR(__xludf.DUMMYFUNCTION("""COMPUTED_VALUE"""),391.0)</f>
        <v>391</v>
      </c>
    </row>
    <row r="406">
      <c r="A406" s="25">
        <f>IFERROR(__xludf.DUMMYFUNCTION("""COMPUTED_VALUE"""),45574.0)</f>
        <v>45574</v>
      </c>
      <c r="B406" s="26" t="str">
        <f>IFERROR(__xludf.DUMMYFUNCTION("""COMPUTED_VALUE"""),"Instagram")</f>
        <v>Instagram</v>
      </c>
      <c r="C406" s="26">
        <f>IFERROR(__xludf.DUMMYFUNCTION("""COMPUTED_VALUE"""),2.0)</f>
        <v>2</v>
      </c>
      <c r="D406" s="26">
        <f>IFERROR(__xludf.DUMMYFUNCTION("""COMPUTED_VALUE"""),0.0)</f>
        <v>0</v>
      </c>
      <c r="E406" s="26">
        <f>IFERROR(__xludf.DUMMYFUNCTION("""COMPUTED_VALUE"""),654.0)</f>
        <v>654</v>
      </c>
    </row>
    <row r="407">
      <c r="A407" s="25">
        <f>IFERROR(__xludf.DUMMYFUNCTION("""COMPUTED_VALUE"""),45575.0)</f>
        <v>45575</v>
      </c>
      <c r="B407" s="26" t="str">
        <f>IFERROR(__xludf.DUMMYFUNCTION("""COMPUTED_VALUE"""),"Instagram")</f>
        <v>Instagram</v>
      </c>
      <c r="C407" s="26">
        <f>IFERROR(__xludf.DUMMYFUNCTION("""COMPUTED_VALUE"""),2.0)</f>
        <v>2</v>
      </c>
      <c r="D407" s="26">
        <f>IFERROR(__xludf.DUMMYFUNCTION("""COMPUTED_VALUE"""),0.0)</f>
        <v>0</v>
      </c>
      <c r="E407" s="26">
        <f>IFERROR(__xludf.DUMMYFUNCTION("""COMPUTED_VALUE"""),507.0)</f>
        <v>507</v>
      </c>
    </row>
    <row r="408">
      <c r="A408" s="25">
        <f>IFERROR(__xludf.DUMMYFUNCTION("""COMPUTED_VALUE"""),45576.0)</f>
        <v>45576</v>
      </c>
      <c r="B408" s="26" t="str">
        <f>IFERROR(__xludf.DUMMYFUNCTION("""COMPUTED_VALUE"""),"Instagram")</f>
        <v>Instagram</v>
      </c>
      <c r="C408" s="26">
        <f>IFERROR(__xludf.DUMMYFUNCTION("""COMPUTED_VALUE"""),2.0)</f>
        <v>2</v>
      </c>
      <c r="D408" s="26">
        <f>IFERROR(__xludf.DUMMYFUNCTION("""COMPUTED_VALUE"""),0.0)</f>
        <v>0</v>
      </c>
      <c r="E408" s="26">
        <f>IFERROR(__xludf.DUMMYFUNCTION("""COMPUTED_VALUE"""),456.0)</f>
        <v>456</v>
      </c>
    </row>
    <row r="409">
      <c r="A409" s="25">
        <f>IFERROR(__xludf.DUMMYFUNCTION("""COMPUTED_VALUE"""),45577.0)</f>
        <v>45577</v>
      </c>
      <c r="B409" s="26" t="str">
        <f>IFERROR(__xludf.DUMMYFUNCTION("""COMPUTED_VALUE"""),"Instagram")</f>
        <v>Instagram</v>
      </c>
      <c r="C409" s="26">
        <f>IFERROR(__xludf.DUMMYFUNCTION("""COMPUTED_VALUE"""),1.0)</f>
        <v>1</v>
      </c>
      <c r="D409" s="26">
        <f>IFERROR(__xludf.DUMMYFUNCTION("""COMPUTED_VALUE"""),0.0)</f>
        <v>0</v>
      </c>
      <c r="E409" s="26">
        <f>IFERROR(__xludf.DUMMYFUNCTION("""COMPUTED_VALUE"""),326.0)</f>
        <v>326</v>
      </c>
    </row>
    <row r="410">
      <c r="A410" s="25">
        <f>IFERROR(__xludf.DUMMYFUNCTION("""COMPUTED_VALUE"""),45578.0)</f>
        <v>45578</v>
      </c>
      <c r="B410" s="26" t="str">
        <f>IFERROR(__xludf.DUMMYFUNCTION("""COMPUTED_VALUE"""),"Instagram")</f>
        <v>Instagram</v>
      </c>
      <c r="C410" s="26">
        <f>IFERROR(__xludf.DUMMYFUNCTION("""COMPUTED_VALUE"""),5.0)</f>
        <v>5</v>
      </c>
      <c r="D410" s="26">
        <f>IFERROR(__xludf.DUMMYFUNCTION("""COMPUTED_VALUE"""),0.0)</f>
        <v>0</v>
      </c>
      <c r="E410" s="26">
        <f>IFERROR(__xludf.DUMMYFUNCTION("""COMPUTED_VALUE"""),140.0)</f>
        <v>140</v>
      </c>
    </row>
    <row r="411">
      <c r="A411" s="25">
        <f>IFERROR(__xludf.DUMMYFUNCTION("""COMPUTED_VALUE"""),45579.0)</f>
        <v>45579</v>
      </c>
      <c r="B411" s="26" t="str">
        <f>IFERROR(__xludf.DUMMYFUNCTION("""COMPUTED_VALUE"""),"Instagram")</f>
        <v>Instagram</v>
      </c>
      <c r="C411" s="26">
        <f>IFERROR(__xludf.DUMMYFUNCTION("""COMPUTED_VALUE"""),2.0)</f>
        <v>2</v>
      </c>
      <c r="D411" s="26">
        <f>IFERROR(__xludf.DUMMYFUNCTION("""COMPUTED_VALUE"""),0.0)</f>
        <v>0</v>
      </c>
      <c r="E411" s="26">
        <f>IFERROR(__xludf.DUMMYFUNCTION("""COMPUTED_VALUE"""),117.0)</f>
        <v>117</v>
      </c>
    </row>
    <row r="412">
      <c r="A412" s="25">
        <f>IFERROR(__xludf.DUMMYFUNCTION("""COMPUTED_VALUE"""),45580.0)</f>
        <v>45580</v>
      </c>
      <c r="B412" s="26" t="str">
        <f>IFERROR(__xludf.DUMMYFUNCTION("""COMPUTED_VALUE"""),"Instagram")</f>
        <v>Instagram</v>
      </c>
      <c r="C412" s="26">
        <f>IFERROR(__xludf.DUMMYFUNCTION("""COMPUTED_VALUE"""),2.0)</f>
        <v>2</v>
      </c>
      <c r="D412" s="26">
        <f>IFERROR(__xludf.DUMMYFUNCTION("""COMPUTED_VALUE"""),0.0)</f>
        <v>0</v>
      </c>
      <c r="E412" s="26">
        <f>IFERROR(__xludf.DUMMYFUNCTION("""COMPUTED_VALUE"""),474.0)</f>
        <v>474</v>
      </c>
    </row>
    <row r="413">
      <c r="A413" s="25">
        <f>IFERROR(__xludf.DUMMYFUNCTION("""COMPUTED_VALUE"""),45581.0)</f>
        <v>45581</v>
      </c>
      <c r="B413" s="26" t="str">
        <f>IFERROR(__xludf.DUMMYFUNCTION("""COMPUTED_VALUE"""),"Instagram")</f>
        <v>Instagram</v>
      </c>
      <c r="C413" s="26">
        <f>IFERROR(__xludf.DUMMYFUNCTION("""COMPUTED_VALUE"""),3.0)</f>
        <v>3</v>
      </c>
      <c r="D413" s="26">
        <f>IFERROR(__xludf.DUMMYFUNCTION("""COMPUTED_VALUE"""),0.0)</f>
        <v>0</v>
      </c>
      <c r="E413" s="26">
        <f>IFERROR(__xludf.DUMMYFUNCTION("""COMPUTED_VALUE"""),436.0)</f>
        <v>436</v>
      </c>
    </row>
    <row r="414">
      <c r="A414" s="25">
        <f>IFERROR(__xludf.DUMMYFUNCTION("""COMPUTED_VALUE"""),45582.0)</f>
        <v>45582</v>
      </c>
      <c r="B414" s="26" t="str">
        <f>IFERROR(__xludf.DUMMYFUNCTION("""COMPUTED_VALUE"""),"Instagram")</f>
        <v>Instagram</v>
      </c>
      <c r="C414" s="26">
        <f>IFERROR(__xludf.DUMMYFUNCTION("""COMPUTED_VALUE"""),2.0)</f>
        <v>2</v>
      </c>
      <c r="D414" s="26">
        <f>IFERROR(__xludf.DUMMYFUNCTION("""COMPUTED_VALUE"""),0.0)</f>
        <v>0</v>
      </c>
      <c r="E414" s="26">
        <f>IFERROR(__xludf.DUMMYFUNCTION("""COMPUTED_VALUE"""),426.0)</f>
        <v>426</v>
      </c>
    </row>
    <row r="415">
      <c r="A415" s="25">
        <f>IFERROR(__xludf.DUMMYFUNCTION("""COMPUTED_VALUE"""),45583.0)</f>
        <v>45583</v>
      </c>
      <c r="B415" s="26" t="str">
        <f>IFERROR(__xludf.DUMMYFUNCTION("""COMPUTED_VALUE"""),"Instagram")</f>
        <v>Instagram</v>
      </c>
      <c r="C415" s="26">
        <f>IFERROR(__xludf.DUMMYFUNCTION("""COMPUTED_VALUE"""),10.0)</f>
        <v>10</v>
      </c>
      <c r="D415" s="26">
        <f>IFERROR(__xludf.DUMMYFUNCTION("""COMPUTED_VALUE"""),0.0)</f>
        <v>0</v>
      </c>
      <c r="E415" s="26">
        <f>IFERROR(__xludf.DUMMYFUNCTION("""COMPUTED_VALUE"""),726.0)</f>
        <v>726</v>
      </c>
    </row>
    <row r="416">
      <c r="A416" s="25">
        <f>IFERROR(__xludf.DUMMYFUNCTION("""COMPUTED_VALUE"""),45584.0)</f>
        <v>45584</v>
      </c>
      <c r="B416" s="26" t="str">
        <f>IFERROR(__xludf.DUMMYFUNCTION("""COMPUTED_VALUE"""),"Instagram")</f>
        <v>Instagram</v>
      </c>
      <c r="C416" s="26">
        <f>IFERROR(__xludf.DUMMYFUNCTION("""COMPUTED_VALUE"""),1.0)</f>
        <v>1</v>
      </c>
      <c r="D416" s="26">
        <f>IFERROR(__xludf.DUMMYFUNCTION("""COMPUTED_VALUE"""),0.0)</f>
        <v>0</v>
      </c>
      <c r="E416" s="26">
        <f>IFERROR(__xludf.DUMMYFUNCTION("""COMPUTED_VALUE"""),730.0)</f>
        <v>730</v>
      </c>
    </row>
    <row r="417">
      <c r="A417" s="25">
        <f>IFERROR(__xludf.DUMMYFUNCTION("""COMPUTED_VALUE"""),45585.0)</f>
        <v>45585</v>
      </c>
      <c r="B417" s="26" t="str">
        <f>IFERROR(__xludf.DUMMYFUNCTION("""COMPUTED_VALUE"""),"Instagram")</f>
        <v>Instagram</v>
      </c>
      <c r="C417" s="26">
        <f>IFERROR(__xludf.DUMMYFUNCTION("""COMPUTED_VALUE"""),1.0)</f>
        <v>1</v>
      </c>
      <c r="D417" s="26">
        <f>IFERROR(__xludf.DUMMYFUNCTION("""COMPUTED_VALUE"""),0.0)</f>
        <v>0</v>
      </c>
      <c r="E417" s="26">
        <f>IFERROR(__xludf.DUMMYFUNCTION("""COMPUTED_VALUE"""),131.0)</f>
        <v>131</v>
      </c>
    </row>
    <row r="418">
      <c r="A418" s="25">
        <f>IFERROR(__xludf.DUMMYFUNCTION("""COMPUTED_VALUE"""),45586.0)</f>
        <v>45586</v>
      </c>
      <c r="B418" s="26" t="str">
        <f>IFERROR(__xludf.DUMMYFUNCTION("""COMPUTED_VALUE"""),"Instagram")</f>
        <v>Instagram</v>
      </c>
      <c r="C418" s="26">
        <f>IFERROR(__xludf.DUMMYFUNCTION("""COMPUTED_VALUE"""),1.0)</f>
        <v>1</v>
      </c>
      <c r="D418" s="26">
        <f>IFERROR(__xludf.DUMMYFUNCTION("""COMPUTED_VALUE"""),0.0)</f>
        <v>0</v>
      </c>
      <c r="E418" s="26">
        <f>IFERROR(__xludf.DUMMYFUNCTION("""COMPUTED_VALUE"""),72.0)</f>
        <v>72</v>
      </c>
    </row>
    <row r="419">
      <c r="A419" s="25">
        <f>IFERROR(__xludf.DUMMYFUNCTION("""COMPUTED_VALUE"""),45587.0)</f>
        <v>45587</v>
      </c>
      <c r="B419" s="26" t="str">
        <f>IFERROR(__xludf.DUMMYFUNCTION("""COMPUTED_VALUE"""),"Instagram")</f>
        <v>Instagram</v>
      </c>
      <c r="C419" s="26">
        <f>IFERROR(__xludf.DUMMYFUNCTION("""COMPUTED_VALUE"""),4.0)</f>
        <v>4</v>
      </c>
      <c r="D419" s="26">
        <f>IFERROR(__xludf.DUMMYFUNCTION("""COMPUTED_VALUE"""),0.0)</f>
        <v>0</v>
      </c>
      <c r="E419" s="26">
        <f>IFERROR(__xludf.DUMMYFUNCTION("""COMPUTED_VALUE"""),66.0)</f>
        <v>66</v>
      </c>
    </row>
    <row r="420">
      <c r="A420" s="25">
        <f>IFERROR(__xludf.DUMMYFUNCTION("""COMPUTED_VALUE"""),45588.0)</f>
        <v>45588</v>
      </c>
      <c r="B420" s="26" t="str">
        <f>IFERROR(__xludf.DUMMYFUNCTION("""COMPUTED_VALUE"""),"Instagram")</f>
        <v>Instagram</v>
      </c>
      <c r="C420" s="26">
        <f>IFERROR(__xludf.DUMMYFUNCTION("""COMPUTED_VALUE"""),2.0)</f>
        <v>2</v>
      </c>
      <c r="D420" s="26">
        <f>IFERROR(__xludf.DUMMYFUNCTION("""COMPUTED_VALUE"""),0.0)</f>
        <v>0</v>
      </c>
      <c r="E420" s="26">
        <f>IFERROR(__xludf.DUMMYFUNCTION("""COMPUTED_VALUE"""),51.0)</f>
        <v>51</v>
      </c>
    </row>
    <row r="421">
      <c r="A421" s="25">
        <f>IFERROR(__xludf.DUMMYFUNCTION("""COMPUTED_VALUE"""),45589.0)</f>
        <v>45589</v>
      </c>
      <c r="B421" s="26" t="str">
        <f>IFERROR(__xludf.DUMMYFUNCTION("""COMPUTED_VALUE"""),"Instagram")</f>
        <v>Instagram</v>
      </c>
      <c r="C421" s="26">
        <f>IFERROR(__xludf.DUMMYFUNCTION("""COMPUTED_VALUE"""),3.0)</f>
        <v>3</v>
      </c>
      <c r="D421" s="26">
        <f>IFERROR(__xludf.DUMMYFUNCTION("""COMPUTED_VALUE"""),0.0)</f>
        <v>0</v>
      </c>
      <c r="E421" s="26">
        <f>IFERROR(__xludf.DUMMYFUNCTION("""COMPUTED_VALUE"""),1659.0)</f>
        <v>1659</v>
      </c>
    </row>
    <row r="422">
      <c r="A422" s="25">
        <f>IFERROR(__xludf.DUMMYFUNCTION("""COMPUTED_VALUE"""),45590.0)</f>
        <v>45590</v>
      </c>
      <c r="B422" s="26" t="str">
        <f>IFERROR(__xludf.DUMMYFUNCTION("""COMPUTED_VALUE"""),"Instagram")</f>
        <v>Instagram</v>
      </c>
      <c r="C422" s="26">
        <f>IFERROR(__xludf.DUMMYFUNCTION("""COMPUTED_VALUE"""),2.0)</f>
        <v>2</v>
      </c>
      <c r="D422" s="26">
        <f>IFERROR(__xludf.DUMMYFUNCTION("""COMPUTED_VALUE"""),52.0)</f>
        <v>52</v>
      </c>
      <c r="E422" s="26">
        <f>IFERROR(__xludf.DUMMYFUNCTION("""COMPUTED_VALUE"""),576.0)</f>
        <v>576</v>
      </c>
    </row>
    <row r="423">
      <c r="A423" s="25">
        <f>IFERROR(__xludf.DUMMYFUNCTION("""COMPUTED_VALUE"""),45591.0)</f>
        <v>45591</v>
      </c>
      <c r="B423" s="26" t="str">
        <f>IFERROR(__xludf.DUMMYFUNCTION("""COMPUTED_VALUE"""),"Instagram")</f>
        <v>Instagram</v>
      </c>
      <c r="C423" s="26">
        <f>IFERROR(__xludf.DUMMYFUNCTION("""COMPUTED_VALUE"""),2.0)</f>
        <v>2</v>
      </c>
      <c r="D423" s="26">
        <f>IFERROR(__xludf.DUMMYFUNCTION("""COMPUTED_VALUE"""),20.0)</f>
        <v>20</v>
      </c>
      <c r="E423" s="26">
        <f>IFERROR(__xludf.DUMMYFUNCTION("""COMPUTED_VALUE"""),131.0)</f>
        <v>131</v>
      </c>
    </row>
    <row r="424">
      <c r="A424" s="25">
        <f>IFERROR(__xludf.DUMMYFUNCTION("""COMPUTED_VALUE"""),45592.0)</f>
        <v>45592</v>
      </c>
      <c r="B424" s="26" t="str">
        <f>IFERROR(__xludf.DUMMYFUNCTION("""COMPUTED_VALUE"""),"Instagram")</f>
        <v>Instagram</v>
      </c>
      <c r="C424" s="26">
        <f>IFERROR(__xludf.DUMMYFUNCTION("""COMPUTED_VALUE"""),1.0)</f>
        <v>1</v>
      </c>
      <c r="D424" s="26">
        <f>IFERROR(__xludf.DUMMYFUNCTION("""COMPUTED_VALUE"""),3.0)</f>
        <v>3</v>
      </c>
      <c r="E424" s="26">
        <f>IFERROR(__xludf.DUMMYFUNCTION("""COMPUTED_VALUE"""),97.0)</f>
        <v>97</v>
      </c>
    </row>
    <row r="425">
      <c r="A425" s="25">
        <f>IFERROR(__xludf.DUMMYFUNCTION("""COMPUTED_VALUE"""),45593.0)</f>
        <v>45593</v>
      </c>
      <c r="B425" s="26" t="str">
        <f>IFERROR(__xludf.DUMMYFUNCTION("""COMPUTED_VALUE"""),"Instagram")</f>
        <v>Instagram</v>
      </c>
      <c r="C425" s="26">
        <f>IFERROR(__xludf.DUMMYFUNCTION("""COMPUTED_VALUE"""),1.0)</f>
        <v>1</v>
      </c>
      <c r="D425" s="26">
        <f>IFERROR(__xludf.DUMMYFUNCTION("""COMPUTED_VALUE"""),4.0)</f>
        <v>4</v>
      </c>
      <c r="E425" s="26">
        <f>IFERROR(__xludf.DUMMYFUNCTION("""COMPUTED_VALUE"""),56.0)</f>
        <v>56</v>
      </c>
    </row>
    <row r="426">
      <c r="A426" s="25">
        <f>IFERROR(__xludf.DUMMYFUNCTION("""COMPUTED_VALUE"""),45594.0)</f>
        <v>45594</v>
      </c>
      <c r="B426" s="26" t="str">
        <f>IFERROR(__xludf.DUMMYFUNCTION("""COMPUTED_VALUE"""),"Instagram")</f>
        <v>Instagram</v>
      </c>
      <c r="C426" s="26">
        <f>IFERROR(__xludf.DUMMYFUNCTION("""COMPUTED_VALUE"""),9.0)</f>
        <v>9</v>
      </c>
      <c r="D426" s="26">
        <f>IFERROR(__xludf.DUMMYFUNCTION("""COMPUTED_VALUE"""),4.0)</f>
        <v>4</v>
      </c>
      <c r="E426" s="26">
        <f>IFERROR(__xludf.DUMMYFUNCTION("""COMPUTED_VALUE"""),58.0)</f>
        <v>58</v>
      </c>
    </row>
    <row r="427">
      <c r="A427" s="25">
        <f>IFERROR(__xludf.DUMMYFUNCTION("""COMPUTED_VALUE"""),45595.0)</f>
        <v>45595</v>
      </c>
      <c r="B427" s="26" t="str">
        <f>IFERROR(__xludf.DUMMYFUNCTION("""COMPUTED_VALUE"""),"Instagram")</f>
        <v>Instagram</v>
      </c>
      <c r="C427" s="26">
        <f>IFERROR(__xludf.DUMMYFUNCTION("""COMPUTED_VALUE"""),4.0)</f>
        <v>4</v>
      </c>
      <c r="D427" s="26">
        <f>IFERROR(__xludf.DUMMYFUNCTION("""COMPUTED_VALUE"""),75.0)</f>
        <v>75</v>
      </c>
      <c r="E427" s="26">
        <f>IFERROR(__xludf.DUMMYFUNCTION("""COMPUTED_VALUE"""),546.0)</f>
        <v>546</v>
      </c>
    </row>
    <row r="428">
      <c r="A428" s="25">
        <f>IFERROR(__xludf.DUMMYFUNCTION("""COMPUTED_VALUE"""),45596.0)</f>
        <v>45596</v>
      </c>
      <c r="B428" s="26" t="str">
        <f>IFERROR(__xludf.DUMMYFUNCTION("""COMPUTED_VALUE"""),"Instagram")</f>
        <v>Instagram</v>
      </c>
      <c r="C428" s="26">
        <f>IFERROR(__xludf.DUMMYFUNCTION("""COMPUTED_VALUE"""),3.0)</f>
        <v>3</v>
      </c>
      <c r="D428" s="26">
        <f>IFERROR(__xludf.DUMMYFUNCTION("""COMPUTED_VALUE"""),23.0)</f>
        <v>23</v>
      </c>
      <c r="E428" s="26">
        <f>IFERROR(__xludf.DUMMYFUNCTION("""COMPUTED_VALUE"""),251.0)</f>
        <v>251</v>
      </c>
    </row>
    <row r="429">
      <c r="A429" s="25">
        <f>IFERROR(__xludf.DUMMYFUNCTION("""COMPUTED_VALUE"""),45597.0)</f>
        <v>45597</v>
      </c>
      <c r="B429" s="26" t="str">
        <f>IFERROR(__xludf.DUMMYFUNCTION("""COMPUTED_VALUE"""),"Instagram")</f>
        <v>Instagram</v>
      </c>
      <c r="C429" s="26">
        <f>IFERROR(__xludf.DUMMYFUNCTION("""COMPUTED_VALUE"""),2.0)</f>
        <v>2</v>
      </c>
      <c r="D429" s="26">
        <f>IFERROR(__xludf.DUMMYFUNCTION("""COMPUTED_VALUE"""),84.0)</f>
        <v>84</v>
      </c>
      <c r="E429" s="26">
        <f>IFERROR(__xludf.DUMMYFUNCTION("""COMPUTED_VALUE"""),1159.0)</f>
        <v>1159</v>
      </c>
    </row>
    <row r="430">
      <c r="A430" s="25">
        <f>IFERROR(__xludf.DUMMYFUNCTION("""COMPUTED_VALUE"""),45598.0)</f>
        <v>45598</v>
      </c>
      <c r="B430" s="26" t="str">
        <f>IFERROR(__xludf.DUMMYFUNCTION("""COMPUTED_VALUE"""),"Instagram")</f>
        <v>Instagram</v>
      </c>
      <c r="C430" s="26">
        <f>IFERROR(__xludf.DUMMYFUNCTION("""COMPUTED_VALUE"""),1.0)</f>
        <v>1</v>
      </c>
      <c r="D430" s="26">
        <f>IFERROR(__xludf.DUMMYFUNCTION("""COMPUTED_VALUE"""),43.0)</f>
        <v>43</v>
      </c>
      <c r="E430" s="26">
        <f>IFERROR(__xludf.DUMMYFUNCTION("""COMPUTED_VALUE"""),1330.0)</f>
        <v>1330</v>
      </c>
    </row>
    <row r="431">
      <c r="A431" s="25">
        <f>IFERROR(__xludf.DUMMYFUNCTION("""COMPUTED_VALUE"""),45599.0)</f>
        <v>45599</v>
      </c>
      <c r="B431" s="26" t="str">
        <f>IFERROR(__xludf.DUMMYFUNCTION("""COMPUTED_VALUE"""),"Instagram")</f>
        <v>Instagram</v>
      </c>
      <c r="C431" s="26">
        <f>IFERROR(__xludf.DUMMYFUNCTION("""COMPUTED_VALUE"""),2.0)</f>
        <v>2</v>
      </c>
      <c r="D431" s="26">
        <f>IFERROR(__xludf.DUMMYFUNCTION("""COMPUTED_VALUE"""),21.0)</f>
        <v>21</v>
      </c>
      <c r="E431" s="26">
        <f>IFERROR(__xludf.DUMMYFUNCTION("""COMPUTED_VALUE"""),303.0)</f>
        <v>303</v>
      </c>
    </row>
    <row r="432">
      <c r="A432" s="25">
        <f>IFERROR(__xludf.DUMMYFUNCTION("""COMPUTED_VALUE"""),45600.0)</f>
        <v>45600</v>
      </c>
      <c r="B432" s="26" t="str">
        <f>IFERROR(__xludf.DUMMYFUNCTION("""COMPUTED_VALUE"""),"Instagram")</f>
        <v>Instagram</v>
      </c>
      <c r="C432" s="26">
        <f>IFERROR(__xludf.DUMMYFUNCTION("""COMPUTED_VALUE"""),1.0)</f>
        <v>1</v>
      </c>
      <c r="D432" s="26">
        <f>IFERROR(__xludf.DUMMYFUNCTION("""COMPUTED_VALUE"""),10.0)</f>
        <v>10</v>
      </c>
      <c r="E432" s="26">
        <f>IFERROR(__xludf.DUMMYFUNCTION("""COMPUTED_VALUE"""),155.0)</f>
        <v>155</v>
      </c>
    </row>
    <row r="433">
      <c r="A433" s="25">
        <f>IFERROR(__xludf.DUMMYFUNCTION("""COMPUTED_VALUE"""),45601.0)</f>
        <v>45601</v>
      </c>
      <c r="B433" s="26" t="str">
        <f>IFERROR(__xludf.DUMMYFUNCTION("""COMPUTED_VALUE"""),"Instagram")</f>
        <v>Instagram</v>
      </c>
      <c r="C433" s="26">
        <f>IFERROR(__xludf.DUMMYFUNCTION("""COMPUTED_VALUE"""),3.0)</f>
        <v>3</v>
      </c>
      <c r="D433" s="26">
        <f>IFERROR(__xludf.DUMMYFUNCTION("""COMPUTED_VALUE"""),3.0)</f>
        <v>3</v>
      </c>
      <c r="E433" s="26">
        <f>IFERROR(__xludf.DUMMYFUNCTION("""COMPUTED_VALUE"""),105.0)</f>
        <v>105</v>
      </c>
    </row>
    <row r="434">
      <c r="A434" s="25">
        <f>IFERROR(__xludf.DUMMYFUNCTION("""COMPUTED_VALUE"""),45602.0)</f>
        <v>45602</v>
      </c>
      <c r="B434" s="26" t="str">
        <f>IFERROR(__xludf.DUMMYFUNCTION("""COMPUTED_VALUE"""),"Instagram")</f>
        <v>Instagram</v>
      </c>
      <c r="C434" s="26">
        <f>IFERROR(__xludf.DUMMYFUNCTION("""COMPUTED_VALUE"""),4.0)</f>
        <v>4</v>
      </c>
      <c r="D434" s="26">
        <f>IFERROR(__xludf.DUMMYFUNCTION("""COMPUTED_VALUE"""),41.0)</f>
        <v>41</v>
      </c>
      <c r="E434" s="26">
        <f>IFERROR(__xludf.DUMMYFUNCTION("""COMPUTED_VALUE"""),490.0)</f>
        <v>490</v>
      </c>
    </row>
    <row r="435">
      <c r="A435" s="25">
        <f>IFERROR(__xludf.DUMMYFUNCTION("""COMPUTED_VALUE"""),45603.0)</f>
        <v>45603</v>
      </c>
      <c r="B435" s="26" t="str">
        <f>IFERROR(__xludf.DUMMYFUNCTION("""COMPUTED_VALUE"""),"Instagram")</f>
        <v>Instagram</v>
      </c>
      <c r="C435" s="26">
        <f>IFERROR(__xludf.DUMMYFUNCTION("""COMPUTED_VALUE"""),4.0)</f>
        <v>4</v>
      </c>
      <c r="D435" s="26">
        <f>IFERROR(__xludf.DUMMYFUNCTION("""COMPUTED_VALUE"""),12.0)</f>
        <v>12</v>
      </c>
      <c r="E435" s="26">
        <f>IFERROR(__xludf.DUMMYFUNCTION("""COMPUTED_VALUE"""),520.0)</f>
        <v>520</v>
      </c>
    </row>
    <row r="436">
      <c r="A436" s="25">
        <f>IFERROR(__xludf.DUMMYFUNCTION("""COMPUTED_VALUE"""),45604.0)</f>
        <v>45604</v>
      </c>
      <c r="B436" s="26" t="str">
        <f>IFERROR(__xludf.DUMMYFUNCTION("""COMPUTED_VALUE"""),"Instagram")</f>
        <v>Instagram</v>
      </c>
      <c r="C436" s="26">
        <f>IFERROR(__xludf.DUMMYFUNCTION("""COMPUTED_VALUE"""),1.0)</f>
        <v>1</v>
      </c>
      <c r="D436" s="26">
        <f>IFERROR(__xludf.DUMMYFUNCTION("""COMPUTED_VALUE"""),3.0)</f>
        <v>3</v>
      </c>
      <c r="E436" s="26">
        <f>IFERROR(__xludf.DUMMYFUNCTION("""COMPUTED_VALUE"""),86.0)</f>
        <v>86</v>
      </c>
    </row>
    <row r="437">
      <c r="A437" s="25">
        <f>IFERROR(__xludf.DUMMYFUNCTION("""COMPUTED_VALUE"""),45605.0)</f>
        <v>45605</v>
      </c>
      <c r="B437" s="26" t="str">
        <f>IFERROR(__xludf.DUMMYFUNCTION("""COMPUTED_VALUE"""),"Instagram")</f>
        <v>Instagram</v>
      </c>
      <c r="C437" s="26">
        <f>IFERROR(__xludf.DUMMYFUNCTION("""COMPUTED_VALUE"""),8.0)</f>
        <v>8</v>
      </c>
      <c r="D437" s="26">
        <f>IFERROR(__xludf.DUMMYFUNCTION("""COMPUTED_VALUE"""),27.0)</f>
        <v>27</v>
      </c>
      <c r="E437" s="26">
        <f>IFERROR(__xludf.DUMMYFUNCTION("""COMPUTED_VALUE"""),369.0)</f>
        <v>369</v>
      </c>
    </row>
    <row r="438">
      <c r="A438" s="25">
        <f>IFERROR(__xludf.DUMMYFUNCTION("""COMPUTED_VALUE"""),45606.0)</f>
        <v>45606</v>
      </c>
      <c r="B438" s="26" t="str">
        <f>IFERROR(__xludf.DUMMYFUNCTION("""COMPUTED_VALUE"""),"Instagram")</f>
        <v>Instagram</v>
      </c>
      <c r="C438" s="26"/>
      <c r="D438" s="26">
        <f>IFERROR(__xludf.DUMMYFUNCTION("""COMPUTED_VALUE"""),11.0)</f>
        <v>11</v>
      </c>
      <c r="E438" s="26">
        <f>IFERROR(__xludf.DUMMYFUNCTION("""COMPUTED_VALUE"""),121.0)</f>
        <v>121</v>
      </c>
    </row>
    <row r="439">
      <c r="A439" s="25">
        <f>IFERROR(__xludf.DUMMYFUNCTION("""COMPUTED_VALUE"""),45607.0)</f>
        <v>45607</v>
      </c>
      <c r="B439" s="26" t="str">
        <f>IFERROR(__xludf.DUMMYFUNCTION("""COMPUTED_VALUE"""),"Instagram")</f>
        <v>Instagram</v>
      </c>
      <c r="C439" s="26">
        <f>IFERROR(__xludf.DUMMYFUNCTION("""COMPUTED_VALUE"""),1.0)</f>
        <v>1</v>
      </c>
      <c r="D439" s="26">
        <f>IFERROR(__xludf.DUMMYFUNCTION("""COMPUTED_VALUE"""),3.0)</f>
        <v>3</v>
      </c>
      <c r="E439" s="26">
        <f>IFERROR(__xludf.DUMMYFUNCTION("""COMPUTED_VALUE"""),319.0)</f>
        <v>319</v>
      </c>
    </row>
    <row r="440">
      <c r="A440" s="25">
        <f>IFERROR(__xludf.DUMMYFUNCTION("""COMPUTED_VALUE"""),45608.0)</f>
        <v>45608</v>
      </c>
      <c r="B440" s="26" t="str">
        <f>IFERROR(__xludf.DUMMYFUNCTION("""COMPUTED_VALUE"""),"Instagram")</f>
        <v>Instagram</v>
      </c>
      <c r="C440" s="26">
        <f>IFERROR(__xludf.DUMMYFUNCTION("""COMPUTED_VALUE"""),1.0)</f>
        <v>1</v>
      </c>
      <c r="D440" s="26">
        <f>IFERROR(__xludf.DUMMYFUNCTION("""COMPUTED_VALUE"""),12.0)</f>
        <v>12</v>
      </c>
      <c r="E440" s="26">
        <f>IFERROR(__xludf.DUMMYFUNCTION("""COMPUTED_VALUE"""),278.0)</f>
        <v>278</v>
      </c>
    </row>
    <row r="441">
      <c r="A441" s="25">
        <f>IFERROR(__xludf.DUMMYFUNCTION("""COMPUTED_VALUE"""),45609.0)</f>
        <v>45609</v>
      </c>
      <c r="B441" s="26" t="str">
        <f>IFERROR(__xludf.DUMMYFUNCTION("""COMPUTED_VALUE"""),"Instagram")</f>
        <v>Instagram</v>
      </c>
      <c r="C441" s="26">
        <f>IFERROR(__xludf.DUMMYFUNCTION("""COMPUTED_VALUE"""),4.0)</f>
        <v>4</v>
      </c>
      <c r="D441" s="26">
        <f>IFERROR(__xludf.DUMMYFUNCTION("""COMPUTED_VALUE"""),56.0)</f>
        <v>56</v>
      </c>
      <c r="E441" s="26">
        <f>IFERROR(__xludf.DUMMYFUNCTION("""COMPUTED_VALUE"""),988.0)</f>
        <v>988</v>
      </c>
    </row>
    <row r="442">
      <c r="A442" s="25">
        <f>IFERROR(__xludf.DUMMYFUNCTION("""COMPUTED_VALUE"""),45610.0)</f>
        <v>45610</v>
      </c>
      <c r="B442" s="26" t="str">
        <f>IFERROR(__xludf.DUMMYFUNCTION("""COMPUTED_VALUE"""),"Instagram")</f>
        <v>Instagram</v>
      </c>
      <c r="C442" s="26">
        <f>IFERROR(__xludf.DUMMYFUNCTION("""COMPUTED_VALUE"""),5.0)</f>
        <v>5</v>
      </c>
      <c r="D442" s="26">
        <f>IFERROR(__xludf.DUMMYFUNCTION("""COMPUTED_VALUE"""),79.0)</f>
        <v>79</v>
      </c>
      <c r="E442" s="26">
        <f>IFERROR(__xludf.DUMMYFUNCTION("""COMPUTED_VALUE"""),936.0)</f>
        <v>936</v>
      </c>
    </row>
    <row r="443">
      <c r="A443" s="25">
        <f>IFERROR(__xludf.DUMMYFUNCTION("""COMPUTED_VALUE"""),45611.0)</f>
        <v>45611</v>
      </c>
      <c r="B443" s="26" t="str">
        <f>IFERROR(__xludf.DUMMYFUNCTION("""COMPUTED_VALUE"""),"Instagram")</f>
        <v>Instagram</v>
      </c>
      <c r="C443" s="26">
        <f>IFERROR(__xludf.DUMMYFUNCTION("""COMPUTED_VALUE"""),2.0)</f>
        <v>2</v>
      </c>
      <c r="D443" s="26">
        <f>IFERROR(__xludf.DUMMYFUNCTION("""COMPUTED_VALUE"""),74.0)</f>
        <v>74</v>
      </c>
      <c r="E443" s="26">
        <f>IFERROR(__xludf.DUMMYFUNCTION("""COMPUTED_VALUE"""),929.0)</f>
        <v>929</v>
      </c>
    </row>
    <row r="444">
      <c r="A444" s="25">
        <f>IFERROR(__xludf.DUMMYFUNCTION("""COMPUTED_VALUE"""),45612.0)</f>
        <v>45612</v>
      </c>
      <c r="B444" s="26" t="str">
        <f>IFERROR(__xludf.DUMMYFUNCTION("""COMPUTED_VALUE"""),"Instagram")</f>
        <v>Instagram</v>
      </c>
      <c r="C444" s="26"/>
      <c r="D444" s="26">
        <f>IFERROR(__xludf.DUMMYFUNCTION("""COMPUTED_VALUE"""),20.0)</f>
        <v>20</v>
      </c>
      <c r="E444" s="26">
        <f>IFERROR(__xludf.DUMMYFUNCTION("""COMPUTED_VALUE"""),639.0)</f>
        <v>639</v>
      </c>
    </row>
    <row r="445">
      <c r="A445" s="25">
        <f>IFERROR(__xludf.DUMMYFUNCTION("""COMPUTED_VALUE"""),45613.0)</f>
        <v>45613</v>
      </c>
      <c r="B445" s="26" t="str">
        <f>IFERROR(__xludf.DUMMYFUNCTION("""COMPUTED_VALUE"""),"Instagram")</f>
        <v>Instagram</v>
      </c>
      <c r="C445" s="26">
        <f>IFERROR(__xludf.DUMMYFUNCTION("""COMPUTED_VALUE"""),4.0)</f>
        <v>4</v>
      </c>
      <c r="D445" s="26">
        <f>IFERROR(__xludf.DUMMYFUNCTION("""COMPUTED_VALUE"""),12.0)</f>
        <v>12</v>
      </c>
      <c r="E445" s="26">
        <f>IFERROR(__xludf.DUMMYFUNCTION("""COMPUTED_VALUE"""),263.0)</f>
        <v>263</v>
      </c>
    </row>
    <row r="446">
      <c r="A446" s="25">
        <f>IFERROR(__xludf.DUMMYFUNCTION("""COMPUTED_VALUE"""),45614.0)</f>
        <v>45614</v>
      </c>
      <c r="B446" s="26" t="str">
        <f>IFERROR(__xludf.DUMMYFUNCTION("""COMPUTED_VALUE"""),"Instagram")</f>
        <v>Instagram</v>
      </c>
      <c r="C446" s="26">
        <f>IFERROR(__xludf.DUMMYFUNCTION("""COMPUTED_VALUE"""),4.0)</f>
        <v>4</v>
      </c>
      <c r="D446" s="26">
        <f>IFERROR(__xludf.DUMMYFUNCTION("""COMPUTED_VALUE"""),6.0)</f>
        <v>6</v>
      </c>
      <c r="E446" s="26">
        <f>IFERROR(__xludf.DUMMYFUNCTION("""COMPUTED_VALUE"""),182.0)</f>
        <v>182</v>
      </c>
    </row>
    <row r="447">
      <c r="A447" s="25">
        <f>IFERROR(__xludf.DUMMYFUNCTION("""COMPUTED_VALUE"""),45615.0)</f>
        <v>45615</v>
      </c>
      <c r="B447" s="26" t="str">
        <f>IFERROR(__xludf.DUMMYFUNCTION("""COMPUTED_VALUE"""),"Instagram")</f>
        <v>Instagram</v>
      </c>
      <c r="C447" s="26"/>
      <c r="D447" s="26">
        <f>IFERROR(__xludf.DUMMYFUNCTION("""COMPUTED_VALUE"""),4.0)</f>
        <v>4</v>
      </c>
      <c r="E447" s="26">
        <f>IFERROR(__xludf.DUMMYFUNCTION("""COMPUTED_VALUE"""),106.0)</f>
        <v>106</v>
      </c>
    </row>
    <row r="448">
      <c r="A448" s="25">
        <f>IFERROR(__xludf.DUMMYFUNCTION("""COMPUTED_VALUE"""),45616.0)</f>
        <v>45616</v>
      </c>
      <c r="B448" s="26" t="str">
        <f>IFERROR(__xludf.DUMMYFUNCTION("""COMPUTED_VALUE"""),"Instagram")</f>
        <v>Instagram</v>
      </c>
      <c r="C448" s="26">
        <f>IFERROR(__xludf.DUMMYFUNCTION("""COMPUTED_VALUE"""),6.0)</f>
        <v>6</v>
      </c>
      <c r="D448" s="26">
        <f>IFERROR(__xludf.DUMMYFUNCTION("""COMPUTED_VALUE"""),31.0)</f>
        <v>31</v>
      </c>
      <c r="E448" s="26">
        <f>IFERROR(__xludf.DUMMYFUNCTION("""COMPUTED_VALUE"""),307.0)</f>
        <v>307</v>
      </c>
    </row>
    <row r="449">
      <c r="A449" s="25">
        <f>IFERROR(__xludf.DUMMYFUNCTION("""COMPUTED_VALUE"""),45617.0)</f>
        <v>45617</v>
      </c>
      <c r="B449" s="26" t="str">
        <f>IFERROR(__xludf.DUMMYFUNCTION("""COMPUTED_VALUE"""),"Instagram")</f>
        <v>Instagram</v>
      </c>
      <c r="C449" s="26">
        <f>IFERROR(__xludf.DUMMYFUNCTION("""COMPUTED_VALUE"""),3.0)</f>
        <v>3</v>
      </c>
      <c r="D449" s="26">
        <f>IFERROR(__xludf.DUMMYFUNCTION("""COMPUTED_VALUE"""),7.0)</f>
        <v>7</v>
      </c>
      <c r="E449" s="26">
        <f>IFERROR(__xludf.DUMMYFUNCTION("""COMPUTED_VALUE"""),138.0)</f>
        <v>138</v>
      </c>
    </row>
    <row r="450">
      <c r="A450" s="25">
        <f>IFERROR(__xludf.DUMMYFUNCTION("""COMPUTED_VALUE"""),45618.0)</f>
        <v>45618</v>
      </c>
      <c r="B450" s="26" t="str">
        <f>IFERROR(__xludf.DUMMYFUNCTION("""COMPUTED_VALUE"""),"Instagram")</f>
        <v>Instagram</v>
      </c>
      <c r="C450" s="26">
        <f>IFERROR(__xludf.DUMMYFUNCTION("""COMPUTED_VALUE"""),1.0)</f>
        <v>1</v>
      </c>
      <c r="D450" s="26">
        <f>IFERROR(__xludf.DUMMYFUNCTION("""COMPUTED_VALUE"""),11.0)</f>
        <v>11</v>
      </c>
      <c r="E450" s="26">
        <f>IFERROR(__xludf.DUMMYFUNCTION("""COMPUTED_VALUE"""),131.0)</f>
        <v>131</v>
      </c>
    </row>
    <row r="451">
      <c r="A451" s="25">
        <f>IFERROR(__xludf.DUMMYFUNCTION("""COMPUTED_VALUE"""),45619.0)</f>
        <v>45619</v>
      </c>
      <c r="B451" s="26" t="str">
        <f>IFERROR(__xludf.DUMMYFUNCTION("""COMPUTED_VALUE"""),"Instagram")</f>
        <v>Instagram</v>
      </c>
      <c r="C451" s="26">
        <f>IFERROR(__xludf.DUMMYFUNCTION("""COMPUTED_VALUE"""),1.0)</f>
        <v>1</v>
      </c>
      <c r="D451" s="26">
        <f>IFERROR(__xludf.DUMMYFUNCTION("""COMPUTED_VALUE"""),12.0)</f>
        <v>12</v>
      </c>
      <c r="E451" s="26">
        <f>IFERROR(__xludf.DUMMYFUNCTION("""COMPUTED_VALUE"""),118.0)</f>
        <v>118</v>
      </c>
    </row>
    <row r="452">
      <c r="A452" s="25">
        <f>IFERROR(__xludf.DUMMYFUNCTION("""COMPUTED_VALUE"""),45620.0)</f>
        <v>45620</v>
      </c>
      <c r="B452" s="26" t="str">
        <f>IFERROR(__xludf.DUMMYFUNCTION("""COMPUTED_VALUE"""),"Instagram")</f>
        <v>Instagram</v>
      </c>
      <c r="C452" s="26">
        <f>IFERROR(__xludf.DUMMYFUNCTION("""COMPUTED_VALUE"""),2.0)</f>
        <v>2</v>
      </c>
      <c r="D452" s="26">
        <f>IFERROR(__xludf.DUMMYFUNCTION("""COMPUTED_VALUE"""),7.0)</f>
        <v>7</v>
      </c>
      <c r="E452" s="26">
        <f>IFERROR(__xludf.DUMMYFUNCTION("""COMPUTED_VALUE"""),121.0)</f>
        <v>121</v>
      </c>
    </row>
    <row r="453">
      <c r="A453" s="25">
        <f>IFERROR(__xludf.DUMMYFUNCTION("""COMPUTED_VALUE"""),45621.0)</f>
        <v>45621</v>
      </c>
      <c r="B453" s="26" t="str">
        <f>IFERROR(__xludf.DUMMYFUNCTION("""COMPUTED_VALUE"""),"Instagram")</f>
        <v>Instagram</v>
      </c>
      <c r="C453" s="26">
        <f>IFERROR(__xludf.DUMMYFUNCTION("""COMPUTED_VALUE"""),1.0)</f>
        <v>1</v>
      </c>
      <c r="D453" s="26">
        <f>IFERROR(__xludf.DUMMYFUNCTION("""COMPUTED_VALUE"""),3.0)</f>
        <v>3</v>
      </c>
      <c r="E453" s="26">
        <f>IFERROR(__xludf.DUMMYFUNCTION("""COMPUTED_VALUE"""),77.0)</f>
        <v>77</v>
      </c>
    </row>
    <row r="454">
      <c r="A454" s="25">
        <f>IFERROR(__xludf.DUMMYFUNCTION("""COMPUTED_VALUE"""),45622.0)</f>
        <v>45622</v>
      </c>
      <c r="B454" s="26" t="str">
        <f>IFERROR(__xludf.DUMMYFUNCTION("""COMPUTED_VALUE"""),"Instagram")</f>
        <v>Instagram</v>
      </c>
      <c r="C454" s="26"/>
      <c r="D454" s="26">
        <f>IFERROR(__xludf.DUMMYFUNCTION("""COMPUTED_VALUE"""),2.0)</f>
        <v>2</v>
      </c>
      <c r="E454" s="26">
        <f>IFERROR(__xludf.DUMMYFUNCTION("""COMPUTED_VALUE"""),349.0)</f>
        <v>349</v>
      </c>
    </row>
    <row r="455">
      <c r="A455" s="25">
        <f>IFERROR(__xludf.DUMMYFUNCTION("""COMPUTED_VALUE"""),45623.0)</f>
        <v>45623</v>
      </c>
      <c r="B455" s="26" t="str">
        <f>IFERROR(__xludf.DUMMYFUNCTION("""COMPUTED_VALUE"""),"Instagram")</f>
        <v>Instagram</v>
      </c>
      <c r="C455" s="26">
        <f>IFERROR(__xludf.DUMMYFUNCTION("""COMPUTED_VALUE"""),2.0)</f>
        <v>2</v>
      </c>
      <c r="D455" s="26">
        <f>IFERROR(__xludf.DUMMYFUNCTION("""COMPUTED_VALUE"""),2.0)</f>
        <v>2</v>
      </c>
      <c r="E455" s="26">
        <f>IFERROR(__xludf.DUMMYFUNCTION("""COMPUTED_VALUE"""),95.0)</f>
        <v>95</v>
      </c>
    </row>
    <row r="456">
      <c r="A456" s="25">
        <f>IFERROR(__xludf.DUMMYFUNCTION("""COMPUTED_VALUE"""),45624.0)</f>
        <v>45624</v>
      </c>
      <c r="B456" s="26" t="str">
        <f>IFERROR(__xludf.DUMMYFUNCTION("""COMPUTED_VALUE"""),"Instagram")</f>
        <v>Instagram</v>
      </c>
      <c r="C456" s="26">
        <f>IFERROR(__xludf.DUMMYFUNCTION("""COMPUTED_VALUE"""),2.0)</f>
        <v>2</v>
      </c>
      <c r="D456" s="26">
        <f>IFERROR(__xludf.DUMMYFUNCTION("""COMPUTED_VALUE"""),80.0)</f>
        <v>80</v>
      </c>
      <c r="E456" s="26">
        <f>IFERROR(__xludf.DUMMYFUNCTION("""COMPUTED_VALUE"""),890.0)</f>
        <v>890</v>
      </c>
    </row>
    <row r="457">
      <c r="A457" s="25">
        <f>IFERROR(__xludf.DUMMYFUNCTION("""COMPUTED_VALUE"""),45625.0)</f>
        <v>45625</v>
      </c>
      <c r="B457" s="26" t="str">
        <f>IFERROR(__xludf.DUMMYFUNCTION("""COMPUTED_VALUE"""),"Instagram")</f>
        <v>Instagram</v>
      </c>
      <c r="C457" s="26">
        <f>IFERROR(__xludf.DUMMYFUNCTION("""COMPUTED_VALUE"""),1.0)</f>
        <v>1</v>
      </c>
      <c r="D457" s="26">
        <f>IFERROR(__xludf.DUMMYFUNCTION("""COMPUTED_VALUE"""),45.0)</f>
        <v>45</v>
      </c>
      <c r="E457" s="26">
        <f>IFERROR(__xludf.DUMMYFUNCTION("""COMPUTED_VALUE"""),1830.0)</f>
        <v>1830</v>
      </c>
    </row>
    <row r="458">
      <c r="A458" s="25">
        <f>IFERROR(__xludf.DUMMYFUNCTION("""COMPUTED_VALUE"""),45626.0)</f>
        <v>45626</v>
      </c>
      <c r="B458" s="26" t="str">
        <f>IFERROR(__xludf.DUMMYFUNCTION("""COMPUTED_VALUE"""),"Instagram")</f>
        <v>Instagram</v>
      </c>
      <c r="C458" s="26">
        <f>IFERROR(__xludf.DUMMYFUNCTION("""COMPUTED_VALUE"""),2.0)</f>
        <v>2</v>
      </c>
      <c r="D458" s="26">
        <f>IFERROR(__xludf.DUMMYFUNCTION("""COMPUTED_VALUE"""),8.0)</f>
        <v>8</v>
      </c>
      <c r="E458" s="26">
        <f>IFERROR(__xludf.DUMMYFUNCTION("""COMPUTED_VALUE"""),320.0)</f>
        <v>320</v>
      </c>
    </row>
    <row r="459">
      <c r="A459" s="25">
        <f>IFERROR(__xludf.DUMMYFUNCTION("""COMPUTED_VALUE"""),45627.0)</f>
        <v>45627</v>
      </c>
      <c r="B459" s="26" t="str">
        <f>IFERROR(__xludf.DUMMYFUNCTION("""COMPUTED_VALUE"""),"Instagram")</f>
        <v>Instagram</v>
      </c>
      <c r="C459" s="26">
        <f>IFERROR(__xludf.DUMMYFUNCTION("""COMPUTED_VALUE"""),1.0)</f>
        <v>1</v>
      </c>
      <c r="D459" s="26">
        <f>IFERROR(__xludf.DUMMYFUNCTION("""COMPUTED_VALUE"""),10.0)</f>
        <v>10</v>
      </c>
      <c r="E459" s="26">
        <f>IFERROR(__xludf.DUMMYFUNCTION("""COMPUTED_VALUE"""),85.0)</f>
        <v>85</v>
      </c>
    </row>
    <row r="460">
      <c r="A460" s="25">
        <f>IFERROR(__xludf.DUMMYFUNCTION("""COMPUTED_VALUE"""),45628.0)</f>
        <v>45628</v>
      </c>
      <c r="B460" s="26" t="str">
        <f>IFERROR(__xludf.DUMMYFUNCTION("""COMPUTED_VALUE"""),"Instagram")</f>
        <v>Instagram</v>
      </c>
      <c r="C460" s="26">
        <f>IFERROR(__xludf.DUMMYFUNCTION("""COMPUTED_VALUE"""),2.0)</f>
        <v>2</v>
      </c>
      <c r="D460" s="26">
        <f>IFERROR(__xludf.DUMMYFUNCTION("""COMPUTED_VALUE"""),50.0)</f>
        <v>50</v>
      </c>
      <c r="E460" s="26">
        <f>IFERROR(__xludf.DUMMYFUNCTION("""COMPUTED_VALUE"""),974.0)</f>
        <v>974</v>
      </c>
    </row>
    <row r="461">
      <c r="A461" s="25">
        <f>IFERROR(__xludf.DUMMYFUNCTION("""COMPUTED_VALUE"""),45629.0)</f>
        <v>45629</v>
      </c>
      <c r="B461" s="26" t="str">
        <f>IFERROR(__xludf.DUMMYFUNCTION("""COMPUTED_VALUE"""),"Instagram")</f>
        <v>Instagram</v>
      </c>
      <c r="C461" s="26">
        <f>IFERROR(__xludf.DUMMYFUNCTION("""COMPUTED_VALUE"""),45.0)</f>
        <v>45</v>
      </c>
      <c r="D461" s="26">
        <f>IFERROR(__xludf.DUMMYFUNCTION("""COMPUTED_VALUE"""),83.0)</f>
        <v>83</v>
      </c>
      <c r="E461" s="26">
        <f>IFERROR(__xludf.DUMMYFUNCTION("""COMPUTED_VALUE"""),1487.0)</f>
        <v>1487</v>
      </c>
    </row>
    <row r="462">
      <c r="A462" s="25">
        <f>IFERROR(__xludf.DUMMYFUNCTION("""COMPUTED_VALUE"""),45630.0)</f>
        <v>45630</v>
      </c>
      <c r="B462" s="26" t="str">
        <f>IFERROR(__xludf.DUMMYFUNCTION("""COMPUTED_VALUE"""),"Instagram")</f>
        <v>Instagram</v>
      </c>
      <c r="C462" s="26">
        <f>IFERROR(__xludf.DUMMYFUNCTION("""COMPUTED_VALUE"""),24.0)</f>
        <v>24</v>
      </c>
      <c r="D462" s="26">
        <f>IFERROR(__xludf.DUMMYFUNCTION("""COMPUTED_VALUE"""),48.0)</f>
        <v>48</v>
      </c>
      <c r="E462" s="26">
        <f>IFERROR(__xludf.DUMMYFUNCTION("""COMPUTED_VALUE"""),1412.0)</f>
        <v>1412</v>
      </c>
    </row>
    <row r="463">
      <c r="A463" s="25">
        <f>IFERROR(__xludf.DUMMYFUNCTION("""COMPUTED_VALUE"""),45631.0)</f>
        <v>45631</v>
      </c>
      <c r="B463" s="26" t="str">
        <f>IFERROR(__xludf.DUMMYFUNCTION("""COMPUTED_VALUE"""),"Instagram")</f>
        <v>Instagram</v>
      </c>
      <c r="C463" s="26">
        <f>IFERROR(__xludf.DUMMYFUNCTION("""COMPUTED_VALUE"""),4.0)</f>
        <v>4</v>
      </c>
      <c r="D463" s="26">
        <f>IFERROR(__xludf.DUMMYFUNCTION("""COMPUTED_VALUE"""),24.0)</f>
        <v>24</v>
      </c>
      <c r="E463" s="26">
        <f>IFERROR(__xludf.DUMMYFUNCTION("""COMPUTED_VALUE"""),564.0)</f>
        <v>564</v>
      </c>
    </row>
    <row r="464">
      <c r="A464" s="25">
        <f>IFERROR(__xludf.DUMMYFUNCTION("""COMPUTED_VALUE"""),45632.0)</f>
        <v>45632</v>
      </c>
      <c r="B464" s="26" t="str">
        <f>IFERROR(__xludf.DUMMYFUNCTION("""COMPUTED_VALUE"""),"Instagram")</f>
        <v>Instagram</v>
      </c>
      <c r="C464" s="26">
        <f>IFERROR(__xludf.DUMMYFUNCTION("""COMPUTED_VALUE"""),2.0)</f>
        <v>2</v>
      </c>
      <c r="D464" s="26">
        <f>IFERROR(__xludf.DUMMYFUNCTION("""COMPUTED_VALUE"""),2.0)</f>
        <v>2</v>
      </c>
      <c r="E464" s="26">
        <f>IFERROR(__xludf.DUMMYFUNCTION("""COMPUTED_VALUE"""),1347.0)</f>
        <v>1347</v>
      </c>
    </row>
    <row r="465">
      <c r="A465" s="25">
        <f>IFERROR(__xludf.DUMMYFUNCTION("""COMPUTED_VALUE"""),45633.0)</f>
        <v>45633</v>
      </c>
      <c r="B465" s="26" t="str">
        <f>IFERROR(__xludf.DUMMYFUNCTION("""COMPUTED_VALUE"""),"Instagram")</f>
        <v>Instagram</v>
      </c>
      <c r="C465" s="26">
        <f>IFERROR(__xludf.DUMMYFUNCTION("""COMPUTED_VALUE"""),5.0)</f>
        <v>5</v>
      </c>
      <c r="D465" s="26">
        <f>IFERROR(__xludf.DUMMYFUNCTION("""COMPUTED_VALUE"""),4.0)</f>
        <v>4</v>
      </c>
      <c r="E465" s="26">
        <f>IFERROR(__xludf.DUMMYFUNCTION("""COMPUTED_VALUE"""),588.0)</f>
        <v>588</v>
      </c>
    </row>
    <row r="466">
      <c r="A466" s="25">
        <f>IFERROR(__xludf.DUMMYFUNCTION("""COMPUTED_VALUE"""),45634.0)</f>
        <v>45634</v>
      </c>
      <c r="B466" s="26" t="str">
        <f>IFERROR(__xludf.DUMMYFUNCTION("""COMPUTED_VALUE"""),"Instagram")</f>
        <v>Instagram</v>
      </c>
      <c r="C466" s="26">
        <f>IFERROR(__xludf.DUMMYFUNCTION("""COMPUTED_VALUE"""),1.0)</f>
        <v>1</v>
      </c>
      <c r="D466" s="26">
        <f>IFERROR(__xludf.DUMMYFUNCTION("""COMPUTED_VALUE"""),7.0)</f>
        <v>7</v>
      </c>
      <c r="E466" s="26">
        <f>IFERROR(__xludf.DUMMYFUNCTION("""COMPUTED_VALUE"""),277.0)</f>
        <v>277</v>
      </c>
    </row>
    <row r="467">
      <c r="A467" s="25">
        <f>IFERROR(__xludf.DUMMYFUNCTION("""COMPUTED_VALUE"""),45635.0)</f>
        <v>45635</v>
      </c>
      <c r="B467" s="26" t="str">
        <f>IFERROR(__xludf.DUMMYFUNCTION("""COMPUTED_VALUE"""),"Instagram")</f>
        <v>Instagram</v>
      </c>
      <c r="C467" s="26">
        <f>IFERROR(__xludf.DUMMYFUNCTION("""COMPUTED_VALUE"""),1.0)</f>
        <v>1</v>
      </c>
      <c r="D467" s="26">
        <f>IFERROR(__xludf.DUMMYFUNCTION("""COMPUTED_VALUE"""),4.0)</f>
        <v>4</v>
      </c>
      <c r="E467" s="26">
        <f>IFERROR(__xludf.DUMMYFUNCTION("""COMPUTED_VALUE"""),261.0)</f>
        <v>261</v>
      </c>
    </row>
    <row r="468">
      <c r="A468" s="25">
        <f>IFERROR(__xludf.DUMMYFUNCTION("""COMPUTED_VALUE"""),45636.0)</f>
        <v>45636</v>
      </c>
      <c r="B468" s="26" t="str">
        <f>IFERROR(__xludf.DUMMYFUNCTION("""COMPUTED_VALUE"""),"Instagram")</f>
        <v>Instagram</v>
      </c>
      <c r="C468" s="26">
        <f>IFERROR(__xludf.DUMMYFUNCTION("""COMPUTED_VALUE"""),3.0)</f>
        <v>3</v>
      </c>
      <c r="D468" s="26">
        <f>IFERROR(__xludf.DUMMYFUNCTION("""COMPUTED_VALUE"""),0.0)</f>
        <v>0</v>
      </c>
      <c r="E468" s="26">
        <f>IFERROR(__xludf.DUMMYFUNCTION("""COMPUTED_VALUE"""),214.0)</f>
        <v>214</v>
      </c>
    </row>
    <row r="469">
      <c r="A469" s="25">
        <f>IFERROR(__xludf.DUMMYFUNCTION("""COMPUTED_VALUE"""),45637.0)</f>
        <v>45637</v>
      </c>
      <c r="B469" s="26" t="str">
        <f>IFERROR(__xludf.DUMMYFUNCTION("""COMPUTED_VALUE"""),"Instagram")</f>
        <v>Instagram</v>
      </c>
      <c r="C469" s="26">
        <f>IFERROR(__xludf.DUMMYFUNCTION("""COMPUTED_VALUE"""),2.0)</f>
        <v>2</v>
      </c>
      <c r="D469" s="26">
        <f>IFERROR(__xludf.DUMMYFUNCTION("""COMPUTED_VALUE"""),3.0)</f>
        <v>3</v>
      </c>
      <c r="E469" s="26">
        <f>IFERROR(__xludf.DUMMYFUNCTION("""COMPUTED_VALUE"""),468.0)</f>
        <v>468</v>
      </c>
    </row>
    <row r="470">
      <c r="A470" s="25">
        <f>IFERROR(__xludf.DUMMYFUNCTION("""COMPUTED_VALUE"""),45638.0)</f>
        <v>45638</v>
      </c>
      <c r="B470" s="26" t="str">
        <f>IFERROR(__xludf.DUMMYFUNCTION("""COMPUTED_VALUE"""),"Instagram")</f>
        <v>Instagram</v>
      </c>
      <c r="C470" s="26">
        <f>IFERROR(__xludf.DUMMYFUNCTION("""COMPUTED_VALUE"""),1.0)</f>
        <v>1</v>
      </c>
      <c r="D470" s="26">
        <f>IFERROR(__xludf.DUMMYFUNCTION("""COMPUTED_VALUE"""),35.0)</f>
        <v>35</v>
      </c>
      <c r="E470" s="26">
        <f>IFERROR(__xludf.DUMMYFUNCTION("""COMPUTED_VALUE"""),1604.0)</f>
        <v>1604</v>
      </c>
    </row>
    <row r="471">
      <c r="A471" s="25">
        <f>IFERROR(__xludf.DUMMYFUNCTION("""COMPUTED_VALUE"""),45639.0)</f>
        <v>45639</v>
      </c>
      <c r="B471" s="26" t="str">
        <f>IFERROR(__xludf.DUMMYFUNCTION("""COMPUTED_VALUE"""),"Instagram")</f>
        <v>Instagram</v>
      </c>
      <c r="C471" s="26">
        <f>IFERROR(__xludf.DUMMYFUNCTION("""COMPUTED_VALUE"""),1.0)</f>
        <v>1</v>
      </c>
      <c r="D471" s="26">
        <f>IFERROR(__xludf.DUMMYFUNCTION("""COMPUTED_VALUE"""),15.0)</f>
        <v>15</v>
      </c>
      <c r="E471" s="26">
        <f>IFERROR(__xludf.DUMMYFUNCTION("""COMPUTED_VALUE"""),800.0)</f>
        <v>800</v>
      </c>
    </row>
    <row r="472">
      <c r="A472" s="25">
        <f>IFERROR(__xludf.DUMMYFUNCTION("""COMPUTED_VALUE"""),45640.0)</f>
        <v>45640</v>
      </c>
      <c r="B472" s="26" t="str">
        <f>IFERROR(__xludf.DUMMYFUNCTION("""COMPUTED_VALUE"""),"Instagram")</f>
        <v>Instagram</v>
      </c>
      <c r="C472" s="26">
        <f>IFERROR(__xludf.DUMMYFUNCTION("""COMPUTED_VALUE"""),3.0)</f>
        <v>3</v>
      </c>
      <c r="D472" s="26">
        <f>IFERROR(__xludf.DUMMYFUNCTION("""COMPUTED_VALUE"""),6.0)</f>
        <v>6</v>
      </c>
      <c r="E472" s="26">
        <f>IFERROR(__xludf.DUMMYFUNCTION("""COMPUTED_VALUE"""),448.0)</f>
        <v>448</v>
      </c>
    </row>
    <row r="473">
      <c r="A473" s="25">
        <f>IFERROR(__xludf.DUMMYFUNCTION("""COMPUTED_VALUE"""),45641.0)</f>
        <v>45641</v>
      </c>
      <c r="B473" s="26" t="str">
        <f>IFERROR(__xludf.DUMMYFUNCTION("""COMPUTED_VALUE"""),"Instagram")</f>
        <v>Instagram</v>
      </c>
      <c r="C473" s="26">
        <f>IFERROR(__xludf.DUMMYFUNCTION("""COMPUTED_VALUE"""),2.0)</f>
        <v>2</v>
      </c>
      <c r="D473" s="26">
        <f>IFERROR(__xludf.DUMMYFUNCTION("""COMPUTED_VALUE"""),5.0)</f>
        <v>5</v>
      </c>
      <c r="E473" s="26">
        <f>IFERROR(__xludf.DUMMYFUNCTION("""COMPUTED_VALUE"""),580.0)</f>
        <v>580</v>
      </c>
    </row>
    <row r="474">
      <c r="A474" s="25">
        <f>IFERROR(__xludf.DUMMYFUNCTION("""COMPUTED_VALUE"""),45642.0)</f>
        <v>45642</v>
      </c>
      <c r="B474" s="26" t="str">
        <f>IFERROR(__xludf.DUMMYFUNCTION("""COMPUTED_VALUE"""),"Instagram")</f>
        <v>Instagram</v>
      </c>
      <c r="C474" s="26"/>
      <c r="D474" s="26">
        <f>IFERROR(__xludf.DUMMYFUNCTION("""COMPUTED_VALUE"""),4.0)</f>
        <v>4</v>
      </c>
      <c r="E474" s="26">
        <f>IFERROR(__xludf.DUMMYFUNCTION("""COMPUTED_VALUE"""),277.0)</f>
        <v>277</v>
      </c>
    </row>
    <row r="475">
      <c r="A475" s="25">
        <f>IFERROR(__xludf.DUMMYFUNCTION("""COMPUTED_VALUE"""),45643.0)</f>
        <v>45643</v>
      </c>
      <c r="B475" s="26" t="str">
        <f>IFERROR(__xludf.DUMMYFUNCTION("""COMPUTED_VALUE"""),"Instagram")</f>
        <v>Instagram</v>
      </c>
      <c r="C475" s="26"/>
      <c r="D475" s="26">
        <f>IFERROR(__xludf.DUMMYFUNCTION("""COMPUTED_VALUE"""),4.0)</f>
        <v>4</v>
      </c>
      <c r="E475" s="26">
        <f>IFERROR(__xludf.DUMMYFUNCTION("""COMPUTED_VALUE"""),1018.0)</f>
        <v>1018</v>
      </c>
    </row>
    <row r="476">
      <c r="A476" s="25">
        <f>IFERROR(__xludf.DUMMYFUNCTION("""COMPUTED_VALUE"""),45644.0)</f>
        <v>45644</v>
      </c>
      <c r="B476" s="26" t="str">
        <f>IFERROR(__xludf.DUMMYFUNCTION("""COMPUTED_VALUE"""),"Instagram")</f>
        <v>Instagram</v>
      </c>
      <c r="C476" s="26"/>
      <c r="D476" s="26">
        <f>IFERROR(__xludf.DUMMYFUNCTION("""COMPUTED_VALUE"""),79.0)</f>
        <v>79</v>
      </c>
      <c r="E476" s="26">
        <f>IFERROR(__xludf.DUMMYFUNCTION("""COMPUTED_VALUE"""),1212.0)</f>
        <v>1212</v>
      </c>
    </row>
    <row r="477">
      <c r="A477" s="25">
        <f>IFERROR(__xludf.DUMMYFUNCTION("""COMPUTED_VALUE"""),45645.0)</f>
        <v>45645</v>
      </c>
      <c r="B477" s="26" t="str">
        <f>IFERROR(__xludf.DUMMYFUNCTION("""COMPUTED_VALUE"""),"Instagram")</f>
        <v>Instagram</v>
      </c>
      <c r="C477" s="26">
        <f>IFERROR(__xludf.DUMMYFUNCTION("""COMPUTED_VALUE"""),1.0)</f>
        <v>1</v>
      </c>
      <c r="D477" s="26">
        <f>IFERROR(__xludf.DUMMYFUNCTION("""COMPUTED_VALUE"""),19.0)</f>
        <v>19</v>
      </c>
      <c r="E477" s="26">
        <f>IFERROR(__xludf.DUMMYFUNCTION("""COMPUTED_VALUE"""),668.0)</f>
        <v>668</v>
      </c>
    </row>
    <row r="478">
      <c r="A478" s="25">
        <f>IFERROR(__xludf.DUMMYFUNCTION("""COMPUTED_VALUE"""),45646.0)</f>
        <v>45646</v>
      </c>
      <c r="B478" s="26" t="str">
        <f>IFERROR(__xludf.DUMMYFUNCTION("""COMPUTED_VALUE"""),"Instagram")</f>
        <v>Instagram</v>
      </c>
      <c r="C478" s="26">
        <f>IFERROR(__xludf.DUMMYFUNCTION("""COMPUTED_VALUE"""),1.0)</f>
        <v>1</v>
      </c>
      <c r="D478" s="26">
        <f>IFERROR(__xludf.DUMMYFUNCTION("""COMPUTED_VALUE"""),56.0)</f>
        <v>56</v>
      </c>
      <c r="E478" s="26">
        <f>IFERROR(__xludf.DUMMYFUNCTION("""COMPUTED_VALUE"""),716.0)</f>
        <v>716</v>
      </c>
    </row>
    <row r="479">
      <c r="A479" s="25">
        <f>IFERROR(__xludf.DUMMYFUNCTION("""COMPUTED_VALUE"""),45647.0)</f>
        <v>45647</v>
      </c>
      <c r="B479" s="26" t="str">
        <f>IFERROR(__xludf.DUMMYFUNCTION("""COMPUTED_VALUE"""),"Instagram")</f>
        <v>Instagram</v>
      </c>
      <c r="C479" s="26">
        <f>IFERROR(__xludf.DUMMYFUNCTION("""COMPUTED_VALUE"""),2.0)</f>
        <v>2</v>
      </c>
      <c r="D479" s="26">
        <f>IFERROR(__xludf.DUMMYFUNCTION("""COMPUTED_VALUE"""),18.0)</f>
        <v>18</v>
      </c>
      <c r="E479" s="26">
        <f>IFERROR(__xludf.DUMMYFUNCTION("""COMPUTED_VALUE"""),650.0)</f>
        <v>650</v>
      </c>
    </row>
    <row r="480">
      <c r="A480" s="25">
        <f>IFERROR(__xludf.DUMMYFUNCTION("""COMPUTED_VALUE"""),45648.0)</f>
        <v>45648</v>
      </c>
      <c r="B480" s="26" t="str">
        <f>IFERROR(__xludf.DUMMYFUNCTION("""COMPUTED_VALUE"""),"Instagram")</f>
        <v>Instagram</v>
      </c>
      <c r="C480" s="26">
        <f>IFERROR(__xludf.DUMMYFUNCTION("""COMPUTED_VALUE"""),1.0)</f>
        <v>1</v>
      </c>
      <c r="D480" s="26">
        <f>IFERROR(__xludf.DUMMYFUNCTION("""COMPUTED_VALUE"""),97.0)</f>
        <v>97</v>
      </c>
      <c r="E480" s="26">
        <f>IFERROR(__xludf.DUMMYFUNCTION("""COMPUTED_VALUE"""),1303.0)</f>
        <v>1303</v>
      </c>
    </row>
    <row r="481">
      <c r="A481" s="25">
        <f>IFERROR(__xludf.DUMMYFUNCTION("""COMPUTED_VALUE"""),45649.0)</f>
        <v>45649</v>
      </c>
      <c r="B481" s="26" t="str">
        <f>IFERROR(__xludf.DUMMYFUNCTION("""COMPUTED_VALUE"""),"Instagram")</f>
        <v>Instagram</v>
      </c>
      <c r="C481" s="26">
        <f>IFERROR(__xludf.DUMMYFUNCTION("""COMPUTED_VALUE"""),2.0)</f>
        <v>2</v>
      </c>
      <c r="D481" s="26">
        <f>IFERROR(__xludf.DUMMYFUNCTION("""COMPUTED_VALUE"""),27.0)</f>
        <v>27</v>
      </c>
      <c r="E481" s="26">
        <f>IFERROR(__xludf.DUMMYFUNCTION("""COMPUTED_VALUE"""),682.0)</f>
        <v>682</v>
      </c>
    </row>
    <row r="482">
      <c r="A482" s="25">
        <f>IFERROR(__xludf.DUMMYFUNCTION("""COMPUTED_VALUE"""),45650.0)</f>
        <v>45650</v>
      </c>
      <c r="B482" s="26" t="str">
        <f>IFERROR(__xludf.DUMMYFUNCTION("""COMPUTED_VALUE"""),"Instagram")</f>
        <v>Instagram</v>
      </c>
      <c r="C482" s="26">
        <f>IFERROR(__xludf.DUMMYFUNCTION("""COMPUTED_VALUE"""),1.0)</f>
        <v>1</v>
      </c>
      <c r="D482" s="26">
        <f>IFERROR(__xludf.DUMMYFUNCTION("""COMPUTED_VALUE"""),10.0)</f>
        <v>10</v>
      </c>
      <c r="E482" s="26">
        <f>IFERROR(__xludf.DUMMYFUNCTION("""COMPUTED_VALUE"""),276.0)</f>
        <v>276</v>
      </c>
    </row>
    <row r="483">
      <c r="A483" s="25">
        <f>IFERROR(__xludf.DUMMYFUNCTION("""COMPUTED_VALUE"""),45651.0)</f>
        <v>45651</v>
      </c>
      <c r="B483" s="26" t="str">
        <f>IFERROR(__xludf.DUMMYFUNCTION("""COMPUTED_VALUE"""),"Instagram")</f>
        <v>Instagram</v>
      </c>
      <c r="C483" s="26"/>
      <c r="D483" s="26">
        <f>IFERROR(__xludf.DUMMYFUNCTION("""COMPUTED_VALUE"""),7.0)</f>
        <v>7</v>
      </c>
      <c r="E483" s="26">
        <f>IFERROR(__xludf.DUMMYFUNCTION("""COMPUTED_VALUE"""),409.0)</f>
        <v>409</v>
      </c>
    </row>
    <row r="484">
      <c r="A484" s="25">
        <f>IFERROR(__xludf.DUMMYFUNCTION("""COMPUTED_VALUE"""),45652.0)</f>
        <v>45652</v>
      </c>
      <c r="B484" s="26" t="str">
        <f>IFERROR(__xludf.DUMMYFUNCTION("""COMPUTED_VALUE"""),"Instagram")</f>
        <v>Instagram</v>
      </c>
      <c r="C484" s="26">
        <f>IFERROR(__xludf.DUMMYFUNCTION("""COMPUTED_VALUE"""),1.0)</f>
        <v>1</v>
      </c>
      <c r="D484" s="26">
        <f>IFERROR(__xludf.DUMMYFUNCTION("""COMPUTED_VALUE"""),2.0)</f>
        <v>2</v>
      </c>
      <c r="E484" s="26">
        <f>IFERROR(__xludf.DUMMYFUNCTION("""COMPUTED_VALUE"""),348.0)</f>
        <v>348</v>
      </c>
    </row>
    <row r="485">
      <c r="A485" s="25">
        <f>IFERROR(__xludf.DUMMYFUNCTION("""COMPUTED_VALUE"""),45653.0)</f>
        <v>45653</v>
      </c>
      <c r="B485" s="26" t="str">
        <f>IFERROR(__xludf.DUMMYFUNCTION("""COMPUTED_VALUE"""),"Instagram")</f>
        <v>Instagram</v>
      </c>
      <c r="C485" s="26">
        <f>IFERROR(__xludf.DUMMYFUNCTION("""COMPUTED_VALUE"""),3.0)</f>
        <v>3</v>
      </c>
      <c r="D485" s="26">
        <f>IFERROR(__xludf.DUMMYFUNCTION("""COMPUTED_VALUE"""),1.0)</f>
        <v>1</v>
      </c>
      <c r="E485" s="26">
        <f>IFERROR(__xludf.DUMMYFUNCTION("""COMPUTED_VALUE"""),284.0)</f>
        <v>284</v>
      </c>
    </row>
    <row r="486">
      <c r="A486" s="25">
        <f>IFERROR(__xludf.DUMMYFUNCTION("""COMPUTED_VALUE"""),45654.0)</f>
        <v>45654</v>
      </c>
      <c r="B486" s="26" t="str">
        <f>IFERROR(__xludf.DUMMYFUNCTION("""COMPUTED_VALUE"""),"Instagram")</f>
        <v>Instagram</v>
      </c>
      <c r="C486" s="26">
        <f>IFERROR(__xludf.DUMMYFUNCTION("""COMPUTED_VALUE"""),2.0)</f>
        <v>2</v>
      </c>
      <c r="D486" s="26">
        <f>IFERROR(__xludf.DUMMYFUNCTION("""COMPUTED_VALUE"""),4.0)</f>
        <v>4</v>
      </c>
      <c r="E486" s="26">
        <f>IFERROR(__xludf.DUMMYFUNCTION("""COMPUTED_VALUE"""),727.0)</f>
        <v>727</v>
      </c>
    </row>
    <row r="487">
      <c r="A487" s="25">
        <f>IFERROR(__xludf.DUMMYFUNCTION("""COMPUTED_VALUE"""),45655.0)</f>
        <v>45655</v>
      </c>
      <c r="B487" s="26" t="str">
        <f>IFERROR(__xludf.DUMMYFUNCTION("""COMPUTED_VALUE"""),"Instagram")</f>
        <v>Instagram</v>
      </c>
      <c r="C487" s="26">
        <f>IFERROR(__xludf.DUMMYFUNCTION("""COMPUTED_VALUE"""),1.0)</f>
        <v>1</v>
      </c>
      <c r="D487" s="26">
        <f>IFERROR(__xludf.DUMMYFUNCTION("""COMPUTED_VALUE"""),3.0)</f>
        <v>3</v>
      </c>
      <c r="E487" s="26">
        <f>IFERROR(__xludf.DUMMYFUNCTION("""COMPUTED_VALUE"""),672.0)</f>
        <v>672</v>
      </c>
    </row>
    <row r="488">
      <c r="A488" s="25">
        <f>IFERROR(__xludf.DUMMYFUNCTION("""COMPUTED_VALUE"""),45656.0)</f>
        <v>45656</v>
      </c>
      <c r="B488" s="26" t="str">
        <f>IFERROR(__xludf.DUMMYFUNCTION("""COMPUTED_VALUE"""),"Instagram")</f>
        <v>Instagram</v>
      </c>
      <c r="C488" s="26">
        <f>IFERROR(__xludf.DUMMYFUNCTION("""COMPUTED_VALUE"""),1.0)</f>
        <v>1</v>
      </c>
      <c r="D488" s="26">
        <f>IFERROR(__xludf.DUMMYFUNCTION("""COMPUTED_VALUE"""),4.0)</f>
        <v>4</v>
      </c>
      <c r="E488" s="26">
        <f>IFERROR(__xludf.DUMMYFUNCTION("""COMPUTED_VALUE"""),569.0)</f>
        <v>569</v>
      </c>
    </row>
    <row r="489">
      <c r="A489" s="25">
        <f>IFERROR(__xludf.DUMMYFUNCTION("""COMPUTED_VALUE"""),45657.0)</f>
        <v>45657</v>
      </c>
      <c r="B489" s="26" t="str">
        <f>IFERROR(__xludf.DUMMYFUNCTION("""COMPUTED_VALUE"""),"Instagram")</f>
        <v>Instagram</v>
      </c>
      <c r="C489" s="26">
        <f>IFERROR(__xludf.DUMMYFUNCTION("""COMPUTED_VALUE"""),2.0)</f>
        <v>2</v>
      </c>
      <c r="D489" s="26">
        <f>IFERROR(__xludf.DUMMYFUNCTION("""COMPUTED_VALUE"""),3.0)</f>
        <v>3</v>
      </c>
      <c r="E489" s="26">
        <f>IFERROR(__xludf.DUMMYFUNCTION("""COMPUTED_VALUE"""),470.0)</f>
        <v>470</v>
      </c>
    </row>
    <row r="490">
      <c r="A490" s="25">
        <f>IFERROR(__xludf.DUMMYFUNCTION("""COMPUTED_VALUE"""),45658.0)</f>
        <v>45658</v>
      </c>
      <c r="B490" s="26" t="str">
        <f>IFERROR(__xludf.DUMMYFUNCTION("""COMPUTED_VALUE"""),"Instagram")</f>
        <v>Instagram</v>
      </c>
      <c r="C490" s="26">
        <f>IFERROR(__xludf.DUMMYFUNCTION("""COMPUTED_VALUE"""),4.0)</f>
        <v>4</v>
      </c>
      <c r="D490" s="26">
        <f>IFERROR(__xludf.DUMMYFUNCTION("""COMPUTED_VALUE"""),1.0)</f>
        <v>1</v>
      </c>
      <c r="E490" s="26">
        <f>IFERROR(__xludf.DUMMYFUNCTION("""COMPUTED_VALUE"""),207.0)</f>
        <v>207</v>
      </c>
    </row>
    <row r="491">
      <c r="A491" s="25">
        <f>IFERROR(__xludf.DUMMYFUNCTION("""COMPUTED_VALUE"""),45659.0)</f>
        <v>45659</v>
      </c>
      <c r="B491" s="26" t="str">
        <f>IFERROR(__xludf.DUMMYFUNCTION("""COMPUTED_VALUE"""),"Instagram")</f>
        <v>Instagram</v>
      </c>
      <c r="C491" s="26">
        <f>IFERROR(__xludf.DUMMYFUNCTION("""COMPUTED_VALUE"""),1.0)</f>
        <v>1</v>
      </c>
      <c r="D491" s="26">
        <f>IFERROR(__xludf.DUMMYFUNCTION("""COMPUTED_VALUE"""),48.0)</f>
        <v>48</v>
      </c>
      <c r="E491" s="26">
        <f>IFERROR(__xludf.DUMMYFUNCTION("""COMPUTED_VALUE"""),849.0)</f>
        <v>849</v>
      </c>
    </row>
    <row r="492">
      <c r="A492" s="25">
        <f>IFERROR(__xludf.DUMMYFUNCTION("""COMPUTED_VALUE"""),45660.0)</f>
        <v>45660</v>
      </c>
      <c r="B492" s="26" t="str">
        <f>IFERROR(__xludf.DUMMYFUNCTION("""COMPUTED_VALUE"""),"Instagram")</f>
        <v>Instagram</v>
      </c>
      <c r="C492" s="26"/>
      <c r="D492" s="26">
        <f>IFERROR(__xludf.DUMMYFUNCTION("""COMPUTED_VALUE"""),19.0)</f>
        <v>19</v>
      </c>
      <c r="E492" s="26">
        <f>IFERROR(__xludf.DUMMYFUNCTION("""COMPUTED_VALUE"""),535.0)</f>
        <v>535</v>
      </c>
    </row>
    <row r="493">
      <c r="A493" s="25">
        <f>IFERROR(__xludf.DUMMYFUNCTION("""COMPUTED_VALUE"""),45661.0)</f>
        <v>45661</v>
      </c>
      <c r="B493" s="26" t="str">
        <f>IFERROR(__xludf.DUMMYFUNCTION("""COMPUTED_VALUE"""),"Instagram")</f>
        <v>Instagram</v>
      </c>
      <c r="C493" s="26">
        <f>IFERROR(__xludf.DUMMYFUNCTION("""COMPUTED_VALUE"""),3.0)</f>
        <v>3</v>
      </c>
      <c r="D493" s="26">
        <f>IFERROR(__xludf.DUMMYFUNCTION("""COMPUTED_VALUE"""),11.0)</f>
        <v>11</v>
      </c>
      <c r="E493" s="26">
        <f>IFERROR(__xludf.DUMMYFUNCTION("""COMPUTED_VALUE"""),191.0)</f>
        <v>191</v>
      </c>
    </row>
    <row r="494">
      <c r="A494" s="25">
        <f>IFERROR(__xludf.DUMMYFUNCTION("""COMPUTED_VALUE"""),45662.0)</f>
        <v>45662</v>
      </c>
      <c r="B494" s="26" t="str">
        <f>IFERROR(__xludf.DUMMYFUNCTION("""COMPUTED_VALUE"""),"Instagram")</f>
        <v>Instagram</v>
      </c>
      <c r="C494" s="26"/>
      <c r="D494" s="26">
        <f>IFERROR(__xludf.DUMMYFUNCTION("""COMPUTED_VALUE"""),3.0)</f>
        <v>3</v>
      </c>
      <c r="E494" s="26">
        <f>IFERROR(__xludf.DUMMYFUNCTION("""COMPUTED_VALUE"""),95.0)</f>
        <v>95</v>
      </c>
    </row>
    <row r="495">
      <c r="A495" s="25">
        <f>IFERROR(__xludf.DUMMYFUNCTION("""COMPUTED_VALUE"""),45663.0)</f>
        <v>45663</v>
      </c>
      <c r="B495" s="26" t="str">
        <f>IFERROR(__xludf.DUMMYFUNCTION("""COMPUTED_VALUE"""),"Instagram")</f>
        <v>Instagram</v>
      </c>
      <c r="C495" s="26">
        <f>IFERROR(__xludf.DUMMYFUNCTION("""COMPUTED_VALUE"""),4.0)</f>
        <v>4</v>
      </c>
      <c r="D495" s="26">
        <f>IFERROR(__xludf.DUMMYFUNCTION("""COMPUTED_VALUE"""),3.0)</f>
        <v>3</v>
      </c>
      <c r="E495" s="26">
        <f>IFERROR(__xludf.DUMMYFUNCTION("""COMPUTED_VALUE"""),119.0)</f>
        <v>119</v>
      </c>
    </row>
    <row r="496">
      <c r="A496" s="25">
        <f>IFERROR(__xludf.DUMMYFUNCTION("""COMPUTED_VALUE"""),45664.0)</f>
        <v>45664</v>
      </c>
      <c r="B496" s="26" t="str">
        <f>IFERROR(__xludf.DUMMYFUNCTION("""COMPUTED_VALUE"""),"Instagram")</f>
        <v>Instagram</v>
      </c>
      <c r="C496" s="26">
        <f>IFERROR(__xludf.DUMMYFUNCTION("""COMPUTED_VALUE"""),2.0)</f>
        <v>2</v>
      </c>
      <c r="D496" s="26">
        <f>IFERROR(__xludf.DUMMYFUNCTION("""COMPUTED_VALUE"""),16.0)</f>
        <v>16</v>
      </c>
      <c r="E496" s="26">
        <f>IFERROR(__xludf.DUMMYFUNCTION("""COMPUTED_VALUE"""),337.0)</f>
        <v>337</v>
      </c>
    </row>
    <row r="497">
      <c r="A497" s="25">
        <f>IFERROR(__xludf.DUMMYFUNCTION("""COMPUTED_VALUE"""),45665.0)</f>
        <v>45665</v>
      </c>
      <c r="B497" s="26" t="str">
        <f>IFERROR(__xludf.DUMMYFUNCTION("""COMPUTED_VALUE"""),"Instagram")</f>
        <v>Instagram</v>
      </c>
      <c r="C497" s="26">
        <f>IFERROR(__xludf.DUMMYFUNCTION("""COMPUTED_VALUE"""),2.0)</f>
        <v>2</v>
      </c>
      <c r="D497" s="26">
        <f>IFERROR(__xludf.DUMMYFUNCTION("""COMPUTED_VALUE"""),7.0)</f>
        <v>7</v>
      </c>
      <c r="E497" s="26">
        <f>IFERROR(__xludf.DUMMYFUNCTION("""COMPUTED_VALUE"""),172.0)</f>
        <v>172</v>
      </c>
    </row>
    <row r="498">
      <c r="A498" s="25">
        <f>IFERROR(__xludf.DUMMYFUNCTION("""COMPUTED_VALUE"""),45666.0)</f>
        <v>45666</v>
      </c>
      <c r="B498" s="26" t="str">
        <f>IFERROR(__xludf.DUMMYFUNCTION("""COMPUTED_VALUE"""),"Instagram")</f>
        <v>Instagram</v>
      </c>
      <c r="C498" s="26">
        <f>IFERROR(__xludf.DUMMYFUNCTION("""COMPUTED_VALUE"""),2.0)</f>
        <v>2</v>
      </c>
      <c r="D498" s="26">
        <f>IFERROR(__xludf.DUMMYFUNCTION("""COMPUTED_VALUE"""),56.0)</f>
        <v>56</v>
      </c>
      <c r="E498" s="26">
        <f>IFERROR(__xludf.DUMMYFUNCTION("""COMPUTED_VALUE"""),762.0)</f>
        <v>762</v>
      </c>
    </row>
    <row r="499">
      <c r="A499" s="25">
        <f>IFERROR(__xludf.DUMMYFUNCTION("""COMPUTED_VALUE"""),45667.0)</f>
        <v>45667</v>
      </c>
      <c r="B499" s="26" t="str">
        <f>IFERROR(__xludf.DUMMYFUNCTION("""COMPUTED_VALUE"""),"Instagram")</f>
        <v>Instagram</v>
      </c>
      <c r="C499" s="26">
        <f>IFERROR(__xludf.DUMMYFUNCTION("""COMPUTED_VALUE"""),2.0)</f>
        <v>2</v>
      </c>
      <c r="D499" s="26">
        <f>IFERROR(__xludf.DUMMYFUNCTION("""COMPUTED_VALUE"""),20.0)</f>
        <v>20</v>
      </c>
      <c r="E499" s="26">
        <f>IFERROR(__xludf.DUMMYFUNCTION("""COMPUTED_VALUE"""),338.0)</f>
        <v>338</v>
      </c>
    </row>
    <row r="500">
      <c r="A500" s="25">
        <f>IFERROR(__xludf.DUMMYFUNCTION("""COMPUTED_VALUE"""),45668.0)</f>
        <v>45668</v>
      </c>
      <c r="B500" s="26" t="str">
        <f>IFERROR(__xludf.DUMMYFUNCTION("""COMPUTED_VALUE"""),"Instagram")</f>
        <v>Instagram</v>
      </c>
      <c r="C500" s="26">
        <f>IFERROR(__xludf.DUMMYFUNCTION("""COMPUTED_VALUE"""),1.0)</f>
        <v>1</v>
      </c>
      <c r="D500" s="26">
        <f>IFERROR(__xludf.DUMMYFUNCTION("""COMPUTED_VALUE"""),4.0)</f>
        <v>4</v>
      </c>
      <c r="E500" s="26">
        <f>IFERROR(__xludf.DUMMYFUNCTION("""COMPUTED_VALUE"""),129.0)</f>
        <v>129</v>
      </c>
    </row>
    <row r="501">
      <c r="A501" s="25">
        <f>IFERROR(__xludf.DUMMYFUNCTION("""COMPUTED_VALUE"""),45669.0)</f>
        <v>45669</v>
      </c>
      <c r="B501" s="26" t="str">
        <f>IFERROR(__xludf.DUMMYFUNCTION("""COMPUTED_VALUE"""),"Instagram")</f>
        <v>Instagram</v>
      </c>
      <c r="C501" s="26">
        <f>IFERROR(__xludf.DUMMYFUNCTION("""COMPUTED_VALUE"""),1.0)</f>
        <v>1</v>
      </c>
      <c r="D501" s="26">
        <f>IFERROR(__xludf.DUMMYFUNCTION("""COMPUTED_VALUE"""),4.0)</f>
        <v>4</v>
      </c>
      <c r="E501" s="26">
        <f>IFERROR(__xludf.DUMMYFUNCTION("""COMPUTED_VALUE"""),123.0)</f>
        <v>123</v>
      </c>
    </row>
    <row r="502">
      <c r="A502" s="25">
        <f>IFERROR(__xludf.DUMMYFUNCTION("""COMPUTED_VALUE"""),45670.0)</f>
        <v>45670</v>
      </c>
      <c r="B502" s="26" t="str">
        <f>IFERROR(__xludf.DUMMYFUNCTION("""COMPUTED_VALUE"""),"Instagram")</f>
        <v>Instagram</v>
      </c>
      <c r="C502" s="26">
        <f>IFERROR(__xludf.DUMMYFUNCTION("""COMPUTED_VALUE"""),1.0)</f>
        <v>1</v>
      </c>
      <c r="D502" s="26">
        <f>IFERROR(__xludf.DUMMYFUNCTION("""COMPUTED_VALUE"""),2.0)</f>
        <v>2</v>
      </c>
      <c r="E502" s="26">
        <f>IFERROR(__xludf.DUMMYFUNCTION("""COMPUTED_VALUE"""),79.0)</f>
        <v>79</v>
      </c>
    </row>
    <row r="503">
      <c r="A503" s="25">
        <f>IFERROR(__xludf.DUMMYFUNCTION("""COMPUTED_VALUE"""),45671.0)</f>
        <v>45671</v>
      </c>
      <c r="B503" s="26" t="str">
        <f>IFERROR(__xludf.DUMMYFUNCTION("""COMPUTED_VALUE"""),"Instagram")</f>
        <v>Instagram</v>
      </c>
      <c r="C503" s="26">
        <f>IFERROR(__xludf.DUMMYFUNCTION("""COMPUTED_VALUE"""),1.0)</f>
        <v>1</v>
      </c>
      <c r="D503" s="26">
        <f>IFERROR(__xludf.DUMMYFUNCTION("""COMPUTED_VALUE"""),10.0)</f>
        <v>10</v>
      </c>
      <c r="E503" s="26">
        <f>IFERROR(__xludf.DUMMYFUNCTION("""COMPUTED_VALUE"""),287.0)</f>
        <v>287</v>
      </c>
    </row>
    <row r="504">
      <c r="A504" s="25">
        <f>IFERROR(__xludf.DUMMYFUNCTION("""COMPUTED_VALUE"""),45672.0)</f>
        <v>45672</v>
      </c>
      <c r="B504" s="26" t="str">
        <f>IFERROR(__xludf.DUMMYFUNCTION("""COMPUTED_VALUE"""),"Instagram")</f>
        <v>Instagram</v>
      </c>
      <c r="C504" s="26">
        <f>IFERROR(__xludf.DUMMYFUNCTION("""COMPUTED_VALUE"""),2.0)</f>
        <v>2</v>
      </c>
      <c r="D504" s="26">
        <f>IFERROR(__xludf.DUMMYFUNCTION("""COMPUTED_VALUE"""),10.0)</f>
        <v>10</v>
      </c>
      <c r="E504" s="26">
        <f>IFERROR(__xludf.DUMMYFUNCTION("""COMPUTED_VALUE"""),143.0)</f>
        <v>143</v>
      </c>
    </row>
    <row r="505">
      <c r="A505" s="25">
        <f>IFERROR(__xludf.DUMMYFUNCTION("""COMPUTED_VALUE"""),45673.0)</f>
        <v>45673</v>
      </c>
      <c r="B505" s="26" t="str">
        <f>IFERROR(__xludf.DUMMYFUNCTION("""COMPUTED_VALUE"""),"Instagram")</f>
        <v>Instagram</v>
      </c>
      <c r="C505" s="26">
        <f>IFERROR(__xludf.DUMMYFUNCTION("""COMPUTED_VALUE"""),6.0)</f>
        <v>6</v>
      </c>
      <c r="D505" s="26">
        <f>IFERROR(__xludf.DUMMYFUNCTION("""COMPUTED_VALUE"""),101.0)</f>
        <v>101</v>
      </c>
      <c r="E505" s="26">
        <f>IFERROR(__xludf.DUMMYFUNCTION("""COMPUTED_VALUE"""),1485.0)</f>
        <v>1485</v>
      </c>
    </row>
    <row r="506">
      <c r="A506" s="25">
        <f>IFERROR(__xludf.DUMMYFUNCTION("""COMPUTED_VALUE"""),45674.0)</f>
        <v>45674</v>
      </c>
      <c r="B506" s="26" t="str">
        <f>IFERROR(__xludf.DUMMYFUNCTION("""COMPUTED_VALUE"""),"Instagram")</f>
        <v>Instagram</v>
      </c>
      <c r="C506" s="26">
        <f>IFERROR(__xludf.DUMMYFUNCTION("""COMPUTED_VALUE"""),5.0)</f>
        <v>5</v>
      </c>
      <c r="D506" s="26">
        <f>IFERROR(__xludf.DUMMYFUNCTION("""COMPUTED_VALUE"""),62.0)</f>
        <v>62</v>
      </c>
      <c r="E506" s="26">
        <f>IFERROR(__xludf.DUMMYFUNCTION("""COMPUTED_VALUE"""),1718.0)</f>
        <v>1718</v>
      </c>
    </row>
    <row r="507">
      <c r="A507" s="25">
        <f>IFERROR(__xludf.DUMMYFUNCTION("""COMPUTED_VALUE"""),45675.0)</f>
        <v>45675</v>
      </c>
      <c r="B507" s="26" t="str">
        <f>IFERROR(__xludf.DUMMYFUNCTION("""COMPUTED_VALUE"""),"Instagram")</f>
        <v>Instagram</v>
      </c>
      <c r="C507" s="26">
        <f>IFERROR(__xludf.DUMMYFUNCTION("""COMPUTED_VALUE"""),3.0)</f>
        <v>3</v>
      </c>
      <c r="D507" s="26">
        <f>IFERROR(__xludf.DUMMYFUNCTION("""COMPUTED_VALUE"""),46.0)</f>
        <v>46</v>
      </c>
      <c r="E507" s="26">
        <f>IFERROR(__xludf.DUMMYFUNCTION("""COMPUTED_VALUE"""),2009.0)</f>
        <v>2009</v>
      </c>
    </row>
    <row r="508">
      <c r="A508" s="25">
        <f>IFERROR(__xludf.DUMMYFUNCTION("""COMPUTED_VALUE"""),45676.0)</f>
        <v>45676</v>
      </c>
      <c r="B508" s="26" t="str">
        <f>IFERROR(__xludf.DUMMYFUNCTION("""COMPUTED_VALUE"""),"Instagram")</f>
        <v>Instagram</v>
      </c>
      <c r="C508" s="26">
        <f>IFERROR(__xludf.DUMMYFUNCTION("""COMPUTED_VALUE"""),4.0)</f>
        <v>4</v>
      </c>
      <c r="D508" s="26">
        <f>IFERROR(__xludf.DUMMYFUNCTION("""COMPUTED_VALUE"""),8.0)</f>
        <v>8</v>
      </c>
      <c r="E508" s="26">
        <f>IFERROR(__xludf.DUMMYFUNCTION("""COMPUTED_VALUE"""),923.0)</f>
        <v>923</v>
      </c>
    </row>
    <row r="509">
      <c r="A509" s="25">
        <f>IFERROR(__xludf.DUMMYFUNCTION("""COMPUTED_VALUE"""),45677.0)</f>
        <v>45677</v>
      </c>
      <c r="B509" s="26" t="str">
        <f>IFERROR(__xludf.DUMMYFUNCTION("""COMPUTED_VALUE"""),"Instagram")</f>
        <v>Instagram</v>
      </c>
      <c r="C509" s="26">
        <f>IFERROR(__xludf.DUMMYFUNCTION("""COMPUTED_VALUE"""),3.0)</f>
        <v>3</v>
      </c>
      <c r="D509" s="26">
        <f>IFERROR(__xludf.DUMMYFUNCTION("""COMPUTED_VALUE"""),11.0)</f>
        <v>11</v>
      </c>
      <c r="E509" s="26">
        <f>IFERROR(__xludf.DUMMYFUNCTION("""COMPUTED_VALUE"""),589.0)</f>
        <v>589</v>
      </c>
    </row>
    <row r="510">
      <c r="A510" s="25">
        <f>IFERROR(__xludf.DUMMYFUNCTION("""COMPUTED_VALUE"""),45678.0)</f>
        <v>45678</v>
      </c>
      <c r="B510" s="26" t="str">
        <f>IFERROR(__xludf.DUMMYFUNCTION("""COMPUTED_VALUE"""),"Instagram")</f>
        <v>Instagram</v>
      </c>
      <c r="C510" s="26">
        <f>IFERROR(__xludf.DUMMYFUNCTION("""COMPUTED_VALUE"""),2.0)</f>
        <v>2</v>
      </c>
      <c r="D510" s="26">
        <f>IFERROR(__xludf.DUMMYFUNCTION("""COMPUTED_VALUE"""),17.0)</f>
        <v>17</v>
      </c>
      <c r="E510" s="26">
        <f>IFERROR(__xludf.DUMMYFUNCTION("""COMPUTED_VALUE"""),638.0)</f>
        <v>638</v>
      </c>
    </row>
    <row r="511">
      <c r="A511" s="25">
        <f>IFERROR(__xludf.DUMMYFUNCTION("""COMPUTED_VALUE"""),45679.0)</f>
        <v>45679</v>
      </c>
      <c r="B511" s="26" t="str">
        <f>IFERROR(__xludf.DUMMYFUNCTION("""COMPUTED_VALUE"""),"Instagram")</f>
        <v>Instagram</v>
      </c>
      <c r="C511" s="26">
        <f>IFERROR(__xludf.DUMMYFUNCTION("""COMPUTED_VALUE"""),2.0)</f>
        <v>2</v>
      </c>
      <c r="D511" s="26">
        <f>IFERROR(__xludf.DUMMYFUNCTION("""COMPUTED_VALUE"""),19.0)</f>
        <v>19</v>
      </c>
      <c r="E511" s="26">
        <f>IFERROR(__xludf.DUMMYFUNCTION("""COMPUTED_VALUE"""),555.0)</f>
        <v>555</v>
      </c>
    </row>
    <row r="512">
      <c r="A512" s="25">
        <f>IFERROR(__xludf.DUMMYFUNCTION("""COMPUTED_VALUE"""),45680.0)</f>
        <v>45680</v>
      </c>
      <c r="B512" s="26" t="str">
        <f>IFERROR(__xludf.DUMMYFUNCTION("""COMPUTED_VALUE"""),"Instagram")</f>
        <v>Instagram</v>
      </c>
      <c r="C512" s="26">
        <f>IFERROR(__xludf.DUMMYFUNCTION("""COMPUTED_VALUE"""),3.0)</f>
        <v>3</v>
      </c>
      <c r="D512" s="26">
        <f>IFERROR(__xludf.DUMMYFUNCTION("""COMPUTED_VALUE"""),27.0)</f>
        <v>27</v>
      </c>
      <c r="E512" s="26">
        <f>IFERROR(__xludf.DUMMYFUNCTION("""COMPUTED_VALUE"""),627.0)</f>
        <v>627</v>
      </c>
    </row>
    <row r="513">
      <c r="A513" s="25">
        <f>IFERROR(__xludf.DUMMYFUNCTION("""COMPUTED_VALUE"""),45681.0)</f>
        <v>45681</v>
      </c>
      <c r="B513" s="26" t="str">
        <f>IFERROR(__xludf.DUMMYFUNCTION("""COMPUTED_VALUE"""),"Instagram")</f>
        <v>Instagram</v>
      </c>
      <c r="C513" s="26">
        <f>IFERROR(__xludf.DUMMYFUNCTION("""COMPUTED_VALUE"""),1.0)</f>
        <v>1</v>
      </c>
      <c r="D513" s="26">
        <f>IFERROR(__xludf.DUMMYFUNCTION("""COMPUTED_VALUE"""),11.0)</f>
        <v>11</v>
      </c>
      <c r="E513" s="26">
        <f>IFERROR(__xludf.DUMMYFUNCTION("""COMPUTED_VALUE"""),379.0)</f>
        <v>379</v>
      </c>
    </row>
    <row r="514">
      <c r="A514" s="25">
        <f>IFERROR(__xludf.DUMMYFUNCTION("""COMPUTED_VALUE"""),45682.0)</f>
        <v>45682</v>
      </c>
      <c r="B514" s="26" t="str">
        <f>IFERROR(__xludf.DUMMYFUNCTION("""COMPUTED_VALUE"""),"Instagram")</f>
        <v>Instagram</v>
      </c>
      <c r="C514" s="26"/>
      <c r="D514" s="26">
        <f>IFERROR(__xludf.DUMMYFUNCTION("""COMPUTED_VALUE"""),1.0)</f>
        <v>1</v>
      </c>
      <c r="E514" s="26">
        <f>IFERROR(__xludf.DUMMYFUNCTION("""COMPUTED_VALUE"""),353.0)</f>
        <v>353</v>
      </c>
    </row>
    <row r="515">
      <c r="A515" s="25">
        <f>IFERROR(__xludf.DUMMYFUNCTION("""COMPUTED_VALUE"""),45683.0)</f>
        <v>45683</v>
      </c>
      <c r="B515" s="26" t="str">
        <f>IFERROR(__xludf.DUMMYFUNCTION("""COMPUTED_VALUE"""),"Instagram")</f>
        <v>Instagram</v>
      </c>
      <c r="C515" s="26">
        <f>IFERROR(__xludf.DUMMYFUNCTION("""COMPUTED_VALUE"""),3.0)</f>
        <v>3</v>
      </c>
      <c r="D515" s="26">
        <f>IFERROR(__xludf.DUMMYFUNCTION("""COMPUTED_VALUE"""),11.0)</f>
        <v>11</v>
      </c>
      <c r="E515" s="26">
        <f>IFERROR(__xludf.DUMMYFUNCTION("""COMPUTED_VALUE"""),258.0)</f>
        <v>258</v>
      </c>
    </row>
    <row r="516">
      <c r="A516" s="25">
        <f>IFERROR(__xludf.DUMMYFUNCTION("""COMPUTED_VALUE"""),45684.0)</f>
        <v>45684</v>
      </c>
      <c r="B516" s="26" t="str">
        <f>IFERROR(__xludf.DUMMYFUNCTION("""COMPUTED_VALUE"""),"Instagram")</f>
        <v>Instagram</v>
      </c>
      <c r="C516" s="26">
        <f>IFERROR(__xludf.DUMMYFUNCTION("""COMPUTED_VALUE"""),2.0)</f>
        <v>2</v>
      </c>
      <c r="D516" s="26">
        <f>IFERROR(__xludf.DUMMYFUNCTION("""COMPUTED_VALUE"""),44.0)</f>
        <v>44</v>
      </c>
      <c r="E516" s="26">
        <f>IFERROR(__xludf.DUMMYFUNCTION("""COMPUTED_VALUE"""),1053.0)</f>
        <v>1053</v>
      </c>
    </row>
    <row r="517">
      <c r="A517" s="25">
        <f>IFERROR(__xludf.DUMMYFUNCTION("""COMPUTED_VALUE"""),45685.0)</f>
        <v>45685</v>
      </c>
      <c r="B517" s="26" t="str">
        <f>IFERROR(__xludf.DUMMYFUNCTION("""COMPUTED_VALUE"""),"Instagram")</f>
        <v>Instagram</v>
      </c>
      <c r="C517" s="26">
        <f>IFERROR(__xludf.DUMMYFUNCTION("""COMPUTED_VALUE"""),2.0)</f>
        <v>2</v>
      </c>
      <c r="D517" s="26">
        <f>IFERROR(__xludf.DUMMYFUNCTION("""COMPUTED_VALUE"""),39.0)</f>
        <v>39</v>
      </c>
      <c r="E517" s="26">
        <f>IFERROR(__xludf.DUMMYFUNCTION("""COMPUTED_VALUE"""),807.0)</f>
        <v>807</v>
      </c>
    </row>
    <row r="518">
      <c r="A518" s="25">
        <f>IFERROR(__xludf.DUMMYFUNCTION("""COMPUTED_VALUE"""),45686.0)</f>
        <v>45686</v>
      </c>
      <c r="B518" s="26" t="str">
        <f>IFERROR(__xludf.DUMMYFUNCTION("""COMPUTED_VALUE"""),"Instagram")</f>
        <v>Instagram</v>
      </c>
      <c r="C518" s="26">
        <f>IFERROR(__xludf.DUMMYFUNCTION("""COMPUTED_VALUE"""),5.0)</f>
        <v>5</v>
      </c>
      <c r="D518" s="26">
        <f>IFERROR(__xludf.DUMMYFUNCTION("""COMPUTED_VALUE"""),11.0)</f>
        <v>11</v>
      </c>
      <c r="E518" s="26">
        <f>IFERROR(__xludf.DUMMYFUNCTION("""COMPUTED_VALUE"""),717.0)</f>
        <v>717</v>
      </c>
    </row>
    <row r="519">
      <c r="A519" s="25">
        <f>IFERROR(__xludf.DUMMYFUNCTION("""COMPUTED_VALUE"""),45687.0)</f>
        <v>45687</v>
      </c>
      <c r="B519" s="26" t="str">
        <f>IFERROR(__xludf.DUMMYFUNCTION("""COMPUTED_VALUE"""),"Instagram")</f>
        <v>Instagram</v>
      </c>
      <c r="C519" s="26">
        <f>IFERROR(__xludf.DUMMYFUNCTION("""COMPUTED_VALUE"""),1.0)</f>
        <v>1</v>
      </c>
      <c r="D519" s="26">
        <f>IFERROR(__xludf.DUMMYFUNCTION("""COMPUTED_VALUE"""),24.0)</f>
        <v>24</v>
      </c>
      <c r="E519" s="26">
        <f>IFERROR(__xludf.DUMMYFUNCTION("""COMPUTED_VALUE"""),1005.0)</f>
        <v>1005</v>
      </c>
    </row>
    <row r="520">
      <c r="A520" s="25">
        <f>IFERROR(__xludf.DUMMYFUNCTION("""COMPUTED_VALUE"""),45688.0)</f>
        <v>45688</v>
      </c>
      <c r="B520" s="26" t="str">
        <f>IFERROR(__xludf.DUMMYFUNCTION("""COMPUTED_VALUE"""),"Instagram")</f>
        <v>Instagram</v>
      </c>
      <c r="C520" s="26">
        <f>IFERROR(__xludf.DUMMYFUNCTION("""COMPUTED_VALUE"""),3.0)</f>
        <v>3</v>
      </c>
      <c r="D520" s="26">
        <f>IFERROR(__xludf.DUMMYFUNCTION("""COMPUTED_VALUE"""),34.0)</f>
        <v>34</v>
      </c>
      <c r="E520" s="26">
        <f>IFERROR(__xludf.DUMMYFUNCTION("""COMPUTED_VALUE"""),923.0)</f>
        <v>923</v>
      </c>
    </row>
    <row r="521">
      <c r="A521" s="25">
        <f>IFERROR(__xludf.DUMMYFUNCTION("""COMPUTED_VALUE"""),45689.0)</f>
        <v>45689</v>
      </c>
      <c r="B521" s="26" t="str">
        <f>IFERROR(__xludf.DUMMYFUNCTION("""COMPUTED_VALUE"""),"Instagram")</f>
        <v>Instagram</v>
      </c>
      <c r="C521" s="26">
        <f>IFERROR(__xludf.DUMMYFUNCTION("""COMPUTED_VALUE"""),2.0)</f>
        <v>2</v>
      </c>
      <c r="D521" s="26">
        <f>IFERROR(__xludf.DUMMYFUNCTION("""COMPUTED_VALUE"""),17.0)</f>
        <v>17</v>
      </c>
      <c r="E521" s="26">
        <f>IFERROR(__xludf.DUMMYFUNCTION("""COMPUTED_VALUE"""),676.0)</f>
        <v>676</v>
      </c>
    </row>
    <row r="522">
      <c r="A522" s="25">
        <f>IFERROR(__xludf.DUMMYFUNCTION("""COMPUTED_VALUE"""),45690.0)</f>
        <v>45690</v>
      </c>
      <c r="B522" s="26" t="str">
        <f>IFERROR(__xludf.DUMMYFUNCTION("""COMPUTED_VALUE"""),"Instagram")</f>
        <v>Instagram</v>
      </c>
      <c r="C522" s="26">
        <f>IFERROR(__xludf.DUMMYFUNCTION("""COMPUTED_VALUE"""),5.0)</f>
        <v>5</v>
      </c>
      <c r="D522" s="26">
        <f>IFERROR(__xludf.DUMMYFUNCTION("""COMPUTED_VALUE"""),12.0)</f>
        <v>12</v>
      </c>
      <c r="E522" s="26">
        <f>IFERROR(__xludf.DUMMYFUNCTION("""COMPUTED_VALUE"""),431.0)</f>
        <v>431</v>
      </c>
    </row>
    <row r="523">
      <c r="A523" s="25">
        <f>IFERROR(__xludf.DUMMYFUNCTION("""COMPUTED_VALUE"""),45691.0)</f>
        <v>45691</v>
      </c>
      <c r="B523" s="26" t="str">
        <f>IFERROR(__xludf.DUMMYFUNCTION("""COMPUTED_VALUE"""),"Instagram")</f>
        <v>Instagram</v>
      </c>
      <c r="C523" s="26">
        <f>IFERROR(__xludf.DUMMYFUNCTION("""COMPUTED_VALUE"""),5.0)</f>
        <v>5</v>
      </c>
      <c r="D523" s="26">
        <f>IFERROR(__xludf.DUMMYFUNCTION("""COMPUTED_VALUE"""),51.0)</f>
        <v>51</v>
      </c>
      <c r="E523" s="26">
        <f>IFERROR(__xludf.DUMMYFUNCTION("""COMPUTED_VALUE"""),1108.0)</f>
        <v>1108</v>
      </c>
    </row>
    <row r="524">
      <c r="A524" s="25">
        <f>IFERROR(__xludf.DUMMYFUNCTION("""COMPUTED_VALUE"""),45692.0)</f>
        <v>45692</v>
      </c>
      <c r="B524" s="26" t="str">
        <f>IFERROR(__xludf.DUMMYFUNCTION("""COMPUTED_VALUE"""),"Instagram")</f>
        <v>Instagram</v>
      </c>
      <c r="C524" s="26">
        <f>IFERROR(__xludf.DUMMYFUNCTION("""COMPUTED_VALUE"""),4.0)</f>
        <v>4</v>
      </c>
      <c r="D524" s="26">
        <f>IFERROR(__xludf.DUMMYFUNCTION("""COMPUTED_VALUE"""),110.0)</f>
        <v>110</v>
      </c>
      <c r="E524" s="26">
        <f>IFERROR(__xludf.DUMMYFUNCTION("""COMPUTED_VALUE"""),964.0)</f>
        <v>964</v>
      </c>
    </row>
    <row r="525">
      <c r="A525" s="25">
        <f>IFERROR(__xludf.DUMMYFUNCTION("""COMPUTED_VALUE"""),45693.0)</f>
        <v>45693</v>
      </c>
      <c r="B525" s="26" t="str">
        <f>IFERROR(__xludf.DUMMYFUNCTION("""COMPUTED_VALUE"""),"Instagram")</f>
        <v>Instagram</v>
      </c>
      <c r="C525" s="26">
        <f>IFERROR(__xludf.DUMMYFUNCTION("""COMPUTED_VALUE"""),5.0)</f>
        <v>5</v>
      </c>
      <c r="D525" s="26">
        <f>IFERROR(__xludf.DUMMYFUNCTION("""COMPUTED_VALUE"""),64.0)</f>
        <v>64</v>
      </c>
      <c r="E525" s="26">
        <f>IFERROR(__xludf.DUMMYFUNCTION("""COMPUTED_VALUE"""),1041.0)</f>
        <v>1041</v>
      </c>
    </row>
    <row r="526">
      <c r="A526" s="25">
        <f>IFERROR(__xludf.DUMMYFUNCTION("""COMPUTED_VALUE"""),45694.0)</f>
        <v>45694</v>
      </c>
      <c r="B526" s="26" t="str">
        <f>IFERROR(__xludf.DUMMYFUNCTION("""COMPUTED_VALUE"""),"Instagram")</f>
        <v>Instagram</v>
      </c>
      <c r="C526" s="26">
        <f>IFERROR(__xludf.DUMMYFUNCTION("""COMPUTED_VALUE"""),8.0)</f>
        <v>8</v>
      </c>
      <c r="D526" s="26">
        <f>IFERROR(__xludf.DUMMYFUNCTION("""COMPUTED_VALUE"""),73.0)</f>
        <v>73</v>
      </c>
      <c r="E526" s="26">
        <f>IFERROR(__xludf.DUMMYFUNCTION("""COMPUTED_VALUE"""),904.0)</f>
        <v>904</v>
      </c>
    </row>
    <row r="527">
      <c r="A527" s="25">
        <f>IFERROR(__xludf.DUMMYFUNCTION("""COMPUTED_VALUE"""),45695.0)</f>
        <v>45695</v>
      </c>
      <c r="B527" s="26" t="str">
        <f>IFERROR(__xludf.DUMMYFUNCTION("""COMPUTED_VALUE"""),"Instagram")</f>
        <v>Instagram</v>
      </c>
      <c r="C527" s="26">
        <f>IFERROR(__xludf.DUMMYFUNCTION("""COMPUTED_VALUE"""),6.0)</f>
        <v>6</v>
      </c>
      <c r="D527" s="26">
        <f>IFERROR(__xludf.DUMMYFUNCTION("""COMPUTED_VALUE"""),69.0)</f>
        <v>69</v>
      </c>
      <c r="E527" s="26">
        <f>IFERROR(__xludf.DUMMYFUNCTION("""COMPUTED_VALUE"""),1480.0)</f>
        <v>1480</v>
      </c>
    </row>
    <row r="528">
      <c r="A528" s="25">
        <f>IFERROR(__xludf.DUMMYFUNCTION("""COMPUTED_VALUE"""),45696.0)</f>
        <v>45696</v>
      </c>
      <c r="B528" s="26" t="str">
        <f>IFERROR(__xludf.DUMMYFUNCTION("""COMPUTED_VALUE"""),"Instagram")</f>
        <v>Instagram</v>
      </c>
      <c r="C528" s="26">
        <f>IFERROR(__xludf.DUMMYFUNCTION("""COMPUTED_VALUE"""),4.0)</f>
        <v>4</v>
      </c>
      <c r="D528" s="26">
        <f>IFERROR(__xludf.DUMMYFUNCTION("""COMPUTED_VALUE"""),54.0)</f>
        <v>54</v>
      </c>
      <c r="E528" s="26">
        <f>IFERROR(__xludf.DUMMYFUNCTION("""COMPUTED_VALUE"""),1028.0)</f>
        <v>1028</v>
      </c>
    </row>
    <row r="529">
      <c r="A529" s="25">
        <f>IFERROR(__xludf.DUMMYFUNCTION("""COMPUTED_VALUE"""),45697.0)</f>
        <v>45697</v>
      </c>
      <c r="B529" s="26" t="str">
        <f>IFERROR(__xludf.DUMMYFUNCTION("""COMPUTED_VALUE"""),"Instagram")</f>
        <v>Instagram</v>
      </c>
      <c r="C529" s="26">
        <f>IFERROR(__xludf.DUMMYFUNCTION("""COMPUTED_VALUE"""),4.0)</f>
        <v>4</v>
      </c>
      <c r="D529" s="26">
        <f>IFERROR(__xludf.DUMMYFUNCTION("""COMPUTED_VALUE"""),9.0)</f>
        <v>9</v>
      </c>
      <c r="E529" s="26">
        <f>IFERROR(__xludf.DUMMYFUNCTION("""COMPUTED_VALUE"""),400.0)</f>
        <v>400</v>
      </c>
    </row>
    <row r="530">
      <c r="A530" s="25">
        <f>IFERROR(__xludf.DUMMYFUNCTION("""COMPUTED_VALUE"""),45698.0)</f>
        <v>45698</v>
      </c>
      <c r="B530" s="26" t="str">
        <f>IFERROR(__xludf.DUMMYFUNCTION("""COMPUTED_VALUE"""),"Instagram")</f>
        <v>Instagram</v>
      </c>
      <c r="C530" s="26">
        <f>IFERROR(__xludf.DUMMYFUNCTION("""COMPUTED_VALUE"""),5.0)</f>
        <v>5</v>
      </c>
      <c r="D530" s="26">
        <f>IFERROR(__xludf.DUMMYFUNCTION("""COMPUTED_VALUE"""),12.0)</f>
        <v>12</v>
      </c>
      <c r="E530" s="26">
        <f>IFERROR(__xludf.DUMMYFUNCTION("""COMPUTED_VALUE"""),229.0)</f>
        <v>229</v>
      </c>
    </row>
    <row r="531">
      <c r="A531" s="25">
        <f>IFERROR(__xludf.DUMMYFUNCTION("""COMPUTED_VALUE"""),45699.0)</f>
        <v>45699</v>
      </c>
      <c r="B531" s="26" t="str">
        <f>IFERROR(__xludf.DUMMYFUNCTION("""COMPUTED_VALUE"""),"Instagram")</f>
        <v>Instagram</v>
      </c>
      <c r="C531" s="26">
        <f>IFERROR(__xludf.DUMMYFUNCTION("""COMPUTED_VALUE"""),9.0)</f>
        <v>9</v>
      </c>
      <c r="D531" s="26">
        <f>IFERROR(__xludf.DUMMYFUNCTION("""COMPUTED_VALUE"""),7.0)</f>
        <v>7</v>
      </c>
      <c r="E531" s="26">
        <f>IFERROR(__xludf.DUMMYFUNCTION("""COMPUTED_VALUE"""),204.0)</f>
        <v>204</v>
      </c>
    </row>
    <row r="532">
      <c r="A532" s="25">
        <f>IFERROR(__xludf.DUMMYFUNCTION("""COMPUTED_VALUE"""),45700.0)</f>
        <v>45700</v>
      </c>
      <c r="B532" s="26" t="str">
        <f>IFERROR(__xludf.DUMMYFUNCTION("""COMPUTED_VALUE"""),"Instagram")</f>
        <v>Instagram</v>
      </c>
      <c r="C532" s="26">
        <f>IFERROR(__xludf.DUMMYFUNCTION("""COMPUTED_VALUE"""),2.0)</f>
        <v>2</v>
      </c>
      <c r="D532" s="26">
        <f>IFERROR(__xludf.DUMMYFUNCTION("""COMPUTED_VALUE"""),19.0)</f>
        <v>19</v>
      </c>
      <c r="E532" s="26">
        <f>IFERROR(__xludf.DUMMYFUNCTION("""COMPUTED_VALUE"""),372.0)</f>
        <v>372</v>
      </c>
    </row>
    <row r="533">
      <c r="A533" s="25">
        <f>IFERROR(__xludf.DUMMYFUNCTION("""COMPUTED_VALUE"""),45701.0)</f>
        <v>45701</v>
      </c>
      <c r="B533" s="26" t="str">
        <f>IFERROR(__xludf.DUMMYFUNCTION("""COMPUTED_VALUE"""),"Instagram")</f>
        <v>Instagram</v>
      </c>
      <c r="C533" s="26">
        <f>IFERROR(__xludf.DUMMYFUNCTION("""COMPUTED_VALUE"""),4.0)</f>
        <v>4</v>
      </c>
      <c r="D533" s="26">
        <f>IFERROR(__xludf.DUMMYFUNCTION("""COMPUTED_VALUE"""),70.0)</f>
        <v>70</v>
      </c>
      <c r="E533" s="26">
        <f>IFERROR(__xludf.DUMMYFUNCTION("""COMPUTED_VALUE"""),835.0)</f>
        <v>835</v>
      </c>
    </row>
    <row r="534">
      <c r="A534" s="25">
        <f>IFERROR(__xludf.DUMMYFUNCTION("""COMPUTED_VALUE"""),45702.0)</f>
        <v>45702</v>
      </c>
      <c r="B534" s="26" t="str">
        <f>IFERROR(__xludf.DUMMYFUNCTION("""COMPUTED_VALUE"""),"Instagram")</f>
        <v>Instagram</v>
      </c>
      <c r="C534" s="26">
        <f>IFERROR(__xludf.DUMMYFUNCTION("""COMPUTED_VALUE"""),2.0)</f>
        <v>2</v>
      </c>
      <c r="D534" s="26">
        <f>IFERROR(__xludf.DUMMYFUNCTION("""COMPUTED_VALUE"""),37.0)</f>
        <v>37</v>
      </c>
      <c r="E534" s="26">
        <f>IFERROR(__xludf.DUMMYFUNCTION("""COMPUTED_VALUE"""),753.0)</f>
        <v>753</v>
      </c>
    </row>
    <row r="535">
      <c r="A535" s="25">
        <f>IFERROR(__xludf.DUMMYFUNCTION("""COMPUTED_VALUE"""),45703.0)</f>
        <v>45703</v>
      </c>
      <c r="B535" s="26" t="str">
        <f>IFERROR(__xludf.DUMMYFUNCTION("""COMPUTED_VALUE"""),"Instagram")</f>
        <v>Instagram</v>
      </c>
      <c r="C535" s="26">
        <f>IFERROR(__xludf.DUMMYFUNCTION("""COMPUTED_VALUE"""),1.0)</f>
        <v>1</v>
      </c>
      <c r="D535" s="26">
        <f>IFERROR(__xludf.DUMMYFUNCTION("""COMPUTED_VALUE"""),19.0)</f>
        <v>19</v>
      </c>
      <c r="E535" s="26">
        <f>IFERROR(__xludf.DUMMYFUNCTION("""COMPUTED_VALUE"""),330.0)</f>
        <v>330</v>
      </c>
    </row>
    <row r="536">
      <c r="A536" s="25">
        <f>IFERROR(__xludf.DUMMYFUNCTION("""COMPUTED_VALUE"""),45704.0)</f>
        <v>45704</v>
      </c>
      <c r="B536" s="26" t="str">
        <f>IFERROR(__xludf.DUMMYFUNCTION("""COMPUTED_VALUE"""),"Instagram")</f>
        <v>Instagram</v>
      </c>
      <c r="C536" s="26">
        <f>IFERROR(__xludf.DUMMYFUNCTION("""COMPUTED_VALUE"""),2.0)</f>
        <v>2</v>
      </c>
      <c r="D536" s="26">
        <f>IFERROR(__xludf.DUMMYFUNCTION("""COMPUTED_VALUE"""),198.0)</f>
        <v>198</v>
      </c>
      <c r="E536" s="26">
        <f>IFERROR(__xludf.DUMMYFUNCTION("""COMPUTED_VALUE"""),1446.0)</f>
        <v>1446</v>
      </c>
    </row>
    <row r="537">
      <c r="A537" s="25">
        <f>IFERROR(__xludf.DUMMYFUNCTION("""COMPUTED_VALUE"""),45705.0)</f>
        <v>45705</v>
      </c>
      <c r="B537" s="26" t="str">
        <f>IFERROR(__xludf.DUMMYFUNCTION("""COMPUTED_VALUE"""),"Instagram")</f>
        <v>Instagram</v>
      </c>
      <c r="C537" s="26">
        <f>IFERROR(__xludf.DUMMYFUNCTION("""COMPUTED_VALUE"""),3.0)</f>
        <v>3</v>
      </c>
      <c r="D537" s="26">
        <f>IFERROR(__xludf.DUMMYFUNCTION("""COMPUTED_VALUE"""),44.0)</f>
        <v>44</v>
      </c>
      <c r="E537" s="26">
        <f>IFERROR(__xludf.DUMMYFUNCTION("""COMPUTED_VALUE"""),623.0)</f>
        <v>623</v>
      </c>
    </row>
    <row r="538">
      <c r="A538" s="25">
        <f>IFERROR(__xludf.DUMMYFUNCTION("""COMPUTED_VALUE"""),45706.0)</f>
        <v>45706</v>
      </c>
      <c r="B538" s="26" t="str">
        <f>IFERROR(__xludf.DUMMYFUNCTION("""COMPUTED_VALUE"""),"Instagram")</f>
        <v>Instagram</v>
      </c>
      <c r="C538" s="26">
        <f>IFERROR(__xludf.DUMMYFUNCTION("""COMPUTED_VALUE"""),5.0)</f>
        <v>5</v>
      </c>
      <c r="D538" s="26">
        <f>IFERROR(__xludf.DUMMYFUNCTION("""COMPUTED_VALUE"""),17.0)</f>
        <v>17</v>
      </c>
      <c r="E538" s="26">
        <f>IFERROR(__xludf.DUMMYFUNCTION("""COMPUTED_VALUE"""),307.0)</f>
        <v>307</v>
      </c>
    </row>
    <row r="539">
      <c r="A539" s="25">
        <f>IFERROR(__xludf.DUMMYFUNCTION("""COMPUTED_VALUE"""),45707.0)</f>
        <v>45707</v>
      </c>
      <c r="B539" s="26" t="str">
        <f>IFERROR(__xludf.DUMMYFUNCTION("""COMPUTED_VALUE"""),"Instagram")</f>
        <v>Instagram</v>
      </c>
      <c r="C539" s="26">
        <f>IFERROR(__xludf.DUMMYFUNCTION("""COMPUTED_VALUE"""),5.0)</f>
        <v>5</v>
      </c>
      <c r="D539" s="26">
        <f>IFERROR(__xludf.DUMMYFUNCTION("""COMPUTED_VALUE"""),47.0)</f>
        <v>47</v>
      </c>
      <c r="E539" s="26">
        <f>IFERROR(__xludf.DUMMYFUNCTION("""COMPUTED_VALUE"""),559.0)</f>
        <v>559</v>
      </c>
    </row>
    <row r="540">
      <c r="A540" s="25">
        <f>IFERROR(__xludf.DUMMYFUNCTION("""COMPUTED_VALUE"""),45708.0)</f>
        <v>45708</v>
      </c>
      <c r="B540" s="26" t="str">
        <f>IFERROR(__xludf.DUMMYFUNCTION("""COMPUTED_VALUE"""),"Instagram")</f>
        <v>Instagram</v>
      </c>
      <c r="C540" s="26">
        <f>IFERROR(__xludf.DUMMYFUNCTION("""COMPUTED_VALUE"""),3.0)</f>
        <v>3</v>
      </c>
      <c r="D540" s="26">
        <f>IFERROR(__xludf.DUMMYFUNCTION("""COMPUTED_VALUE"""),26.0)</f>
        <v>26</v>
      </c>
      <c r="E540" s="26">
        <f>IFERROR(__xludf.DUMMYFUNCTION("""COMPUTED_VALUE"""),1090.0)</f>
        <v>1090</v>
      </c>
    </row>
    <row r="541">
      <c r="A541" s="25">
        <f>IFERROR(__xludf.DUMMYFUNCTION("""COMPUTED_VALUE"""),45709.0)</f>
        <v>45709</v>
      </c>
      <c r="B541" s="26" t="str">
        <f>IFERROR(__xludf.DUMMYFUNCTION("""COMPUTED_VALUE"""),"Instagram")</f>
        <v>Instagram</v>
      </c>
      <c r="C541" s="26">
        <f>IFERROR(__xludf.DUMMYFUNCTION("""COMPUTED_VALUE"""),3.0)</f>
        <v>3</v>
      </c>
      <c r="D541" s="26">
        <f>IFERROR(__xludf.DUMMYFUNCTION("""COMPUTED_VALUE"""),10.0)</f>
        <v>10</v>
      </c>
      <c r="E541" s="26">
        <f>IFERROR(__xludf.DUMMYFUNCTION("""COMPUTED_VALUE"""),672.0)</f>
        <v>672</v>
      </c>
    </row>
    <row r="542">
      <c r="A542" s="25">
        <f>IFERROR(__xludf.DUMMYFUNCTION("""COMPUTED_VALUE"""),45710.0)</f>
        <v>45710</v>
      </c>
      <c r="B542" s="26" t="str">
        <f>IFERROR(__xludf.DUMMYFUNCTION("""COMPUTED_VALUE"""),"Instagram")</f>
        <v>Instagram</v>
      </c>
      <c r="C542" s="26">
        <f>IFERROR(__xludf.DUMMYFUNCTION("""COMPUTED_VALUE"""),3.0)</f>
        <v>3</v>
      </c>
      <c r="D542" s="26">
        <f>IFERROR(__xludf.DUMMYFUNCTION("""COMPUTED_VALUE"""),13.0)</f>
        <v>13</v>
      </c>
      <c r="E542" s="26">
        <f>IFERROR(__xludf.DUMMYFUNCTION("""COMPUTED_VALUE"""),470.0)</f>
        <v>470</v>
      </c>
    </row>
    <row r="543">
      <c r="A543" s="25">
        <f>IFERROR(__xludf.DUMMYFUNCTION("""COMPUTED_VALUE"""),45711.0)</f>
        <v>45711</v>
      </c>
      <c r="B543" s="26" t="str">
        <f>IFERROR(__xludf.DUMMYFUNCTION("""COMPUTED_VALUE"""),"Instagram")</f>
        <v>Instagram</v>
      </c>
      <c r="C543" s="26">
        <f>IFERROR(__xludf.DUMMYFUNCTION("""COMPUTED_VALUE"""),5.0)</f>
        <v>5</v>
      </c>
      <c r="D543" s="26">
        <f>IFERROR(__xludf.DUMMYFUNCTION("""COMPUTED_VALUE"""),7.0)</f>
        <v>7</v>
      </c>
      <c r="E543" s="26">
        <f>IFERROR(__xludf.DUMMYFUNCTION("""COMPUTED_VALUE"""),354.0)</f>
        <v>354</v>
      </c>
    </row>
    <row r="544">
      <c r="A544" s="25">
        <f>IFERROR(__xludf.DUMMYFUNCTION("""COMPUTED_VALUE"""),45712.0)</f>
        <v>45712</v>
      </c>
      <c r="B544" s="26" t="str">
        <f>IFERROR(__xludf.DUMMYFUNCTION("""COMPUTED_VALUE"""),"Instagram")</f>
        <v>Instagram</v>
      </c>
      <c r="C544" s="26">
        <f>IFERROR(__xludf.DUMMYFUNCTION("""COMPUTED_VALUE"""),7.0)</f>
        <v>7</v>
      </c>
      <c r="D544" s="26">
        <f>IFERROR(__xludf.DUMMYFUNCTION("""COMPUTED_VALUE"""),148.0)</f>
        <v>148</v>
      </c>
      <c r="E544" s="26">
        <f>IFERROR(__xludf.DUMMYFUNCTION("""COMPUTED_VALUE"""),2369.0)</f>
        <v>2369</v>
      </c>
    </row>
    <row r="545">
      <c r="A545" s="25">
        <f>IFERROR(__xludf.DUMMYFUNCTION("""COMPUTED_VALUE"""),45713.0)</f>
        <v>45713</v>
      </c>
      <c r="B545" s="26" t="str">
        <f>IFERROR(__xludf.DUMMYFUNCTION("""COMPUTED_VALUE"""),"Instagram")</f>
        <v>Instagram</v>
      </c>
      <c r="C545" s="26">
        <f>IFERROR(__xludf.DUMMYFUNCTION("""COMPUTED_VALUE"""),3.0)</f>
        <v>3</v>
      </c>
      <c r="D545" s="26">
        <f>IFERROR(__xludf.DUMMYFUNCTION("""COMPUTED_VALUE"""),25.0)</f>
        <v>25</v>
      </c>
      <c r="E545" s="26">
        <f>IFERROR(__xludf.DUMMYFUNCTION("""COMPUTED_VALUE"""),915.0)</f>
        <v>915</v>
      </c>
    </row>
    <row r="546">
      <c r="A546" s="25">
        <f>IFERROR(__xludf.DUMMYFUNCTION("""COMPUTED_VALUE"""),45714.0)</f>
        <v>45714</v>
      </c>
      <c r="B546" s="26" t="str">
        <f>IFERROR(__xludf.DUMMYFUNCTION("""COMPUTED_VALUE"""),"Instagram")</f>
        <v>Instagram</v>
      </c>
      <c r="C546" s="26">
        <f>IFERROR(__xludf.DUMMYFUNCTION("""COMPUTED_VALUE"""),6.0)</f>
        <v>6</v>
      </c>
      <c r="D546" s="26">
        <f>IFERROR(__xludf.DUMMYFUNCTION("""COMPUTED_VALUE"""),92.0)</f>
        <v>92</v>
      </c>
      <c r="E546" s="26">
        <f>IFERROR(__xludf.DUMMYFUNCTION("""COMPUTED_VALUE"""),1187.0)</f>
        <v>1187</v>
      </c>
    </row>
    <row r="547">
      <c r="A547" s="25">
        <f>IFERROR(__xludf.DUMMYFUNCTION("""COMPUTED_VALUE"""),45715.0)</f>
        <v>45715</v>
      </c>
      <c r="B547" s="26" t="str">
        <f>IFERROR(__xludf.DUMMYFUNCTION("""COMPUTED_VALUE"""),"Instagram")</f>
        <v>Instagram</v>
      </c>
      <c r="C547" s="26">
        <f>IFERROR(__xludf.DUMMYFUNCTION("""COMPUTED_VALUE"""),1.0)</f>
        <v>1</v>
      </c>
      <c r="D547" s="26">
        <f>IFERROR(__xludf.DUMMYFUNCTION("""COMPUTED_VALUE"""),18.0)</f>
        <v>18</v>
      </c>
      <c r="E547" s="26">
        <f>IFERROR(__xludf.DUMMYFUNCTION("""COMPUTED_VALUE"""),469.0)</f>
        <v>469</v>
      </c>
    </row>
    <row r="548">
      <c r="A548" s="25">
        <f>IFERROR(__xludf.DUMMYFUNCTION("""COMPUTED_VALUE"""),45716.0)</f>
        <v>45716</v>
      </c>
      <c r="B548" s="26" t="str">
        <f>IFERROR(__xludf.DUMMYFUNCTION("""COMPUTED_VALUE"""),"Instagram")</f>
        <v>Instagram</v>
      </c>
      <c r="C548" s="26">
        <f>IFERROR(__xludf.DUMMYFUNCTION("""COMPUTED_VALUE"""),2.0)</f>
        <v>2</v>
      </c>
      <c r="D548" s="26">
        <f>IFERROR(__xludf.DUMMYFUNCTION("""COMPUTED_VALUE"""),42.0)</f>
        <v>42</v>
      </c>
      <c r="E548" s="26">
        <f>IFERROR(__xludf.DUMMYFUNCTION("""COMPUTED_VALUE"""),733.0)</f>
        <v>733</v>
      </c>
    </row>
    <row r="549">
      <c r="A549" s="25">
        <f>IFERROR(__xludf.DUMMYFUNCTION("""COMPUTED_VALUE"""),45717.0)</f>
        <v>45717</v>
      </c>
      <c r="B549" s="26" t="str">
        <f>IFERROR(__xludf.DUMMYFUNCTION("""COMPUTED_VALUE"""),"Instagram")</f>
        <v>Instagram</v>
      </c>
      <c r="C549" s="26">
        <f>IFERROR(__xludf.DUMMYFUNCTION("""COMPUTED_VALUE"""),10.0)</f>
        <v>10</v>
      </c>
      <c r="D549" s="26">
        <f>IFERROR(__xludf.DUMMYFUNCTION("""COMPUTED_VALUE"""),9.0)</f>
        <v>9</v>
      </c>
      <c r="E549" s="26">
        <f>IFERROR(__xludf.DUMMYFUNCTION("""COMPUTED_VALUE"""),704.0)</f>
        <v>704</v>
      </c>
    </row>
    <row r="550">
      <c r="A550" s="25">
        <f>IFERROR(__xludf.DUMMYFUNCTION("""COMPUTED_VALUE"""),45718.0)</f>
        <v>45718</v>
      </c>
      <c r="B550" s="26" t="str">
        <f>IFERROR(__xludf.DUMMYFUNCTION("""COMPUTED_VALUE"""),"Instagram")</f>
        <v>Instagram</v>
      </c>
      <c r="C550" s="26">
        <f>IFERROR(__xludf.DUMMYFUNCTION("""COMPUTED_VALUE"""),5.0)</f>
        <v>5</v>
      </c>
      <c r="D550" s="26">
        <f>IFERROR(__xludf.DUMMYFUNCTION("""COMPUTED_VALUE"""),11.0)</f>
        <v>11</v>
      </c>
      <c r="E550" s="26">
        <f>IFERROR(__xludf.DUMMYFUNCTION("""COMPUTED_VALUE"""),343.0)</f>
        <v>343</v>
      </c>
    </row>
    <row r="551">
      <c r="A551" s="25">
        <f>IFERROR(__xludf.DUMMYFUNCTION("""COMPUTED_VALUE"""),45719.0)</f>
        <v>45719</v>
      </c>
      <c r="B551" s="26" t="str">
        <f>IFERROR(__xludf.DUMMYFUNCTION("""COMPUTED_VALUE"""),"Instagram")</f>
        <v>Instagram</v>
      </c>
      <c r="C551" s="26">
        <f>IFERROR(__xludf.DUMMYFUNCTION("""COMPUTED_VALUE"""),2.0)</f>
        <v>2</v>
      </c>
      <c r="D551" s="26">
        <f>IFERROR(__xludf.DUMMYFUNCTION("""COMPUTED_VALUE"""),106.0)</f>
        <v>106</v>
      </c>
      <c r="E551" s="26">
        <f>IFERROR(__xludf.DUMMYFUNCTION("""COMPUTED_VALUE"""),1721.0)</f>
        <v>1721</v>
      </c>
    </row>
    <row r="552">
      <c r="A552" s="25">
        <f>IFERROR(__xludf.DUMMYFUNCTION("""COMPUTED_VALUE"""),45720.0)</f>
        <v>45720</v>
      </c>
      <c r="B552" s="26" t="str">
        <f>IFERROR(__xludf.DUMMYFUNCTION("""COMPUTED_VALUE"""),"Instagram")</f>
        <v>Instagram</v>
      </c>
      <c r="C552" s="26">
        <f>IFERROR(__xludf.DUMMYFUNCTION("""COMPUTED_VALUE"""),1.0)</f>
        <v>1</v>
      </c>
      <c r="D552" s="26">
        <f>IFERROR(__xludf.DUMMYFUNCTION("""COMPUTED_VALUE"""),34.0)</f>
        <v>34</v>
      </c>
      <c r="E552" s="26">
        <f>IFERROR(__xludf.DUMMYFUNCTION("""COMPUTED_VALUE"""),1036.0)</f>
        <v>1036</v>
      </c>
    </row>
    <row r="553">
      <c r="A553" s="25">
        <f>IFERROR(__xludf.DUMMYFUNCTION("""COMPUTED_VALUE"""),45721.0)</f>
        <v>45721</v>
      </c>
      <c r="B553" s="26" t="str">
        <f>IFERROR(__xludf.DUMMYFUNCTION("""COMPUTED_VALUE"""),"Instagram")</f>
        <v>Instagram</v>
      </c>
      <c r="C553" s="26">
        <f>IFERROR(__xludf.DUMMYFUNCTION("""COMPUTED_VALUE"""),3.0)</f>
        <v>3</v>
      </c>
      <c r="D553" s="26">
        <f>IFERROR(__xludf.DUMMYFUNCTION("""COMPUTED_VALUE"""),26.0)</f>
        <v>26</v>
      </c>
      <c r="E553" s="26">
        <f>IFERROR(__xludf.DUMMYFUNCTION("""COMPUTED_VALUE"""),863.0)</f>
        <v>863</v>
      </c>
    </row>
    <row r="554">
      <c r="A554" s="25">
        <f>IFERROR(__xludf.DUMMYFUNCTION("""COMPUTED_VALUE"""),45722.0)</f>
        <v>45722</v>
      </c>
      <c r="B554" s="26" t="str">
        <f>IFERROR(__xludf.DUMMYFUNCTION("""COMPUTED_VALUE"""),"Instagram")</f>
        <v>Instagram</v>
      </c>
      <c r="C554" s="26">
        <f>IFERROR(__xludf.DUMMYFUNCTION("""COMPUTED_VALUE"""),2.0)</f>
        <v>2</v>
      </c>
      <c r="D554" s="26">
        <f>IFERROR(__xludf.DUMMYFUNCTION("""COMPUTED_VALUE"""),51.0)</f>
        <v>51</v>
      </c>
      <c r="E554" s="26">
        <f>IFERROR(__xludf.DUMMYFUNCTION("""COMPUTED_VALUE"""),864.0)</f>
        <v>864</v>
      </c>
    </row>
    <row r="555">
      <c r="A555" s="25">
        <f>IFERROR(__xludf.DUMMYFUNCTION("""COMPUTED_VALUE"""),45723.0)</f>
        <v>45723</v>
      </c>
      <c r="B555" s="26" t="str">
        <f>IFERROR(__xludf.DUMMYFUNCTION("""COMPUTED_VALUE"""),"Instagram")</f>
        <v>Instagram</v>
      </c>
      <c r="C555" s="26">
        <f>IFERROR(__xludf.DUMMYFUNCTION("""COMPUTED_VALUE"""),3.0)</f>
        <v>3</v>
      </c>
      <c r="D555" s="26">
        <f>IFERROR(__xludf.DUMMYFUNCTION("""COMPUTED_VALUE"""),21.0)</f>
        <v>21</v>
      </c>
      <c r="E555" s="26">
        <f>IFERROR(__xludf.DUMMYFUNCTION("""COMPUTED_VALUE"""),538.0)</f>
        <v>538</v>
      </c>
    </row>
    <row r="556">
      <c r="A556" s="25">
        <f>IFERROR(__xludf.DUMMYFUNCTION("""COMPUTED_VALUE"""),45724.0)</f>
        <v>45724</v>
      </c>
      <c r="B556" s="26" t="str">
        <f>IFERROR(__xludf.DUMMYFUNCTION("""COMPUTED_VALUE"""),"Instagram")</f>
        <v>Instagram</v>
      </c>
      <c r="C556" s="26">
        <f>IFERROR(__xludf.DUMMYFUNCTION("""COMPUTED_VALUE"""),6.0)</f>
        <v>6</v>
      </c>
      <c r="D556" s="26">
        <f>IFERROR(__xludf.DUMMYFUNCTION("""COMPUTED_VALUE"""),7.0)</f>
        <v>7</v>
      </c>
      <c r="E556" s="26">
        <f>IFERROR(__xludf.DUMMYFUNCTION("""COMPUTED_VALUE"""),197.0)</f>
        <v>197</v>
      </c>
    </row>
    <row r="557">
      <c r="A557" s="25">
        <f>IFERROR(__xludf.DUMMYFUNCTION("""COMPUTED_VALUE"""),45725.0)</f>
        <v>45725</v>
      </c>
      <c r="B557" s="26" t="str">
        <f>IFERROR(__xludf.DUMMYFUNCTION("""COMPUTED_VALUE"""),"Instagram")</f>
        <v>Instagram</v>
      </c>
      <c r="C557" s="26">
        <f>IFERROR(__xludf.DUMMYFUNCTION("""COMPUTED_VALUE"""),8.0)</f>
        <v>8</v>
      </c>
      <c r="D557" s="26">
        <f>IFERROR(__xludf.DUMMYFUNCTION("""COMPUTED_VALUE"""),9.0)</f>
        <v>9</v>
      </c>
      <c r="E557" s="26">
        <f>IFERROR(__xludf.DUMMYFUNCTION("""COMPUTED_VALUE"""),333.0)</f>
        <v>333</v>
      </c>
    </row>
    <row r="558">
      <c r="A558" s="25">
        <f>IFERROR(__xludf.DUMMYFUNCTION("""COMPUTED_VALUE"""),45726.0)</f>
        <v>45726</v>
      </c>
      <c r="B558" s="26" t="str">
        <f>IFERROR(__xludf.DUMMYFUNCTION("""COMPUTED_VALUE"""),"Instagram")</f>
        <v>Instagram</v>
      </c>
      <c r="C558" s="26">
        <f>IFERROR(__xludf.DUMMYFUNCTION("""COMPUTED_VALUE"""),3.0)</f>
        <v>3</v>
      </c>
      <c r="D558" s="26">
        <f>IFERROR(__xludf.DUMMYFUNCTION("""COMPUTED_VALUE"""),53.0)</f>
        <v>53</v>
      </c>
      <c r="E558" s="26">
        <f>IFERROR(__xludf.DUMMYFUNCTION("""COMPUTED_VALUE"""),584.0)</f>
        <v>584</v>
      </c>
    </row>
    <row r="559">
      <c r="A559" s="25">
        <f>IFERROR(__xludf.DUMMYFUNCTION("""COMPUTED_VALUE"""),45727.0)</f>
        <v>45727</v>
      </c>
      <c r="B559" s="26" t="str">
        <f>IFERROR(__xludf.DUMMYFUNCTION("""COMPUTED_VALUE"""),"Instagram")</f>
        <v>Instagram</v>
      </c>
      <c r="C559" s="26">
        <f>IFERROR(__xludf.DUMMYFUNCTION("""COMPUTED_VALUE"""),3.0)</f>
        <v>3</v>
      </c>
      <c r="D559" s="26">
        <f>IFERROR(__xludf.DUMMYFUNCTION("""COMPUTED_VALUE"""),12.0)</f>
        <v>12</v>
      </c>
      <c r="E559" s="26">
        <f>IFERROR(__xludf.DUMMYFUNCTION("""COMPUTED_VALUE"""),415.0)</f>
        <v>415</v>
      </c>
    </row>
    <row r="560">
      <c r="A560" s="25">
        <f>IFERROR(__xludf.DUMMYFUNCTION("""COMPUTED_VALUE"""),45728.0)</f>
        <v>45728</v>
      </c>
      <c r="B560" s="26" t="str">
        <f>IFERROR(__xludf.DUMMYFUNCTION("""COMPUTED_VALUE"""),"Instagram")</f>
        <v>Instagram</v>
      </c>
      <c r="C560" s="26">
        <f>IFERROR(__xludf.DUMMYFUNCTION("""COMPUTED_VALUE"""),4.0)</f>
        <v>4</v>
      </c>
      <c r="D560" s="26">
        <f>IFERROR(__xludf.DUMMYFUNCTION("""COMPUTED_VALUE"""),18.0)</f>
        <v>18</v>
      </c>
      <c r="E560" s="26">
        <f>IFERROR(__xludf.DUMMYFUNCTION("""COMPUTED_VALUE"""),539.0)</f>
        <v>539</v>
      </c>
    </row>
    <row r="561">
      <c r="A561" s="25">
        <f>IFERROR(__xludf.DUMMYFUNCTION("""COMPUTED_VALUE"""),45729.0)</f>
        <v>45729</v>
      </c>
      <c r="B561" s="26" t="str">
        <f>IFERROR(__xludf.DUMMYFUNCTION("""COMPUTED_VALUE"""),"Instagram")</f>
        <v>Instagram</v>
      </c>
      <c r="C561" s="26">
        <f>IFERROR(__xludf.DUMMYFUNCTION("""COMPUTED_VALUE"""),3.0)</f>
        <v>3</v>
      </c>
      <c r="D561" s="26">
        <f>IFERROR(__xludf.DUMMYFUNCTION("""COMPUTED_VALUE"""),10.0)</f>
        <v>10</v>
      </c>
      <c r="E561" s="26">
        <f>IFERROR(__xludf.DUMMYFUNCTION("""COMPUTED_VALUE"""),201.0)</f>
        <v>201</v>
      </c>
    </row>
    <row r="562">
      <c r="A562" s="25">
        <f>IFERROR(__xludf.DUMMYFUNCTION("""COMPUTED_VALUE"""),45730.0)</f>
        <v>45730</v>
      </c>
      <c r="B562" s="26" t="str">
        <f>IFERROR(__xludf.DUMMYFUNCTION("""COMPUTED_VALUE"""),"Instagram")</f>
        <v>Instagram</v>
      </c>
      <c r="C562" s="26"/>
      <c r="D562" s="26">
        <f>IFERROR(__xludf.DUMMYFUNCTION("""COMPUTED_VALUE"""),70.0)</f>
        <v>70</v>
      </c>
      <c r="E562" s="26">
        <f>IFERROR(__xludf.DUMMYFUNCTION("""COMPUTED_VALUE"""),738.0)</f>
        <v>738</v>
      </c>
    </row>
    <row r="563">
      <c r="A563" s="25">
        <f>IFERROR(__xludf.DUMMYFUNCTION("""COMPUTED_VALUE"""),45731.0)</f>
        <v>45731</v>
      </c>
      <c r="B563" s="26" t="str">
        <f>IFERROR(__xludf.DUMMYFUNCTION("""COMPUTED_VALUE"""),"Instagram")</f>
        <v>Instagram</v>
      </c>
      <c r="C563" s="26">
        <f>IFERROR(__xludf.DUMMYFUNCTION("""COMPUTED_VALUE"""),10.0)</f>
        <v>10</v>
      </c>
      <c r="D563" s="26">
        <f>IFERROR(__xludf.DUMMYFUNCTION("""COMPUTED_VALUE"""),52.0)</f>
        <v>52</v>
      </c>
      <c r="E563" s="26">
        <f>IFERROR(__xludf.DUMMYFUNCTION("""COMPUTED_VALUE"""),766.0)</f>
        <v>766</v>
      </c>
    </row>
    <row r="564">
      <c r="A564" s="25">
        <f>IFERROR(__xludf.DUMMYFUNCTION("""COMPUTED_VALUE"""),45732.0)</f>
        <v>45732</v>
      </c>
      <c r="B564" s="26" t="str">
        <f>IFERROR(__xludf.DUMMYFUNCTION("""COMPUTED_VALUE"""),"Instagram")</f>
        <v>Instagram</v>
      </c>
      <c r="C564" s="26">
        <f>IFERROR(__xludf.DUMMYFUNCTION("""COMPUTED_VALUE"""),8.0)</f>
        <v>8</v>
      </c>
      <c r="D564" s="26">
        <f>IFERROR(__xludf.DUMMYFUNCTION("""COMPUTED_VALUE"""),24.0)</f>
        <v>24</v>
      </c>
      <c r="E564" s="26">
        <f>IFERROR(__xludf.DUMMYFUNCTION("""COMPUTED_VALUE"""),588.0)</f>
        <v>588</v>
      </c>
    </row>
    <row r="565">
      <c r="A565" s="25">
        <f>IFERROR(__xludf.DUMMYFUNCTION("""COMPUTED_VALUE"""),45733.0)</f>
        <v>45733</v>
      </c>
      <c r="B565" s="26" t="str">
        <f>IFERROR(__xludf.DUMMYFUNCTION("""COMPUTED_VALUE"""),"Instagram")</f>
        <v>Instagram</v>
      </c>
      <c r="C565" s="26">
        <f>IFERROR(__xludf.DUMMYFUNCTION("""COMPUTED_VALUE"""),6.0)</f>
        <v>6</v>
      </c>
      <c r="D565" s="26">
        <f>IFERROR(__xludf.DUMMYFUNCTION("""COMPUTED_VALUE"""),13.0)</f>
        <v>13</v>
      </c>
      <c r="E565" s="26">
        <f>IFERROR(__xludf.DUMMYFUNCTION("""COMPUTED_VALUE"""),381.0)</f>
        <v>381</v>
      </c>
    </row>
    <row r="566">
      <c r="A566" s="25">
        <f>IFERROR(__xludf.DUMMYFUNCTION("""COMPUTED_VALUE"""),45734.0)</f>
        <v>45734</v>
      </c>
      <c r="B566" s="26" t="str">
        <f>IFERROR(__xludf.DUMMYFUNCTION("""COMPUTED_VALUE"""),"Instagram")</f>
        <v>Instagram</v>
      </c>
      <c r="C566" s="26">
        <f>IFERROR(__xludf.DUMMYFUNCTION("""COMPUTED_VALUE"""),3.0)</f>
        <v>3</v>
      </c>
      <c r="D566" s="26">
        <f>IFERROR(__xludf.DUMMYFUNCTION("""COMPUTED_VALUE"""),38.0)</f>
        <v>38</v>
      </c>
      <c r="E566" s="26">
        <f>IFERROR(__xludf.DUMMYFUNCTION("""COMPUTED_VALUE"""),443.0)</f>
        <v>443</v>
      </c>
    </row>
    <row r="567">
      <c r="A567" s="25">
        <f>IFERROR(__xludf.DUMMYFUNCTION("""COMPUTED_VALUE"""),45735.0)</f>
        <v>45735</v>
      </c>
      <c r="B567" s="26" t="str">
        <f>IFERROR(__xludf.DUMMYFUNCTION("""COMPUTED_VALUE"""),"Instagram")</f>
        <v>Instagram</v>
      </c>
      <c r="C567" s="26">
        <f>IFERROR(__xludf.DUMMYFUNCTION("""COMPUTED_VALUE"""),4.0)</f>
        <v>4</v>
      </c>
      <c r="D567" s="26">
        <f>IFERROR(__xludf.DUMMYFUNCTION("""COMPUTED_VALUE"""),16.0)</f>
        <v>16</v>
      </c>
      <c r="E567" s="26">
        <f>IFERROR(__xludf.DUMMYFUNCTION("""COMPUTED_VALUE"""),185.0)</f>
        <v>185</v>
      </c>
    </row>
    <row r="568">
      <c r="A568" s="25">
        <f>IFERROR(__xludf.DUMMYFUNCTION("""COMPUTED_VALUE"""),45736.0)</f>
        <v>45736</v>
      </c>
      <c r="B568" s="26" t="str">
        <f>IFERROR(__xludf.DUMMYFUNCTION("""COMPUTED_VALUE"""),"Instagram")</f>
        <v>Instagram</v>
      </c>
      <c r="C568" s="26">
        <f>IFERROR(__xludf.DUMMYFUNCTION("""COMPUTED_VALUE"""),11.0)</f>
        <v>11</v>
      </c>
      <c r="D568" s="26">
        <f>IFERROR(__xludf.DUMMYFUNCTION("""COMPUTED_VALUE"""),386.0)</f>
        <v>386</v>
      </c>
      <c r="E568" s="26">
        <f>IFERROR(__xludf.DUMMYFUNCTION("""COMPUTED_VALUE"""),5321.0)</f>
        <v>5321</v>
      </c>
    </row>
    <row r="569">
      <c r="A569" s="25">
        <f>IFERROR(__xludf.DUMMYFUNCTION("""COMPUTED_VALUE"""),45737.0)</f>
        <v>45737</v>
      </c>
      <c r="B569" s="26" t="str">
        <f>IFERROR(__xludf.DUMMYFUNCTION("""COMPUTED_VALUE"""),"Instagram")</f>
        <v>Instagram</v>
      </c>
      <c r="C569" s="26">
        <f>IFERROR(__xludf.DUMMYFUNCTION("""COMPUTED_VALUE"""),8.0)</f>
        <v>8</v>
      </c>
      <c r="D569" s="26">
        <f>IFERROR(__xludf.DUMMYFUNCTION("""COMPUTED_VALUE"""),84.0)</f>
        <v>84</v>
      </c>
      <c r="E569" s="26">
        <f>IFERROR(__xludf.DUMMYFUNCTION("""COMPUTED_VALUE"""),2376.0)</f>
        <v>2376</v>
      </c>
    </row>
    <row r="570">
      <c r="A570" s="25">
        <f>IFERROR(__xludf.DUMMYFUNCTION("""COMPUTED_VALUE"""),45738.0)</f>
        <v>45738</v>
      </c>
      <c r="B570" s="26" t="str">
        <f>IFERROR(__xludf.DUMMYFUNCTION("""COMPUTED_VALUE"""),"Instagram")</f>
        <v>Instagram</v>
      </c>
      <c r="C570" s="26">
        <f>IFERROR(__xludf.DUMMYFUNCTION("""COMPUTED_VALUE"""),3.0)</f>
        <v>3</v>
      </c>
      <c r="D570" s="26">
        <f>IFERROR(__xludf.DUMMYFUNCTION("""COMPUTED_VALUE"""),47.0)</f>
        <v>47</v>
      </c>
      <c r="E570" s="26">
        <f>IFERROR(__xludf.DUMMYFUNCTION("""COMPUTED_VALUE"""),1372.0)</f>
        <v>1372</v>
      </c>
    </row>
    <row r="571">
      <c r="A571" s="25">
        <f>IFERROR(__xludf.DUMMYFUNCTION("""COMPUTED_VALUE"""),45739.0)</f>
        <v>45739</v>
      </c>
      <c r="B571" s="26" t="str">
        <f>IFERROR(__xludf.DUMMYFUNCTION("""COMPUTED_VALUE"""),"Instagram")</f>
        <v>Instagram</v>
      </c>
      <c r="C571" s="26">
        <f>IFERROR(__xludf.DUMMYFUNCTION("""COMPUTED_VALUE"""),10.0)</f>
        <v>10</v>
      </c>
      <c r="D571" s="26">
        <f>IFERROR(__xludf.DUMMYFUNCTION("""COMPUTED_VALUE"""),31.0)</f>
        <v>31</v>
      </c>
      <c r="E571" s="26">
        <f>IFERROR(__xludf.DUMMYFUNCTION("""COMPUTED_VALUE"""),772.0)</f>
        <v>772</v>
      </c>
    </row>
    <row r="572">
      <c r="A572" s="25">
        <f>IFERROR(__xludf.DUMMYFUNCTION("""COMPUTED_VALUE"""),45740.0)</f>
        <v>45740</v>
      </c>
      <c r="B572" s="26" t="str">
        <f>IFERROR(__xludf.DUMMYFUNCTION("""COMPUTED_VALUE"""),"Instagram")</f>
        <v>Instagram</v>
      </c>
      <c r="C572" s="26">
        <f>IFERROR(__xludf.DUMMYFUNCTION("""COMPUTED_VALUE"""),6.0)</f>
        <v>6</v>
      </c>
      <c r="D572" s="26">
        <f>IFERROR(__xludf.DUMMYFUNCTION("""COMPUTED_VALUE"""),40.0)</f>
        <v>40</v>
      </c>
      <c r="E572" s="26">
        <f>IFERROR(__xludf.DUMMYFUNCTION("""COMPUTED_VALUE"""),1185.0)</f>
        <v>1185</v>
      </c>
    </row>
    <row r="573">
      <c r="A573" s="25">
        <f>IFERROR(__xludf.DUMMYFUNCTION("""COMPUTED_VALUE"""),45741.0)</f>
        <v>45741</v>
      </c>
      <c r="B573" s="26" t="str">
        <f>IFERROR(__xludf.DUMMYFUNCTION("""COMPUTED_VALUE"""),"Instagram")</f>
        <v>Instagram</v>
      </c>
      <c r="C573" s="26">
        <f>IFERROR(__xludf.DUMMYFUNCTION("""COMPUTED_VALUE"""),5.0)</f>
        <v>5</v>
      </c>
      <c r="D573" s="26">
        <f>IFERROR(__xludf.DUMMYFUNCTION("""COMPUTED_VALUE"""),59.0)</f>
        <v>59</v>
      </c>
      <c r="E573" s="26">
        <f>IFERROR(__xludf.DUMMYFUNCTION("""COMPUTED_VALUE"""),2467.0)</f>
        <v>2467</v>
      </c>
    </row>
    <row r="574">
      <c r="A574" s="25">
        <f>IFERROR(__xludf.DUMMYFUNCTION("""COMPUTED_VALUE"""),45742.0)</f>
        <v>45742</v>
      </c>
      <c r="B574" s="26" t="str">
        <f>IFERROR(__xludf.DUMMYFUNCTION("""COMPUTED_VALUE"""),"Instagram")</f>
        <v>Instagram</v>
      </c>
      <c r="C574" s="26">
        <f>IFERROR(__xludf.DUMMYFUNCTION("""COMPUTED_VALUE"""),3.0)</f>
        <v>3</v>
      </c>
      <c r="D574" s="26">
        <f>IFERROR(__xludf.DUMMYFUNCTION("""COMPUTED_VALUE"""),81.0)</f>
        <v>81</v>
      </c>
      <c r="E574" s="26">
        <f>IFERROR(__xludf.DUMMYFUNCTION("""COMPUTED_VALUE"""),3054.0)</f>
        <v>3054</v>
      </c>
    </row>
    <row r="575">
      <c r="A575" s="25">
        <f>IFERROR(__xludf.DUMMYFUNCTION("""COMPUTED_VALUE"""),45743.0)</f>
        <v>45743</v>
      </c>
      <c r="B575" s="26" t="str">
        <f>IFERROR(__xludf.DUMMYFUNCTION("""COMPUTED_VALUE"""),"Instagram")</f>
        <v>Instagram</v>
      </c>
      <c r="C575" s="26">
        <f>IFERROR(__xludf.DUMMYFUNCTION("""COMPUTED_VALUE"""),7.0)</f>
        <v>7</v>
      </c>
      <c r="D575" s="26">
        <f>IFERROR(__xludf.DUMMYFUNCTION("""COMPUTED_VALUE"""),35.0)</f>
        <v>35</v>
      </c>
      <c r="E575" s="26">
        <f>IFERROR(__xludf.DUMMYFUNCTION("""COMPUTED_VALUE"""),1370.0)</f>
        <v>1370</v>
      </c>
    </row>
    <row r="576">
      <c r="A576" s="25">
        <f>IFERROR(__xludf.DUMMYFUNCTION("""COMPUTED_VALUE"""),45744.0)</f>
        <v>45744</v>
      </c>
      <c r="B576" s="26" t="str">
        <f>IFERROR(__xludf.DUMMYFUNCTION("""COMPUTED_VALUE"""),"Instagram")</f>
        <v>Instagram</v>
      </c>
      <c r="C576" s="26">
        <f>IFERROR(__xludf.DUMMYFUNCTION("""COMPUTED_VALUE"""),4.0)</f>
        <v>4</v>
      </c>
      <c r="D576" s="26">
        <f>IFERROR(__xludf.DUMMYFUNCTION("""COMPUTED_VALUE"""),1189.0)</f>
        <v>1189</v>
      </c>
      <c r="E576" s="26">
        <f>IFERROR(__xludf.DUMMYFUNCTION("""COMPUTED_VALUE"""),19260.0)</f>
        <v>19260</v>
      </c>
    </row>
    <row r="577">
      <c r="A577" s="25">
        <f>IFERROR(__xludf.DUMMYFUNCTION("""COMPUTED_VALUE"""),45745.0)</f>
        <v>45745</v>
      </c>
      <c r="B577" s="26" t="str">
        <f>IFERROR(__xludf.DUMMYFUNCTION("""COMPUTED_VALUE"""),"Instagram")</f>
        <v>Instagram</v>
      </c>
      <c r="C577" s="26">
        <f>IFERROR(__xludf.DUMMYFUNCTION("""COMPUTED_VALUE"""),3.0)</f>
        <v>3</v>
      </c>
      <c r="D577" s="26">
        <f>IFERROR(__xludf.DUMMYFUNCTION("""COMPUTED_VALUE"""),306.0)</f>
        <v>306</v>
      </c>
      <c r="E577" s="26">
        <f>IFERROR(__xludf.DUMMYFUNCTION("""COMPUTED_VALUE"""),9007.0)</f>
        <v>9007</v>
      </c>
    </row>
    <row r="578">
      <c r="A578" s="25">
        <f>IFERROR(__xludf.DUMMYFUNCTION("""COMPUTED_VALUE"""),45746.0)</f>
        <v>45746</v>
      </c>
      <c r="B578" s="26" t="str">
        <f>IFERROR(__xludf.DUMMYFUNCTION("""COMPUTED_VALUE"""),"Instagram")</f>
        <v>Instagram</v>
      </c>
      <c r="C578" s="26">
        <f>IFERROR(__xludf.DUMMYFUNCTION("""COMPUTED_VALUE"""),4.0)</f>
        <v>4</v>
      </c>
      <c r="D578" s="26">
        <f>IFERROR(__xludf.DUMMYFUNCTION("""COMPUTED_VALUE"""),100.0)</f>
        <v>100</v>
      </c>
      <c r="E578" s="26">
        <f>IFERROR(__xludf.DUMMYFUNCTION("""COMPUTED_VALUE"""),3764.0)</f>
        <v>3764</v>
      </c>
    </row>
    <row r="579">
      <c r="A579" s="25">
        <f>IFERROR(__xludf.DUMMYFUNCTION("""COMPUTED_VALUE"""),45747.0)</f>
        <v>45747</v>
      </c>
      <c r="B579" s="26" t="str">
        <f>IFERROR(__xludf.DUMMYFUNCTION("""COMPUTED_VALUE"""),"Instagram")</f>
        <v>Instagram</v>
      </c>
      <c r="C579" s="26">
        <f>IFERROR(__xludf.DUMMYFUNCTION("""COMPUTED_VALUE"""),3.0)</f>
        <v>3</v>
      </c>
      <c r="D579" s="26">
        <f>IFERROR(__xludf.DUMMYFUNCTION("""COMPUTED_VALUE"""),43.0)</f>
        <v>43</v>
      </c>
      <c r="E579" s="26">
        <f>IFERROR(__xludf.DUMMYFUNCTION("""COMPUTED_VALUE"""),1520.0)</f>
        <v>1520</v>
      </c>
    </row>
    <row r="580">
      <c r="A580" s="25">
        <f>IFERROR(__xludf.DUMMYFUNCTION("""COMPUTED_VALUE"""),45748.0)</f>
        <v>45748</v>
      </c>
      <c r="B580" s="26" t="str">
        <f>IFERROR(__xludf.DUMMYFUNCTION("""COMPUTED_VALUE"""),"Instagram")</f>
        <v>Instagram</v>
      </c>
      <c r="C580" s="26">
        <f>IFERROR(__xludf.DUMMYFUNCTION("""COMPUTED_VALUE"""),2.0)</f>
        <v>2</v>
      </c>
      <c r="D580" s="26">
        <f>IFERROR(__xludf.DUMMYFUNCTION("""COMPUTED_VALUE"""),21.0)</f>
        <v>21</v>
      </c>
      <c r="E580" s="26">
        <f>IFERROR(__xludf.DUMMYFUNCTION("""COMPUTED_VALUE"""),1008.0)</f>
        <v>1008</v>
      </c>
    </row>
    <row r="581">
      <c r="A581" s="25">
        <f>IFERROR(__xludf.DUMMYFUNCTION("""COMPUTED_VALUE"""),45749.0)</f>
        <v>45749</v>
      </c>
      <c r="B581" s="26" t="str">
        <f>IFERROR(__xludf.DUMMYFUNCTION("""COMPUTED_VALUE"""),"Instagram")</f>
        <v>Instagram</v>
      </c>
      <c r="C581" s="26">
        <f>IFERROR(__xludf.DUMMYFUNCTION("""COMPUTED_VALUE"""),5.0)</f>
        <v>5</v>
      </c>
      <c r="D581" s="26">
        <f>IFERROR(__xludf.DUMMYFUNCTION("""COMPUTED_VALUE"""),20.0)</f>
        <v>20</v>
      </c>
      <c r="E581" s="26">
        <f>IFERROR(__xludf.DUMMYFUNCTION("""COMPUTED_VALUE"""),1061.0)</f>
        <v>1061</v>
      </c>
    </row>
    <row r="582">
      <c r="A582" s="25">
        <f>IFERROR(__xludf.DUMMYFUNCTION("""COMPUTED_VALUE"""),45750.0)</f>
        <v>45750</v>
      </c>
      <c r="B582" s="26" t="str">
        <f>IFERROR(__xludf.DUMMYFUNCTION("""COMPUTED_VALUE"""),"Instagram")</f>
        <v>Instagram</v>
      </c>
      <c r="C582" s="26"/>
      <c r="D582" s="26">
        <f>IFERROR(__xludf.DUMMYFUNCTION("""COMPUTED_VALUE"""),119.0)</f>
        <v>119</v>
      </c>
      <c r="E582" s="26">
        <f>IFERROR(__xludf.DUMMYFUNCTION("""COMPUTED_VALUE"""),1650.0)</f>
        <v>1650</v>
      </c>
    </row>
    <row r="583">
      <c r="A583" s="25">
        <f>IFERROR(__xludf.DUMMYFUNCTION("""COMPUTED_VALUE"""),45751.0)</f>
        <v>45751</v>
      </c>
      <c r="B583" s="26" t="str">
        <f>IFERROR(__xludf.DUMMYFUNCTION("""COMPUTED_VALUE"""),"Instagram")</f>
        <v>Instagram</v>
      </c>
      <c r="C583" s="26">
        <f>IFERROR(__xludf.DUMMYFUNCTION("""COMPUTED_VALUE"""),5.0)</f>
        <v>5</v>
      </c>
      <c r="D583" s="26">
        <f>IFERROR(__xludf.DUMMYFUNCTION("""COMPUTED_VALUE"""),92.0)</f>
        <v>92</v>
      </c>
      <c r="E583" s="26">
        <f>IFERROR(__xludf.DUMMYFUNCTION("""COMPUTED_VALUE"""),1847.0)</f>
        <v>1847</v>
      </c>
    </row>
    <row r="584">
      <c r="A584" s="25">
        <f>IFERROR(__xludf.DUMMYFUNCTION("""COMPUTED_VALUE"""),45752.0)</f>
        <v>45752</v>
      </c>
      <c r="B584" s="26" t="str">
        <f>IFERROR(__xludf.DUMMYFUNCTION("""COMPUTED_VALUE"""),"Instagram")</f>
        <v>Instagram</v>
      </c>
      <c r="C584" s="26">
        <f>IFERROR(__xludf.DUMMYFUNCTION("""COMPUTED_VALUE"""),2.0)</f>
        <v>2</v>
      </c>
      <c r="D584" s="26">
        <f>IFERROR(__xludf.DUMMYFUNCTION("""COMPUTED_VALUE"""),34.0)</f>
        <v>34</v>
      </c>
      <c r="E584" s="26">
        <f>IFERROR(__xludf.DUMMYFUNCTION("""COMPUTED_VALUE"""),1382.0)</f>
        <v>1382</v>
      </c>
    </row>
    <row r="585">
      <c r="A585" s="25">
        <f>IFERROR(__xludf.DUMMYFUNCTION("""COMPUTED_VALUE"""),45753.0)</f>
        <v>45753</v>
      </c>
      <c r="B585" s="26" t="str">
        <f>IFERROR(__xludf.DUMMYFUNCTION("""COMPUTED_VALUE"""),"Instagram")</f>
        <v>Instagram</v>
      </c>
      <c r="C585" s="26">
        <f>IFERROR(__xludf.DUMMYFUNCTION("""COMPUTED_VALUE"""),1.0)</f>
        <v>1</v>
      </c>
      <c r="D585" s="26">
        <f>IFERROR(__xludf.DUMMYFUNCTION("""COMPUTED_VALUE"""),16.0)</f>
        <v>16</v>
      </c>
      <c r="E585" s="26">
        <f>IFERROR(__xludf.DUMMYFUNCTION("""COMPUTED_VALUE"""),939.0)</f>
        <v>939</v>
      </c>
    </row>
    <row r="586">
      <c r="A586" s="25">
        <f>IFERROR(__xludf.DUMMYFUNCTION("""COMPUTED_VALUE"""),45754.0)</f>
        <v>45754</v>
      </c>
      <c r="B586" s="26" t="str">
        <f>IFERROR(__xludf.DUMMYFUNCTION("""COMPUTED_VALUE"""),"Instagram")</f>
        <v>Instagram</v>
      </c>
      <c r="C586" s="26">
        <f>IFERROR(__xludf.DUMMYFUNCTION("""COMPUTED_VALUE"""),3.0)</f>
        <v>3</v>
      </c>
      <c r="D586" s="26">
        <f>IFERROR(__xludf.DUMMYFUNCTION("""COMPUTED_VALUE"""),67.0)</f>
        <v>67</v>
      </c>
      <c r="E586" s="26">
        <f>IFERROR(__xludf.DUMMYFUNCTION("""COMPUTED_VALUE"""),795.0)</f>
        <v>795</v>
      </c>
    </row>
    <row r="587">
      <c r="A587" s="25">
        <f>IFERROR(__xludf.DUMMYFUNCTION("""COMPUTED_VALUE"""),45755.0)</f>
        <v>45755</v>
      </c>
      <c r="B587" s="26" t="str">
        <f>IFERROR(__xludf.DUMMYFUNCTION("""COMPUTED_VALUE"""),"Instagram")</f>
        <v>Instagram</v>
      </c>
      <c r="C587" s="26">
        <f>IFERROR(__xludf.DUMMYFUNCTION("""COMPUTED_VALUE"""),4.0)</f>
        <v>4</v>
      </c>
      <c r="D587" s="26">
        <f>IFERROR(__xludf.DUMMYFUNCTION("""COMPUTED_VALUE"""),33.0)</f>
        <v>33</v>
      </c>
      <c r="E587" s="26">
        <f>IFERROR(__xludf.DUMMYFUNCTION("""COMPUTED_VALUE"""),1039.0)</f>
        <v>1039</v>
      </c>
    </row>
    <row r="588">
      <c r="A588" s="25">
        <f>IFERROR(__xludf.DUMMYFUNCTION("""COMPUTED_VALUE"""),45756.0)</f>
        <v>45756</v>
      </c>
      <c r="B588" s="26" t="str">
        <f>IFERROR(__xludf.DUMMYFUNCTION("""COMPUTED_VALUE"""),"Instagram")</f>
        <v>Instagram</v>
      </c>
      <c r="C588" s="26">
        <f>IFERROR(__xludf.DUMMYFUNCTION("""COMPUTED_VALUE"""),3.0)</f>
        <v>3</v>
      </c>
      <c r="D588" s="26">
        <f>IFERROR(__xludf.DUMMYFUNCTION("""COMPUTED_VALUE"""),16.0)</f>
        <v>16</v>
      </c>
      <c r="E588" s="26">
        <f>IFERROR(__xludf.DUMMYFUNCTION("""COMPUTED_VALUE"""),863.0)</f>
        <v>863</v>
      </c>
    </row>
    <row r="589">
      <c r="A589" s="25">
        <f>IFERROR(__xludf.DUMMYFUNCTION("""COMPUTED_VALUE"""),45757.0)</f>
        <v>45757</v>
      </c>
      <c r="B589" s="26" t="str">
        <f>IFERROR(__xludf.DUMMYFUNCTION("""COMPUTED_VALUE"""),"Instagram")</f>
        <v>Instagram</v>
      </c>
      <c r="C589" s="26">
        <f>IFERROR(__xludf.DUMMYFUNCTION("""COMPUTED_VALUE"""),4.0)</f>
        <v>4</v>
      </c>
      <c r="D589" s="26">
        <f>IFERROR(__xludf.DUMMYFUNCTION("""COMPUTED_VALUE"""),18.0)</f>
        <v>18</v>
      </c>
      <c r="E589" s="26">
        <f>IFERROR(__xludf.DUMMYFUNCTION("""COMPUTED_VALUE"""),786.0)</f>
        <v>786</v>
      </c>
    </row>
    <row r="590">
      <c r="A590" s="25">
        <f>IFERROR(__xludf.DUMMYFUNCTION("""COMPUTED_VALUE"""),45758.0)</f>
        <v>45758</v>
      </c>
      <c r="B590" s="26" t="str">
        <f>IFERROR(__xludf.DUMMYFUNCTION("""COMPUTED_VALUE"""),"Instagram")</f>
        <v>Instagram</v>
      </c>
      <c r="C590" s="26">
        <f>IFERROR(__xludf.DUMMYFUNCTION("""COMPUTED_VALUE"""),1.0)</f>
        <v>1</v>
      </c>
      <c r="D590" s="26">
        <f>IFERROR(__xludf.DUMMYFUNCTION("""COMPUTED_VALUE"""),49.0)</f>
        <v>49</v>
      </c>
      <c r="E590" s="26">
        <f>IFERROR(__xludf.DUMMYFUNCTION("""COMPUTED_VALUE"""),753.0)</f>
        <v>753</v>
      </c>
    </row>
    <row r="591">
      <c r="A591" s="25">
        <f>IFERROR(__xludf.DUMMYFUNCTION("""COMPUTED_VALUE"""),45759.0)</f>
        <v>45759</v>
      </c>
      <c r="B591" s="26" t="str">
        <f>IFERROR(__xludf.DUMMYFUNCTION("""COMPUTED_VALUE"""),"Instagram")</f>
        <v>Instagram</v>
      </c>
      <c r="C591" s="26">
        <f>IFERROR(__xludf.DUMMYFUNCTION("""COMPUTED_VALUE"""),6.0)</f>
        <v>6</v>
      </c>
      <c r="D591" s="26">
        <f>IFERROR(__xludf.DUMMYFUNCTION("""COMPUTED_VALUE"""),16.0)</f>
        <v>16</v>
      </c>
      <c r="E591" s="26">
        <f>IFERROR(__xludf.DUMMYFUNCTION("""COMPUTED_VALUE"""),438.0)</f>
        <v>438</v>
      </c>
    </row>
    <row r="592">
      <c r="A592" s="25">
        <f>IFERROR(__xludf.DUMMYFUNCTION("""COMPUTED_VALUE"""),45760.0)</f>
        <v>45760</v>
      </c>
      <c r="B592" s="26" t="str">
        <f>IFERROR(__xludf.DUMMYFUNCTION("""COMPUTED_VALUE"""),"Instagram")</f>
        <v>Instagram</v>
      </c>
      <c r="C592" s="26"/>
      <c r="D592" s="26">
        <f>IFERROR(__xludf.DUMMYFUNCTION("""COMPUTED_VALUE"""),9.0)</f>
        <v>9</v>
      </c>
      <c r="E592" s="26">
        <f>IFERROR(__xludf.DUMMYFUNCTION("""COMPUTED_VALUE"""),269.0)</f>
        <v>269</v>
      </c>
    </row>
    <row r="593">
      <c r="A593" s="25">
        <f>IFERROR(__xludf.DUMMYFUNCTION("""COMPUTED_VALUE"""),45761.0)</f>
        <v>45761</v>
      </c>
      <c r="B593" s="26" t="str">
        <f>IFERROR(__xludf.DUMMYFUNCTION("""COMPUTED_VALUE"""),"Instagram")</f>
        <v>Instagram</v>
      </c>
      <c r="C593" s="26">
        <f>IFERROR(__xludf.DUMMYFUNCTION("""COMPUTED_VALUE"""),1.0)</f>
        <v>1</v>
      </c>
      <c r="D593" s="26">
        <f>IFERROR(__xludf.DUMMYFUNCTION("""COMPUTED_VALUE"""),9.0)</f>
        <v>9</v>
      </c>
      <c r="E593" s="26">
        <f>IFERROR(__xludf.DUMMYFUNCTION("""COMPUTED_VALUE"""),363.0)</f>
        <v>363</v>
      </c>
    </row>
    <row r="594">
      <c r="A594" s="25">
        <f>IFERROR(__xludf.DUMMYFUNCTION("""COMPUTED_VALUE"""),45762.0)</f>
        <v>45762</v>
      </c>
      <c r="B594" s="26" t="str">
        <f>IFERROR(__xludf.DUMMYFUNCTION("""COMPUTED_VALUE"""),"Instagram")</f>
        <v>Instagram</v>
      </c>
      <c r="C594" s="26">
        <f>IFERROR(__xludf.DUMMYFUNCTION("""COMPUTED_VALUE"""),4.0)</f>
        <v>4</v>
      </c>
      <c r="D594" s="26">
        <f>IFERROR(__xludf.DUMMYFUNCTION("""COMPUTED_VALUE"""),62.0)</f>
        <v>62</v>
      </c>
      <c r="E594" s="26">
        <f>IFERROR(__xludf.DUMMYFUNCTION("""COMPUTED_VALUE"""),814.0)</f>
        <v>814</v>
      </c>
    </row>
    <row r="595">
      <c r="A595" s="25">
        <f>IFERROR(__xludf.DUMMYFUNCTION("""COMPUTED_VALUE"""),45763.0)</f>
        <v>45763</v>
      </c>
      <c r="B595" s="26" t="str">
        <f>IFERROR(__xludf.DUMMYFUNCTION("""COMPUTED_VALUE"""),"Instagram")</f>
        <v>Instagram</v>
      </c>
      <c r="C595" s="26">
        <f>IFERROR(__xludf.DUMMYFUNCTION("""COMPUTED_VALUE"""),3.0)</f>
        <v>3</v>
      </c>
      <c r="D595" s="26">
        <f>IFERROR(__xludf.DUMMYFUNCTION("""COMPUTED_VALUE"""),23.0)</f>
        <v>23</v>
      </c>
      <c r="E595" s="26">
        <f>IFERROR(__xludf.DUMMYFUNCTION("""COMPUTED_VALUE"""),690.0)</f>
        <v>690</v>
      </c>
    </row>
    <row r="596">
      <c r="A596" s="25">
        <f>IFERROR(__xludf.DUMMYFUNCTION("""COMPUTED_VALUE"""),45764.0)</f>
        <v>45764</v>
      </c>
      <c r="B596" s="26" t="str">
        <f>IFERROR(__xludf.DUMMYFUNCTION("""COMPUTED_VALUE"""),"Instagram")</f>
        <v>Instagram</v>
      </c>
      <c r="C596" s="26">
        <f>IFERROR(__xludf.DUMMYFUNCTION("""COMPUTED_VALUE"""),2.0)</f>
        <v>2</v>
      </c>
      <c r="D596" s="26">
        <f>IFERROR(__xludf.DUMMYFUNCTION("""COMPUTED_VALUE"""),6.0)</f>
        <v>6</v>
      </c>
      <c r="E596" s="26">
        <f>IFERROR(__xludf.DUMMYFUNCTION("""COMPUTED_VALUE"""),335.0)</f>
        <v>335</v>
      </c>
    </row>
    <row r="597">
      <c r="A597" s="25">
        <f>IFERROR(__xludf.DUMMYFUNCTION("""COMPUTED_VALUE"""),45765.0)</f>
        <v>45765</v>
      </c>
      <c r="B597" s="26" t="str">
        <f>IFERROR(__xludf.DUMMYFUNCTION("""COMPUTED_VALUE"""),"Instagram")</f>
        <v>Instagram</v>
      </c>
      <c r="C597" s="26">
        <f>IFERROR(__xludf.DUMMYFUNCTION("""COMPUTED_VALUE"""),1.0)</f>
        <v>1</v>
      </c>
      <c r="D597" s="26">
        <f>IFERROR(__xludf.DUMMYFUNCTION("""COMPUTED_VALUE"""),1.0)</f>
        <v>1</v>
      </c>
      <c r="E597" s="26">
        <f>IFERROR(__xludf.DUMMYFUNCTION("""COMPUTED_VALUE"""),139.0)</f>
        <v>139</v>
      </c>
    </row>
    <row r="598">
      <c r="A598" s="25">
        <f>IFERROR(__xludf.DUMMYFUNCTION("""COMPUTED_VALUE"""),45766.0)</f>
        <v>45766</v>
      </c>
      <c r="B598" s="26" t="str">
        <f>IFERROR(__xludf.DUMMYFUNCTION("""COMPUTED_VALUE"""),"Instagram")</f>
        <v>Instagram</v>
      </c>
      <c r="C598" s="26">
        <f>IFERROR(__xludf.DUMMYFUNCTION("""COMPUTED_VALUE"""),4.0)</f>
        <v>4</v>
      </c>
      <c r="D598" s="26">
        <f>IFERROR(__xludf.DUMMYFUNCTION("""COMPUTED_VALUE"""),33.0)</f>
        <v>33</v>
      </c>
      <c r="E598" s="26">
        <f>IFERROR(__xludf.DUMMYFUNCTION("""COMPUTED_VALUE"""),524.0)</f>
        <v>524</v>
      </c>
    </row>
    <row r="599">
      <c r="A599" s="25">
        <f>IFERROR(__xludf.DUMMYFUNCTION("""COMPUTED_VALUE"""),45767.0)</f>
        <v>45767</v>
      </c>
      <c r="B599" s="26" t="str">
        <f>IFERROR(__xludf.DUMMYFUNCTION("""COMPUTED_VALUE"""),"Instagram")</f>
        <v>Instagram</v>
      </c>
      <c r="C599" s="26">
        <f>IFERROR(__xludf.DUMMYFUNCTION("""COMPUTED_VALUE"""),1.0)</f>
        <v>1</v>
      </c>
      <c r="D599" s="26">
        <f>IFERROR(__xludf.DUMMYFUNCTION("""COMPUTED_VALUE"""),8.0)</f>
        <v>8</v>
      </c>
      <c r="E599" s="26">
        <f>IFERROR(__xludf.DUMMYFUNCTION("""COMPUTED_VALUE"""),576.0)</f>
        <v>576</v>
      </c>
    </row>
    <row r="600">
      <c r="A600" s="25">
        <f>IFERROR(__xludf.DUMMYFUNCTION("""COMPUTED_VALUE"""),45768.0)</f>
        <v>45768</v>
      </c>
      <c r="B600" s="26" t="str">
        <f>IFERROR(__xludf.DUMMYFUNCTION("""COMPUTED_VALUE"""),"Instagram")</f>
        <v>Instagram</v>
      </c>
      <c r="C600" s="26">
        <f>IFERROR(__xludf.DUMMYFUNCTION("""COMPUTED_VALUE"""),2.0)</f>
        <v>2</v>
      </c>
      <c r="D600" s="26">
        <f>IFERROR(__xludf.DUMMYFUNCTION("""COMPUTED_VALUE"""),4.0)</f>
        <v>4</v>
      </c>
      <c r="E600" s="26">
        <f>IFERROR(__xludf.DUMMYFUNCTION("""COMPUTED_VALUE"""),413.0)</f>
        <v>413</v>
      </c>
    </row>
    <row r="601">
      <c r="A601" s="25">
        <f>IFERROR(__xludf.DUMMYFUNCTION("""COMPUTED_VALUE"""),45769.0)</f>
        <v>45769</v>
      </c>
      <c r="B601" s="26" t="str">
        <f>IFERROR(__xludf.DUMMYFUNCTION("""COMPUTED_VALUE"""),"Instagram")</f>
        <v>Instagram</v>
      </c>
      <c r="C601" s="26">
        <f>IFERROR(__xludf.DUMMYFUNCTION("""COMPUTED_VALUE"""),4.0)</f>
        <v>4</v>
      </c>
      <c r="D601" s="26">
        <f>IFERROR(__xludf.DUMMYFUNCTION("""COMPUTED_VALUE"""),28.0)</f>
        <v>28</v>
      </c>
      <c r="E601" s="26">
        <f>IFERROR(__xludf.DUMMYFUNCTION("""COMPUTED_VALUE"""),605.0)</f>
        <v>605</v>
      </c>
    </row>
    <row r="602">
      <c r="A602" s="25">
        <f>IFERROR(__xludf.DUMMYFUNCTION("""COMPUTED_VALUE"""),45770.0)</f>
        <v>45770</v>
      </c>
      <c r="B602" s="26" t="str">
        <f>IFERROR(__xludf.DUMMYFUNCTION("""COMPUTED_VALUE"""),"Instagram")</f>
        <v>Instagram</v>
      </c>
      <c r="C602" s="26">
        <f>IFERROR(__xludf.DUMMYFUNCTION("""COMPUTED_VALUE"""),3.0)</f>
        <v>3</v>
      </c>
      <c r="D602" s="26">
        <f>IFERROR(__xludf.DUMMYFUNCTION("""COMPUTED_VALUE"""),25.0)</f>
        <v>25</v>
      </c>
      <c r="E602" s="26">
        <f>IFERROR(__xludf.DUMMYFUNCTION("""COMPUTED_VALUE"""),239.0)</f>
        <v>239</v>
      </c>
    </row>
    <row r="603">
      <c r="A603" s="25">
        <f>IFERROR(__xludf.DUMMYFUNCTION("""COMPUTED_VALUE"""),45771.0)</f>
        <v>45771</v>
      </c>
      <c r="B603" s="26" t="str">
        <f>IFERROR(__xludf.DUMMYFUNCTION("""COMPUTED_VALUE"""),"Instagram")</f>
        <v>Instagram</v>
      </c>
      <c r="C603" s="26">
        <f>IFERROR(__xludf.DUMMYFUNCTION("""COMPUTED_VALUE"""),1.0)</f>
        <v>1</v>
      </c>
      <c r="D603" s="26">
        <f>IFERROR(__xludf.DUMMYFUNCTION("""COMPUTED_VALUE"""),33.0)</f>
        <v>33</v>
      </c>
      <c r="E603" s="26">
        <f>IFERROR(__xludf.DUMMYFUNCTION("""COMPUTED_VALUE"""),601.0)</f>
        <v>601</v>
      </c>
    </row>
    <row r="604">
      <c r="A604" s="25">
        <f>IFERROR(__xludf.DUMMYFUNCTION("""COMPUTED_VALUE"""),45772.0)</f>
        <v>45772</v>
      </c>
      <c r="B604" s="26" t="str">
        <f>IFERROR(__xludf.DUMMYFUNCTION("""COMPUTED_VALUE"""),"Instagram")</f>
        <v>Instagram</v>
      </c>
      <c r="C604" s="26">
        <f>IFERROR(__xludf.DUMMYFUNCTION("""COMPUTED_VALUE"""),2.0)</f>
        <v>2</v>
      </c>
      <c r="D604" s="26">
        <f>IFERROR(__xludf.DUMMYFUNCTION("""COMPUTED_VALUE"""),91.0)</f>
        <v>91</v>
      </c>
      <c r="E604" s="26">
        <f>IFERROR(__xludf.DUMMYFUNCTION("""COMPUTED_VALUE"""),773.0)</f>
        <v>773</v>
      </c>
    </row>
    <row r="605">
      <c r="A605" s="25">
        <f>IFERROR(__xludf.DUMMYFUNCTION("""COMPUTED_VALUE"""),45773.0)</f>
        <v>45773</v>
      </c>
      <c r="B605" s="26" t="str">
        <f>IFERROR(__xludf.DUMMYFUNCTION("""COMPUTED_VALUE"""),"Instagram")</f>
        <v>Instagram</v>
      </c>
      <c r="C605" s="26">
        <f>IFERROR(__xludf.DUMMYFUNCTION("""COMPUTED_VALUE"""),3.0)</f>
        <v>3</v>
      </c>
      <c r="D605" s="26">
        <f>IFERROR(__xludf.DUMMYFUNCTION("""COMPUTED_VALUE"""),50.0)</f>
        <v>50</v>
      </c>
      <c r="E605" s="26">
        <f>IFERROR(__xludf.DUMMYFUNCTION("""COMPUTED_VALUE"""),593.0)</f>
        <v>593</v>
      </c>
    </row>
    <row r="606">
      <c r="A606" s="25">
        <f>IFERROR(__xludf.DUMMYFUNCTION("""COMPUTED_VALUE"""),45774.0)</f>
        <v>45774</v>
      </c>
      <c r="B606" s="26" t="str">
        <f>IFERROR(__xludf.DUMMYFUNCTION("""COMPUTED_VALUE"""),"Instagram")</f>
        <v>Instagram</v>
      </c>
      <c r="C606" s="26">
        <f>IFERROR(__xludf.DUMMYFUNCTION("""COMPUTED_VALUE"""),4.0)</f>
        <v>4</v>
      </c>
      <c r="D606" s="26">
        <f>IFERROR(__xludf.DUMMYFUNCTION("""COMPUTED_VALUE"""),17.0)</f>
        <v>17</v>
      </c>
      <c r="E606" s="26">
        <f>IFERROR(__xludf.DUMMYFUNCTION("""COMPUTED_VALUE"""),434.0)</f>
        <v>434</v>
      </c>
    </row>
    <row r="607">
      <c r="A607" s="25">
        <f>IFERROR(__xludf.DUMMYFUNCTION("""COMPUTED_VALUE"""),45775.0)</f>
        <v>45775</v>
      </c>
      <c r="B607" s="26" t="str">
        <f>IFERROR(__xludf.DUMMYFUNCTION("""COMPUTED_VALUE"""),"Instagram")</f>
        <v>Instagram</v>
      </c>
      <c r="C607" s="26">
        <f>IFERROR(__xludf.DUMMYFUNCTION("""COMPUTED_VALUE"""),2.0)</f>
        <v>2</v>
      </c>
      <c r="D607" s="26">
        <f>IFERROR(__xludf.DUMMYFUNCTION("""COMPUTED_VALUE"""),10.0)</f>
        <v>10</v>
      </c>
      <c r="E607" s="26">
        <f>IFERROR(__xludf.DUMMYFUNCTION("""COMPUTED_VALUE"""),348.0)</f>
        <v>348</v>
      </c>
    </row>
    <row r="608">
      <c r="A608" s="25">
        <f>IFERROR(__xludf.DUMMYFUNCTION("""COMPUTED_VALUE"""),45776.0)</f>
        <v>45776</v>
      </c>
      <c r="B608" s="26" t="str">
        <f>IFERROR(__xludf.DUMMYFUNCTION("""COMPUTED_VALUE"""),"Instagram")</f>
        <v>Instagram</v>
      </c>
      <c r="C608" s="26">
        <f>IFERROR(__xludf.DUMMYFUNCTION("""COMPUTED_VALUE"""),3.0)</f>
        <v>3</v>
      </c>
      <c r="D608" s="26">
        <f>IFERROR(__xludf.DUMMYFUNCTION("""COMPUTED_VALUE"""),10.0)</f>
        <v>10</v>
      </c>
      <c r="E608" s="26">
        <f>IFERROR(__xludf.DUMMYFUNCTION("""COMPUTED_VALUE"""),295.0)</f>
        <v>295</v>
      </c>
    </row>
    <row r="609">
      <c r="A609" s="25">
        <f>IFERROR(__xludf.DUMMYFUNCTION("""COMPUTED_VALUE"""),45777.0)</f>
        <v>45777</v>
      </c>
      <c r="B609" s="26" t="str">
        <f>IFERROR(__xludf.DUMMYFUNCTION("""COMPUTED_VALUE"""),"Instagram")</f>
        <v>Instagram</v>
      </c>
      <c r="C609" s="26">
        <f>IFERROR(__xludf.DUMMYFUNCTION("""COMPUTED_VALUE"""),4.0)</f>
        <v>4</v>
      </c>
      <c r="D609" s="26">
        <f>IFERROR(__xludf.DUMMYFUNCTION("""COMPUTED_VALUE"""),9.0)</f>
        <v>9</v>
      </c>
      <c r="E609" s="26">
        <f>IFERROR(__xludf.DUMMYFUNCTION("""COMPUTED_VALUE"""),287.0)</f>
        <v>287</v>
      </c>
    </row>
    <row r="610">
      <c r="A610" s="25">
        <f>IFERROR(__xludf.DUMMYFUNCTION("""COMPUTED_VALUE"""),45474.0)</f>
        <v>45474</v>
      </c>
      <c r="B610" s="26" t="str">
        <f>IFERROR(__xludf.DUMMYFUNCTION("""COMPUTED_VALUE"""),"Facebook")</f>
        <v>Facebook</v>
      </c>
      <c r="C610" s="26">
        <f>IFERROR(__xludf.DUMMYFUNCTION("""COMPUTED_VALUE"""),16.0)</f>
        <v>16</v>
      </c>
      <c r="D610" s="26">
        <f>IFERROR(__xludf.DUMMYFUNCTION("""COMPUTED_VALUE"""),1132.0)</f>
        <v>1132</v>
      </c>
      <c r="E610" s="26">
        <f>IFERROR(__xludf.DUMMYFUNCTION("""COMPUTED_VALUE"""),29842.0)</f>
        <v>29842</v>
      </c>
    </row>
    <row r="611">
      <c r="A611" s="25">
        <f>IFERROR(__xludf.DUMMYFUNCTION("""COMPUTED_VALUE"""),45475.0)</f>
        <v>45475</v>
      </c>
      <c r="B611" s="26" t="str">
        <f>IFERROR(__xludf.DUMMYFUNCTION("""COMPUTED_VALUE"""),"Facebook")</f>
        <v>Facebook</v>
      </c>
      <c r="C611" s="26">
        <f>IFERROR(__xludf.DUMMYFUNCTION("""COMPUTED_VALUE"""),19.0)</f>
        <v>19</v>
      </c>
      <c r="D611" s="26">
        <f>IFERROR(__xludf.DUMMYFUNCTION("""COMPUTED_VALUE"""),584.0)</f>
        <v>584</v>
      </c>
      <c r="E611" s="26">
        <f>IFERROR(__xludf.DUMMYFUNCTION("""COMPUTED_VALUE"""),27521.0)</f>
        <v>27521</v>
      </c>
    </row>
    <row r="612">
      <c r="A612" s="25">
        <f>IFERROR(__xludf.DUMMYFUNCTION("""COMPUTED_VALUE"""),45476.0)</f>
        <v>45476</v>
      </c>
      <c r="B612" s="26" t="str">
        <f>IFERROR(__xludf.DUMMYFUNCTION("""COMPUTED_VALUE"""),"Facebook")</f>
        <v>Facebook</v>
      </c>
      <c r="C612" s="26">
        <f>IFERROR(__xludf.DUMMYFUNCTION("""COMPUTED_VALUE"""),13.0)</f>
        <v>13</v>
      </c>
      <c r="D612" s="26">
        <f>IFERROR(__xludf.DUMMYFUNCTION("""COMPUTED_VALUE"""),512.0)</f>
        <v>512</v>
      </c>
      <c r="E612" s="26">
        <f>IFERROR(__xludf.DUMMYFUNCTION("""COMPUTED_VALUE"""),15442.0)</f>
        <v>15442</v>
      </c>
    </row>
    <row r="613">
      <c r="A613" s="25">
        <f>IFERROR(__xludf.DUMMYFUNCTION("""COMPUTED_VALUE"""),45477.0)</f>
        <v>45477</v>
      </c>
      <c r="B613" s="26" t="str">
        <f>IFERROR(__xludf.DUMMYFUNCTION("""COMPUTED_VALUE"""),"Facebook")</f>
        <v>Facebook</v>
      </c>
      <c r="C613" s="26">
        <f>IFERROR(__xludf.DUMMYFUNCTION("""COMPUTED_VALUE"""),11.0)</f>
        <v>11</v>
      </c>
      <c r="D613" s="26">
        <f>IFERROR(__xludf.DUMMYFUNCTION("""COMPUTED_VALUE"""),273.0)</f>
        <v>273</v>
      </c>
      <c r="E613" s="26">
        <f>IFERROR(__xludf.DUMMYFUNCTION("""COMPUTED_VALUE"""),7680.0)</f>
        <v>7680</v>
      </c>
    </row>
    <row r="614">
      <c r="A614" s="25">
        <f>IFERROR(__xludf.DUMMYFUNCTION("""COMPUTED_VALUE"""),45478.0)</f>
        <v>45478</v>
      </c>
      <c r="B614" s="26" t="str">
        <f>IFERROR(__xludf.DUMMYFUNCTION("""COMPUTED_VALUE"""),"Facebook")</f>
        <v>Facebook</v>
      </c>
      <c r="C614" s="26">
        <f>IFERROR(__xludf.DUMMYFUNCTION("""COMPUTED_VALUE"""),3.0)</f>
        <v>3</v>
      </c>
      <c r="D614" s="26">
        <f>IFERROR(__xludf.DUMMYFUNCTION("""COMPUTED_VALUE"""),126.0)</f>
        <v>126</v>
      </c>
      <c r="E614" s="26">
        <f>IFERROR(__xludf.DUMMYFUNCTION("""COMPUTED_VALUE"""),3595.0)</f>
        <v>3595</v>
      </c>
    </row>
    <row r="615">
      <c r="A615" s="25">
        <f>IFERROR(__xludf.DUMMYFUNCTION("""COMPUTED_VALUE"""),45479.0)</f>
        <v>45479</v>
      </c>
      <c r="B615" s="26" t="str">
        <f>IFERROR(__xludf.DUMMYFUNCTION("""COMPUTED_VALUE"""),"Facebook")</f>
        <v>Facebook</v>
      </c>
      <c r="C615" s="26">
        <f>IFERROR(__xludf.DUMMYFUNCTION("""COMPUTED_VALUE"""),5.0)</f>
        <v>5</v>
      </c>
      <c r="D615" s="26">
        <f>IFERROR(__xludf.DUMMYFUNCTION("""COMPUTED_VALUE"""),85.0)</f>
        <v>85</v>
      </c>
      <c r="E615" s="26">
        <f>IFERROR(__xludf.DUMMYFUNCTION("""COMPUTED_VALUE"""),3154.0)</f>
        <v>3154</v>
      </c>
    </row>
    <row r="616">
      <c r="A616" s="25">
        <f>IFERROR(__xludf.DUMMYFUNCTION("""COMPUTED_VALUE"""),45480.0)</f>
        <v>45480</v>
      </c>
      <c r="B616" s="26" t="str">
        <f>IFERROR(__xludf.DUMMYFUNCTION("""COMPUTED_VALUE"""),"Facebook")</f>
        <v>Facebook</v>
      </c>
      <c r="C616" s="26">
        <f>IFERROR(__xludf.DUMMYFUNCTION("""COMPUTED_VALUE"""),2.0)</f>
        <v>2</v>
      </c>
      <c r="D616" s="26">
        <f>IFERROR(__xludf.DUMMYFUNCTION("""COMPUTED_VALUE"""),94.0)</f>
        <v>94</v>
      </c>
      <c r="E616" s="26">
        <f>IFERROR(__xludf.DUMMYFUNCTION("""COMPUTED_VALUE"""),2285.0)</f>
        <v>2285</v>
      </c>
    </row>
    <row r="617">
      <c r="A617" s="25">
        <f>IFERROR(__xludf.DUMMYFUNCTION("""COMPUTED_VALUE"""),45481.0)</f>
        <v>45481</v>
      </c>
      <c r="B617" s="26" t="str">
        <f>IFERROR(__xludf.DUMMYFUNCTION("""COMPUTED_VALUE"""),"Facebook")</f>
        <v>Facebook</v>
      </c>
      <c r="C617" s="26">
        <f>IFERROR(__xludf.DUMMYFUNCTION("""COMPUTED_VALUE"""),3.0)</f>
        <v>3</v>
      </c>
      <c r="D617" s="26">
        <f>IFERROR(__xludf.DUMMYFUNCTION("""COMPUTED_VALUE"""),39.0)</f>
        <v>39</v>
      </c>
      <c r="E617" s="26">
        <f>IFERROR(__xludf.DUMMYFUNCTION("""COMPUTED_VALUE"""),2079.0)</f>
        <v>2079</v>
      </c>
    </row>
    <row r="618">
      <c r="A618" s="25">
        <f>IFERROR(__xludf.DUMMYFUNCTION("""COMPUTED_VALUE"""),45482.0)</f>
        <v>45482</v>
      </c>
      <c r="B618" s="26" t="str">
        <f>IFERROR(__xludf.DUMMYFUNCTION("""COMPUTED_VALUE"""),"Facebook")</f>
        <v>Facebook</v>
      </c>
      <c r="C618" s="26">
        <f>IFERROR(__xludf.DUMMYFUNCTION("""COMPUTED_VALUE"""),2.0)</f>
        <v>2</v>
      </c>
      <c r="D618" s="26">
        <f>IFERROR(__xludf.DUMMYFUNCTION("""COMPUTED_VALUE"""),48.0)</f>
        <v>48</v>
      </c>
      <c r="E618" s="26">
        <f>IFERROR(__xludf.DUMMYFUNCTION("""COMPUTED_VALUE"""),1200.0)</f>
        <v>1200</v>
      </c>
    </row>
    <row r="619">
      <c r="A619" s="25">
        <f>IFERROR(__xludf.DUMMYFUNCTION("""COMPUTED_VALUE"""),45483.0)</f>
        <v>45483</v>
      </c>
      <c r="B619" s="26" t="str">
        <f>IFERROR(__xludf.DUMMYFUNCTION("""COMPUTED_VALUE"""),"Facebook")</f>
        <v>Facebook</v>
      </c>
      <c r="C619" s="26">
        <f>IFERROR(__xludf.DUMMYFUNCTION("""COMPUTED_VALUE"""),2.0)</f>
        <v>2</v>
      </c>
      <c r="D619" s="26">
        <f>IFERROR(__xludf.DUMMYFUNCTION("""COMPUTED_VALUE"""),59.0)</f>
        <v>59</v>
      </c>
      <c r="E619" s="26">
        <f>IFERROR(__xludf.DUMMYFUNCTION("""COMPUTED_VALUE"""),1518.0)</f>
        <v>1518</v>
      </c>
    </row>
    <row r="620">
      <c r="A620" s="25">
        <f>IFERROR(__xludf.DUMMYFUNCTION("""COMPUTED_VALUE"""),45484.0)</f>
        <v>45484</v>
      </c>
      <c r="B620" s="26" t="str">
        <f>IFERROR(__xludf.DUMMYFUNCTION("""COMPUTED_VALUE"""),"Facebook")</f>
        <v>Facebook</v>
      </c>
      <c r="C620" s="26">
        <f>IFERROR(__xludf.DUMMYFUNCTION("""COMPUTED_VALUE"""),2.0)</f>
        <v>2</v>
      </c>
      <c r="D620" s="26">
        <f>IFERROR(__xludf.DUMMYFUNCTION("""COMPUTED_VALUE"""),121.0)</f>
        <v>121</v>
      </c>
      <c r="E620" s="26">
        <f>IFERROR(__xludf.DUMMYFUNCTION("""COMPUTED_VALUE"""),12172.0)</f>
        <v>12172</v>
      </c>
    </row>
    <row r="621">
      <c r="A621" s="25">
        <f>IFERROR(__xludf.DUMMYFUNCTION("""COMPUTED_VALUE"""),45485.0)</f>
        <v>45485</v>
      </c>
      <c r="B621" s="26" t="str">
        <f>IFERROR(__xludf.DUMMYFUNCTION("""COMPUTED_VALUE"""),"Facebook")</f>
        <v>Facebook</v>
      </c>
      <c r="C621" s="26">
        <f>IFERROR(__xludf.DUMMYFUNCTION("""COMPUTED_VALUE"""),0.0)</f>
        <v>0</v>
      </c>
      <c r="D621" s="26">
        <f>IFERROR(__xludf.DUMMYFUNCTION("""COMPUTED_VALUE"""),175.0)</f>
        <v>175</v>
      </c>
      <c r="E621" s="26">
        <f>IFERROR(__xludf.DUMMYFUNCTION("""COMPUTED_VALUE"""),19145.0)</f>
        <v>19145</v>
      </c>
    </row>
    <row r="622">
      <c r="A622" s="25">
        <f>IFERROR(__xludf.DUMMYFUNCTION("""COMPUTED_VALUE"""),45486.0)</f>
        <v>45486</v>
      </c>
      <c r="B622" s="26" t="str">
        <f>IFERROR(__xludf.DUMMYFUNCTION("""COMPUTED_VALUE"""),"Facebook")</f>
        <v>Facebook</v>
      </c>
      <c r="C622" s="26">
        <f>IFERROR(__xludf.DUMMYFUNCTION("""COMPUTED_VALUE"""),4.0)</f>
        <v>4</v>
      </c>
      <c r="D622" s="26">
        <f>IFERROR(__xludf.DUMMYFUNCTION("""COMPUTED_VALUE"""),178.0)</f>
        <v>178</v>
      </c>
      <c r="E622" s="26">
        <f>IFERROR(__xludf.DUMMYFUNCTION("""COMPUTED_VALUE"""),27749.0)</f>
        <v>27749</v>
      </c>
    </row>
    <row r="623">
      <c r="A623" s="25">
        <f>IFERROR(__xludf.DUMMYFUNCTION("""COMPUTED_VALUE"""),45487.0)</f>
        <v>45487</v>
      </c>
      <c r="B623" s="26" t="str">
        <f>IFERROR(__xludf.DUMMYFUNCTION("""COMPUTED_VALUE"""),"Facebook")</f>
        <v>Facebook</v>
      </c>
      <c r="C623" s="26">
        <f>IFERROR(__xludf.DUMMYFUNCTION("""COMPUTED_VALUE"""),4.0)</f>
        <v>4</v>
      </c>
      <c r="D623" s="26">
        <f>IFERROR(__xludf.DUMMYFUNCTION("""COMPUTED_VALUE"""),91.0)</f>
        <v>91</v>
      </c>
      <c r="E623" s="26">
        <f>IFERROR(__xludf.DUMMYFUNCTION("""COMPUTED_VALUE"""),36329.0)</f>
        <v>36329</v>
      </c>
    </row>
    <row r="624">
      <c r="A624" s="25">
        <f>IFERROR(__xludf.DUMMYFUNCTION("""COMPUTED_VALUE"""),45488.0)</f>
        <v>45488</v>
      </c>
      <c r="B624" s="26" t="str">
        <f>IFERROR(__xludf.DUMMYFUNCTION("""COMPUTED_VALUE"""),"Facebook")</f>
        <v>Facebook</v>
      </c>
      <c r="C624" s="26">
        <f>IFERROR(__xludf.DUMMYFUNCTION("""COMPUTED_VALUE"""),3.0)</f>
        <v>3</v>
      </c>
      <c r="D624" s="26">
        <f>IFERROR(__xludf.DUMMYFUNCTION("""COMPUTED_VALUE"""),76.0)</f>
        <v>76</v>
      </c>
      <c r="E624" s="26">
        <f>IFERROR(__xludf.DUMMYFUNCTION("""COMPUTED_VALUE"""),37314.0)</f>
        <v>37314</v>
      </c>
    </row>
    <row r="625">
      <c r="A625" s="25">
        <f>IFERROR(__xludf.DUMMYFUNCTION("""COMPUTED_VALUE"""),45489.0)</f>
        <v>45489</v>
      </c>
      <c r="B625" s="26" t="str">
        <f>IFERROR(__xludf.DUMMYFUNCTION("""COMPUTED_VALUE"""),"Facebook")</f>
        <v>Facebook</v>
      </c>
      <c r="C625" s="26">
        <f>IFERROR(__xludf.DUMMYFUNCTION("""COMPUTED_VALUE"""),2.0)</f>
        <v>2</v>
      </c>
      <c r="D625" s="26">
        <f>IFERROR(__xludf.DUMMYFUNCTION("""COMPUTED_VALUE"""),84.0)</f>
        <v>84</v>
      </c>
      <c r="E625" s="26">
        <f>IFERROR(__xludf.DUMMYFUNCTION("""COMPUTED_VALUE"""),33543.0)</f>
        <v>33543</v>
      </c>
    </row>
    <row r="626">
      <c r="A626" s="25">
        <f>IFERROR(__xludf.DUMMYFUNCTION("""COMPUTED_VALUE"""),45490.0)</f>
        <v>45490</v>
      </c>
      <c r="B626" s="26" t="str">
        <f>IFERROR(__xludf.DUMMYFUNCTION("""COMPUTED_VALUE"""),"Facebook")</f>
        <v>Facebook</v>
      </c>
      <c r="C626" s="26">
        <f>IFERROR(__xludf.DUMMYFUNCTION("""COMPUTED_VALUE"""),4.0)</f>
        <v>4</v>
      </c>
      <c r="D626" s="26">
        <f>IFERROR(__xludf.DUMMYFUNCTION("""COMPUTED_VALUE"""),90.0)</f>
        <v>90</v>
      </c>
      <c r="E626" s="26">
        <f>IFERROR(__xludf.DUMMYFUNCTION("""COMPUTED_VALUE"""),32981.0)</f>
        <v>32981</v>
      </c>
    </row>
    <row r="627">
      <c r="A627" s="25">
        <f>IFERROR(__xludf.DUMMYFUNCTION("""COMPUTED_VALUE"""),45491.0)</f>
        <v>45491</v>
      </c>
      <c r="B627" s="26" t="str">
        <f>IFERROR(__xludf.DUMMYFUNCTION("""COMPUTED_VALUE"""),"Facebook")</f>
        <v>Facebook</v>
      </c>
      <c r="C627" s="26">
        <f>IFERROR(__xludf.DUMMYFUNCTION("""COMPUTED_VALUE"""),3.0)</f>
        <v>3</v>
      </c>
      <c r="D627" s="26">
        <f>IFERROR(__xludf.DUMMYFUNCTION("""COMPUTED_VALUE"""),358.0)</f>
        <v>358</v>
      </c>
      <c r="E627" s="26">
        <f>IFERROR(__xludf.DUMMYFUNCTION("""COMPUTED_VALUE"""),38416.0)</f>
        <v>38416</v>
      </c>
    </row>
    <row r="628">
      <c r="A628" s="25">
        <f>IFERROR(__xludf.DUMMYFUNCTION("""COMPUTED_VALUE"""),45492.0)</f>
        <v>45492</v>
      </c>
      <c r="B628" s="26" t="str">
        <f>IFERROR(__xludf.DUMMYFUNCTION("""COMPUTED_VALUE"""),"Facebook")</f>
        <v>Facebook</v>
      </c>
      <c r="C628" s="26">
        <f>IFERROR(__xludf.DUMMYFUNCTION("""COMPUTED_VALUE"""),7.0)</f>
        <v>7</v>
      </c>
      <c r="D628" s="26">
        <f>IFERROR(__xludf.DUMMYFUNCTION("""COMPUTED_VALUE"""),116.0)</f>
        <v>116</v>
      </c>
      <c r="E628" s="26">
        <f>IFERROR(__xludf.DUMMYFUNCTION("""COMPUTED_VALUE"""),34482.0)</f>
        <v>34482</v>
      </c>
    </row>
    <row r="629">
      <c r="A629" s="25">
        <f>IFERROR(__xludf.DUMMYFUNCTION("""COMPUTED_VALUE"""),45493.0)</f>
        <v>45493</v>
      </c>
      <c r="B629" s="26" t="str">
        <f>IFERROR(__xludf.DUMMYFUNCTION("""COMPUTED_VALUE"""),"Facebook")</f>
        <v>Facebook</v>
      </c>
      <c r="C629" s="26">
        <f>IFERROR(__xludf.DUMMYFUNCTION("""COMPUTED_VALUE"""),6.0)</f>
        <v>6</v>
      </c>
      <c r="D629" s="26">
        <f>IFERROR(__xludf.DUMMYFUNCTION("""COMPUTED_VALUE"""),73.0)</f>
        <v>73</v>
      </c>
      <c r="E629" s="26">
        <f>IFERROR(__xludf.DUMMYFUNCTION("""COMPUTED_VALUE"""),34223.0)</f>
        <v>34223</v>
      </c>
    </row>
    <row r="630">
      <c r="A630" s="25">
        <f>IFERROR(__xludf.DUMMYFUNCTION("""COMPUTED_VALUE"""),45494.0)</f>
        <v>45494</v>
      </c>
      <c r="B630" s="26" t="str">
        <f>IFERROR(__xludf.DUMMYFUNCTION("""COMPUTED_VALUE"""),"Facebook")</f>
        <v>Facebook</v>
      </c>
      <c r="C630" s="26">
        <f>IFERROR(__xludf.DUMMYFUNCTION("""COMPUTED_VALUE"""),1.0)</f>
        <v>1</v>
      </c>
      <c r="D630" s="26">
        <f>IFERROR(__xludf.DUMMYFUNCTION("""COMPUTED_VALUE"""),71.0)</f>
        <v>71</v>
      </c>
      <c r="E630" s="26">
        <f>IFERROR(__xludf.DUMMYFUNCTION("""COMPUTED_VALUE"""),41772.0)</f>
        <v>41772</v>
      </c>
    </row>
    <row r="631">
      <c r="A631" s="25">
        <f>IFERROR(__xludf.DUMMYFUNCTION("""COMPUTED_VALUE"""),45495.0)</f>
        <v>45495</v>
      </c>
      <c r="B631" s="26" t="str">
        <f>IFERROR(__xludf.DUMMYFUNCTION("""COMPUTED_VALUE"""),"Facebook")</f>
        <v>Facebook</v>
      </c>
      <c r="C631" s="26">
        <f>IFERROR(__xludf.DUMMYFUNCTION("""COMPUTED_VALUE"""),4.0)</f>
        <v>4</v>
      </c>
      <c r="D631" s="26">
        <f>IFERROR(__xludf.DUMMYFUNCTION("""COMPUTED_VALUE"""),63.0)</f>
        <v>63</v>
      </c>
      <c r="E631" s="26">
        <f>IFERROR(__xludf.DUMMYFUNCTION("""COMPUTED_VALUE"""),39764.0)</f>
        <v>39764</v>
      </c>
    </row>
    <row r="632">
      <c r="A632" s="25">
        <f>IFERROR(__xludf.DUMMYFUNCTION("""COMPUTED_VALUE"""),45496.0)</f>
        <v>45496</v>
      </c>
      <c r="B632" s="26" t="str">
        <f>IFERROR(__xludf.DUMMYFUNCTION("""COMPUTED_VALUE"""),"Facebook")</f>
        <v>Facebook</v>
      </c>
      <c r="C632" s="26">
        <f>IFERROR(__xludf.DUMMYFUNCTION("""COMPUTED_VALUE"""),2.0)</f>
        <v>2</v>
      </c>
      <c r="D632" s="26">
        <f>IFERROR(__xludf.DUMMYFUNCTION("""COMPUTED_VALUE"""),72.0)</f>
        <v>72</v>
      </c>
      <c r="E632" s="26">
        <f>IFERROR(__xludf.DUMMYFUNCTION("""COMPUTED_VALUE"""),38113.0)</f>
        <v>38113</v>
      </c>
    </row>
    <row r="633">
      <c r="A633" s="25">
        <f>IFERROR(__xludf.DUMMYFUNCTION("""COMPUTED_VALUE"""),45497.0)</f>
        <v>45497</v>
      </c>
      <c r="B633" s="26" t="str">
        <f>IFERROR(__xludf.DUMMYFUNCTION("""COMPUTED_VALUE"""),"Facebook")</f>
        <v>Facebook</v>
      </c>
      <c r="C633" s="26">
        <f>IFERROR(__xludf.DUMMYFUNCTION("""COMPUTED_VALUE"""),2.0)</f>
        <v>2</v>
      </c>
      <c r="D633" s="26">
        <f>IFERROR(__xludf.DUMMYFUNCTION("""COMPUTED_VALUE"""),80.0)</f>
        <v>80</v>
      </c>
      <c r="E633" s="26">
        <f>IFERROR(__xludf.DUMMYFUNCTION("""COMPUTED_VALUE"""),37509.0)</f>
        <v>37509</v>
      </c>
    </row>
    <row r="634">
      <c r="A634" s="25">
        <f>IFERROR(__xludf.DUMMYFUNCTION("""COMPUTED_VALUE"""),45498.0)</f>
        <v>45498</v>
      </c>
      <c r="B634" s="26" t="str">
        <f>IFERROR(__xludf.DUMMYFUNCTION("""COMPUTED_VALUE"""),"Facebook")</f>
        <v>Facebook</v>
      </c>
      <c r="C634" s="26">
        <f>IFERROR(__xludf.DUMMYFUNCTION("""COMPUTED_VALUE"""),5.0)</f>
        <v>5</v>
      </c>
      <c r="D634" s="26">
        <f>IFERROR(__xludf.DUMMYFUNCTION("""COMPUTED_VALUE"""),157.0)</f>
        <v>157</v>
      </c>
      <c r="E634" s="26">
        <f>IFERROR(__xludf.DUMMYFUNCTION("""COMPUTED_VALUE"""),35106.0)</f>
        <v>35106</v>
      </c>
    </row>
    <row r="635">
      <c r="A635" s="25">
        <f>IFERROR(__xludf.DUMMYFUNCTION("""COMPUTED_VALUE"""),45499.0)</f>
        <v>45499</v>
      </c>
      <c r="B635" s="26" t="str">
        <f>IFERROR(__xludf.DUMMYFUNCTION("""COMPUTED_VALUE"""),"Facebook")</f>
        <v>Facebook</v>
      </c>
      <c r="C635" s="26">
        <f>IFERROR(__xludf.DUMMYFUNCTION("""COMPUTED_VALUE"""),1.0)</f>
        <v>1</v>
      </c>
      <c r="D635" s="26">
        <f>IFERROR(__xludf.DUMMYFUNCTION("""COMPUTED_VALUE"""),84.0)</f>
        <v>84</v>
      </c>
      <c r="E635" s="26">
        <f>IFERROR(__xludf.DUMMYFUNCTION("""COMPUTED_VALUE"""),32792.0)</f>
        <v>32792</v>
      </c>
    </row>
    <row r="636">
      <c r="A636" s="25">
        <f>IFERROR(__xludf.DUMMYFUNCTION("""COMPUTED_VALUE"""),45500.0)</f>
        <v>45500</v>
      </c>
      <c r="B636" s="26" t="str">
        <f>IFERROR(__xludf.DUMMYFUNCTION("""COMPUTED_VALUE"""),"Facebook")</f>
        <v>Facebook</v>
      </c>
      <c r="C636" s="26">
        <f>IFERROR(__xludf.DUMMYFUNCTION("""COMPUTED_VALUE"""),2.0)</f>
        <v>2</v>
      </c>
      <c r="D636" s="26">
        <f>IFERROR(__xludf.DUMMYFUNCTION("""COMPUTED_VALUE"""),55.0)</f>
        <v>55</v>
      </c>
      <c r="E636" s="26">
        <f>IFERROR(__xludf.DUMMYFUNCTION("""COMPUTED_VALUE"""),31435.0)</f>
        <v>31435</v>
      </c>
    </row>
    <row r="637">
      <c r="A637" s="25">
        <f>IFERROR(__xludf.DUMMYFUNCTION("""COMPUTED_VALUE"""),45501.0)</f>
        <v>45501</v>
      </c>
      <c r="B637" s="26" t="str">
        <f>IFERROR(__xludf.DUMMYFUNCTION("""COMPUTED_VALUE"""),"Facebook")</f>
        <v>Facebook</v>
      </c>
      <c r="C637" s="26">
        <f>IFERROR(__xludf.DUMMYFUNCTION("""COMPUTED_VALUE"""),1.0)</f>
        <v>1</v>
      </c>
      <c r="D637" s="26">
        <f>IFERROR(__xludf.DUMMYFUNCTION("""COMPUTED_VALUE"""),61.0)</f>
        <v>61</v>
      </c>
      <c r="E637" s="26">
        <f>IFERROR(__xludf.DUMMYFUNCTION("""COMPUTED_VALUE"""),35705.0)</f>
        <v>35705</v>
      </c>
    </row>
    <row r="638">
      <c r="A638" s="25">
        <f>IFERROR(__xludf.DUMMYFUNCTION("""COMPUTED_VALUE"""),45502.0)</f>
        <v>45502</v>
      </c>
      <c r="B638" s="26" t="str">
        <f>IFERROR(__xludf.DUMMYFUNCTION("""COMPUTED_VALUE"""),"Facebook")</f>
        <v>Facebook</v>
      </c>
      <c r="C638" s="26">
        <f>IFERROR(__xludf.DUMMYFUNCTION("""COMPUTED_VALUE"""),2.0)</f>
        <v>2</v>
      </c>
      <c r="D638" s="26">
        <f>IFERROR(__xludf.DUMMYFUNCTION("""COMPUTED_VALUE"""),61.0)</f>
        <v>61</v>
      </c>
      <c r="E638" s="26">
        <f>IFERROR(__xludf.DUMMYFUNCTION("""COMPUTED_VALUE"""),33536.0)</f>
        <v>33536</v>
      </c>
    </row>
    <row r="639">
      <c r="A639" s="25">
        <f>IFERROR(__xludf.DUMMYFUNCTION("""COMPUTED_VALUE"""),45503.0)</f>
        <v>45503</v>
      </c>
      <c r="B639" s="26" t="str">
        <f>IFERROR(__xludf.DUMMYFUNCTION("""COMPUTED_VALUE"""),"Facebook")</f>
        <v>Facebook</v>
      </c>
      <c r="C639" s="26">
        <f>IFERROR(__xludf.DUMMYFUNCTION("""COMPUTED_VALUE"""),3.0)</f>
        <v>3</v>
      </c>
      <c r="D639" s="26">
        <f>IFERROR(__xludf.DUMMYFUNCTION("""COMPUTED_VALUE"""),118.0)</f>
        <v>118</v>
      </c>
      <c r="E639" s="26">
        <f>IFERROR(__xludf.DUMMYFUNCTION("""COMPUTED_VALUE"""),34210.0)</f>
        <v>34210</v>
      </c>
    </row>
    <row r="640">
      <c r="A640" s="25">
        <f>IFERROR(__xludf.DUMMYFUNCTION("""COMPUTED_VALUE"""),45504.0)</f>
        <v>45504</v>
      </c>
      <c r="B640" s="26" t="str">
        <f>IFERROR(__xludf.DUMMYFUNCTION("""COMPUTED_VALUE"""),"Facebook")</f>
        <v>Facebook</v>
      </c>
      <c r="C640" s="26">
        <f>IFERROR(__xludf.DUMMYFUNCTION("""COMPUTED_VALUE"""),1.0)</f>
        <v>1</v>
      </c>
      <c r="D640" s="26">
        <f>IFERROR(__xludf.DUMMYFUNCTION("""COMPUTED_VALUE"""),110.0)</f>
        <v>110</v>
      </c>
      <c r="E640" s="26">
        <f>IFERROR(__xludf.DUMMYFUNCTION("""COMPUTED_VALUE"""),33345.0)</f>
        <v>33345</v>
      </c>
    </row>
    <row r="641">
      <c r="A641" s="25">
        <f>IFERROR(__xludf.DUMMYFUNCTION("""COMPUTED_VALUE"""),45505.0)</f>
        <v>45505</v>
      </c>
      <c r="B641" s="26" t="str">
        <f>IFERROR(__xludf.DUMMYFUNCTION("""COMPUTED_VALUE"""),"Facebook")</f>
        <v>Facebook</v>
      </c>
      <c r="C641" s="26">
        <f>IFERROR(__xludf.DUMMYFUNCTION("""COMPUTED_VALUE"""),1.0)</f>
        <v>1</v>
      </c>
      <c r="D641" s="26">
        <f>IFERROR(__xludf.DUMMYFUNCTION("""COMPUTED_VALUE"""),44.0)</f>
        <v>44</v>
      </c>
      <c r="E641" s="26">
        <f>IFERROR(__xludf.DUMMYFUNCTION("""COMPUTED_VALUE"""),9163.0)</f>
        <v>9163</v>
      </c>
    </row>
    <row r="642">
      <c r="A642" s="25">
        <f>IFERROR(__xludf.DUMMYFUNCTION("""COMPUTED_VALUE"""),45506.0)</f>
        <v>45506</v>
      </c>
      <c r="B642" s="26" t="str">
        <f>IFERROR(__xludf.DUMMYFUNCTION("""COMPUTED_VALUE"""),"Facebook")</f>
        <v>Facebook</v>
      </c>
      <c r="C642" s="26">
        <f>IFERROR(__xludf.DUMMYFUNCTION("""COMPUTED_VALUE"""),1.0)</f>
        <v>1</v>
      </c>
      <c r="D642" s="26">
        <f>IFERROR(__xludf.DUMMYFUNCTION("""COMPUTED_VALUE"""),38.0)</f>
        <v>38</v>
      </c>
      <c r="E642" s="26">
        <f>IFERROR(__xludf.DUMMYFUNCTION("""COMPUTED_VALUE"""),926.0)</f>
        <v>926</v>
      </c>
    </row>
    <row r="643">
      <c r="A643" s="25">
        <f>IFERROR(__xludf.DUMMYFUNCTION("""COMPUTED_VALUE"""),45507.0)</f>
        <v>45507</v>
      </c>
      <c r="B643" s="26" t="str">
        <f>IFERROR(__xludf.DUMMYFUNCTION("""COMPUTED_VALUE"""),"Facebook")</f>
        <v>Facebook</v>
      </c>
      <c r="C643" s="26">
        <f>IFERROR(__xludf.DUMMYFUNCTION("""COMPUTED_VALUE"""),0.0)</f>
        <v>0</v>
      </c>
      <c r="D643" s="26">
        <f>IFERROR(__xludf.DUMMYFUNCTION("""COMPUTED_VALUE"""),25.0)</f>
        <v>25</v>
      </c>
      <c r="E643" s="26">
        <f>IFERROR(__xludf.DUMMYFUNCTION("""COMPUTED_VALUE"""),593.0)</f>
        <v>593</v>
      </c>
    </row>
    <row r="644">
      <c r="A644" s="25">
        <f>IFERROR(__xludf.DUMMYFUNCTION("""COMPUTED_VALUE"""),45508.0)</f>
        <v>45508</v>
      </c>
      <c r="B644" s="26" t="str">
        <f>IFERROR(__xludf.DUMMYFUNCTION("""COMPUTED_VALUE"""),"Facebook")</f>
        <v>Facebook</v>
      </c>
      <c r="C644" s="26">
        <f>IFERROR(__xludf.DUMMYFUNCTION("""COMPUTED_VALUE"""),1.0)</f>
        <v>1</v>
      </c>
      <c r="D644" s="26">
        <f>IFERROR(__xludf.DUMMYFUNCTION("""COMPUTED_VALUE"""),19.0)</f>
        <v>19</v>
      </c>
      <c r="E644" s="26">
        <f>IFERROR(__xludf.DUMMYFUNCTION("""COMPUTED_VALUE"""),398.0)</f>
        <v>398</v>
      </c>
    </row>
    <row r="645">
      <c r="A645" s="25">
        <f>IFERROR(__xludf.DUMMYFUNCTION("""COMPUTED_VALUE"""),45509.0)</f>
        <v>45509</v>
      </c>
      <c r="B645" s="26" t="str">
        <f>IFERROR(__xludf.DUMMYFUNCTION("""COMPUTED_VALUE"""),"Facebook")</f>
        <v>Facebook</v>
      </c>
      <c r="C645" s="26">
        <f>IFERROR(__xludf.DUMMYFUNCTION("""COMPUTED_VALUE"""),3.0)</f>
        <v>3</v>
      </c>
      <c r="D645" s="26">
        <f>IFERROR(__xludf.DUMMYFUNCTION("""COMPUTED_VALUE"""),8.0)</f>
        <v>8</v>
      </c>
      <c r="E645" s="26">
        <f>IFERROR(__xludf.DUMMYFUNCTION("""COMPUTED_VALUE"""),283.0)</f>
        <v>283</v>
      </c>
    </row>
    <row r="646">
      <c r="A646" s="25">
        <f>IFERROR(__xludf.DUMMYFUNCTION("""COMPUTED_VALUE"""),45510.0)</f>
        <v>45510</v>
      </c>
      <c r="B646" s="26" t="str">
        <f>IFERROR(__xludf.DUMMYFUNCTION("""COMPUTED_VALUE"""),"Facebook")</f>
        <v>Facebook</v>
      </c>
      <c r="C646" s="26">
        <f>IFERROR(__xludf.DUMMYFUNCTION("""COMPUTED_VALUE"""),3.0)</f>
        <v>3</v>
      </c>
      <c r="D646" s="26">
        <f>IFERROR(__xludf.DUMMYFUNCTION("""COMPUTED_VALUE"""),85.0)</f>
        <v>85</v>
      </c>
      <c r="E646" s="26">
        <f>IFERROR(__xludf.DUMMYFUNCTION("""COMPUTED_VALUE"""),996.0)</f>
        <v>996</v>
      </c>
    </row>
    <row r="647">
      <c r="A647" s="25">
        <f>IFERROR(__xludf.DUMMYFUNCTION("""COMPUTED_VALUE"""),45511.0)</f>
        <v>45511</v>
      </c>
      <c r="B647" s="26" t="str">
        <f>IFERROR(__xludf.DUMMYFUNCTION("""COMPUTED_VALUE"""),"Facebook")</f>
        <v>Facebook</v>
      </c>
      <c r="C647" s="26">
        <f>IFERROR(__xludf.DUMMYFUNCTION("""COMPUTED_VALUE"""),2.0)</f>
        <v>2</v>
      </c>
      <c r="D647" s="26">
        <f>IFERROR(__xludf.DUMMYFUNCTION("""COMPUTED_VALUE"""),28.0)</f>
        <v>28</v>
      </c>
      <c r="E647" s="26">
        <f>IFERROR(__xludf.DUMMYFUNCTION("""COMPUTED_VALUE"""),889.0)</f>
        <v>889</v>
      </c>
    </row>
    <row r="648">
      <c r="A648" s="25">
        <f>IFERROR(__xludf.DUMMYFUNCTION("""COMPUTED_VALUE"""),45512.0)</f>
        <v>45512</v>
      </c>
      <c r="B648" s="26" t="str">
        <f>IFERROR(__xludf.DUMMYFUNCTION("""COMPUTED_VALUE"""),"Facebook")</f>
        <v>Facebook</v>
      </c>
      <c r="C648" s="26">
        <f>IFERROR(__xludf.DUMMYFUNCTION("""COMPUTED_VALUE"""),26.0)</f>
        <v>26</v>
      </c>
      <c r="D648" s="26">
        <f>IFERROR(__xludf.DUMMYFUNCTION("""COMPUTED_VALUE"""),80.0)</f>
        <v>80</v>
      </c>
      <c r="E648" s="26">
        <f>IFERROR(__xludf.DUMMYFUNCTION("""COMPUTED_VALUE"""),1023.0)</f>
        <v>1023</v>
      </c>
    </row>
    <row r="649">
      <c r="A649" s="25">
        <f>IFERROR(__xludf.DUMMYFUNCTION("""COMPUTED_VALUE"""),45513.0)</f>
        <v>45513</v>
      </c>
      <c r="B649" s="26" t="str">
        <f>IFERROR(__xludf.DUMMYFUNCTION("""COMPUTED_VALUE"""),"Facebook")</f>
        <v>Facebook</v>
      </c>
      <c r="C649" s="26">
        <f>IFERROR(__xludf.DUMMYFUNCTION("""COMPUTED_VALUE"""),3.0)</f>
        <v>3</v>
      </c>
      <c r="D649" s="26">
        <f>IFERROR(__xludf.DUMMYFUNCTION("""COMPUTED_VALUE"""),56.0)</f>
        <v>56</v>
      </c>
      <c r="E649" s="26">
        <f>IFERROR(__xludf.DUMMYFUNCTION("""COMPUTED_VALUE"""),914.0)</f>
        <v>914</v>
      </c>
    </row>
    <row r="650">
      <c r="A650" s="25">
        <f>IFERROR(__xludf.DUMMYFUNCTION("""COMPUTED_VALUE"""),45514.0)</f>
        <v>45514</v>
      </c>
      <c r="B650" s="26" t="str">
        <f>IFERROR(__xludf.DUMMYFUNCTION("""COMPUTED_VALUE"""),"Facebook")</f>
        <v>Facebook</v>
      </c>
      <c r="C650" s="26">
        <f>IFERROR(__xludf.DUMMYFUNCTION("""COMPUTED_VALUE"""),3.0)</f>
        <v>3</v>
      </c>
      <c r="D650" s="26">
        <f>IFERROR(__xludf.DUMMYFUNCTION("""COMPUTED_VALUE"""),19.0)</f>
        <v>19</v>
      </c>
      <c r="E650" s="26">
        <f>IFERROR(__xludf.DUMMYFUNCTION("""COMPUTED_VALUE"""),404.0)</f>
        <v>404</v>
      </c>
    </row>
    <row r="651">
      <c r="A651" s="25">
        <f>IFERROR(__xludf.DUMMYFUNCTION("""COMPUTED_VALUE"""),45515.0)</f>
        <v>45515</v>
      </c>
      <c r="B651" s="26" t="str">
        <f>IFERROR(__xludf.DUMMYFUNCTION("""COMPUTED_VALUE"""),"Facebook")</f>
        <v>Facebook</v>
      </c>
      <c r="C651" s="26">
        <f>IFERROR(__xludf.DUMMYFUNCTION("""COMPUTED_VALUE"""),0.0)</f>
        <v>0</v>
      </c>
      <c r="D651" s="26">
        <f>IFERROR(__xludf.DUMMYFUNCTION("""COMPUTED_VALUE"""),20.0)</f>
        <v>20</v>
      </c>
      <c r="E651" s="26">
        <f>IFERROR(__xludf.DUMMYFUNCTION("""COMPUTED_VALUE"""),486.0)</f>
        <v>486</v>
      </c>
    </row>
    <row r="652">
      <c r="A652" s="25">
        <f>IFERROR(__xludf.DUMMYFUNCTION("""COMPUTED_VALUE"""),45516.0)</f>
        <v>45516</v>
      </c>
      <c r="B652" s="26" t="str">
        <f>IFERROR(__xludf.DUMMYFUNCTION("""COMPUTED_VALUE"""),"Facebook")</f>
        <v>Facebook</v>
      </c>
      <c r="C652" s="26">
        <f>IFERROR(__xludf.DUMMYFUNCTION("""COMPUTED_VALUE"""),1.0)</f>
        <v>1</v>
      </c>
      <c r="D652" s="26">
        <f>IFERROR(__xludf.DUMMYFUNCTION("""COMPUTED_VALUE"""),44.0)</f>
        <v>44</v>
      </c>
      <c r="E652" s="26">
        <f>IFERROR(__xludf.DUMMYFUNCTION("""COMPUTED_VALUE"""),866.0)</f>
        <v>866</v>
      </c>
    </row>
    <row r="653">
      <c r="A653" s="25">
        <f>IFERROR(__xludf.DUMMYFUNCTION("""COMPUTED_VALUE"""),45517.0)</f>
        <v>45517</v>
      </c>
      <c r="B653" s="26" t="str">
        <f>IFERROR(__xludf.DUMMYFUNCTION("""COMPUTED_VALUE"""),"Facebook")</f>
        <v>Facebook</v>
      </c>
      <c r="C653" s="26">
        <f>IFERROR(__xludf.DUMMYFUNCTION("""COMPUTED_VALUE"""),2.0)</f>
        <v>2</v>
      </c>
      <c r="D653" s="26">
        <f>IFERROR(__xludf.DUMMYFUNCTION("""COMPUTED_VALUE"""),18.0)</f>
        <v>18</v>
      </c>
      <c r="E653" s="26">
        <f>IFERROR(__xludf.DUMMYFUNCTION("""COMPUTED_VALUE"""),331.0)</f>
        <v>331</v>
      </c>
    </row>
    <row r="654">
      <c r="A654" s="25">
        <f>IFERROR(__xludf.DUMMYFUNCTION("""COMPUTED_VALUE"""),45518.0)</f>
        <v>45518</v>
      </c>
      <c r="B654" s="26" t="str">
        <f>IFERROR(__xludf.DUMMYFUNCTION("""COMPUTED_VALUE"""),"Facebook")</f>
        <v>Facebook</v>
      </c>
      <c r="C654" s="26">
        <f>IFERROR(__xludf.DUMMYFUNCTION("""COMPUTED_VALUE"""),0.0)</f>
        <v>0</v>
      </c>
      <c r="D654" s="26">
        <f>IFERROR(__xludf.DUMMYFUNCTION("""COMPUTED_VALUE"""),25.0)</f>
        <v>25</v>
      </c>
      <c r="E654" s="26">
        <f>IFERROR(__xludf.DUMMYFUNCTION("""COMPUTED_VALUE"""),5265.0)</f>
        <v>5265</v>
      </c>
    </row>
    <row r="655">
      <c r="A655" s="25">
        <f>IFERROR(__xludf.DUMMYFUNCTION("""COMPUTED_VALUE"""),45519.0)</f>
        <v>45519</v>
      </c>
      <c r="B655" s="26" t="str">
        <f>IFERROR(__xludf.DUMMYFUNCTION("""COMPUTED_VALUE"""),"Facebook")</f>
        <v>Facebook</v>
      </c>
      <c r="C655" s="26">
        <f>IFERROR(__xludf.DUMMYFUNCTION("""COMPUTED_VALUE"""),2.0)</f>
        <v>2</v>
      </c>
      <c r="D655" s="26">
        <f>IFERROR(__xludf.DUMMYFUNCTION("""COMPUTED_VALUE"""),62.0)</f>
        <v>62</v>
      </c>
      <c r="E655" s="26">
        <f>IFERROR(__xludf.DUMMYFUNCTION("""COMPUTED_VALUE"""),17852.0)</f>
        <v>17852</v>
      </c>
    </row>
    <row r="656">
      <c r="A656" s="25">
        <f>IFERROR(__xludf.DUMMYFUNCTION("""COMPUTED_VALUE"""),45520.0)</f>
        <v>45520</v>
      </c>
      <c r="B656" s="26" t="str">
        <f>IFERROR(__xludf.DUMMYFUNCTION("""COMPUTED_VALUE"""),"Facebook")</f>
        <v>Facebook</v>
      </c>
      <c r="C656" s="26">
        <f>IFERROR(__xludf.DUMMYFUNCTION("""COMPUTED_VALUE"""),2.0)</f>
        <v>2</v>
      </c>
      <c r="D656" s="26">
        <f>IFERROR(__xludf.DUMMYFUNCTION("""COMPUTED_VALUE"""),165.0)</f>
        <v>165</v>
      </c>
      <c r="E656" s="26">
        <f>IFERROR(__xludf.DUMMYFUNCTION("""COMPUTED_VALUE"""),25906.0)</f>
        <v>25906</v>
      </c>
    </row>
    <row r="657">
      <c r="A657" s="25">
        <f>IFERROR(__xludf.DUMMYFUNCTION("""COMPUTED_VALUE"""),45521.0)</f>
        <v>45521</v>
      </c>
      <c r="B657" s="26" t="str">
        <f>IFERROR(__xludf.DUMMYFUNCTION("""COMPUTED_VALUE"""),"Facebook")</f>
        <v>Facebook</v>
      </c>
      <c r="C657" s="26">
        <f>IFERROR(__xludf.DUMMYFUNCTION("""COMPUTED_VALUE"""),8.0)</f>
        <v>8</v>
      </c>
      <c r="D657" s="26">
        <f>IFERROR(__xludf.DUMMYFUNCTION("""COMPUTED_VALUE"""),212.0)</f>
        <v>212</v>
      </c>
      <c r="E657" s="26">
        <f>IFERROR(__xludf.DUMMYFUNCTION("""COMPUTED_VALUE"""),29574.0)</f>
        <v>29574</v>
      </c>
    </row>
    <row r="658">
      <c r="A658" s="25">
        <f>IFERROR(__xludf.DUMMYFUNCTION("""COMPUTED_VALUE"""),45522.0)</f>
        <v>45522</v>
      </c>
      <c r="B658" s="26" t="str">
        <f>IFERROR(__xludf.DUMMYFUNCTION("""COMPUTED_VALUE"""),"Facebook")</f>
        <v>Facebook</v>
      </c>
      <c r="C658" s="26">
        <f>IFERROR(__xludf.DUMMYFUNCTION("""COMPUTED_VALUE"""),2.0)</f>
        <v>2</v>
      </c>
      <c r="D658" s="26">
        <f>IFERROR(__xludf.DUMMYFUNCTION("""COMPUTED_VALUE"""),45.0)</f>
        <v>45</v>
      </c>
      <c r="E658" s="26">
        <f>IFERROR(__xludf.DUMMYFUNCTION("""COMPUTED_VALUE"""),23289.0)</f>
        <v>23289</v>
      </c>
    </row>
    <row r="659">
      <c r="A659" s="25">
        <f>IFERROR(__xludf.DUMMYFUNCTION("""COMPUTED_VALUE"""),45523.0)</f>
        <v>45523</v>
      </c>
      <c r="B659" s="26" t="str">
        <f>IFERROR(__xludf.DUMMYFUNCTION("""COMPUTED_VALUE"""),"Facebook")</f>
        <v>Facebook</v>
      </c>
      <c r="C659" s="26">
        <f>IFERROR(__xludf.DUMMYFUNCTION("""COMPUTED_VALUE"""),4.0)</f>
        <v>4</v>
      </c>
      <c r="D659" s="26">
        <f>IFERROR(__xludf.DUMMYFUNCTION("""COMPUTED_VALUE"""),50.0)</f>
        <v>50</v>
      </c>
      <c r="E659" s="26">
        <f>IFERROR(__xludf.DUMMYFUNCTION("""COMPUTED_VALUE"""),22596.0)</f>
        <v>22596</v>
      </c>
    </row>
    <row r="660">
      <c r="A660" s="25">
        <f>IFERROR(__xludf.DUMMYFUNCTION("""COMPUTED_VALUE"""),45524.0)</f>
        <v>45524</v>
      </c>
      <c r="B660" s="26" t="str">
        <f>IFERROR(__xludf.DUMMYFUNCTION("""COMPUTED_VALUE"""),"Facebook")</f>
        <v>Facebook</v>
      </c>
      <c r="C660" s="26">
        <f>IFERROR(__xludf.DUMMYFUNCTION("""COMPUTED_VALUE"""),2.0)</f>
        <v>2</v>
      </c>
      <c r="D660" s="26">
        <f>IFERROR(__xludf.DUMMYFUNCTION("""COMPUTED_VALUE"""),54.0)</f>
        <v>54</v>
      </c>
      <c r="E660" s="26">
        <f>IFERROR(__xludf.DUMMYFUNCTION("""COMPUTED_VALUE"""),23301.0)</f>
        <v>23301</v>
      </c>
    </row>
    <row r="661">
      <c r="A661" s="25">
        <f>IFERROR(__xludf.DUMMYFUNCTION("""COMPUTED_VALUE"""),45525.0)</f>
        <v>45525</v>
      </c>
      <c r="B661" s="26" t="str">
        <f>IFERROR(__xludf.DUMMYFUNCTION("""COMPUTED_VALUE"""),"Facebook")</f>
        <v>Facebook</v>
      </c>
      <c r="C661" s="26">
        <f>IFERROR(__xludf.DUMMYFUNCTION("""COMPUTED_VALUE"""),1.0)</f>
        <v>1</v>
      </c>
      <c r="D661" s="26">
        <f>IFERROR(__xludf.DUMMYFUNCTION("""COMPUTED_VALUE"""),46.0)</f>
        <v>46</v>
      </c>
      <c r="E661" s="26">
        <f>IFERROR(__xludf.DUMMYFUNCTION("""COMPUTED_VALUE"""),22524.0)</f>
        <v>22524</v>
      </c>
    </row>
    <row r="662">
      <c r="A662" s="25">
        <f>IFERROR(__xludf.DUMMYFUNCTION("""COMPUTED_VALUE"""),45526.0)</f>
        <v>45526</v>
      </c>
      <c r="B662" s="26" t="str">
        <f>IFERROR(__xludf.DUMMYFUNCTION("""COMPUTED_VALUE"""),"Facebook")</f>
        <v>Facebook</v>
      </c>
      <c r="C662" s="26">
        <f>IFERROR(__xludf.DUMMYFUNCTION("""COMPUTED_VALUE"""),1.0)</f>
        <v>1</v>
      </c>
      <c r="D662" s="26">
        <f>IFERROR(__xludf.DUMMYFUNCTION("""COMPUTED_VALUE"""),101.0)</f>
        <v>101</v>
      </c>
      <c r="E662" s="26">
        <f>IFERROR(__xludf.DUMMYFUNCTION("""COMPUTED_VALUE"""),20924.0)</f>
        <v>20924</v>
      </c>
    </row>
    <row r="663">
      <c r="A663" s="25">
        <f>IFERROR(__xludf.DUMMYFUNCTION("""COMPUTED_VALUE"""),45527.0)</f>
        <v>45527</v>
      </c>
      <c r="B663" s="26" t="str">
        <f>IFERROR(__xludf.DUMMYFUNCTION("""COMPUTED_VALUE"""),"Facebook")</f>
        <v>Facebook</v>
      </c>
      <c r="C663" s="26">
        <f>IFERROR(__xludf.DUMMYFUNCTION("""COMPUTED_VALUE"""),4.0)</f>
        <v>4</v>
      </c>
      <c r="D663" s="26">
        <f>IFERROR(__xludf.DUMMYFUNCTION("""COMPUTED_VALUE"""),97.0)</f>
        <v>97</v>
      </c>
      <c r="E663" s="26">
        <f>IFERROR(__xludf.DUMMYFUNCTION("""COMPUTED_VALUE"""),20732.0)</f>
        <v>20732</v>
      </c>
    </row>
    <row r="664">
      <c r="A664" s="25">
        <f>IFERROR(__xludf.DUMMYFUNCTION("""COMPUTED_VALUE"""),45528.0)</f>
        <v>45528</v>
      </c>
      <c r="B664" s="26" t="str">
        <f>IFERROR(__xludf.DUMMYFUNCTION("""COMPUTED_VALUE"""),"Facebook")</f>
        <v>Facebook</v>
      </c>
      <c r="C664" s="26">
        <f>IFERROR(__xludf.DUMMYFUNCTION("""COMPUTED_VALUE"""),8.0)</f>
        <v>8</v>
      </c>
      <c r="D664" s="26">
        <f>IFERROR(__xludf.DUMMYFUNCTION("""COMPUTED_VALUE"""),72.0)</f>
        <v>72</v>
      </c>
      <c r="E664" s="26">
        <f>IFERROR(__xludf.DUMMYFUNCTION("""COMPUTED_VALUE"""),21406.0)</f>
        <v>21406</v>
      </c>
    </row>
    <row r="665">
      <c r="A665" s="25">
        <f>IFERROR(__xludf.DUMMYFUNCTION("""COMPUTED_VALUE"""),45529.0)</f>
        <v>45529</v>
      </c>
      <c r="B665" s="26" t="str">
        <f>IFERROR(__xludf.DUMMYFUNCTION("""COMPUTED_VALUE"""),"Facebook")</f>
        <v>Facebook</v>
      </c>
      <c r="C665" s="26">
        <f>IFERROR(__xludf.DUMMYFUNCTION("""COMPUTED_VALUE"""),3.0)</f>
        <v>3</v>
      </c>
      <c r="D665" s="26">
        <f>IFERROR(__xludf.DUMMYFUNCTION("""COMPUTED_VALUE"""),32.0)</f>
        <v>32</v>
      </c>
      <c r="E665" s="26">
        <f>IFERROR(__xludf.DUMMYFUNCTION("""COMPUTED_VALUE"""),27279.0)</f>
        <v>27279</v>
      </c>
    </row>
    <row r="666">
      <c r="A666" s="25">
        <f>IFERROR(__xludf.DUMMYFUNCTION("""COMPUTED_VALUE"""),45530.0)</f>
        <v>45530</v>
      </c>
      <c r="B666" s="26" t="str">
        <f>IFERROR(__xludf.DUMMYFUNCTION("""COMPUTED_VALUE"""),"Facebook")</f>
        <v>Facebook</v>
      </c>
      <c r="C666" s="26">
        <f>IFERROR(__xludf.DUMMYFUNCTION("""COMPUTED_VALUE"""),1.0)</f>
        <v>1</v>
      </c>
      <c r="D666" s="26">
        <f>IFERROR(__xludf.DUMMYFUNCTION("""COMPUTED_VALUE"""),20.0)</f>
        <v>20</v>
      </c>
      <c r="E666" s="26">
        <f>IFERROR(__xludf.DUMMYFUNCTION("""COMPUTED_VALUE"""),34893.0)</f>
        <v>34893</v>
      </c>
    </row>
    <row r="667">
      <c r="A667" s="25">
        <f>IFERROR(__xludf.DUMMYFUNCTION("""COMPUTED_VALUE"""),45531.0)</f>
        <v>45531</v>
      </c>
      <c r="B667" s="26" t="str">
        <f>IFERROR(__xludf.DUMMYFUNCTION("""COMPUTED_VALUE"""),"Facebook")</f>
        <v>Facebook</v>
      </c>
      <c r="C667" s="26">
        <f>IFERROR(__xludf.DUMMYFUNCTION("""COMPUTED_VALUE"""),2.0)</f>
        <v>2</v>
      </c>
      <c r="D667" s="26">
        <f>IFERROR(__xludf.DUMMYFUNCTION("""COMPUTED_VALUE"""),67.0)</f>
        <v>67</v>
      </c>
      <c r="E667" s="26">
        <f>IFERROR(__xludf.DUMMYFUNCTION("""COMPUTED_VALUE"""),38908.0)</f>
        <v>38908</v>
      </c>
    </row>
    <row r="668">
      <c r="A668" s="25">
        <f>IFERROR(__xludf.DUMMYFUNCTION("""COMPUTED_VALUE"""),45532.0)</f>
        <v>45532</v>
      </c>
      <c r="B668" s="26" t="str">
        <f>IFERROR(__xludf.DUMMYFUNCTION("""COMPUTED_VALUE"""),"Facebook")</f>
        <v>Facebook</v>
      </c>
      <c r="C668" s="26">
        <f>IFERROR(__xludf.DUMMYFUNCTION("""COMPUTED_VALUE"""),1.0)</f>
        <v>1</v>
      </c>
      <c r="D668" s="26">
        <f>IFERROR(__xludf.DUMMYFUNCTION("""COMPUTED_VALUE"""),66.0)</f>
        <v>66</v>
      </c>
      <c r="E668" s="26">
        <f>IFERROR(__xludf.DUMMYFUNCTION("""COMPUTED_VALUE"""),36291.0)</f>
        <v>36291</v>
      </c>
    </row>
    <row r="669">
      <c r="A669" s="25">
        <f>IFERROR(__xludf.DUMMYFUNCTION("""COMPUTED_VALUE"""),45533.0)</f>
        <v>45533</v>
      </c>
      <c r="B669" s="26" t="str">
        <f>IFERROR(__xludf.DUMMYFUNCTION("""COMPUTED_VALUE"""),"Facebook")</f>
        <v>Facebook</v>
      </c>
      <c r="C669" s="26">
        <f>IFERROR(__xludf.DUMMYFUNCTION("""COMPUTED_VALUE"""),3.0)</f>
        <v>3</v>
      </c>
      <c r="D669" s="26">
        <f>IFERROR(__xludf.DUMMYFUNCTION("""COMPUTED_VALUE"""),53.0)</f>
        <v>53</v>
      </c>
      <c r="E669" s="26">
        <f>IFERROR(__xludf.DUMMYFUNCTION("""COMPUTED_VALUE"""),37549.0)</f>
        <v>37549</v>
      </c>
    </row>
    <row r="670">
      <c r="A670" s="25">
        <f>IFERROR(__xludf.DUMMYFUNCTION("""COMPUTED_VALUE"""),45534.0)</f>
        <v>45534</v>
      </c>
      <c r="B670" s="26" t="str">
        <f>IFERROR(__xludf.DUMMYFUNCTION("""COMPUTED_VALUE"""),"Facebook")</f>
        <v>Facebook</v>
      </c>
      <c r="C670" s="26">
        <f>IFERROR(__xludf.DUMMYFUNCTION("""COMPUTED_VALUE"""),1.0)</f>
        <v>1</v>
      </c>
      <c r="D670" s="26">
        <f>IFERROR(__xludf.DUMMYFUNCTION("""COMPUTED_VALUE"""),103.0)</f>
        <v>103</v>
      </c>
      <c r="E670" s="26">
        <f>IFERROR(__xludf.DUMMYFUNCTION("""COMPUTED_VALUE"""),36374.0)</f>
        <v>36374</v>
      </c>
    </row>
    <row r="671">
      <c r="A671" s="25">
        <f>IFERROR(__xludf.DUMMYFUNCTION("""COMPUTED_VALUE"""),45535.0)</f>
        <v>45535</v>
      </c>
      <c r="B671" s="26" t="str">
        <f>IFERROR(__xludf.DUMMYFUNCTION("""COMPUTED_VALUE"""),"Facebook")</f>
        <v>Facebook</v>
      </c>
      <c r="C671" s="26">
        <f>IFERROR(__xludf.DUMMYFUNCTION("""COMPUTED_VALUE"""),3.0)</f>
        <v>3</v>
      </c>
      <c r="D671" s="26">
        <f>IFERROR(__xludf.DUMMYFUNCTION("""COMPUTED_VALUE"""),51.0)</f>
        <v>51</v>
      </c>
      <c r="E671" s="26">
        <f>IFERROR(__xludf.DUMMYFUNCTION("""COMPUTED_VALUE"""),18885.0)</f>
        <v>18885</v>
      </c>
    </row>
    <row r="672">
      <c r="A672" s="25">
        <f>IFERROR(__xludf.DUMMYFUNCTION("""COMPUTED_VALUE"""),45536.0)</f>
        <v>45536</v>
      </c>
      <c r="B672" s="26" t="str">
        <f>IFERROR(__xludf.DUMMYFUNCTION("""COMPUTED_VALUE"""),"Facebook")</f>
        <v>Facebook</v>
      </c>
      <c r="C672" s="26">
        <f>IFERROR(__xludf.DUMMYFUNCTION("""COMPUTED_VALUE"""),3.0)</f>
        <v>3</v>
      </c>
      <c r="D672" s="26">
        <f>IFERROR(__xludf.DUMMYFUNCTION("""COMPUTED_VALUE"""),17.0)</f>
        <v>17</v>
      </c>
      <c r="E672" s="26">
        <f>IFERROR(__xludf.DUMMYFUNCTION("""COMPUTED_VALUE"""),465.0)</f>
        <v>465</v>
      </c>
    </row>
    <row r="673">
      <c r="A673" s="25">
        <f>IFERROR(__xludf.DUMMYFUNCTION("""COMPUTED_VALUE"""),45537.0)</f>
        <v>45537</v>
      </c>
      <c r="B673" s="26" t="str">
        <f>IFERROR(__xludf.DUMMYFUNCTION("""COMPUTED_VALUE"""),"Facebook")</f>
        <v>Facebook</v>
      </c>
      <c r="C673" s="26">
        <f>IFERROR(__xludf.DUMMYFUNCTION("""COMPUTED_VALUE"""),2.0)</f>
        <v>2</v>
      </c>
      <c r="D673" s="26">
        <f>IFERROR(__xludf.DUMMYFUNCTION("""COMPUTED_VALUE"""),49.0)</f>
        <v>49</v>
      </c>
      <c r="E673" s="26">
        <f>IFERROR(__xludf.DUMMYFUNCTION("""COMPUTED_VALUE"""),831.0)</f>
        <v>831</v>
      </c>
    </row>
    <row r="674">
      <c r="A674" s="25">
        <f>IFERROR(__xludf.DUMMYFUNCTION("""COMPUTED_VALUE"""),45538.0)</f>
        <v>45538</v>
      </c>
      <c r="B674" s="26" t="str">
        <f>IFERROR(__xludf.DUMMYFUNCTION("""COMPUTED_VALUE"""),"Facebook")</f>
        <v>Facebook</v>
      </c>
      <c r="C674" s="26">
        <f>IFERROR(__xludf.DUMMYFUNCTION("""COMPUTED_VALUE"""),3.0)</f>
        <v>3</v>
      </c>
      <c r="D674" s="26">
        <f>IFERROR(__xludf.DUMMYFUNCTION("""COMPUTED_VALUE"""),49.0)</f>
        <v>49</v>
      </c>
      <c r="E674" s="26">
        <f>IFERROR(__xludf.DUMMYFUNCTION("""COMPUTED_VALUE"""),959.0)</f>
        <v>959</v>
      </c>
    </row>
    <row r="675">
      <c r="A675" s="25">
        <f>IFERROR(__xludf.DUMMYFUNCTION("""COMPUTED_VALUE"""),45539.0)</f>
        <v>45539</v>
      </c>
      <c r="B675" s="26" t="str">
        <f>IFERROR(__xludf.DUMMYFUNCTION("""COMPUTED_VALUE"""),"Facebook")</f>
        <v>Facebook</v>
      </c>
      <c r="C675" s="26">
        <f>IFERROR(__xludf.DUMMYFUNCTION("""COMPUTED_VALUE"""),4.0)</f>
        <v>4</v>
      </c>
      <c r="D675" s="26">
        <f>IFERROR(__xludf.DUMMYFUNCTION("""COMPUTED_VALUE"""),22.0)</f>
        <v>22</v>
      </c>
      <c r="E675" s="26">
        <f>IFERROR(__xludf.DUMMYFUNCTION("""COMPUTED_VALUE"""),596.0)</f>
        <v>596</v>
      </c>
    </row>
    <row r="676">
      <c r="A676" s="25">
        <f>IFERROR(__xludf.DUMMYFUNCTION("""COMPUTED_VALUE"""),45540.0)</f>
        <v>45540</v>
      </c>
      <c r="B676" s="26" t="str">
        <f>IFERROR(__xludf.DUMMYFUNCTION("""COMPUTED_VALUE"""),"Facebook")</f>
        <v>Facebook</v>
      </c>
      <c r="C676" s="26">
        <f>IFERROR(__xludf.DUMMYFUNCTION("""COMPUTED_VALUE"""),2.0)</f>
        <v>2</v>
      </c>
      <c r="D676" s="26">
        <f>IFERROR(__xludf.DUMMYFUNCTION("""COMPUTED_VALUE"""),23.0)</f>
        <v>23</v>
      </c>
      <c r="E676" s="26">
        <f>IFERROR(__xludf.DUMMYFUNCTION("""COMPUTED_VALUE"""),548.0)</f>
        <v>548</v>
      </c>
    </row>
    <row r="677">
      <c r="A677" s="25">
        <f>IFERROR(__xludf.DUMMYFUNCTION("""COMPUTED_VALUE"""),45541.0)</f>
        <v>45541</v>
      </c>
      <c r="B677" s="26" t="str">
        <f>IFERROR(__xludf.DUMMYFUNCTION("""COMPUTED_VALUE"""),"Facebook")</f>
        <v>Facebook</v>
      </c>
      <c r="C677" s="26">
        <f>IFERROR(__xludf.DUMMYFUNCTION("""COMPUTED_VALUE"""),8.0)</f>
        <v>8</v>
      </c>
      <c r="D677" s="26">
        <f>IFERROR(__xludf.DUMMYFUNCTION("""COMPUTED_VALUE"""),43.0)</f>
        <v>43</v>
      </c>
      <c r="E677" s="26">
        <f>IFERROR(__xludf.DUMMYFUNCTION("""COMPUTED_VALUE"""),3221.0)</f>
        <v>3221</v>
      </c>
    </row>
    <row r="678">
      <c r="A678" s="25">
        <f>IFERROR(__xludf.DUMMYFUNCTION("""COMPUTED_VALUE"""),45542.0)</f>
        <v>45542</v>
      </c>
      <c r="B678" s="26" t="str">
        <f>IFERROR(__xludf.DUMMYFUNCTION("""COMPUTED_VALUE"""),"Facebook")</f>
        <v>Facebook</v>
      </c>
      <c r="C678" s="26">
        <f>IFERROR(__xludf.DUMMYFUNCTION("""COMPUTED_VALUE"""),23.0)</f>
        <v>23</v>
      </c>
      <c r="D678" s="26">
        <f>IFERROR(__xludf.DUMMYFUNCTION("""COMPUTED_VALUE"""),173.0)</f>
        <v>173</v>
      </c>
      <c r="E678" s="26">
        <f>IFERROR(__xludf.DUMMYFUNCTION("""COMPUTED_VALUE"""),9007.0)</f>
        <v>9007</v>
      </c>
    </row>
    <row r="679">
      <c r="A679" s="25">
        <f>IFERROR(__xludf.DUMMYFUNCTION("""COMPUTED_VALUE"""),45543.0)</f>
        <v>45543</v>
      </c>
      <c r="B679" s="26" t="str">
        <f>IFERROR(__xludf.DUMMYFUNCTION("""COMPUTED_VALUE"""),"Facebook")</f>
        <v>Facebook</v>
      </c>
      <c r="C679" s="26">
        <f>IFERROR(__xludf.DUMMYFUNCTION("""COMPUTED_VALUE"""),21.0)</f>
        <v>21</v>
      </c>
      <c r="D679" s="26">
        <f>IFERROR(__xludf.DUMMYFUNCTION("""COMPUTED_VALUE"""),189.0)</f>
        <v>189</v>
      </c>
      <c r="E679" s="26">
        <f>IFERROR(__xludf.DUMMYFUNCTION("""COMPUTED_VALUE"""),11709.0)</f>
        <v>11709</v>
      </c>
    </row>
    <row r="680">
      <c r="A680" s="25">
        <f>IFERROR(__xludf.DUMMYFUNCTION("""COMPUTED_VALUE"""),45544.0)</f>
        <v>45544</v>
      </c>
      <c r="B680" s="26" t="str">
        <f>IFERROR(__xludf.DUMMYFUNCTION("""COMPUTED_VALUE"""),"Facebook")</f>
        <v>Facebook</v>
      </c>
      <c r="C680" s="26">
        <f>IFERROR(__xludf.DUMMYFUNCTION("""COMPUTED_VALUE"""),48.0)</f>
        <v>48</v>
      </c>
      <c r="D680" s="26">
        <f>IFERROR(__xludf.DUMMYFUNCTION("""COMPUTED_VALUE"""),216.0)</f>
        <v>216</v>
      </c>
      <c r="E680" s="26">
        <f>IFERROR(__xludf.DUMMYFUNCTION("""COMPUTED_VALUE"""),13679.0)</f>
        <v>13679</v>
      </c>
    </row>
    <row r="681">
      <c r="A681" s="25">
        <f>IFERROR(__xludf.DUMMYFUNCTION("""COMPUTED_VALUE"""),45545.0)</f>
        <v>45545</v>
      </c>
      <c r="B681" s="26" t="str">
        <f>IFERROR(__xludf.DUMMYFUNCTION("""COMPUTED_VALUE"""),"Facebook")</f>
        <v>Facebook</v>
      </c>
      <c r="C681" s="26">
        <f>IFERROR(__xludf.DUMMYFUNCTION("""COMPUTED_VALUE"""),29.0)</f>
        <v>29</v>
      </c>
      <c r="D681" s="26">
        <f>IFERROR(__xludf.DUMMYFUNCTION("""COMPUTED_VALUE"""),192.0)</f>
        <v>192</v>
      </c>
      <c r="E681" s="26">
        <f>IFERROR(__xludf.DUMMYFUNCTION("""COMPUTED_VALUE"""),10666.0)</f>
        <v>10666</v>
      </c>
    </row>
    <row r="682">
      <c r="A682" s="25">
        <f>IFERROR(__xludf.DUMMYFUNCTION("""COMPUTED_VALUE"""),45546.0)</f>
        <v>45546</v>
      </c>
      <c r="B682" s="26" t="str">
        <f>IFERROR(__xludf.DUMMYFUNCTION("""COMPUTED_VALUE"""),"Facebook")</f>
        <v>Facebook</v>
      </c>
      <c r="C682" s="26">
        <f>IFERROR(__xludf.DUMMYFUNCTION("""COMPUTED_VALUE"""),27.0)</f>
        <v>27</v>
      </c>
      <c r="D682" s="26">
        <f>IFERROR(__xludf.DUMMYFUNCTION("""COMPUTED_VALUE"""),255.0)</f>
        <v>255</v>
      </c>
      <c r="E682" s="26">
        <f>IFERROR(__xludf.DUMMYFUNCTION("""COMPUTED_VALUE"""),8028.0)</f>
        <v>8028</v>
      </c>
    </row>
    <row r="683">
      <c r="A683" s="25">
        <f>IFERROR(__xludf.DUMMYFUNCTION("""COMPUTED_VALUE"""),45547.0)</f>
        <v>45547</v>
      </c>
      <c r="B683" s="26" t="str">
        <f>IFERROR(__xludf.DUMMYFUNCTION("""COMPUTED_VALUE"""),"Facebook")</f>
        <v>Facebook</v>
      </c>
      <c r="C683" s="26">
        <f>IFERROR(__xludf.DUMMYFUNCTION("""COMPUTED_VALUE"""),33.0)</f>
        <v>33</v>
      </c>
      <c r="D683" s="26">
        <f>IFERROR(__xludf.DUMMYFUNCTION("""COMPUTED_VALUE"""),213.0)</f>
        <v>213</v>
      </c>
      <c r="E683" s="26">
        <f>IFERROR(__xludf.DUMMYFUNCTION("""COMPUTED_VALUE"""),7954.0)</f>
        <v>7954</v>
      </c>
    </row>
    <row r="684">
      <c r="A684" s="25">
        <f>IFERROR(__xludf.DUMMYFUNCTION("""COMPUTED_VALUE"""),45548.0)</f>
        <v>45548</v>
      </c>
      <c r="B684" s="26" t="str">
        <f>IFERROR(__xludf.DUMMYFUNCTION("""COMPUTED_VALUE"""),"Facebook")</f>
        <v>Facebook</v>
      </c>
      <c r="C684" s="26">
        <f>IFERROR(__xludf.DUMMYFUNCTION("""COMPUTED_VALUE"""),32.0)</f>
        <v>32</v>
      </c>
      <c r="D684" s="26">
        <f>IFERROR(__xludf.DUMMYFUNCTION("""COMPUTED_VALUE"""),239.0)</f>
        <v>239</v>
      </c>
      <c r="E684" s="26">
        <f>IFERROR(__xludf.DUMMYFUNCTION("""COMPUTED_VALUE"""),10131.0)</f>
        <v>10131</v>
      </c>
    </row>
    <row r="685">
      <c r="A685" s="25">
        <f>IFERROR(__xludf.DUMMYFUNCTION("""COMPUTED_VALUE"""),45549.0)</f>
        <v>45549</v>
      </c>
      <c r="B685" s="26" t="str">
        <f>IFERROR(__xludf.DUMMYFUNCTION("""COMPUTED_VALUE"""),"Facebook")</f>
        <v>Facebook</v>
      </c>
      <c r="C685" s="26">
        <f>IFERROR(__xludf.DUMMYFUNCTION("""COMPUTED_VALUE"""),30.0)</f>
        <v>30</v>
      </c>
      <c r="D685" s="26">
        <f>IFERROR(__xludf.DUMMYFUNCTION("""COMPUTED_VALUE"""),208.0)</f>
        <v>208</v>
      </c>
      <c r="E685" s="26">
        <f>IFERROR(__xludf.DUMMYFUNCTION("""COMPUTED_VALUE"""),7704.0)</f>
        <v>7704</v>
      </c>
    </row>
    <row r="686">
      <c r="A686" s="25">
        <f>IFERROR(__xludf.DUMMYFUNCTION("""COMPUTED_VALUE"""),45550.0)</f>
        <v>45550</v>
      </c>
      <c r="B686" s="26" t="str">
        <f>IFERROR(__xludf.DUMMYFUNCTION("""COMPUTED_VALUE"""),"Facebook")</f>
        <v>Facebook</v>
      </c>
      <c r="C686" s="26">
        <f>IFERROR(__xludf.DUMMYFUNCTION("""COMPUTED_VALUE"""),26.0)</f>
        <v>26</v>
      </c>
      <c r="D686" s="26">
        <f>IFERROR(__xludf.DUMMYFUNCTION("""COMPUTED_VALUE"""),154.0)</f>
        <v>154</v>
      </c>
      <c r="E686" s="26">
        <f>IFERROR(__xludf.DUMMYFUNCTION("""COMPUTED_VALUE"""),8202.0)</f>
        <v>8202</v>
      </c>
    </row>
    <row r="687">
      <c r="A687" s="25">
        <f>IFERROR(__xludf.DUMMYFUNCTION("""COMPUTED_VALUE"""),45551.0)</f>
        <v>45551</v>
      </c>
      <c r="B687" s="26" t="str">
        <f>IFERROR(__xludf.DUMMYFUNCTION("""COMPUTED_VALUE"""),"Facebook")</f>
        <v>Facebook</v>
      </c>
      <c r="C687" s="26">
        <f>IFERROR(__xludf.DUMMYFUNCTION("""COMPUTED_VALUE"""),23.0)</f>
        <v>23</v>
      </c>
      <c r="D687" s="26">
        <f>IFERROR(__xludf.DUMMYFUNCTION("""COMPUTED_VALUE"""),134.0)</f>
        <v>134</v>
      </c>
      <c r="E687" s="26">
        <f>IFERROR(__xludf.DUMMYFUNCTION("""COMPUTED_VALUE"""),13288.0)</f>
        <v>13288</v>
      </c>
    </row>
    <row r="688">
      <c r="A688" s="25">
        <f>IFERROR(__xludf.DUMMYFUNCTION("""COMPUTED_VALUE"""),45552.0)</f>
        <v>45552</v>
      </c>
      <c r="B688" s="26" t="str">
        <f>IFERROR(__xludf.DUMMYFUNCTION("""COMPUTED_VALUE"""),"Facebook")</f>
        <v>Facebook</v>
      </c>
      <c r="C688" s="26">
        <f>IFERROR(__xludf.DUMMYFUNCTION("""COMPUTED_VALUE"""),35.0)</f>
        <v>35</v>
      </c>
      <c r="D688" s="26">
        <f>IFERROR(__xludf.DUMMYFUNCTION("""COMPUTED_VALUE"""),294.0)</f>
        <v>294</v>
      </c>
      <c r="E688" s="26">
        <f>IFERROR(__xludf.DUMMYFUNCTION("""COMPUTED_VALUE"""),16452.0)</f>
        <v>16452</v>
      </c>
    </row>
    <row r="689">
      <c r="A689" s="25">
        <f>IFERROR(__xludf.DUMMYFUNCTION("""COMPUTED_VALUE"""),45553.0)</f>
        <v>45553</v>
      </c>
      <c r="B689" s="26" t="str">
        <f>IFERROR(__xludf.DUMMYFUNCTION("""COMPUTED_VALUE"""),"Facebook")</f>
        <v>Facebook</v>
      </c>
      <c r="C689" s="26">
        <f>IFERROR(__xludf.DUMMYFUNCTION("""COMPUTED_VALUE"""),24.0)</f>
        <v>24</v>
      </c>
      <c r="D689" s="26">
        <f>IFERROR(__xludf.DUMMYFUNCTION("""COMPUTED_VALUE"""),233.0)</f>
        <v>233</v>
      </c>
      <c r="E689" s="26">
        <f>IFERROR(__xludf.DUMMYFUNCTION("""COMPUTED_VALUE"""),15340.0)</f>
        <v>15340</v>
      </c>
    </row>
    <row r="690">
      <c r="A690" s="25">
        <f>IFERROR(__xludf.DUMMYFUNCTION("""COMPUTED_VALUE"""),45554.0)</f>
        <v>45554</v>
      </c>
      <c r="B690" s="26" t="str">
        <f>IFERROR(__xludf.DUMMYFUNCTION("""COMPUTED_VALUE"""),"Facebook")</f>
        <v>Facebook</v>
      </c>
      <c r="C690" s="26">
        <f>IFERROR(__xludf.DUMMYFUNCTION("""COMPUTED_VALUE"""),19.0)</f>
        <v>19</v>
      </c>
      <c r="D690" s="26">
        <f>IFERROR(__xludf.DUMMYFUNCTION("""COMPUTED_VALUE"""),180.0)</f>
        <v>180</v>
      </c>
      <c r="E690" s="26">
        <f>IFERROR(__xludf.DUMMYFUNCTION("""COMPUTED_VALUE"""),16011.0)</f>
        <v>16011</v>
      </c>
    </row>
    <row r="691">
      <c r="A691" s="25">
        <f>IFERROR(__xludf.DUMMYFUNCTION("""COMPUTED_VALUE"""),45555.0)</f>
        <v>45555</v>
      </c>
      <c r="B691" s="26" t="str">
        <f>IFERROR(__xludf.DUMMYFUNCTION("""COMPUTED_VALUE"""),"Facebook")</f>
        <v>Facebook</v>
      </c>
      <c r="C691" s="26">
        <f>IFERROR(__xludf.DUMMYFUNCTION("""COMPUTED_VALUE"""),17.0)</f>
        <v>17</v>
      </c>
      <c r="D691" s="26">
        <f>IFERROR(__xludf.DUMMYFUNCTION("""COMPUTED_VALUE"""),152.0)</f>
        <v>152</v>
      </c>
      <c r="E691" s="26">
        <f>IFERROR(__xludf.DUMMYFUNCTION("""COMPUTED_VALUE"""),13168.0)</f>
        <v>13168</v>
      </c>
    </row>
    <row r="692">
      <c r="A692" s="25">
        <f>IFERROR(__xludf.DUMMYFUNCTION("""COMPUTED_VALUE"""),45556.0)</f>
        <v>45556</v>
      </c>
      <c r="B692" s="26" t="str">
        <f>IFERROR(__xludf.DUMMYFUNCTION("""COMPUTED_VALUE"""),"Facebook")</f>
        <v>Facebook</v>
      </c>
      <c r="C692" s="26">
        <f>IFERROR(__xludf.DUMMYFUNCTION("""COMPUTED_VALUE"""),11.0)</f>
        <v>11</v>
      </c>
      <c r="D692" s="26">
        <f>IFERROR(__xludf.DUMMYFUNCTION("""COMPUTED_VALUE"""),77.0)</f>
        <v>77</v>
      </c>
      <c r="E692" s="26">
        <f>IFERROR(__xludf.DUMMYFUNCTION("""COMPUTED_VALUE"""),9663.0)</f>
        <v>9663</v>
      </c>
    </row>
    <row r="693">
      <c r="A693" s="25">
        <f>IFERROR(__xludf.DUMMYFUNCTION("""COMPUTED_VALUE"""),45557.0)</f>
        <v>45557</v>
      </c>
      <c r="B693" s="26" t="str">
        <f>IFERROR(__xludf.DUMMYFUNCTION("""COMPUTED_VALUE"""),"Facebook")</f>
        <v>Facebook</v>
      </c>
      <c r="C693" s="26">
        <f>IFERROR(__xludf.DUMMYFUNCTION("""COMPUTED_VALUE"""),4.0)</f>
        <v>4</v>
      </c>
      <c r="D693" s="26">
        <f>IFERROR(__xludf.DUMMYFUNCTION("""COMPUTED_VALUE"""),61.0)</f>
        <v>61</v>
      </c>
      <c r="E693" s="26">
        <f>IFERROR(__xludf.DUMMYFUNCTION("""COMPUTED_VALUE"""),7098.0)</f>
        <v>7098</v>
      </c>
    </row>
    <row r="694">
      <c r="A694" s="25">
        <f>IFERROR(__xludf.DUMMYFUNCTION("""COMPUTED_VALUE"""),45558.0)</f>
        <v>45558</v>
      </c>
      <c r="B694" s="26" t="str">
        <f>IFERROR(__xludf.DUMMYFUNCTION("""COMPUTED_VALUE"""),"Facebook")</f>
        <v>Facebook</v>
      </c>
      <c r="C694" s="26">
        <f>IFERROR(__xludf.DUMMYFUNCTION("""COMPUTED_VALUE"""),8.0)</f>
        <v>8</v>
      </c>
      <c r="D694" s="26">
        <f>IFERROR(__xludf.DUMMYFUNCTION("""COMPUTED_VALUE"""),184.0)</f>
        <v>184</v>
      </c>
      <c r="E694" s="26">
        <f>IFERROR(__xludf.DUMMYFUNCTION("""COMPUTED_VALUE"""),7755.0)</f>
        <v>7755</v>
      </c>
    </row>
    <row r="695">
      <c r="A695" s="25">
        <f>IFERROR(__xludf.DUMMYFUNCTION("""COMPUTED_VALUE"""),45559.0)</f>
        <v>45559</v>
      </c>
      <c r="B695" s="26" t="str">
        <f>IFERROR(__xludf.DUMMYFUNCTION("""COMPUTED_VALUE"""),"Facebook")</f>
        <v>Facebook</v>
      </c>
      <c r="C695" s="26">
        <f>IFERROR(__xludf.DUMMYFUNCTION("""COMPUTED_VALUE"""),11.0)</f>
        <v>11</v>
      </c>
      <c r="D695" s="26">
        <f>IFERROR(__xludf.DUMMYFUNCTION("""COMPUTED_VALUE"""),316.0)</f>
        <v>316</v>
      </c>
      <c r="E695" s="26">
        <f>IFERROR(__xludf.DUMMYFUNCTION("""COMPUTED_VALUE"""),10386.0)</f>
        <v>10386</v>
      </c>
    </row>
    <row r="696">
      <c r="A696" s="25">
        <f>IFERROR(__xludf.DUMMYFUNCTION("""COMPUTED_VALUE"""),45560.0)</f>
        <v>45560</v>
      </c>
      <c r="B696" s="26" t="str">
        <f>IFERROR(__xludf.DUMMYFUNCTION("""COMPUTED_VALUE"""),"Facebook")</f>
        <v>Facebook</v>
      </c>
      <c r="C696" s="26">
        <f>IFERROR(__xludf.DUMMYFUNCTION("""COMPUTED_VALUE"""),3.0)</f>
        <v>3</v>
      </c>
      <c r="D696" s="26">
        <f>IFERROR(__xludf.DUMMYFUNCTION("""COMPUTED_VALUE"""),67.0)</f>
        <v>67</v>
      </c>
      <c r="E696" s="26">
        <f>IFERROR(__xludf.DUMMYFUNCTION("""COMPUTED_VALUE"""),1923.0)</f>
        <v>1923</v>
      </c>
    </row>
    <row r="697">
      <c r="A697" s="25">
        <f>IFERROR(__xludf.DUMMYFUNCTION("""COMPUTED_VALUE"""),45561.0)</f>
        <v>45561</v>
      </c>
      <c r="B697" s="26" t="str">
        <f>IFERROR(__xludf.DUMMYFUNCTION("""COMPUTED_VALUE"""),"Facebook")</f>
        <v>Facebook</v>
      </c>
      <c r="C697" s="26">
        <f>IFERROR(__xludf.DUMMYFUNCTION("""COMPUTED_VALUE"""),4.0)</f>
        <v>4</v>
      </c>
      <c r="D697" s="26">
        <f>IFERROR(__xludf.DUMMYFUNCTION("""COMPUTED_VALUE"""),54.0)</f>
        <v>54</v>
      </c>
      <c r="E697" s="26">
        <f>IFERROR(__xludf.DUMMYFUNCTION("""COMPUTED_VALUE"""),1366.0)</f>
        <v>1366</v>
      </c>
    </row>
    <row r="698">
      <c r="A698" s="25">
        <f>IFERROR(__xludf.DUMMYFUNCTION("""COMPUTED_VALUE"""),45562.0)</f>
        <v>45562</v>
      </c>
      <c r="B698" s="26" t="str">
        <f>IFERROR(__xludf.DUMMYFUNCTION("""COMPUTED_VALUE"""),"Facebook")</f>
        <v>Facebook</v>
      </c>
      <c r="C698" s="26">
        <f>IFERROR(__xludf.DUMMYFUNCTION("""COMPUTED_VALUE"""),4.0)</f>
        <v>4</v>
      </c>
      <c r="D698" s="26">
        <f>IFERROR(__xludf.DUMMYFUNCTION("""COMPUTED_VALUE"""),64.0)</f>
        <v>64</v>
      </c>
      <c r="E698" s="26">
        <f>IFERROR(__xludf.DUMMYFUNCTION("""COMPUTED_VALUE"""),1702.0)</f>
        <v>1702</v>
      </c>
    </row>
    <row r="699">
      <c r="A699" s="25">
        <f>IFERROR(__xludf.DUMMYFUNCTION("""COMPUTED_VALUE"""),45563.0)</f>
        <v>45563</v>
      </c>
      <c r="B699" s="26" t="str">
        <f>IFERROR(__xludf.DUMMYFUNCTION("""COMPUTED_VALUE"""),"Facebook")</f>
        <v>Facebook</v>
      </c>
      <c r="C699" s="26">
        <f>IFERROR(__xludf.DUMMYFUNCTION("""COMPUTED_VALUE"""),2.0)</f>
        <v>2</v>
      </c>
      <c r="D699" s="26">
        <f>IFERROR(__xludf.DUMMYFUNCTION("""COMPUTED_VALUE"""),52.0)</f>
        <v>52</v>
      </c>
      <c r="E699" s="26">
        <f>IFERROR(__xludf.DUMMYFUNCTION("""COMPUTED_VALUE"""),1028.0)</f>
        <v>1028</v>
      </c>
    </row>
    <row r="700">
      <c r="A700" s="25">
        <f>IFERROR(__xludf.DUMMYFUNCTION("""COMPUTED_VALUE"""),45564.0)</f>
        <v>45564</v>
      </c>
      <c r="B700" s="26" t="str">
        <f>IFERROR(__xludf.DUMMYFUNCTION("""COMPUTED_VALUE"""),"Facebook")</f>
        <v>Facebook</v>
      </c>
      <c r="C700" s="26">
        <f>IFERROR(__xludf.DUMMYFUNCTION("""COMPUTED_VALUE"""),3.0)</f>
        <v>3</v>
      </c>
      <c r="D700" s="26">
        <f>IFERROR(__xludf.DUMMYFUNCTION("""COMPUTED_VALUE"""),34.0)</f>
        <v>34</v>
      </c>
      <c r="E700" s="26">
        <f>IFERROR(__xludf.DUMMYFUNCTION("""COMPUTED_VALUE"""),766.0)</f>
        <v>766</v>
      </c>
    </row>
    <row r="701">
      <c r="A701" s="25">
        <f>IFERROR(__xludf.DUMMYFUNCTION("""COMPUTED_VALUE"""),45565.0)</f>
        <v>45565</v>
      </c>
      <c r="B701" s="26" t="str">
        <f>IFERROR(__xludf.DUMMYFUNCTION("""COMPUTED_VALUE"""),"Facebook")</f>
        <v>Facebook</v>
      </c>
      <c r="C701" s="26">
        <f>IFERROR(__xludf.DUMMYFUNCTION("""COMPUTED_VALUE"""),5.0)</f>
        <v>5</v>
      </c>
      <c r="D701" s="26">
        <f>IFERROR(__xludf.DUMMYFUNCTION("""COMPUTED_VALUE"""),40.0)</f>
        <v>40</v>
      </c>
      <c r="E701" s="26">
        <f>IFERROR(__xludf.DUMMYFUNCTION("""COMPUTED_VALUE"""),918.0)</f>
        <v>918</v>
      </c>
    </row>
    <row r="702">
      <c r="A702" s="25">
        <f>IFERROR(__xludf.DUMMYFUNCTION("""COMPUTED_VALUE"""),45566.0)</f>
        <v>45566</v>
      </c>
      <c r="B702" s="26" t="str">
        <f>IFERROR(__xludf.DUMMYFUNCTION("""COMPUTED_VALUE"""),"Facebook")</f>
        <v>Facebook</v>
      </c>
      <c r="C702" s="26">
        <f>IFERROR(__xludf.DUMMYFUNCTION("""COMPUTED_VALUE"""),1.0)</f>
        <v>1</v>
      </c>
      <c r="D702" s="26">
        <f>IFERROR(__xludf.DUMMYFUNCTION("""COMPUTED_VALUE"""),97.0)</f>
        <v>97</v>
      </c>
      <c r="E702" s="26">
        <f>IFERROR(__xludf.DUMMYFUNCTION("""COMPUTED_VALUE"""),1207.0)</f>
        <v>1207</v>
      </c>
    </row>
    <row r="703">
      <c r="A703" s="25">
        <f>IFERROR(__xludf.DUMMYFUNCTION("""COMPUTED_VALUE"""),45567.0)</f>
        <v>45567</v>
      </c>
      <c r="B703" s="26" t="str">
        <f>IFERROR(__xludf.DUMMYFUNCTION("""COMPUTED_VALUE"""),"Facebook")</f>
        <v>Facebook</v>
      </c>
      <c r="C703" s="26">
        <f>IFERROR(__xludf.DUMMYFUNCTION("""COMPUTED_VALUE"""),2.0)</f>
        <v>2</v>
      </c>
      <c r="D703" s="26">
        <f>IFERROR(__xludf.DUMMYFUNCTION("""COMPUTED_VALUE"""),75.0)</f>
        <v>75</v>
      </c>
      <c r="E703" s="26">
        <f>IFERROR(__xludf.DUMMYFUNCTION("""COMPUTED_VALUE"""),7622.0)</f>
        <v>7622</v>
      </c>
    </row>
    <row r="704">
      <c r="A704" s="25">
        <f>IFERROR(__xludf.DUMMYFUNCTION("""COMPUTED_VALUE"""),45568.0)</f>
        <v>45568</v>
      </c>
      <c r="B704" s="26" t="str">
        <f>IFERROR(__xludf.DUMMYFUNCTION("""COMPUTED_VALUE"""),"Facebook")</f>
        <v>Facebook</v>
      </c>
      <c r="C704" s="26">
        <f>IFERROR(__xludf.DUMMYFUNCTION("""COMPUTED_VALUE"""),3.0)</f>
        <v>3</v>
      </c>
      <c r="D704" s="26">
        <f>IFERROR(__xludf.DUMMYFUNCTION("""COMPUTED_VALUE"""),172.0)</f>
        <v>172</v>
      </c>
      <c r="E704" s="26">
        <f>IFERROR(__xludf.DUMMYFUNCTION("""COMPUTED_VALUE"""),38503.0)</f>
        <v>38503</v>
      </c>
    </row>
    <row r="705">
      <c r="A705" s="25">
        <f>IFERROR(__xludf.DUMMYFUNCTION("""COMPUTED_VALUE"""),45569.0)</f>
        <v>45569</v>
      </c>
      <c r="B705" s="26" t="str">
        <f>IFERROR(__xludf.DUMMYFUNCTION("""COMPUTED_VALUE"""),"Facebook")</f>
        <v>Facebook</v>
      </c>
      <c r="C705" s="26">
        <f>IFERROR(__xludf.DUMMYFUNCTION("""COMPUTED_VALUE"""),8.0)</f>
        <v>8</v>
      </c>
      <c r="D705" s="26">
        <f>IFERROR(__xludf.DUMMYFUNCTION("""COMPUTED_VALUE"""),193.0)</f>
        <v>193</v>
      </c>
      <c r="E705" s="26">
        <f>IFERROR(__xludf.DUMMYFUNCTION("""COMPUTED_VALUE"""),78789.0)</f>
        <v>78789</v>
      </c>
    </row>
    <row r="706">
      <c r="A706" s="25">
        <f>IFERROR(__xludf.DUMMYFUNCTION("""COMPUTED_VALUE"""),45570.0)</f>
        <v>45570</v>
      </c>
      <c r="B706" s="26" t="str">
        <f>IFERROR(__xludf.DUMMYFUNCTION("""COMPUTED_VALUE"""),"Facebook")</f>
        <v>Facebook</v>
      </c>
      <c r="C706" s="26">
        <f>IFERROR(__xludf.DUMMYFUNCTION("""COMPUTED_VALUE"""),4.0)</f>
        <v>4</v>
      </c>
      <c r="D706" s="26">
        <f>IFERROR(__xludf.DUMMYFUNCTION("""COMPUTED_VALUE"""),300.0)</f>
        <v>300</v>
      </c>
      <c r="E706" s="26">
        <f>IFERROR(__xludf.DUMMYFUNCTION("""COMPUTED_VALUE"""),52684.0)</f>
        <v>52684</v>
      </c>
    </row>
    <row r="707">
      <c r="A707" s="25">
        <f>IFERROR(__xludf.DUMMYFUNCTION("""COMPUTED_VALUE"""),45571.0)</f>
        <v>45571</v>
      </c>
      <c r="B707" s="26" t="str">
        <f>IFERROR(__xludf.DUMMYFUNCTION("""COMPUTED_VALUE"""),"Facebook")</f>
        <v>Facebook</v>
      </c>
      <c r="C707" s="26">
        <f>IFERROR(__xludf.DUMMYFUNCTION("""COMPUTED_VALUE"""),2.0)</f>
        <v>2</v>
      </c>
      <c r="D707" s="26">
        <f>IFERROR(__xludf.DUMMYFUNCTION("""COMPUTED_VALUE"""),145.0)</f>
        <v>145</v>
      </c>
      <c r="E707" s="26">
        <f>IFERROR(__xludf.DUMMYFUNCTION("""COMPUTED_VALUE"""),52045.0)</f>
        <v>52045</v>
      </c>
    </row>
    <row r="708">
      <c r="A708" s="25">
        <f>IFERROR(__xludf.DUMMYFUNCTION("""COMPUTED_VALUE"""),45572.0)</f>
        <v>45572</v>
      </c>
      <c r="B708" s="26" t="str">
        <f>IFERROR(__xludf.DUMMYFUNCTION("""COMPUTED_VALUE"""),"Facebook")</f>
        <v>Facebook</v>
      </c>
      <c r="C708" s="26">
        <f>IFERROR(__xludf.DUMMYFUNCTION("""COMPUTED_VALUE"""),3.0)</f>
        <v>3</v>
      </c>
      <c r="D708" s="26">
        <f>IFERROR(__xludf.DUMMYFUNCTION("""COMPUTED_VALUE"""),131.0)</f>
        <v>131</v>
      </c>
      <c r="E708" s="26">
        <f>IFERROR(__xludf.DUMMYFUNCTION("""COMPUTED_VALUE"""),51489.0)</f>
        <v>51489</v>
      </c>
    </row>
    <row r="709">
      <c r="A709" s="25">
        <f>IFERROR(__xludf.DUMMYFUNCTION("""COMPUTED_VALUE"""),45573.0)</f>
        <v>45573</v>
      </c>
      <c r="B709" s="26" t="str">
        <f>IFERROR(__xludf.DUMMYFUNCTION("""COMPUTED_VALUE"""),"Facebook")</f>
        <v>Facebook</v>
      </c>
      <c r="C709" s="26">
        <f>IFERROR(__xludf.DUMMYFUNCTION("""COMPUTED_VALUE"""),3.0)</f>
        <v>3</v>
      </c>
      <c r="D709" s="26">
        <f>IFERROR(__xludf.DUMMYFUNCTION("""COMPUTED_VALUE"""),125.0)</f>
        <v>125</v>
      </c>
      <c r="E709" s="26">
        <f>IFERROR(__xludf.DUMMYFUNCTION("""COMPUTED_VALUE"""),44772.0)</f>
        <v>44772</v>
      </c>
    </row>
    <row r="710">
      <c r="A710" s="25">
        <f>IFERROR(__xludf.DUMMYFUNCTION("""COMPUTED_VALUE"""),45574.0)</f>
        <v>45574</v>
      </c>
      <c r="B710" s="26" t="str">
        <f>IFERROR(__xludf.DUMMYFUNCTION("""COMPUTED_VALUE"""),"Facebook")</f>
        <v>Facebook</v>
      </c>
      <c r="C710" s="26">
        <f>IFERROR(__xludf.DUMMYFUNCTION("""COMPUTED_VALUE"""),2.0)</f>
        <v>2</v>
      </c>
      <c r="D710" s="26">
        <f>IFERROR(__xludf.DUMMYFUNCTION("""COMPUTED_VALUE"""),168.0)</f>
        <v>168</v>
      </c>
      <c r="E710" s="26">
        <f>IFERROR(__xludf.DUMMYFUNCTION("""COMPUTED_VALUE"""),43280.0)</f>
        <v>43280</v>
      </c>
    </row>
    <row r="711">
      <c r="A711" s="25">
        <f>IFERROR(__xludf.DUMMYFUNCTION("""COMPUTED_VALUE"""),45575.0)</f>
        <v>45575</v>
      </c>
      <c r="B711" s="26" t="str">
        <f>IFERROR(__xludf.DUMMYFUNCTION("""COMPUTED_VALUE"""),"Facebook")</f>
        <v>Facebook</v>
      </c>
      <c r="C711" s="26">
        <f>IFERROR(__xludf.DUMMYFUNCTION("""COMPUTED_VALUE"""),4.0)</f>
        <v>4</v>
      </c>
      <c r="D711" s="26">
        <f>IFERROR(__xludf.DUMMYFUNCTION("""COMPUTED_VALUE"""),159.0)</f>
        <v>159</v>
      </c>
      <c r="E711" s="26">
        <f>IFERROR(__xludf.DUMMYFUNCTION("""COMPUTED_VALUE"""),44686.0)</f>
        <v>44686</v>
      </c>
    </row>
    <row r="712">
      <c r="A712" s="25">
        <f>IFERROR(__xludf.DUMMYFUNCTION("""COMPUTED_VALUE"""),45576.0)</f>
        <v>45576</v>
      </c>
      <c r="B712" s="26" t="str">
        <f>IFERROR(__xludf.DUMMYFUNCTION("""COMPUTED_VALUE"""),"Facebook")</f>
        <v>Facebook</v>
      </c>
      <c r="C712" s="26">
        <f>IFERROR(__xludf.DUMMYFUNCTION("""COMPUTED_VALUE"""),5.0)</f>
        <v>5</v>
      </c>
      <c r="D712" s="26">
        <f>IFERROR(__xludf.DUMMYFUNCTION("""COMPUTED_VALUE"""),122.0)</f>
        <v>122</v>
      </c>
      <c r="E712" s="26">
        <f>IFERROR(__xludf.DUMMYFUNCTION("""COMPUTED_VALUE"""),41973.0)</f>
        <v>41973</v>
      </c>
    </row>
    <row r="713">
      <c r="A713" s="25">
        <f>IFERROR(__xludf.DUMMYFUNCTION("""COMPUTED_VALUE"""),45577.0)</f>
        <v>45577</v>
      </c>
      <c r="B713" s="26" t="str">
        <f>IFERROR(__xludf.DUMMYFUNCTION("""COMPUTED_VALUE"""),"Facebook")</f>
        <v>Facebook</v>
      </c>
      <c r="C713" s="26">
        <f>IFERROR(__xludf.DUMMYFUNCTION("""COMPUTED_VALUE"""),4.0)</f>
        <v>4</v>
      </c>
      <c r="D713" s="26">
        <f>IFERROR(__xludf.DUMMYFUNCTION("""COMPUTED_VALUE"""),53.0)</f>
        <v>53</v>
      </c>
      <c r="E713" s="26">
        <f>IFERROR(__xludf.DUMMYFUNCTION("""COMPUTED_VALUE"""),40391.0)</f>
        <v>40391</v>
      </c>
    </row>
    <row r="714">
      <c r="A714" s="25">
        <f>IFERROR(__xludf.DUMMYFUNCTION("""COMPUTED_VALUE"""),45578.0)</f>
        <v>45578</v>
      </c>
      <c r="B714" s="26" t="str">
        <f>IFERROR(__xludf.DUMMYFUNCTION("""COMPUTED_VALUE"""),"Facebook")</f>
        <v>Facebook</v>
      </c>
      <c r="C714" s="26">
        <f>IFERROR(__xludf.DUMMYFUNCTION("""COMPUTED_VALUE"""),2.0)</f>
        <v>2</v>
      </c>
      <c r="D714" s="26">
        <f>IFERROR(__xludf.DUMMYFUNCTION("""COMPUTED_VALUE"""),25.0)</f>
        <v>25</v>
      </c>
      <c r="E714" s="26">
        <f>IFERROR(__xludf.DUMMYFUNCTION("""COMPUTED_VALUE"""),617.0)</f>
        <v>617</v>
      </c>
    </row>
    <row r="715">
      <c r="A715" s="25">
        <f>IFERROR(__xludf.DUMMYFUNCTION("""COMPUTED_VALUE"""),45579.0)</f>
        <v>45579</v>
      </c>
      <c r="B715" s="26" t="str">
        <f>IFERROR(__xludf.DUMMYFUNCTION("""COMPUTED_VALUE"""),"Facebook")</f>
        <v>Facebook</v>
      </c>
      <c r="C715" s="26">
        <f>IFERROR(__xludf.DUMMYFUNCTION("""COMPUTED_VALUE"""),0.0)</f>
        <v>0</v>
      </c>
      <c r="D715" s="26">
        <f>IFERROR(__xludf.DUMMYFUNCTION("""COMPUTED_VALUE"""),10.0)</f>
        <v>10</v>
      </c>
      <c r="E715" s="26">
        <f>IFERROR(__xludf.DUMMYFUNCTION("""COMPUTED_VALUE"""),575.0)</f>
        <v>575</v>
      </c>
    </row>
    <row r="716">
      <c r="A716" s="25">
        <f>IFERROR(__xludf.DUMMYFUNCTION("""COMPUTED_VALUE"""),45580.0)</f>
        <v>45580</v>
      </c>
      <c r="B716" s="26" t="str">
        <f>IFERROR(__xludf.DUMMYFUNCTION("""COMPUTED_VALUE"""),"Facebook")</f>
        <v>Facebook</v>
      </c>
      <c r="C716" s="26">
        <f>IFERROR(__xludf.DUMMYFUNCTION("""COMPUTED_VALUE"""),0.0)</f>
        <v>0</v>
      </c>
      <c r="D716" s="26">
        <f>IFERROR(__xludf.DUMMYFUNCTION("""COMPUTED_VALUE"""),53.0)</f>
        <v>53</v>
      </c>
      <c r="E716" s="26">
        <f>IFERROR(__xludf.DUMMYFUNCTION("""COMPUTED_VALUE"""),950.0)</f>
        <v>950</v>
      </c>
    </row>
    <row r="717">
      <c r="A717" s="25">
        <f>IFERROR(__xludf.DUMMYFUNCTION("""COMPUTED_VALUE"""),45581.0)</f>
        <v>45581</v>
      </c>
      <c r="B717" s="26" t="str">
        <f>IFERROR(__xludf.DUMMYFUNCTION("""COMPUTED_VALUE"""),"Facebook")</f>
        <v>Facebook</v>
      </c>
      <c r="C717" s="26">
        <f>IFERROR(__xludf.DUMMYFUNCTION("""COMPUTED_VALUE"""),1.0)</f>
        <v>1</v>
      </c>
      <c r="D717" s="26">
        <f>IFERROR(__xludf.DUMMYFUNCTION("""COMPUTED_VALUE"""),78.0)</f>
        <v>78</v>
      </c>
      <c r="E717" s="26">
        <f>IFERROR(__xludf.DUMMYFUNCTION("""COMPUTED_VALUE"""),896.0)</f>
        <v>896</v>
      </c>
    </row>
    <row r="718">
      <c r="A718" s="25">
        <f>IFERROR(__xludf.DUMMYFUNCTION("""COMPUTED_VALUE"""),45582.0)</f>
        <v>45582</v>
      </c>
      <c r="B718" s="26" t="str">
        <f>IFERROR(__xludf.DUMMYFUNCTION("""COMPUTED_VALUE"""),"Facebook")</f>
        <v>Facebook</v>
      </c>
      <c r="C718" s="26">
        <f>IFERROR(__xludf.DUMMYFUNCTION("""COMPUTED_VALUE"""),1.0)</f>
        <v>1</v>
      </c>
      <c r="D718" s="26">
        <f>IFERROR(__xludf.DUMMYFUNCTION("""COMPUTED_VALUE"""),85.0)</f>
        <v>85</v>
      </c>
      <c r="E718" s="26">
        <f>IFERROR(__xludf.DUMMYFUNCTION("""COMPUTED_VALUE"""),1198.0)</f>
        <v>1198</v>
      </c>
    </row>
    <row r="719">
      <c r="A719" s="25">
        <f>IFERROR(__xludf.DUMMYFUNCTION("""COMPUTED_VALUE"""),45583.0)</f>
        <v>45583</v>
      </c>
      <c r="B719" s="26" t="str">
        <f>IFERROR(__xludf.DUMMYFUNCTION("""COMPUTED_VALUE"""),"Facebook")</f>
        <v>Facebook</v>
      </c>
      <c r="C719" s="26">
        <f>IFERROR(__xludf.DUMMYFUNCTION("""COMPUTED_VALUE"""),1.0)</f>
        <v>1</v>
      </c>
      <c r="D719" s="26">
        <f>IFERROR(__xludf.DUMMYFUNCTION("""COMPUTED_VALUE"""),45.0)</f>
        <v>45</v>
      </c>
      <c r="E719" s="26">
        <f>IFERROR(__xludf.DUMMYFUNCTION("""COMPUTED_VALUE"""),1343.0)</f>
        <v>1343</v>
      </c>
    </row>
    <row r="720">
      <c r="A720" s="25">
        <f>IFERROR(__xludf.DUMMYFUNCTION("""COMPUTED_VALUE"""),45584.0)</f>
        <v>45584</v>
      </c>
      <c r="B720" s="26" t="str">
        <f>IFERROR(__xludf.DUMMYFUNCTION("""COMPUTED_VALUE"""),"Facebook")</f>
        <v>Facebook</v>
      </c>
      <c r="C720" s="26">
        <f>IFERROR(__xludf.DUMMYFUNCTION("""COMPUTED_VALUE"""),2.0)</f>
        <v>2</v>
      </c>
      <c r="D720" s="26">
        <f>IFERROR(__xludf.DUMMYFUNCTION("""COMPUTED_VALUE"""),14.0)</f>
        <v>14</v>
      </c>
      <c r="E720" s="26">
        <f>IFERROR(__xludf.DUMMYFUNCTION("""COMPUTED_VALUE"""),682.0)</f>
        <v>682</v>
      </c>
    </row>
    <row r="721">
      <c r="A721" s="25">
        <f>IFERROR(__xludf.DUMMYFUNCTION("""COMPUTED_VALUE"""),45585.0)</f>
        <v>45585</v>
      </c>
      <c r="B721" s="26" t="str">
        <f>IFERROR(__xludf.DUMMYFUNCTION("""COMPUTED_VALUE"""),"Facebook")</f>
        <v>Facebook</v>
      </c>
      <c r="C721" s="26">
        <f>IFERROR(__xludf.DUMMYFUNCTION("""COMPUTED_VALUE"""),1.0)</f>
        <v>1</v>
      </c>
      <c r="D721" s="26">
        <f>IFERROR(__xludf.DUMMYFUNCTION("""COMPUTED_VALUE"""),13.0)</f>
        <v>13</v>
      </c>
      <c r="E721" s="26">
        <f>IFERROR(__xludf.DUMMYFUNCTION("""COMPUTED_VALUE"""),524.0)</f>
        <v>524</v>
      </c>
    </row>
    <row r="722">
      <c r="A722" s="25">
        <f>IFERROR(__xludf.DUMMYFUNCTION("""COMPUTED_VALUE"""),45586.0)</f>
        <v>45586</v>
      </c>
      <c r="B722" s="26" t="str">
        <f>IFERROR(__xludf.DUMMYFUNCTION("""COMPUTED_VALUE"""),"Facebook")</f>
        <v>Facebook</v>
      </c>
      <c r="C722" s="26">
        <f>IFERROR(__xludf.DUMMYFUNCTION("""COMPUTED_VALUE"""),0.0)</f>
        <v>0</v>
      </c>
      <c r="D722" s="26">
        <f>IFERROR(__xludf.DUMMYFUNCTION("""COMPUTED_VALUE"""),23.0)</f>
        <v>23</v>
      </c>
      <c r="E722" s="26">
        <f>IFERROR(__xludf.DUMMYFUNCTION("""COMPUTED_VALUE"""),716.0)</f>
        <v>716</v>
      </c>
    </row>
    <row r="723">
      <c r="A723" s="25">
        <f>IFERROR(__xludf.DUMMYFUNCTION("""COMPUTED_VALUE"""),45587.0)</f>
        <v>45587</v>
      </c>
      <c r="B723" s="26" t="str">
        <f>IFERROR(__xludf.DUMMYFUNCTION("""COMPUTED_VALUE"""),"Facebook")</f>
        <v>Facebook</v>
      </c>
      <c r="C723" s="26">
        <f>IFERROR(__xludf.DUMMYFUNCTION("""COMPUTED_VALUE"""),5.0)</f>
        <v>5</v>
      </c>
      <c r="D723" s="26">
        <f>IFERROR(__xludf.DUMMYFUNCTION("""COMPUTED_VALUE"""),11.0)</f>
        <v>11</v>
      </c>
      <c r="E723" s="26">
        <f>IFERROR(__xludf.DUMMYFUNCTION("""COMPUTED_VALUE"""),461.0)</f>
        <v>461</v>
      </c>
    </row>
    <row r="724">
      <c r="A724" s="25">
        <f>IFERROR(__xludf.DUMMYFUNCTION("""COMPUTED_VALUE"""),45588.0)</f>
        <v>45588</v>
      </c>
      <c r="B724" s="26" t="str">
        <f>IFERROR(__xludf.DUMMYFUNCTION("""COMPUTED_VALUE"""),"Facebook")</f>
        <v>Facebook</v>
      </c>
      <c r="C724" s="26">
        <f>IFERROR(__xludf.DUMMYFUNCTION("""COMPUTED_VALUE"""),2.0)</f>
        <v>2</v>
      </c>
      <c r="D724" s="26">
        <f>IFERROR(__xludf.DUMMYFUNCTION("""COMPUTED_VALUE"""),12.0)</f>
        <v>12</v>
      </c>
      <c r="E724" s="26">
        <f>IFERROR(__xludf.DUMMYFUNCTION("""COMPUTED_VALUE"""),2641.0)</f>
        <v>2641</v>
      </c>
    </row>
    <row r="725">
      <c r="A725" s="25">
        <f>IFERROR(__xludf.DUMMYFUNCTION("""COMPUTED_VALUE"""),45589.0)</f>
        <v>45589</v>
      </c>
      <c r="B725" s="26" t="str">
        <f>IFERROR(__xludf.DUMMYFUNCTION("""COMPUTED_VALUE"""),"Facebook")</f>
        <v>Facebook</v>
      </c>
      <c r="C725" s="26">
        <f>IFERROR(__xludf.DUMMYFUNCTION("""COMPUTED_VALUE"""),8.0)</f>
        <v>8</v>
      </c>
      <c r="D725" s="26">
        <f>IFERROR(__xludf.DUMMYFUNCTION("""COMPUTED_VALUE"""),440.0)</f>
        <v>440</v>
      </c>
      <c r="E725" s="26">
        <f>IFERROR(__xludf.DUMMYFUNCTION("""COMPUTED_VALUE"""),8644.0)</f>
        <v>8644</v>
      </c>
    </row>
    <row r="726">
      <c r="A726" s="25">
        <f>IFERROR(__xludf.DUMMYFUNCTION("""COMPUTED_VALUE"""),45590.0)</f>
        <v>45590</v>
      </c>
      <c r="B726" s="26" t="str">
        <f>IFERROR(__xludf.DUMMYFUNCTION("""COMPUTED_VALUE"""),"Facebook")</f>
        <v>Facebook</v>
      </c>
      <c r="C726" s="26">
        <f>IFERROR(__xludf.DUMMYFUNCTION("""COMPUTED_VALUE"""),2.0)</f>
        <v>2</v>
      </c>
      <c r="D726" s="26">
        <f>IFERROR(__xludf.DUMMYFUNCTION("""COMPUTED_VALUE"""),165.0)</f>
        <v>165</v>
      </c>
      <c r="E726" s="26">
        <f>IFERROR(__xludf.DUMMYFUNCTION("""COMPUTED_VALUE"""),7999.0)</f>
        <v>7999</v>
      </c>
    </row>
    <row r="727">
      <c r="A727" s="25">
        <f>IFERROR(__xludf.DUMMYFUNCTION("""COMPUTED_VALUE"""),45591.0)</f>
        <v>45591</v>
      </c>
      <c r="B727" s="26" t="str">
        <f>IFERROR(__xludf.DUMMYFUNCTION("""COMPUTED_VALUE"""),"Facebook")</f>
        <v>Facebook</v>
      </c>
      <c r="C727" s="26">
        <f>IFERROR(__xludf.DUMMYFUNCTION("""COMPUTED_VALUE"""),1.0)</f>
        <v>1</v>
      </c>
      <c r="D727" s="26">
        <f>IFERROR(__xludf.DUMMYFUNCTION("""COMPUTED_VALUE"""),46.0)</f>
        <v>46</v>
      </c>
      <c r="E727" s="26">
        <f>IFERROR(__xludf.DUMMYFUNCTION("""COMPUTED_VALUE"""),7314.0)</f>
        <v>7314</v>
      </c>
    </row>
    <row r="728">
      <c r="A728" s="25">
        <f>IFERROR(__xludf.DUMMYFUNCTION("""COMPUTED_VALUE"""),45592.0)</f>
        <v>45592</v>
      </c>
      <c r="B728" s="26" t="str">
        <f>IFERROR(__xludf.DUMMYFUNCTION("""COMPUTED_VALUE"""),"Facebook")</f>
        <v>Facebook</v>
      </c>
      <c r="C728" s="26">
        <f>IFERROR(__xludf.DUMMYFUNCTION("""COMPUTED_VALUE"""),3.0)</f>
        <v>3</v>
      </c>
      <c r="D728" s="26">
        <f>IFERROR(__xludf.DUMMYFUNCTION("""COMPUTED_VALUE"""),39.0)</f>
        <v>39</v>
      </c>
      <c r="E728" s="26">
        <f>IFERROR(__xludf.DUMMYFUNCTION("""COMPUTED_VALUE"""),7749.0)</f>
        <v>7749</v>
      </c>
    </row>
    <row r="729">
      <c r="A729" s="25">
        <f>IFERROR(__xludf.DUMMYFUNCTION("""COMPUTED_VALUE"""),45593.0)</f>
        <v>45593</v>
      </c>
      <c r="B729" s="26" t="str">
        <f>IFERROR(__xludf.DUMMYFUNCTION("""COMPUTED_VALUE"""),"Facebook")</f>
        <v>Facebook</v>
      </c>
      <c r="C729" s="26">
        <f>IFERROR(__xludf.DUMMYFUNCTION("""COMPUTED_VALUE"""),3.0)</f>
        <v>3</v>
      </c>
      <c r="D729" s="26">
        <f>IFERROR(__xludf.DUMMYFUNCTION("""COMPUTED_VALUE"""),34.0)</f>
        <v>34</v>
      </c>
      <c r="E729" s="26">
        <f>IFERROR(__xludf.DUMMYFUNCTION("""COMPUTED_VALUE"""),6732.0)</f>
        <v>6732</v>
      </c>
    </row>
    <row r="730">
      <c r="A730" s="25">
        <f>IFERROR(__xludf.DUMMYFUNCTION("""COMPUTED_VALUE"""),45594.0)</f>
        <v>45594</v>
      </c>
      <c r="B730" s="26" t="str">
        <f>IFERROR(__xludf.DUMMYFUNCTION("""COMPUTED_VALUE"""),"Facebook")</f>
        <v>Facebook</v>
      </c>
      <c r="C730" s="26">
        <f>IFERROR(__xludf.DUMMYFUNCTION("""COMPUTED_VALUE"""),1.0)</f>
        <v>1</v>
      </c>
      <c r="D730" s="26">
        <f>IFERROR(__xludf.DUMMYFUNCTION("""COMPUTED_VALUE"""),43.0)</f>
        <v>43</v>
      </c>
      <c r="E730" s="26">
        <f>IFERROR(__xludf.DUMMYFUNCTION("""COMPUTED_VALUE"""),7608.0)</f>
        <v>7608</v>
      </c>
    </row>
    <row r="731">
      <c r="A731" s="25">
        <f>IFERROR(__xludf.DUMMYFUNCTION("""COMPUTED_VALUE"""),45595.0)</f>
        <v>45595</v>
      </c>
      <c r="B731" s="26" t="str">
        <f>IFERROR(__xludf.DUMMYFUNCTION("""COMPUTED_VALUE"""),"Facebook")</f>
        <v>Facebook</v>
      </c>
      <c r="C731" s="26">
        <f>IFERROR(__xludf.DUMMYFUNCTION("""COMPUTED_VALUE"""),7.0)</f>
        <v>7</v>
      </c>
      <c r="D731" s="26">
        <f>IFERROR(__xludf.DUMMYFUNCTION("""COMPUTED_VALUE"""),127.0)</f>
        <v>127</v>
      </c>
      <c r="E731" s="26">
        <f>IFERROR(__xludf.DUMMYFUNCTION("""COMPUTED_VALUE"""),10101.0)</f>
        <v>10101</v>
      </c>
    </row>
    <row r="732">
      <c r="A732" s="25">
        <f>IFERROR(__xludf.DUMMYFUNCTION("""COMPUTED_VALUE"""),45596.0)</f>
        <v>45596</v>
      </c>
      <c r="B732" s="26" t="str">
        <f>IFERROR(__xludf.DUMMYFUNCTION("""COMPUTED_VALUE"""),"Facebook")</f>
        <v>Facebook</v>
      </c>
      <c r="C732" s="26">
        <f>IFERROR(__xludf.DUMMYFUNCTION("""COMPUTED_VALUE"""),2.0)</f>
        <v>2</v>
      </c>
      <c r="D732" s="26">
        <f>IFERROR(__xludf.DUMMYFUNCTION("""COMPUTED_VALUE"""),253.0)</f>
        <v>253</v>
      </c>
      <c r="E732" s="26">
        <f>IFERROR(__xludf.DUMMYFUNCTION("""COMPUTED_VALUE"""),20256.0)</f>
        <v>20256</v>
      </c>
    </row>
    <row r="733">
      <c r="A733" s="25">
        <f>IFERROR(__xludf.DUMMYFUNCTION("""COMPUTED_VALUE"""),45597.0)</f>
        <v>45597</v>
      </c>
      <c r="B733" s="26" t="str">
        <f>IFERROR(__xludf.DUMMYFUNCTION("""COMPUTED_VALUE"""),"Facebook")</f>
        <v>Facebook</v>
      </c>
      <c r="C733" s="26">
        <f>IFERROR(__xludf.DUMMYFUNCTION("""COMPUTED_VALUE"""),5.0)</f>
        <v>5</v>
      </c>
      <c r="D733" s="26">
        <f>IFERROR(__xludf.DUMMYFUNCTION("""COMPUTED_VALUE"""),196.0)</f>
        <v>196</v>
      </c>
      <c r="E733" s="26">
        <f>IFERROR(__xludf.DUMMYFUNCTION("""COMPUTED_VALUE"""),25726.0)</f>
        <v>25726</v>
      </c>
    </row>
    <row r="734">
      <c r="A734" s="25">
        <f>IFERROR(__xludf.DUMMYFUNCTION("""COMPUTED_VALUE"""),45598.0)</f>
        <v>45598</v>
      </c>
      <c r="B734" s="26" t="str">
        <f>IFERROR(__xludf.DUMMYFUNCTION("""COMPUTED_VALUE"""),"Facebook")</f>
        <v>Facebook</v>
      </c>
      <c r="C734" s="26">
        <f>IFERROR(__xludf.DUMMYFUNCTION("""COMPUTED_VALUE"""),2.0)</f>
        <v>2</v>
      </c>
      <c r="D734" s="26">
        <f>IFERROR(__xludf.DUMMYFUNCTION("""COMPUTED_VALUE"""),124.0)</f>
        <v>124</v>
      </c>
      <c r="E734" s="26">
        <f>IFERROR(__xludf.DUMMYFUNCTION("""COMPUTED_VALUE"""),20094.0)</f>
        <v>20094</v>
      </c>
    </row>
    <row r="735">
      <c r="A735" s="25">
        <f>IFERROR(__xludf.DUMMYFUNCTION("""COMPUTED_VALUE"""),45599.0)</f>
        <v>45599</v>
      </c>
      <c r="B735" s="26" t="str">
        <f>IFERROR(__xludf.DUMMYFUNCTION("""COMPUTED_VALUE"""),"Facebook")</f>
        <v>Facebook</v>
      </c>
      <c r="C735" s="26">
        <f>IFERROR(__xludf.DUMMYFUNCTION("""COMPUTED_VALUE"""),6.0)</f>
        <v>6</v>
      </c>
      <c r="D735" s="26">
        <f>IFERROR(__xludf.DUMMYFUNCTION("""COMPUTED_VALUE"""),94.0)</f>
        <v>94</v>
      </c>
      <c r="E735" s="26">
        <f>IFERROR(__xludf.DUMMYFUNCTION("""COMPUTED_VALUE"""),14765.0)</f>
        <v>14765</v>
      </c>
    </row>
    <row r="736">
      <c r="A736" s="25">
        <f>IFERROR(__xludf.DUMMYFUNCTION("""COMPUTED_VALUE"""),45600.0)</f>
        <v>45600</v>
      </c>
      <c r="B736" s="26" t="str">
        <f>IFERROR(__xludf.DUMMYFUNCTION("""COMPUTED_VALUE"""),"Facebook")</f>
        <v>Facebook</v>
      </c>
      <c r="C736" s="26">
        <f>IFERROR(__xludf.DUMMYFUNCTION("""COMPUTED_VALUE"""),3.0)</f>
        <v>3</v>
      </c>
      <c r="D736" s="26">
        <f>IFERROR(__xludf.DUMMYFUNCTION("""COMPUTED_VALUE"""),139.0)</f>
        <v>139</v>
      </c>
      <c r="E736" s="26">
        <f>IFERROR(__xludf.DUMMYFUNCTION("""COMPUTED_VALUE"""),23872.0)</f>
        <v>23872</v>
      </c>
    </row>
    <row r="737">
      <c r="A737" s="25">
        <f>IFERROR(__xludf.DUMMYFUNCTION("""COMPUTED_VALUE"""),45601.0)</f>
        <v>45601</v>
      </c>
      <c r="B737" s="26" t="str">
        <f>IFERROR(__xludf.DUMMYFUNCTION("""COMPUTED_VALUE"""),"Facebook")</f>
        <v>Facebook</v>
      </c>
      <c r="C737" s="26">
        <f>IFERROR(__xludf.DUMMYFUNCTION("""COMPUTED_VALUE"""),3.0)</f>
        <v>3</v>
      </c>
      <c r="D737" s="26">
        <f>IFERROR(__xludf.DUMMYFUNCTION("""COMPUTED_VALUE"""),86.0)</f>
        <v>86</v>
      </c>
      <c r="E737" s="26">
        <f>IFERROR(__xludf.DUMMYFUNCTION("""COMPUTED_VALUE"""),24234.0)</f>
        <v>24234</v>
      </c>
    </row>
    <row r="738">
      <c r="A738" s="25">
        <f>IFERROR(__xludf.DUMMYFUNCTION("""COMPUTED_VALUE"""),45602.0)</f>
        <v>45602</v>
      </c>
      <c r="B738" s="26" t="str">
        <f>IFERROR(__xludf.DUMMYFUNCTION("""COMPUTED_VALUE"""),"Facebook")</f>
        <v>Facebook</v>
      </c>
      <c r="C738" s="26">
        <f>IFERROR(__xludf.DUMMYFUNCTION("""COMPUTED_VALUE"""),3.0)</f>
        <v>3</v>
      </c>
      <c r="D738" s="26">
        <f>IFERROR(__xludf.DUMMYFUNCTION("""COMPUTED_VALUE"""),110.0)</f>
        <v>110</v>
      </c>
      <c r="E738" s="26">
        <f>IFERROR(__xludf.DUMMYFUNCTION("""COMPUTED_VALUE"""),25574.0)</f>
        <v>25574</v>
      </c>
    </row>
    <row r="739">
      <c r="A739" s="25">
        <f>IFERROR(__xludf.DUMMYFUNCTION("""COMPUTED_VALUE"""),45603.0)</f>
        <v>45603</v>
      </c>
      <c r="B739" s="26" t="str">
        <f>IFERROR(__xludf.DUMMYFUNCTION("""COMPUTED_VALUE"""),"Facebook")</f>
        <v>Facebook</v>
      </c>
      <c r="C739" s="26">
        <f>IFERROR(__xludf.DUMMYFUNCTION("""COMPUTED_VALUE"""),4.0)</f>
        <v>4</v>
      </c>
      <c r="D739" s="26">
        <f>IFERROR(__xludf.DUMMYFUNCTION("""COMPUTED_VALUE"""),109.0)</f>
        <v>109</v>
      </c>
      <c r="E739" s="26">
        <f>IFERROR(__xludf.DUMMYFUNCTION("""COMPUTED_VALUE"""),24231.0)</f>
        <v>24231</v>
      </c>
    </row>
    <row r="740">
      <c r="A740" s="25">
        <f>IFERROR(__xludf.DUMMYFUNCTION("""COMPUTED_VALUE"""),45604.0)</f>
        <v>45604</v>
      </c>
      <c r="B740" s="26" t="str">
        <f>IFERROR(__xludf.DUMMYFUNCTION("""COMPUTED_VALUE"""),"Facebook")</f>
        <v>Facebook</v>
      </c>
      <c r="C740" s="26">
        <f>IFERROR(__xludf.DUMMYFUNCTION("""COMPUTED_VALUE"""),0.0)</f>
        <v>0</v>
      </c>
      <c r="D740" s="26">
        <f>IFERROR(__xludf.DUMMYFUNCTION("""COMPUTED_VALUE"""),28.0)</f>
        <v>28</v>
      </c>
      <c r="E740" s="26">
        <f>IFERROR(__xludf.DUMMYFUNCTION("""COMPUTED_VALUE"""),13768.0)</f>
        <v>13768</v>
      </c>
    </row>
    <row r="741">
      <c r="A741" s="25">
        <f>IFERROR(__xludf.DUMMYFUNCTION("""COMPUTED_VALUE"""),45605.0)</f>
        <v>45605</v>
      </c>
      <c r="B741" s="26" t="str">
        <f>IFERROR(__xludf.DUMMYFUNCTION("""COMPUTED_VALUE"""),"Facebook")</f>
        <v>Facebook</v>
      </c>
      <c r="C741" s="26">
        <f>IFERROR(__xludf.DUMMYFUNCTION("""COMPUTED_VALUE"""),2.0)</f>
        <v>2</v>
      </c>
      <c r="D741" s="26">
        <f>IFERROR(__xludf.DUMMYFUNCTION("""COMPUTED_VALUE"""),250.0)</f>
        <v>250</v>
      </c>
      <c r="E741" s="26">
        <f>IFERROR(__xludf.DUMMYFUNCTION("""COMPUTED_VALUE"""),16493.0)</f>
        <v>16493</v>
      </c>
    </row>
    <row r="742">
      <c r="A742" s="25">
        <f>IFERROR(__xludf.DUMMYFUNCTION("""COMPUTED_VALUE"""),45606.0)</f>
        <v>45606</v>
      </c>
      <c r="B742" s="26" t="str">
        <f>IFERROR(__xludf.DUMMYFUNCTION("""COMPUTED_VALUE"""),"Facebook")</f>
        <v>Facebook</v>
      </c>
      <c r="C742" s="26">
        <f>IFERROR(__xludf.DUMMYFUNCTION("""COMPUTED_VALUE"""),1.0)</f>
        <v>1</v>
      </c>
      <c r="D742" s="26">
        <f>IFERROR(__xludf.DUMMYFUNCTION("""COMPUTED_VALUE"""),99.0)</f>
        <v>99</v>
      </c>
      <c r="E742" s="26">
        <f>IFERROR(__xludf.DUMMYFUNCTION("""COMPUTED_VALUE"""),13815.0)</f>
        <v>13815</v>
      </c>
    </row>
    <row r="743">
      <c r="A743" s="25">
        <f>IFERROR(__xludf.DUMMYFUNCTION("""COMPUTED_VALUE"""),45607.0)</f>
        <v>45607</v>
      </c>
      <c r="B743" s="26" t="str">
        <f>IFERROR(__xludf.DUMMYFUNCTION("""COMPUTED_VALUE"""),"Facebook")</f>
        <v>Facebook</v>
      </c>
      <c r="C743" s="26">
        <f>IFERROR(__xludf.DUMMYFUNCTION("""COMPUTED_VALUE"""),1.0)</f>
        <v>1</v>
      </c>
      <c r="D743" s="26">
        <f>IFERROR(__xludf.DUMMYFUNCTION("""COMPUTED_VALUE"""),39.0)</f>
        <v>39</v>
      </c>
      <c r="E743" s="26">
        <f>IFERROR(__xludf.DUMMYFUNCTION("""COMPUTED_VALUE"""),10665.0)</f>
        <v>10665</v>
      </c>
    </row>
    <row r="744">
      <c r="A744" s="25">
        <f>IFERROR(__xludf.DUMMYFUNCTION("""COMPUTED_VALUE"""),45608.0)</f>
        <v>45608</v>
      </c>
      <c r="B744" s="26" t="str">
        <f>IFERROR(__xludf.DUMMYFUNCTION("""COMPUTED_VALUE"""),"Facebook")</f>
        <v>Facebook</v>
      </c>
      <c r="C744" s="26">
        <f>IFERROR(__xludf.DUMMYFUNCTION("""COMPUTED_VALUE"""),3.0)</f>
        <v>3</v>
      </c>
      <c r="D744" s="26">
        <f>IFERROR(__xludf.DUMMYFUNCTION("""COMPUTED_VALUE"""),76.0)</f>
        <v>76</v>
      </c>
      <c r="E744" s="26">
        <f>IFERROR(__xludf.DUMMYFUNCTION("""COMPUTED_VALUE"""),11680.0)</f>
        <v>11680</v>
      </c>
    </row>
    <row r="745">
      <c r="A745" s="25">
        <f>IFERROR(__xludf.DUMMYFUNCTION("""COMPUTED_VALUE"""),45609.0)</f>
        <v>45609</v>
      </c>
      <c r="B745" s="26" t="str">
        <f>IFERROR(__xludf.DUMMYFUNCTION("""COMPUTED_VALUE"""),"Facebook")</f>
        <v>Facebook</v>
      </c>
      <c r="C745" s="26">
        <f>IFERROR(__xludf.DUMMYFUNCTION("""COMPUTED_VALUE"""),1.0)</f>
        <v>1</v>
      </c>
      <c r="D745" s="26">
        <f>IFERROR(__xludf.DUMMYFUNCTION("""COMPUTED_VALUE"""),87.0)</f>
        <v>87</v>
      </c>
      <c r="E745" s="26">
        <f>IFERROR(__xludf.DUMMYFUNCTION("""COMPUTED_VALUE"""),9570.0)</f>
        <v>9570</v>
      </c>
    </row>
    <row r="746">
      <c r="A746" s="25">
        <f>IFERROR(__xludf.DUMMYFUNCTION("""COMPUTED_VALUE"""),45610.0)</f>
        <v>45610</v>
      </c>
      <c r="B746" s="26" t="str">
        <f>IFERROR(__xludf.DUMMYFUNCTION("""COMPUTED_VALUE"""),"Facebook")</f>
        <v>Facebook</v>
      </c>
      <c r="C746" s="26">
        <f>IFERROR(__xludf.DUMMYFUNCTION("""COMPUTED_VALUE"""),2.0)</f>
        <v>2</v>
      </c>
      <c r="D746" s="26">
        <f>IFERROR(__xludf.DUMMYFUNCTION("""COMPUTED_VALUE"""),168.0)</f>
        <v>168</v>
      </c>
      <c r="E746" s="26">
        <f>IFERROR(__xludf.DUMMYFUNCTION("""COMPUTED_VALUE"""),11360.0)</f>
        <v>11360</v>
      </c>
    </row>
    <row r="747">
      <c r="A747" s="25">
        <f>IFERROR(__xludf.DUMMYFUNCTION("""COMPUTED_VALUE"""),45611.0)</f>
        <v>45611</v>
      </c>
      <c r="B747" s="26" t="str">
        <f>IFERROR(__xludf.DUMMYFUNCTION("""COMPUTED_VALUE"""),"Facebook")</f>
        <v>Facebook</v>
      </c>
      <c r="C747" s="26">
        <f>IFERROR(__xludf.DUMMYFUNCTION("""COMPUTED_VALUE"""),2.0)</f>
        <v>2</v>
      </c>
      <c r="D747" s="26">
        <f>IFERROR(__xludf.DUMMYFUNCTION("""COMPUTED_VALUE"""),167.0)</f>
        <v>167</v>
      </c>
      <c r="E747" s="26">
        <f>IFERROR(__xludf.DUMMYFUNCTION("""COMPUTED_VALUE"""),14481.0)</f>
        <v>14481</v>
      </c>
    </row>
    <row r="748">
      <c r="A748" s="25">
        <f>IFERROR(__xludf.DUMMYFUNCTION("""COMPUTED_VALUE"""),45612.0)</f>
        <v>45612</v>
      </c>
      <c r="B748" s="26" t="str">
        <f>IFERROR(__xludf.DUMMYFUNCTION("""COMPUTED_VALUE"""),"Facebook")</f>
        <v>Facebook</v>
      </c>
      <c r="C748" s="26">
        <f>IFERROR(__xludf.DUMMYFUNCTION("""COMPUTED_VALUE"""),0.0)</f>
        <v>0</v>
      </c>
      <c r="D748" s="26">
        <f>IFERROR(__xludf.DUMMYFUNCTION("""COMPUTED_VALUE"""),117.0)</f>
        <v>117</v>
      </c>
      <c r="E748" s="26">
        <f>IFERROR(__xludf.DUMMYFUNCTION("""COMPUTED_VALUE"""),16649.0)</f>
        <v>16649</v>
      </c>
    </row>
    <row r="749">
      <c r="A749" s="25">
        <f>IFERROR(__xludf.DUMMYFUNCTION("""COMPUTED_VALUE"""),45613.0)</f>
        <v>45613</v>
      </c>
      <c r="B749" s="26" t="str">
        <f>IFERROR(__xludf.DUMMYFUNCTION("""COMPUTED_VALUE"""),"Facebook")</f>
        <v>Facebook</v>
      </c>
      <c r="C749" s="26">
        <f>IFERROR(__xludf.DUMMYFUNCTION("""COMPUTED_VALUE"""),3.0)</f>
        <v>3</v>
      </c>
      <c r="D749" s="26">
        <f>IFERROR(__xludf.DUMMYFUNCTION("""COMPUTED_VALUE"""),80.0)</f>
        <v>80</v>
      </c>
      <c r="E749" s="26">
        <f>IFERROR(__xludf.DUMMYFUNCTION("""COMPUTED_VALUE"""),19724.0)</f>
        <v>19724</v>
      </c>
    </row>
    <row r="750">
      <c r="A750" s="25">
        <f>IFERROR(__xludf.DUMMYFUNCTION("""COMPUTED_VALUE"""),45614.0)</f>
        <v>45614</v>
      </c>
      <c r="B750" s="26" t="str">
        <f>IFERROR(__xludf.DUMMYFUNCTION("""COMPUTED_VALUE"""),"Facebook")</f>
        <v>Facebook</v>
      </c>
      <c r="C750" s="26">
        <f>IFERROR(__xludf.DUMMYFUNCTION("""COMPUTED_VALUE"""),2.0)</f>
        <v>2</v>
      </c>
      <c r="D750" s="26">
        <f>IFERROR(__xludf.DUMMYFUNCTION("""COMPUTED_VALUE"""),43.0)</f>
        <v>43</v>
      </c>
      <c r="E750" s="26">
        <f>IFERROR(__xludf.DUMMYFUNCTION("""COMPUTED_VALUE"""),14492.0)</f>
        <v>14492</v>
      </c>
    </row>
    <row r="751">
      <c r="A751" s="25">
        <f>IFERROR(__xludf.DUMMYFUNCTION("""COMPUTED_VALUE"""),45615.0)</f>
        <v>45615</v>
      </c>
      <c r="B751" s="26" t="str">
        <f>IFERROR(__xludf.DUMMYFUNCTION("""COMPUTED_VALUE"""),"Facebook")</f>
        <v>Facebook</v>
      </c>
      <c r="C751" s="26">
        <f>IFERROR(__xludf.DUMMYFUNCTION("""COMPUTED_VALUE"""),4.0)</f>
        <v>4</v>
      </c>
      <c r="D751" s="26">
        <f>IFERROR(__xludf.DUMMYFUNCTION("""COMPUTED_VALUE"""),17.0)</f>
        <v>17</v>
      </c>
      <c r="E751" s="26">
        <f>IFERROR(__xludf.DUMMYFUNCTION("""COMPUTED_VALUE"""),12983.0)</f>
        <v>12983</v>
      </c>
    </row>
    <row r="752">
      <c r="A752" s="25">
        <f>IFERROR(__xludf.DUMMYFUNCTION("""COMPUTED_VALUE"""),45616.0)</f>
        <v>45616</v>
      </c>
      <c r="B752" s="26" t="str">
        <f>IFERROR(__xludf.DUMMYFUNCTION("""COMPUTED_VALUE"""),"Facebook")</f>
        <v>Facebook</v>
      </c>
      <c r="C752" s="26">
        <f>IFERROR(__xludf.DUMMYFUNCTION("""COMPUTED_VALUE"""),2.0)</f>
        <v>2</v>
      </c>
      <c r="D752" s="26">
        <f>IFERROR(__xludf.DUMMYFUNCTION("""COMPUTED_VALUE"""),73.0)</f>
        <v>73</v>
      </c>
      <c r="E752" s="26">
        <f>IFERROR(__xludf.DUMMYFUNCTION("""COMPUTED_VALUE"""),14963.0)</f>
        <v>14963</v>
      </c>
    </row>
    <row r="753">
      <c r="A753" s="25">
        <f>IFERROR(__xludf.DUMMYFUNCTION("""COMPUTED_VALUE"""),45617.0)</f>
        <v>45617</v>
      </c>
      <c r="B753" s="26" t="str">
        <f>IFERROR(__xludf.DUMMYFUNCTION("""COMPUTED_VALUE"""),"Facebook")</f>
        <v>Facebook</v>
      </c>
      <c r="C753" s="26">
        <f>IFERROR(__xludf.DUMMYFUNCTION("""COMPUTED_VALUE"""),2.0)</f>
        <v>2</v>
      </c>
      <c r="D753" s="26">
        <f>IFERROR(__xludf.DUMMYFUNCTION("""COMPUTED_VALUE"""),113.0)</f>
        <v>113</v>
      </c>
      <c r="E753" s="26">
        <f>IFERROR(__xludf.DUMMYFUNCTION("""COMPUTED_VALUE"""),12789.0)</f>
        <v>12789</v>
      </c>
    </row>
    <row r="754">
      <c r="A754" s="25">
        <f>IFERROR(__xludf.DUMMYFUNCTION("""COMPUTED_VALUE"""),45618.0)</f>
        <v>45618</v>
      </c>
      <c r="B754" s="26" t="str">
        <f>IFERROR(__xludf.DUMMYFUNCTION("""COMPUTED_VALUE"""),"Facebook")</f>
        <v>Facebook</v>
      </c>
      <c r="C754" s="26">
        <f>IFERROR(__xludf.DUMMYFUNCTION("""COMPUTED_VALUE"""),6.0)</f>
        <v>6</v>
      </c>
      <c r="D754" s="26">
        <f>IFERROR(__xludf.DUMMYFUNCTION("""COMPUTED_VALUE"""),143.0)</f>
        <v>143</v>
      </c>
      <c r="E754" s="26">
        <f>IFERROR(__xludf.DUMMYFUNCTION("""COMPUTED_VALUE"""),12708.0)</f>
        <v>12708</v>
      </c>
    </row>
    <row r="755">
      <c r="A755" s="25">
        <f>IFERROR(__xludf.DUMMYFUNCTION("""COMPUTED_VALUE"""),45619.0)</f>
        <v>45619</v>
      </c>
      <c r="B755" s="26" t="str">
        <f>IFERROR(__xludf.DUMMYFUNCTION("""COMPUTED_VALUE"""),"Facebook")</f>
        <v>Facebook</v>
      </c>
      <c r="C755" s="26">
        <f>IFERROR(__xludf.DUMMYFUNCTION("""COMPUTED_VALUE"""),5.0)</f>
        <v>5</v>
      </c>
      <c r="D755" s="26">
        <f>IFERROR(__xludf.DUMMYFUNCTION("""COMPUTED_VALUE"""),253.0)</f>
        <v>253</v>
      </c>
      <c r="E755" s="26">
        <f>IFERROR(__xludf.DUMMYFUNCTION("""COMPUTED_VALUE"""),12579.0)</f>
        <v>12579</v>
      </c>
    </row>
    <row r="756">
      <c r="A756" s="25">
        <f>IFERROR(__xludf.DUMMYFUNCTION("""COMPUTED_VALUE"""),45620.0)</f>
        <v>45620</v>
      </c>
      <c r="B756" s="26" t="str">
        <f>IFERROR(__xludf.DUMMYFUNCTION("""COMPUTED_VALUE"""),"Facebook")</f>
        <v>Facebook</v>
      </c>
      <c r="C756" s="26">
        <f>IFERROR(__xludf.DUMMYFUNCTION("""COMPUTED_VALUE"""),7.0)</f>
        <v>7</v>
      </c>
      <c r="D756" s="26">
        <f>IFERROR(__xludf.DUMMYFUNCTION("""COMPUTED_VALUE"""),126.0)</f>
        <v>126</v>
      </c>
      <c r="E756" s="26">
        <f>IFERROR(__xludf.DUMMYFUNCTION("""COMPUTED_VALUE"""),13867.0)</f>
        <v>13867</v>
      </c>
    </row>
    <row r="757">
      <c r="A757" s="25">
        <f>IFERROR(__xludf.DUMMYFUNCTION("""COMPUTED_VALUE"""),45621.0)</f>
        <v>45621</v>
      </c>
      <c r="B757" s="26" t="str">
        <f>IFERROR(__xludf.DUMMYFUNCTION("""COMPUTED_VALUE"""),"Facebook")</f>
        <v>Facebook</v>
      </c>
      <c r="C757" s="26">
        <f>IFERROR(__xludf.DUMMYFUNCTION("""COMPUTED_VALUE"""),2.0)</f>
        <v>2</v>
      </c>
      <c r="D757" s="26">
        <f>IFERROR(__xludf.DUMMYFUNCTION("""COMPUTED_VALUE"""),243.0)</f>
        <v>243</v>
      </c>
      <c r="E757" s="26">
        <f>IFERROR(__xludf.DUMMYFUNCTION("""COMPUTED_VALUE"""),17856.0)</f>
        <v>17856</v>
      </c>
    </row>
    <row r="758">
      <c r="A758" s="25">
        <f>IFERROR(__xludf.DUMMYFUNCTION("""COMPUTED_VALUE"""),45622.0)</f>
        <v>45622</v>
      </c>
      <c r="B758" s="26" t="str">
        <f>IFERROR(__xludf.DUMMYFUNCTION("""COMPUTED_VALUE"""),"Facebook")</f>
        <v>Facebook</v>
      </c>
      <c r="C758" s="26">
        <f>IFERROR(__xludf.DUMMYFUNCTION("""COMPUTED_VALUE"""),4.0)</f>
        <v>4</v>
      </c>
      <c r="D758" s="26">
        <f>IFERROR(__xludf.DUMMYFUNCTION("""COMPUTED_VALUE"""),46.0)</f>
        <v>46</v>
      </c>
      <c r="E758" s="26">
        <f>IFERROR(__xludf.DUMMYFUNCTION("""COMPUTED_VALUE"""),19430.0)</f>
        <v>19430</v>
      </c>
    </row>
    <row r="759">
      <c r="A759" s="25">
        <f>IFERROR(__xludf.DUMMYFUNCTION("""COMPUTED_VALUE"""),45623.0)</f>
        <v>45623</v>
      </c>
      <c r="B759" s="26" t="str">
        <f>IFERROR(__xludf.DUMMYFUNCTION("""COMPUTED_VALUE"""),"Facebook")</f>
        <v>Facebook</v>
      </c>
      <c r="C759" s="26">
        <f>IFERROR(__xludf.DUMMYFUNCTION("""COMPUTED_VALUE"""),1.0)</f>
        <v>1</v>
      </c>
      <c r="D759" s="26">
        <f>IFERROR(__xludf.DUMMYFUNCTION("""COMPUTED_VALUE"""),42.0)</f>
        <v>42</v>
      </c>
      <c r="E759" s="26">
        <f>IFERROR(__xludf.DUMMYFUNCTION("""COMPUTED_VALUE"""),16898.0)</f>
        <v>16898</v>
      </c>
    </row>
    <row r="760">
      <c r="A760" s="25">
        <f>IFERROR(__xludf.DUMMYFUNCTION("""COMPUTED_VALUE"""),45624.0)</f>
        <v>45624</v>
      </c>
      <c r="B760" s="26" t="str">
        <f>IFERROR(__xludf.DUMMYFUNCTION("""COMPUTED_VALUE"""),"Facebook")</f>
        <v>Facebook</v>
      </c>
      <c r="C760" s="26">
        <f>IFERROR(__xludf.DUMMYFUNCTION("""COMPUTED_VALUE"""),1.0)</f>
        <v>1</v>
      </c>
      <c r="D760" s="26">
        <f>IFERROR(__xludf.DUMMYFUNCTION("""COMPUTED_VALUE"""),132.0)</f>
        <v>132</v>
      </c>
      <c r="E760" s="26">
        <f>IFERROR(__xludf.DUMMYFUNCTION("""COMPUTED_VALUE"""),5300.0)</f>
        <v>5300</v>
      </c>
    </row>
    <row r="761">
      <c r="A761" s="25">
        <f>IFERROR(__xludf.DUMMYFUNCTION("""COMPUTED_VALUE"""),45625.0)</f>
        <v>45625</v>
      </c>
      <c r="B761" s="26" t="str">
        <f>IFERROR(__xludf.DUMMYFUNCTION("""COMPUTED_VALUE"""),"Facebook")</f>
        <v>Facebook</v>
      </c>
      <c r="C761" s="26">
        <f>IFERROR(__xludf.DUMMYFUNCTION("""COMPUTED_VALUE"""),2.0)</f>
        <v>2</v>
      </c>
      <c r="D761" s="26">
        <f>IFERROR(__xludf.DUMMYFUNCTION("""COMPUTED_VALUE"""),68.0)</f>
        <v>68</v>
      </c>
      <c r="E761" s="26">
        <f>IFERROR(__xludf.DUMMYFUNCTION("""COMPUTED_VALUE"""),4408.0)</f>
        <v>4408</v>
      </c>
    </row>
    <row r="762">
      <c r="A762" s="25">
        <f>IFERROR(__xludf.DUMMYFUNCTION("""COMPUTED_VALUE"""),45626.0)</f>
        <v>45626</v>
      </c>
      <c r="B762" s="26" t="str">
        <f>IFERROR(__xludf.DUMMYFUNCTION("""COMPUTED_VALUE"""),"Facebook")</f>
        <v>Facebook</v>
      </c>
      <c r="C762" s="26">
        <f>IFERROR(__xludf.DUMMYFUNCTION("""COMPUTED_VALUE"""),2.0)</f>
        <v>2</v>
      </c>
      <c r="D762" s="26">
        <f>IFERROR(__xludf.DUMMYFUNCTION("""COMPUTED_VALUE"""),16.0)</f>
        <v>16</v>
      </c>
      <c r="E762" s="26">
        <f>IFERROR(__xludf.DUMMYFUNCTION("""COMPUTED_VALUE"""),2398.0)</f>
        <v>2398</v>
      </c>
    </row>
    <row r="763">
      <c r="A763" s="25">
        <f>IFERROR(__xludf.DUMMYFUNCTION("""COMPUTED_VALUE"""),45627.0)</f>
        <v>45627</v>
      </c>
      <c r="B763" s="26" t="str">
        <f>IFERROR(__xludf.DUMMYFUNCTION("""COMPUTED_VALUE"""),"Facebook")</f>
        <v>Facebook</v>
      </c>
      <c r="C763" s="26">
        <f>IFERROR(__xludf.DUMMYFUNCTION("""COMPUTED_VALUE"""),0.0)</f>
        <v>0</v>
      </c>
      <c r="D763" s="26">
        <f>IFERROR(__xludf.DUMMYFUNCTION("""COMPUTED_VALUE"""),10.0)</f>
        <v>10</v>
      </c>
      <c r="E763" s="26">
        <f>IFERROR(__xludf.DUMMYFUNCTION("""COMPUTED_VALUE"""),360.0)</f>
        <v>360</v>
      </c>
    </row>
    <row r="764">
      <c r="A764" s="25">
        <f>IFERROR(__xludf.DUMMYFUNCTION("""COMPUTED_VALUE"""),45628.0)</f>
        <v>45628</v>
      </c>
      <c r="B764" s="26" t="str">
        <f>IFERROR(__xludf.DUMMYFUNCTION("""COMPUTED_VALUE"""),"Facebook")</f>
        <v>Facebook</v>
      </c>
      <c r="C764" s="26">
        <f>IFERROR(__xludf.DUMMYFUNCTION("""COMPUTED_VALUE"""),1.0)</f>
        <v>1</v>
      </c>
      <c r="D764" s="26">
        <f>IFERROR(__xludf.DUMMYFUNCTION("""COMPUTED_VALUE"""),50.0)</f>
        <v>50</v>
      </c>
      <c r="E764" s="26">
        <f>IFERROR(__xludf.DUMMYFUNCTION("""COMPUTED_VALUE"""),11299.0)</f>
        <v>11299</v>
      </c>
    </row>
    <row r="765">
      <c r="A765" s="25">
        <f>IFERROR(__xludf.DUMMYFUNCTION("""COMPUTED_VALUE"""),45629.0)</f>
        <v>45629</v>
      </c>
      <c r="B765" s="26" t="str">
        <f>IFERROR(__xludf.DUMMYFUNCTION("""COMPUTED_VALUE"""),"Facebook")</f>
        <v>Facebook</v>
      </c>
      <c r="C765" s="26">
        <f>IFERROR(__xludf.DUMMYFUNCTION("""COMPUTED_VALUE"""),3.0)</f>
        <v>3</v>
      </c>
      <c r="D765" s="26">
        <f>IFERROR(__xludf.DUMMYFUNCTION("""COMPUTED_VALUE"""),72.0)</f>
        <v>72</v>
      </c>
      <c r="E765" s="26">
        <f>IFERROR(__xludf.DUMMYFUNCTION("""COMPUTED_VALUE"""),17595.0)</f>
        <v>17595</v>
      </c>
    </row>
    <row r="766">
      <c r="A766" s="25">
        <f>IFERROR(__xludf.DUMMYFUNCTION("""COMPUTED_VALUE"""),45630.0)</f>
        <v>45630</v>
      </c>
      <c r="B766" s="26" t="str">
        <f>IFERROR(__xludf.DUMMYFUNCTION("""COMPUTED_VALUE"""),"Facebook")</f>
        <v>Facebook</v>
      </c>
      <c r="C766" s="26">
        <f>IFERROR(__xludf.DUMMYFUNCTION("""COMPUTED_VALUE"""),5.0)</f>
        <v>5</v>
      </c>
      <c r="D766" s="26">
        <f>IFERROR(__xludf.DUMMYFUNCTION("""COMPUTED_VALUE"""),65.0)</f>
        <v>65</v>
      </c>
      <c r="E766" s="26">
        <f>IFERROR(__xludf.DUMMYFUNCTION("""COMPUTED_VALUE"""),10981.0)</f>
        <v>10981</v>
      </c>
    </row>
    <row r="767">
      <c r="A767" s="25">
        <f>IFERROR(__xludf.DUMMYFUNCTION("""COMPUTED_VALUE"""),45631.0)</f>
        <v>45631</v>
      </c>
      <c r="B767" s="26" t="str">
        <f>IFERROR(__xludf.DUMMYFUNCTION("""COMPUTED_VALUE"""),"Facebook")</f>
        <v>Facebook</v>
      </c>
      <c r="C767" s="26">
        <f>IFERROR(__xludf.DUMMYFUNCTION("""COMPUTED_VALUE"""),1.0)</f>
        <v>1</v>
      </c>
      <c r="D767" s="26">
        <f>IFERROR(__xludf.DUMMYFUNCTION("""COMPUTED_VALUE"""),138.0)</f>
        <v>138</v>
      </c>
      <c r="E767" s="26">
        <f>IFERROR(__xludf.DUMMYFUNCTION("""COMPUTED_VALUE"""),8596.0)</f>
        <v>8596</v>
      </c>
    </row>
    <row r="768">
      <c r="A768" s="25">
        <f>IFERROR(__xludf.DUMMYFUNCTION("""COMPUTED_VALUE"""),45632.0)</f>
        <v>45632</v>
      </c>
      <c r="B768" s="26" t="str">
        <f>IFERROR(__xludf.DUMMYFUNCTION("""COMPUTED_VALUE"""),"Facebook")</f>
        <v>Facebook</v>
      </c>
      <c r="C768" s="26">
        <f>IFERROR(__xludf.DUMMYFUNCTION("""COMPUTED_VALUE"""),3.0)</f>
        <v>3</v>
      </c>
      <c r="D768" s="26">
        <f>IFERROR(__xludf.DUMMYFUNCTION("""COMPUTED_VALUE"""),182.0)</f>
        <v>182</v>
      </c>
      <c r="E768" s="26">
        <f>IFERROR(__xludf.DUMMYFUNCTION("""COMPUTED_VALUE"""),6550.0)</f>
        <v>6550</v>
      </c>
    </row>
    <row r="769">
      <c r="A769" s="25">
        <f>IFERROR(__xludf.DUMMYFUNCTION("""COMPUTED_VALUE"""),45633.0)</f>
        <v>45633</v>
      </c>
      <c r="B769" s="26" t="str">
        <f>IFERROR(__xludf.DUMMYFUNCTION("""COMPUTED_VALUE"""),"Facebook")</f>
        <v>Facebook</v>
      </c>
      <c r="C769" s="26">
        <f>IFERROR(__xludf.DUMMYFUNCTION("""COMPUTED_VALUE"""),3.0)</f>
        <v>3</v>
      </c>
      <c r="D769" s="26">
        <f>IFERROR(__xludf.DUMMYFUNCTION("""COMPUTED_VALUE"""),81.0)</f>
        <v>81</v>
      </c>
      <c r="E769" s="26">
        <f>IFERROR(__xludf.DUMMYFUNCTION("""COMPUTED_VALUE"""),6263.0)</f>
        <v>6263</v>
      </c>
    </row>
    <row r="770">
      <c r="A770" s="25">
        <f>IFERROR(__xludf.DUMMYFUNCTION("""COMPUTED_VALUE"""),45634.0)</f>
        <v>45634</v>
      </c>
      <c r="B770" s="26" t="str">
        <f>IFERROR(__xludf.DUMMYFUNCTION("""COMPUTED_VALUE"""),"Facebook")</f>
        <v>Facebook</v>
      </c>
      <c r="C770" s="26">
        <f>IFERROR(__xludf.DUMMYFUNCTION("""COMPUTED_VALUE"""),1.0)</f>
        <v>1</v>
      </c>
      <c r="D770" s="26">
        <f>IFERROR(__xludf.DUMMYFUNCTION("""COMPUTED_VALUE"""),34.0)</f>
        <v>34</v>
      </c>
      <c r="E770" s="26">
        <f>IFERROR(__xludf.DUMMYFUNCTION("""COMPUTED_VALUE"""),5999.0)</f>
        <v>5999</v>
      </c>
    </row>
    <row r="771">
      <c r="A771" s="25">
        <f>IFERROR(__xludf.DUMMYFUNCTION("""COMPUTED_VALUE"""),45635.0)</f>
        <v>45635</v>
      </c>
      <c r="B771" s="26" t="str">
        <f>IFERROR(__xludf.DUMMYFUNCTION("""COMPUTED_VALUE"""),"Facebook")</f>
        <v>Facebook</v>
      </c>
      <c r="C771" s="26">
        <f>IFERROR(__xludf.DUMMYFUNCTION("""COMPUTED_VALUE"""),1.0)</f>
        <v>1</v>
      </c>
      <c r="D771" s="26">
        <f>IFERROR(__xludf.DUMMYFUNCTION("""COMPUTED_VALUE"""),25.0)</f>
        <v>25</v>
      </c>
      <c r="E771" s="26">
        <f>IFERROR(__xludf.DUMMYFUNCTION("""COMPUTED_VALUE"""),5640.0)</f>
        <v>5640</v>
      </c>
    </row>
    <row r="772">
      <c r="A772" s="25">
        <f>IFERROR(__xludf.DUMMYFUNCTION("""COMPUTED_VALUE"""),45636.0)</f>
        <v>45636</v>
      </c>
      <c r="B772" s="26" t="str">
        <f>IFERROR(__xludf.DUMMYFUNCTION("""COMPUTED_VALUE"""),"Facebook")</f>
        <v>Facebook</v>
      </c>
      <c r="C772" s="26">
        <f>IFERROR(__xludf.DUMMYFUNCTION("""COMPUTED_VALUE"""),0.0)</f>
        <v>0</v>
      </c>
      <c r="D772" s="26">
        <f>IFERROR(__xludf.DUMMYFUNCTION("""COMPUTED_VALUE"""),92.0)</f>
        <v>92</v>
      </c>
      <c r="E772" s="26">
        <f>IFERROR(__xludf.DUMMYFUNCTION("""COMPUTED_VALUE"""),6395.0)</f>
        <v>6395</v>
      </c>
    </row>
    <row r="773">
      <c r="A773" s="25">
        <f>IFERROR(__xludf.DUMMYFUNCTION("""COMPUTED_VALUE"""),45637.0)</f>
        <v>45637</v>
      </c>
      <c r="B773" s="26" t="str">
        <f>IFERROR(__xludf.DUMMYFUNCTION("""COMPUTED_VALUE"""),"Facebook")</f>
        <v>Facebook</v>
      </c>
      <c r="C773" s="26">
        <f>IFERROR(__xludf.DUMMYFUNCTION("""COMPUTED_VALUE"""),2.0)</f>
        <v>2</v>
      </c>
      <c r="D773" s="26">
        <f>IFERROR(__xludf.DUMMYFUNCTION("""COMPUTED_VALUE"""),49.0)</f>
        <v>49</v>
      </c>
      <c r="E773" s="26">
        <f>IFERROR(__xludf.DUMMYFUNCTION("""COMPUTED_VALUE"""),5692.0)</f>
        <v>5692</v>
      </c>
    </row>
    <row r="774">
      <c r="A774" s="25">
        <f>IFERROR(__xludf.DUMMYFUNCTION("""COMPUTED_VALUE"""),45638.0)</f>
        <v>45638</v>
      </c>
      <c r="B774" s="26" t="str">
        <f>IFERROR(__xludf.DUMMYFUNCTION("""COMPUTED_VALUE"""),"Facebook")</f>
        <v>Facebook</v>
      </c>
      <c r="C774" s="26">
        <f>IFERROR(__xludf.DUMMYFUNCTION("""COMPUTED_VALUE"""),3.0)</f>
        <v>3</v>
      </c>
      <c r="D774" s="26">
        <f>IFERROR(__xludf.DUMMYFUNCTION("""COMPUTED_VALUE"""),86.0)</f>
        <v>86</v>
      </c>
      <c r="E774" s="26">
        <f>IFERROR(__xludf.DUMMYFUNCTION("""COMPUTED_VALUE"""),6173.0)</f>
        <v>6173</v>
      </c>
    </row>
    <row r="775">
      <c r="A775" s="25">
        <f>IFERROR(__xludf.DUMMYFUNCTION("""COMPUTED_VALUE"""),45639.0)</f>
        <v>45639</v>
      </c>
      <c r="B775" s="26" t="str">
        <f>IFERROR(__xludf.DUMMYFUNCTION("""COMPUTED_VALUE"""),"Facebook")</f>
        <v>Facebook</v>
      </c>
      <c r="C775" s="26">
        <f>IFERROR(__xludf.DUMMYFUNCTION("""COMPUTED_VALUE"""),0.0)</f>
        <v>0</v>
      </c>
      <c r="D775" s="26">
        <f>IFERROR(__xludf.DUMMYFUNCTION("""COMPUTED_VALUE"""),65.0)</f>
        <v>65</v>
      </c>
      <c r="E775" s="26">
        <f>IFERROR(__xludf.DUMMYFUNCTION("""COMPUTED_VALUE"""),5500.0)</f>
        <v>5500</v>
      </c>
    </row>
    <row r="776">
      <c r="A776" s="25">
        <f>IFERROR(__xludf.DUMMYFUNCTION("""COMPUTED_VALUE"""),45640.0)</f>
        <v>45640</v>
      </c>
      <c r="B776" s="26" t="str">
        <f>IFERROR(__xludf.DUMMYFUNCTION("""COMPUTED_VALUE"""),"Facebook")</f>
        <v>Facebook</v>
      </c>
      <c r="C776" s="26">
        <f>IFERROR(__xludf.DUMMYFUNCTION("""COMPUTED_VALUE"""),2.0)</f>
        <v>2</v>
      </c>
      <c r="D776" s="26">
        <f>IFERROR(__xludf.DUMMYFUNCTION("""COMPUTED_VALUE"""),42.0)</f>
        <v>42</v>
      </c>
      <c r="E776" s="26">
        <f>IFERROR(__xludf.DUMMYFUNCTION("""COMPUTED_VALUE"""),5236.0)</f>
        <v>5236</v>
      </c>
    </row>
    <row r="777">
      <c r="A777" s="25">
        <f>IFERROR(__xludf.DUMMYFUNCTION("""COMPUTED_VALUE"""),45641.0)</f>
        <v>45641</v>
      </c>
      <c r="B777" s="26" t="str">
        <f>IFERROR(__xludf.DUMMYFUNCTION("""COMPUTED_VALUE"""),"Facebook")</f>
        <v>Facebook</v>
      </c>
      <c r="C777" s="26">
        <f>IFERROR(__xludf.DUMMYFUNCTION("""COMPUTED_VALUE"""),2.0)</f>
        <v>2</v>
      </c>
      <c r="D777" s="26">
        <f>IFERROR(__xludf.DUMMYFUNCTION("""COMPUTED_VALUE"""),36.0)</f>
        <v>36</v>
      </c>
      <c r="E777" s="26">
        <f>IFERROR(__xludf.DUMMYFUNCTION("""COMPUTED_VALUE"""),4891.0)</f>
        <v>4891</v>
      </c>
    </row>
    <row r="778">
      <c r="A778" s="25">
        <f>IFERROR(__xludf.DUMMYFUNCTION("""COMPUTED_VALUE"""),45642.0)</f>
        <v>45642</v>
      </c>
      <c r="B778" s="26" t="str">
        <f>IFERROR(__xludf.DUMMYFUNCTION("""COMPUTED_VALUE"""),"Facebook")</f>
        <v>Facebook</v>
      </c>
      <c r="C778" s="26">
        <f>IFERROR(__xludf.DUMMYFUNCTION("""COMPUTED_VALUE"""),2.0)</f>
        <v>2</v>
      </c>
      <c r="D778" s="26">
        <f>IFERROR(__xludf.DUMMYFUNCTION("""COMPUTED_VALUE"""),19.0)</f>
        <v>19</v>
      </c>
      <c r="E778" s="26">
        <f>IFERROR(__xludf.DUMMYFUNCTION("""COMPUTED_VALUE"""),4523.0)</f>
        <v>4523</v>
      </c>
    </row>
    <row r="779">
      <c r="A779" s="25">
        <f>IFERROR(__xludf.DUMMYFUNCTION("""COMPUTED_VALUE"""),45643.0)</f>
        <v>45643</v>
      </c>
      <c r="B779" s="26" t="str">
        <f>IFERROR(__xludf.DUMMYFUNCTION("""COMPUTED_VALUE"""),"Facebook")</f>
        <v>Facebook</v>
      </c>
      <c r="C779" s="26">
        <f>IFERROR(__xludf.DUMMYFUNCTION("""COMPUTED_VALUE"""),1.0)</f>
        <v>1</v>
      </c>
      <c r="D779" s="26">
        <f>IFERROR(__xludf.DUMMYFUNCTION("""COMPUTED_VALUE"""),51.0)</f>
        <v>51</v>
      </c>
      <c r="E779" s="26">
        <f>IFERROR(__xludf.DUMMYFUNCTION("""COMPUTED_VALUE"""),5134.0)</f>
        <v>5134</v>
      </c>
    </row>
    <row r="780">
      <c r="A780" s="25">
        <f>IFERROR(__xludf.DUMMYFUNCTION("""COMPUTED_VALUE"""),45644.0)</f>
        <v>45644</v>
      </c>
      <c r="B780" s="26" t="str">
        <f>IFERROR(__xludf.DUMMYFUNCTION("""COMPUTED_VALUE"""),"Facebook")</f>
        <v>Facebook</v>
      </c>
      <c r="C780" s="26">
        <f>IFERROR(__xludf.DUMMYFUNCTION("""COMPUTED_VALUE"""),1.0)</f>
        <v>1</v>
      </c>
      <c r="D780" s="26">
        <f>IFERROR(__xludf.DUMMYFUNCTION("""COMPUTED_VALUE"""),86.0)</f>
        <v>86</v>
      </c>
      <c r="E780" s="26">
        <f>IFERROR(__xludf.DUMMYFUNCTION("""COMPUTED_VALUE"""),4913.0)</f>
        <v>4913</v>
      </c>
    </row>
    <row r="781">
      <c r="A781" s="25">
        <f>IFERROR(__xludf.DUMMYFUNCTION("""COMPUTED_VALUE"""),45645.0)</f>
        <v>45645</v>
      </c>
      <c r="B781" s="26" t="str">
        <f>IFERROR(__xludf.DUMMYFUNCTION("""COMPUTED_VALUE"""),"Facebook")</f>
        <v>Facebook</v>
      </c>
      <c r="C781" s="26">
        <f>IFERROR(__xludf.DUMMYFUNCTION("""COMPUTED_VALUE"""),4.0)</f>
        <v>4</v>
      </c>
      <c r="D781" s="26">
        <f>IFERROR(__xludf.DUMMYFUNCTION("""COMPUTED_VALUE"""),30.0)</f>
        <v>30</v>
      </c>
      <c r="E781" s="26">
        <f>IFERROR(__xludf.DUMMYFUNCTION("""COMPUTED_VALUE"""),4674.0)</f>
        <v>4674</v>
      </c>
    </row>
    <row r="782">
      <c r="A782" s="25">
        <f>IFERROR(__xludf.DUMMYFUNCTION("""COMPUTED_VALUE"""),45646.0)</f>
        <v>45646</v>
      </c>
      <c r="B782" s="26" t="str">
        <f>IFERROR(__xludf.DUMMYFUNCTION("""COMPUTED_VALUE"""),"Facebook")</f>
        <v>Facebook</v>
      </c>
      <c r="C782" s="26">
        <f>IFERROR(__xludf.DUMMYFUNCTION("""COMPUTED_VALUE"""),1.0)</f>
        <v>1</v>
      </c>
      <c r="D782" s="26">
        <f>IFERROR(__xludf.DUMMYFUNCTION("""COMPUTED_VALUE"""),56.0)</f>
        <v>56</v>
      </c>
      <c r="E782" s="26">
        <f>IFERROR(__xludf.DUMMYFUNCTION("""COMPUTED_VALUE"""),5342.0)</f>
        <v>5342</v>
      </c>
    </row>
    <row r="783">
      <c r="A783" s="25">
        <f>IFERROR(__xludf.DUMMYFUNCTION("""COMPUTED_VALUE"""),45647.0)</f>
        <v>45647</v>
      </c>
      <c r="B783" s="26" t="str">
        <f>IFERROR(__xludf.DUMMYFUNCTION("""COMPUTED_VALUE"""),"Facebook")</f>
        <v>Facebook</v>
      </c>
      <c r="C783" s="26">
        <f>IFERROR(__xludf.DUMMYFUNCTION("""COMPUTED_VALUE"""),0.0)</f>
        <v>0</v>
      </c>
      <c r="D783" s="26">
        <f>IFERROR(__xludf.DUMMYFUNCTION("""COMPUTED_VALUE"""),128.0)</f>
        <v>128</v>
      </c>
      <c r="E783" s="26">
        <f>IFERROR(__xludf.DUMMYFUNCTION("""COMPUTED_VALUE"""),5833.0)</f>
        <v>5833</v>
      </c>
    </row>
    <row r="784">
      <c r="A784" s="25">
        <f>IFERROR(__xludf.DUMMYFUNCTION("""COMPUTED_VALUE"""),45648.0)</f>
        <v>45648</v>
      </c>
      <c r="B784" s="26" t="str">
        <f>IFERROR(__xludf.DUMMYFUNCTION("""COMPUTED_VALUE"""),"Facebook")</f>
        <v>Facebook</v>
      </c>
      <c r="C784" s="26">
        <f>IFERROR(__xludf.DUMMYFUNCTION("""COMPUTED_VALUE"""),1.0)</f>
        <v>1</v>
      </c>
      <c r="D784" s="26">
        <f>IFERROR(__xludf.DUMMYFUNCTION("""COMPUTED_VALUE"""),32.0)</f>
        <v>32</v>
      </c>
      <c r="E784" s="26">
        <f>IFERROR(__xludf.DUMMYFUNCTION("""COMPUTED_VALUE"""),6310.0)</f>
        <v>6310</v>
      </c>
    </row>
    <row r="785">
      <c r="A785" s="25">
        <f>IFERROR(__xludf.DUMMYFUNCTION("""COMPUTED_VALUE"""),45649.0)</f>
        <v>45649</v>
      </c>
      <c r="B785" s="26" t="str">
        <f>IFERROR(__xludf.DUMMYFUNCTION("""COMPUTED_VALUE"""),"Facebook")</f>
        <v>Facebook</v>
      </c>
      <c r="C785" s="26">
        <f>IFERROR(__xludf.DUMMYFUNCTION("""COMPUTED_VALUE"""),0.0)</f>
        <v>0</v>
      </c>
      <c r="D785" s="26">
        <f>IFERROR(__xludf.DUMMYFUNCTION("""COMPUTED_VALUE"""),31.0)</f>
        <v>31</v>
      </c>
      <c r="E785" s="26">
        <f>IFERROR(__xludf.DUMMYFUNCTION("""COMPUTED_VALUE"""),5944.0)</f>
        <v>5944</v>
      </c>
    </row>
    <row r="786">
      <c r="A786" s="25">
        <f>IFERROR(__xludf.DUMMYFUNCTION("""COMPUTED_VALUE"""),45650.0)</f>
        <v>45650</v>
      </c>
      <c r="B786" s="26" t="str">
        <f>IFERROR(__xludf.DUMMYFUNCTION("""COMPUTED_VALUE"""),"Facebook")</f>
        <v>Facebook</v>
      </c>
      <c r="C786" s="26">
        <f>IFERROR(__xludf.DUMMYFUNCTION("""COMPUTED_VALUE"""),1.0)</f>
        <v>1</v>
      </c>
      <c r="D786" s="26">
        <f>IFERROR(__xludf.DUMMYFUNCTION("""COMPUTED_VALUE"""),17.0)</f>
        <v>17</v>
      </c>
      <c r="E786" s="26">
        <f>IFERROR(__xludf.DUMMYFUNCTION("""COMPUTED_VALUE"""),6945.0)</f>
        <v>6945</v>
      </c>
    </row>
    <row r="787">
      <c r="A787" s="25">
        <f>IFERROR(__xludf.DUMMYFUNCTION("""COMPUTED_VALUE"""),45651.0)</f>
        <v>45651</v>
      </c>
      <c r="B787" s="26" t="str">
        <f>IFERROR(__xludf.DUMMYFUNCTION("""COMPUTED_VALUE"""),"Facebook")</f>
        <v>Facebook</v>
      </c>
      <c r="C787" s="26">
        <f>IFERROR(__xludf.DUMMYFUNCTION("""COMPUTED_VALUE"""),1.0)</f>
        <v>1</v>
      </c>
      <c r="D787" s="26">
        <f>IFERROR(__xludf.DUMMYFUNCTION("""COMPUTED_VALUE"""),5.0)</f>
        <v>5</v>
      </c>
      <c r="E787" s="26">
        <f>IFERROR(__xludf.DUMMYFUNCTION("""COMPUTED_VALUE"""),6548.0)</f>
        <v>6548</v>
      </c>
    </row>
    <row r="788">
      <c r="A788" s="25">
        <f>IFERROR(__xludf.DUMMYFUNCTION("""COMPUTED_VALUE"""),45652.0)</f>
        <v>45652</v>
      </c>
      <c r="B788" s="26" t="str">
        <f>IFERROR(__xludf.DUMMYFUNCTION("""COMPUTED_VALUE"""),"Facebook")</f>
        <v>Facebook</v>
      </c>
      <c r="C788" s="26">
        <f>IFERROR(__xludf.DUMMYFUNCTION("""COMPUTED_VALUE"""),2.0)</f>
        <v>2</v>
      </c>
      <c r="D788" s="26">
        <f>IFERROR(__xludf.DUMMYFUNCTION("""COMPUTED_VALUE"""),8.0)</f>
        <v>8</v>
      </c>
      <c r="E788" s="26">
        <f>IFERROR(__xludf.DUMMYFUNCTION("""COMPUTED_VALUE"""),6158.0)</f>
        <v>6158</v>
      </c>
    </row>
    <row r="789">
      <c r="A789" s="25">
        <f>IFERROR(__xludf.DUMMYFUNCTION("""COMPUTED_VALUE"""),45653.0)</f>
        <v>45653</v>
      </c>
      <c r="B789" s="26" t="str">
        <f>IFERROR(__xludf.DUMMYFUNCTION("""COMPUTED_VALUE"""),"Facebook")</f>
        <v>Facebook</v>
      </c>
      <c r="C789" s="26">
        <f>IFERROR(__xludf.DUMMYFUNCTION("""COMPUTED_VALUE"""),0.0)</f>
        <v>0</v>
      </c>
      <c r="D789" s="26">
        <f>IFERROR(__xludf.DUMMYFUNCTION("""COMPUTED_VALUE"""),2.0)</f>
        <v>2</v>
      </c>
      <c r="E789" s="26">
        <f>IFERROR(__xludf.DUMMYFUNCTION("""COMPUTED_VALUE"""),6160.0)</f>
        <v>6160</v>
      </c>
    </row>
    <row r="790">
      <c r="A790" s="25">
        <f>IFERROR(__xludf.DUMMYFUNCTION("""COMPUTED_VALUE"""),45654.0)</f>
        <v>45654</v>
      </c>
      <c r="B790" s="26" t="str">
        <f>IFERROR(__xludf.DUMMYFUNCTION("""COMPUTED_VALUE"""),"Facebook")</f>
        <v>Facebook</v>
      </c>
      <c r="C790" s="26">
        <f>IFERROR(__xludf.DUMMYFUNCTION("""COMPUTED_VALUE"""),0.0)</f>
        <v>0</v>
      </c>
      <c r="D790" s="26">
        <f>IFERROR(__xludf.DUMMYFUNCTION("""COMPUTED_VALUE"""),11.0)</f>
        <v>11</v>
      </c>
      <c r="E790" s="26">
        <f>IFERROR(__xludf.DUMMYFUNCTION("""COMPUTED_VALUE"""),6191.0)</f>
        <v>6191</v>
      </c>
    </row>
    <row r="791">
      <c r="A791" s="25">
        <f>IFERROR(__xludf.DUMMYFUNCTION("""COMPUTED_VALUE"""),45655.0)</f>
        <v>45655</v>
      </c>
      <c r="B791" s="26" t="str">
        <f>IFERROR(__xludf.DUMMYFUNCTION("""COMPUTED_VALUE"""),"Facebook")</f>
        <v>Facebook</v>
      </c>
      <c r="C791" s="26">
        <f>IFERROR(__xludf.DUMMYFUNCTION("""COMPUTED_VALUE"""),3.0)</f>
        <v>3</v>
      </c>
      <c r="D791" s="26">
        <f>IFERROR(__xludf.DUMMYFUNCTION("""COMPUTED_VALUE"""),14.0)</f>
        <v>14</v>
      </c>
      <c r="E791" s="26">
        <f>IFERROR(__xludf.DUMMYFUNCTION("""COMPUTED_VALUE"""),6363.0)</f>
        <v>6363</v>
      </c>
    </row>
    <row r="792">
      <c r="A792" s="25">
        <f>IFERROR(__xludf.DUMMYFUNCTION("""COMPUTED_VALUE"""),45656.0)</f>
        <v>45656</v>
      </c>
      <c r="B792" s="26" t="str">
        <f>IFERROR(__xludf.DUMMYFUNCTION("""COMPUTED_VALUE"""),"Facebook")</f>
        <v>Facebook</v>
      </c>
      <c r="C792" s="26">
        <f>IFERROR(__xludf.DUMMYFUNCTION("""COMPUTED_VALUE"""),2.0)</f>
        <v>2</v>
      </c>
      <c r="D792" s="26">
        <f>IFERROR(__xludf.DUMMYFUNCTION("""COMPUTED_VALUE"""),142.0)</f>
        <v>142</v>
      </c>
      <c r="E792" s="26">
        <f>IFERROR(__xludf.DUMMYFUNCTION("""COMPUTED_VALUE"""),7362.0)</f>
        <v>7362</v>
      </c>
    </row>
    <row r="793">
      <c r="A793" s="25">
        <f>IFERROR(__xludf.DUMMYFUNCTION("""COMPUTED_VALUE"""),45657.0)</f>
        <v>45657</v>
      </c>
      <c r="B793" s="26" t="str">
        <f>IFERROR(__xludf.DUMMYFUNCTION("""COMPUTED_VALUE"""),"Facebook")</f>
        <v>Facebook</v>
      </c>
      <c r="C793" s="26">
        <f>IFERROR(__xludf.DUMMYFUNCTION("""COMPUTED_VALUE"""),5.0)</f>
        <v>5</v>
      </c>
      <c r="D793" s="26">
        <f>IFERROR(__xludf.DUMMYFUNCTION("""COMPUTED_VALUE"""),244.0)</f>
        <v>244</v>
      </c>
      <c r="E793" s="26">
        <f>IFERROR(__xludf.DUMMYFUNCTION("""COMPUTED_VALUE"""),5544.0)</f>
        <v>5544</v>
      </c>
    </row>
    <row r="794">
      <c r="A794" s="25">
        <f>IFERROR(__xludf.DUMMYFUNCTION("""COMPUTED_VALUE"""),45658.0)</f>
        <v>45658</v>
      </c>
      <c r="B794" s="26" t="str">
        <f>IFERROR(__xludf.DUMMYFUNCTION("""COMPUTED_VALUE"""),"Facebook")</f>
        <v>Facebook</v>
      </c>
      <c r="C794" s="26">
        <f>IFERROR(__xludf.DUMMYFUNCTION("""COMPUTED_VALUE"""),2.0)</f>
        <v>2</v>
      </c>
      <c r="D794" s="26">
        <f>IFERROR(__xludf.DUMMYFUNCTION("""COMPUTED_VALUE"""),72.0)</f>
        <v>72</v>
      </c>
      <c r="E794" s="26">
        <f>IFERROR(__xludf.DUMMYFUNCTION("""COMPUTED_VALUE"""),3566.0)</f>
        <v>3566</v>
      </c>
    </row>
    <row r="795">
      <c r="A795" s="25">
        <f>IFERROR(__xludf.DUMMYFUNCTION("""COMPUTED_VALUE"""),45659.0)</f>
        <v>45659</v>
      </c>
      <c r="B795" s="26" t="str">
        <f>IFERROR(__xludf.DUMMYFUNCTION("""COMPUTED_VALUE"""),"Facebook")</f>
        <v>Facebook</v>
      </c>
      <c r="C795" s="26">
        <f>IFERROR(__xludf.DUMMYFUNCTION("""COMPUTED_VALUE"""),2.0)</f>
        <v>2</v>
      </c>
      <c r="D795" s="26">
        <f>IFERROR(__xludf.DUMMYFUNCTION("""COMPUTED_VALUE"""),68.0)</f>
        <v>68</v>
      </c>
      <c r="E795" s="26">
        <f>IFERROR(__xludf.DUMMYFUNCTION("""COMPUTED_VALUE"""),3418.0)</f>
        <v>3418</v>
      </c>
    </row>
    <row r="796">
      <c r="A796" s="25">
        <f>IFERROR(__xludf.DUMMYFUNCTION("""COMPUTED_VALUE"""),45660.0)</f>
        <v>45660</v>
      </c>
      <c r="B796" s="26" t="str">
        <f>IFERROR(__xludf.DUMMYFUNCTION("""COMPUTED_VALUE"""),"Facebook")</f>
        <v>Facebook</v>
      </c>
      <c r="C796" s="26">
        <f>IFERROR(__xludf.DUMMYFUNCTION("""COMPUTED_VALUE"""),2.0)</f>
        <v>2</v>
      </c>
      <c r="D796" s="26">
        <f>IFERROR(__xludf.DUMMYFUNCTION("""COMPUTED_VALUE"""),22.0)</f>
        <v>22</v>
      </c>
      <c r="E796" s="26">
        <f>IFERROR(__xludf.DUMMYFUNCTION("""COMPUTED_VALUE"""),2921.0)</f>
        <v>2921</v>
      </c>
    </row>
    <row r="797">
      <c r="A797" s="25">
        <f>IFERROR(__xludf.DUMMYFUNCTION("""COMPUTED_VALUE"""),45661.0)</f>
        <v>45661</v>
      </c>
      <c r="B797" s="26" t="str">
        <f>IFERROR(__xludf.DUMMYFUNCTION("""COMPUTED_VALUE"""),"Facebook")</f>
        <v>Facebook</v>
      </c>
      <c r="C797" s="26">
        <f>IFERROR(__xludf.DUMMYFUNCTION("""COMPUTED_VALUE"""),2.0)</f>
        <v>2</v>
      </c>
      <c r="D797" s="26">
        <f>IFERROR(__xludf.DUMMYFUNCTION("""COMPUTED_VALUE"""),26.0)</f>
        <v>26</v>
      </c>
      <c r="E797" s="26">
        <f>IFERROR(__xludf.DUMMYFUNCTION("""COMPUTED_VALUE"""),2768.0)</f>
        <v>2768</v>
      </c>
    </row>
    <row r="798">
      <c r="A798" s="25">
        <f>IFERROR(__xludf.DUMMYFUNCTION("""COMPUTED_VALUE"""),45662.0)</f>
        <v>45662</v>
      </c>
      <c r="B798" s="26" t="str">
        <f>IFERROR(__xludf.DUMMYFUNCTION("""COMPUTED_VALUE"""),"Facebook")</f>
        <v>Facebook</v>
      </c>
      <c r="C798" s="26">
        <f>IFERROR(__xludf.DUMMYFUNCTION("""COMPUTED_VALUE"""),1.0)</f>
        <v>1</v>
      </c>
      <c r="D798" s="26">
        <f>IFERROR(__xludf.DUMMYFUNCTION("""COMPUTED_VALUE"""),11.0)</f>
        <v>11</v>
      </c>
      <c r="E798" s="26">
        <f>IFERROR(__xludf.DUMMYFUNCTION("""COMPUTED_VALUE"""),3103.0)</f>
        <v>3103</v>
      </c>
    </row>
    <row r="799">
      <c r="A799" s="25">
        <f>IFERROR(__xludf.DUMMYFUNCTION("""COMPUTED_VALUE"""),45663.0)</f>
        <v>45663</v>
      </c>
      <c r="B799" s="26" t="str">
        <f>IFERROR(__xludf.DUMMYFUNCTION("""COMPUTED_VALUE"""),"Facebook")</f>
        <v>Facebook</v>
      </c>
      <c r="C799" s="26">
        <f>IFERROR(__xludf.DUMMYFUNCTION("""COMPUTED_VALUE"""),3.0)</f>
        <v>3</v>
      </c>
      <c r="D799" s="26">
        <f>IFERROR(__xludf.DUMMYFUNCTION("""COMPUTED_VALUE"""),70.0)</f>
        <v>70</v>
      </c>
      <c r="E799" s="26">
        <f>IFERROR(__xludf.DUMMYFUNCTION("""COMPUTED_VALUE"""),2674.0)</f>
        <v>2674</v>
      </c>
    </row>
    <row r="800">
      <c r="A800" s="25">
        <f>IFERROR(__xludf.DUMMYFUNCTION("""COMPUTED_VALUE"""),45664.0)</f>
        <v>45664</v>
      </c>
      <c r="B800" s="26" t="str">
        <f>IFERROR(__xludf.DUMMYFUNCTION("""COMPUTED_VALUE"""),"Facebook")</f>
        <v>Facebook</v>
      </c>
      <c r="C800" s="26">
        <f>IFERROR(__xludf.DUMMYFUNCTION("""COMPUTED_VALUE"""),4.0)</f>
        <v>4</v>
      </c>
      <c r="D800" s="26">
        <f>IFERROR(__xludf.DUMMYFUNCTION("""COMPUTED_VALUE"""),22.0)</f>
        <v>22</v>
      </c>
      <c r="E800" s="26">
        <f>IFERROR(__xludf.DUMMYFUNCTION("""COMPUTED_VALUE"""),1420.0)</f>
        <v>1420</v>
      </c>
    </row>
    <row r="801">
      <c r="A801" s="25">
        <f>IFERROR(__xludf.DUMMYFUNCTION("""COMPUTED_VALUE"""),45665.0)</f>
        <v>45665</v>
      </c>
      <c r="B801" s="26" t="str">
        <f>IFERROR(__xludf.DUMMYFUNCTION("""COMPUTED_VALUE"""),"Facebook")</f>
        <v>Facebook</v>
      </c>
      <c r="C801" s="26">
        <f>IFERROR(__xludf.DUMMYFUNCTION("""COMPUTED_VALUE"""),1.0)</f>
        <v>1</v>
      </c>
      <c r="D801" s="26">
        <f>IFERROR(__xludf.DUMMYFUNCTION("""COMPUTED_VALUE"""),8.0)</f>
        <v>8</v>
      </c>
      <c r="E801" s="26">
        <f>IFERROR(__xludf.DUMMYFUNCTION("""COMPUTED_VALUE"""),333.0)</f>
        <v>333</v>
      </c>
    </row>
    <row r="802">
      <c r="A802" s="25">
        <f>IFERROR(__xludf.DUMMYFUNCTION("""COMPUTED_VALUE"""),45666.0)</f>
        <v>45666</v>
      </c>
      <c r="B802" s="26" t="str">
        <f>IFERROR(__xludf.DUMMYFUNCTION("""COMPUTED_VALUE"""),"Facebook")</f>
        <v>Facebook</v>
      </c>
      <c r="C802" s="26">
        <f>IFERROR(__xludf.DUMMYFUNCTION("""COMPUTED_VALUE"""),2.0)</f>
        <v>2</v>
      </c>
      <c r="D802" s="26">
        <f>IFERROR(__xludf.DUMMYFUNCTION("""COMPUTED_VALUE"""),46.0)</f>
        <v>46</v>
      </c>
      <c r="E802" s="26">
        <f>IFERROR(__xludf.DUMMYFUNCTION("""COMPUTED_VALUE"""),379.0)</f>
        <v>379</v>
      </c>
    </row>
    <row r="803">
      <c r="A803" s="25">
        <f>IFERROR(__xludf.DUMMYFUNCTION("""COMPUTED_VALUE"""),45667.0)</f>
        <v>45667</v>
      </c>
      <c r="B803" s="26" t="str">
        <f>IFERROR(__xludf.DUMMYFUNCTION("""COMPUTED_VALUE"""),"Facebook")</f>
        <v>Facebook</v>
      </c>
      <c r="C803" s="26">
        <f>IFERROR(__xludf.DUMMYFUNCTION("""COMPUTED_VALUE"""),2.0)</f>
        <v>2</v>
      </c>
      <c r="D803" s="26">
        <f>IFERROR(__xludf.DUMMYFUNCTION("""COMPUTED_VALUE"""),36.0)</f>
        <v>36</v>
      </c>
      <c r="E803" s="26">
        <f>IFERROR(__xludf.DUMMYFUNCTION("""COMPUTED_VALUE"""),522.0)</f>
        <v>522</v>
      </c>
    </row>
    <row r="804">
      <c r="A804" s="25">
        <f>IFERROR(__xludf.DUMMYFUNCTION("""COMPUTED_VALUE"""),45668.0)</f>
        <v>45668</v>
      </c>
      <c r="B804" s="26" t="str">
        <f>IFERROR(__xludf.DUMMYFUNCTION("""COMPUTED_VALUE"""),"Facebook")</f>
        <v>Facebook</v>
      </c>
      <c r="C804" s="26">
        <f>IFERROR(__xludf.DUMMYFUNCTION("""COMPUTED_VALUE"""),2.0)</f>
        <v>2</v>
      </c>
      <c r="D804" s="26">
        <f>IFERROR(__xludf.DUMMYFUNCTION("""COMPUTED_VALUE"""),12.0)</f>
        <v>12</v>
      </c>
      <c r="E804" s="26">
        <f>IFERROR(__xludf.DUMMYFUNCTION("""COMPUTED_VALUE"""),613.0)</f>
        <v>613</v>
      </c>
    </row>
    <row r="805">
      <c r="A805" s="25">
        <f>IFERROR(__xludf.DUMMYFUNCTION("""COMPUTED_VALUE"""),45669.0)</f>
        <v>45669</v>
      </c>
      <c r="B805" s="26" t="str">
        <f>IFERROR(__xludf.DUMMYFUNCTION("""COMPUTED_VALUE"""),"Facebook")</f>
        <v>Facebook</v>
      </c>
      <c r="C805" s="26">
        <f>IFERROR(__xludf.DUMMYFUNCTION("""COMPUTED_VALUE"""),3.0)</f>
        <v>3</v>
      </c>
      <c r="D805" s="26">
        <f>IFERROR(__xludf.DUMMYFUNCTION("""COMPUTED_VALUE"""),13.0)</f>
        <v>13</v>
      </c>
      <c r="E805" s="26">
        <f>IFERROR(__xludf.DUMMYFUNCTION("""COMPUTED_VALUE"""),377.0)</f>
        <v>377</v>
      </c>
    </row>
    <row r="806">
      <c r="A806" s="25">
        <f>IFERROR(__xludf.DUMMYFUNCTION("""COMPUTED_VALUE"""),45670.0)</f>
        <v>45670</v>
      </c>
      <c r="B806" s="26" t="str">
        <f>IFERROR(__xludf.DUMMYFUNCTION("""COMPUTED_VALUE"""),"Facebook")</f>
        <v>Facebook</v>
      </c>
      <c r="C806" s="26">
        <f>IFERROR(__xludf.DUMMYFUNCTION("""COMPUTED_VALUE"""),1.0)</f>
        <v>1</v>
      </c>
      <c r="D806" s="26">
        <f>IFERROR(__xludf.DUMMYFUNCTION("""COMPUTED_VALUE"""),15.0)</f>
        <v>15</v>
      </c>
      <c r="E806" s="26">
        <f>IFERROR(__xludf.DUMMYFUNCTION("""COMPUTED_VALUE"""),279.0)</f>
        <v>279</v>
      </c>
    </row>
    <row r="807">
      <c r="A807" s="25">
        <f>IFERROR(__xludf.DUMMYFUNCTION("""COMPUTED_VALUE"""),45671.0)</f>
        <v>45671</v>
      </c>
      <c r="B807" s="26" t="str">
        <f>IFERROR(__xludf.DUMMYFUNCTION("""COMPUTED_VALUE"""),"Facebook")</f>
        <v>Facebook</v>
      </c>
      <c r="C807" s="26">
        <f>IFERROR(__xludf.DUMMYFUNCTION("""COMPUTED_VALUE"""),3.0)</f>
        <v>3</v>
      </c>
      <c r="D807" s="26">
        <f>IFERROR(__xludf.DUMMYFUNCTION("""COMPUTED_VALUE"""),18.0)</f>
        <v>18</v>
      </c>
      <c r="E807" s="26">
        <f>IFERROR(__xludf.DUMMYFUNCTION("""COMPUTED_VALUE"""),675.0)</f>
        <v>675</v>
      </c>
    </row>
    <row r="808">
      <c r="A808" s="25">
        <f>IFERROR(__xludf.DUMMYFUNCTION("""COMPUTED_VALUE"""),45672.0)</f>
        <v>45672</v>
      </c>
      <c r="B808" s="26" t="str">
        <f>IFERROR(__xludf.DUMMYFUNCTION("""COMPUTED_VALUE"""),"Facebook")</f>
        <v>Facebook</v>
      </c>
      <c r="C808" s="26">
        <f>IFERROR(__xludf.DUMMYFUNCTION("""COMPUTED_VALUE"""),2.0)</f>
        <v>2</v>
      </c>
      <c r="D808" s="26">
        <f>IFERROR(__xludf.DUMMYFUNCTION("""COMPUTED_VALUE"""),20.0)</f>
        <v>20</v>
      </c>
      <c r="E808" s="26">
        <f>IFERROR(__xludf.DUMMYFUNCTION("""COMPUTED_VALUE"""),335.0)</f>
        <v>335</v>
      </c>
    </row>
    <row r="809">
      <c r="A809" s="25">
        <f>IFERROR(__xludf.DUMMYFUNCTION("""COMPUTED_VALUE"""),45673.0)</f>
        <v>45673</v>
      </c>
      <c r="B809" s="26" t="str">
        <f>IFERROR(__xludf.DUMMYFUNCTION("""COMPUTED_VALUE"""),"Facebook")</f>
        <v>Facebook</v>
      </c>
      <c r="C809" s="26">
        <f>IFERROR(__xludf.DUMMYFUNCTION("""COMPUTED_VALUE"""),1.0)</f>
        <v>1</v>
      </c>
      <c r="D809" s="26">
        <f>IFERROR(__xludf.DUMMYFUNCTION("""COMPUTED_VALUE"""),67.0)</f>
        <v>67</v>
      </c>
      <c r="E809" s="26">
        <f>IFERROR(__xludf.DUMMYFUNCTION("""COMPUTED_VALUE"""),759.0)</f>
        <v>759</v>
      </c>
    </row>
    <row r="810">
      <c r="A810" s="25">
        <f>IFERROR(__xludf.DUMMYFUNCTION("""COMPUTED_VALUE"""),45674.0)</f>
        <v>45674</v>
      </c>
      <c r="B810" s="26" t="str">
        <f>IFERROR(__xludf.DUMMYFUNCTION("""COMPUTED_VALUE"""),"Facebook")</f>
        <v>Facebook</v>
      </c>
      <c r="C810" s="26">
        <f>IFERROR(__xludf.DUMMYFUNCTION("""COMPUTED_VALUE"""),4.0)</f>
        <v>4</v>
      </c>
      <c r="D810" s="26">
        <f>IFERROR(__xludf.DUMMYFUNCTION("""COMPUTED_VALUE"""),34.0)</f>
        <v>34</v>
      </c>
      <c r="E810" s="26">
        <f>IFERROR(__xludf.DUMMYFUNCTION("""COMPUTED_VALUE"""),579.0)</f>
        <v>579</v>
      </c>
    </row>
    <row r="811">
      <c r="A811" s="25">
        <f>IFERROR(__xludf.DUMMYFUNCTION("""COMPUTED_VALUE"""),45675.0)</f>
        <v>45675</v>
      </c>
      <c r="B811" s="26" t="str">
        <f>IFERROR(__xludf.DUMMYFUNCTION("""COMPUTED_VALUE"""),"Facebook")</f>
        <v>Facebook</v>
      </c>
      <c r="C811" s="26">
        <f>IFERROR(__xludf.DUMMYFUNCTION("""COMPUTED_VALUE"""),1.0)</f>
        <v>1</v>
      </c>
      <c r="D811" s="26">
        <f>IFERROR(__xludf.DUMMYFUNCTION("""COMPUTED_VALUE"""),12.0)</f>
        <v>12</v>
      </c>
      <c r="E811" s="26">
        <f>IFERROR(__xludf.DUMMYFUNCTION("""COMPUTED_VALUE"""),407.0)</f>
        <v>407</v>
      </c>
    </row>
    <row r="812">
      <c r="A812" s="25">
        <f>IFERROR(__xludf.DUMMYFUNCTION("""COMPUTED_VALUE"""),45676.0)</f>
        <v>45676</v>
      </c>
      <c r="B812" s="26" t="str">
        <f>IFERROR(__xludf.DUMMYFUNCTION("""COMPUTED_VALUE"""),"Facebook")</f>
        <v>Facebook</v>
      </c>
      <c r="C812" s="26">
        <f>IFERROR(__xludf.DUMMYFUNCTION("""COMPUTED_VALUE"""),1.0)</f>
        <v>1</v>
      </c>
      <c r="D812" s="26">
        <f>IFERROR(__xludf.DUMMYFUNCTION("""COMPUTED_VALUE"""),10.0)</f>
        <v>10</v>
      </c>
      <c r="E812" s="26">
        <f>IFERROR(__xludf.DUMMYFUNCTION("""COMPUTED_VALUE"""),287.0)</f>
        <v>287</v>
      </c>
    </row>
    <row r="813">
      <c r="A813" s="25">
        <f>IFERROR(__xludf.DUMMYFUNCTION("""COMPUTED_VALUE"""),45677.0)</f>
        <v>45677</v>
      </c>
      <c r="B813" s="26" t="str">
        <f>IFERROR(__xludf.DUMMYFUNCTION("""COMPUTED_VALUE"""),"Facebook")</f>
        <v>Facebook</v>
      </c>
      <c r="C813" s="26">
        <f>IFERROR(__xludf.DUMMYFUNCTION("""COMPUTED_VALUE"""),2.0)</f>
        <v>2</v>
      </c>
      <c r="D813" s="26">
        <f>IFERROR(__xludf.DUMMYFUNCTION("""COMPUTED_VALUE"""),9.0)</f>
        <v>9</v>
      </c>
      <c r="E813" s="26">
        <f>IFERROR(__xludf.DUMMYFUNCTION("""COMPUTED_VALUE"""),265.0)</f>
        <v>265</v>
      </c>
    </row>
    <row r="814">
      <c r="A814" s="25">
        <f>IFERROR(__xludf.DUMMYFUNCTION("""COMPUTED_VALUE"""),45678.0)</f>
        <v>45678</v>
      </c>
      <c r="B814" s="26" t="str">
        <f>IFERROR(__xludf.DUMMYFUNCTION("""COMPUTED_VALUE"""),"Facebook")</f>
        <v>Facebook</v>
      </c>
      <c r="C814" s="26">
        <f>IFERROR(__xludf.DUMMYFUNCTION("""COMPUTED_VALUE"""),2.0)</f>
        <v>2</v>
      </c>
      <c r="D814" s="26">
        <f>IFERROR(__xludf.DUMMYFUNCTION("""COMPUTED_VALUE"""),31.0)</f>
        <v>31</v>
      </c>
      <c r="E814" s="26">
        <f>IFERROR(__xludf.DUMMYFUNCTION("""COMPUTED_VALUE"""),1011.0)</f>
        <v>1011</v>
      </c>
    </row>
    <row r="815">
      <c r="A815" s="25">
        <f>IFERROR(__xludf.DUMMYFUNCTION("""COMPUTED_VALUE"""),45679.0)</f>
        <v>45679</v>
      </c>
      <c r="B815" s="26" t="str">
        <f>IFERROR(__xludf.DUMMYFUNCTION("""COMPUTED_VALUE"""),"Facebook")</f>
        <v>Facebook</v>
      </c>
      <c r="C815" s="26">
        <f>IFERROR(__xludf.DUMMYFUNCTION("""COMPUTED_VALUE"""),1.0)</f>
        <v>1</v>
      </c>
      <c r="D815" s="26">
        <f>IFERROR(__xludf.DUMMYFUNCTION("""COMPUTED_VALUE"""),42.0)</f>
        <v>42</v>
      </c>
      <c r="E815" s="26">
        <f>IFERROR(__xludf.DUMMYFUNCTION("""COMPUTED_VALUE"""),884.0)</f>
        <v>884</v>
      </c>
    </row>
    <row r="816">
      <c r="A816" s="25">
        <f>IFERROR(__xludf.DUMMYFUNCTION("""COMPUTED_VALUE"""),45680.0)</f>
        <v>45680</v>
      </c>
      <c r="B816" s="26" t="str">
        <f>IFERROR(__xludf.DUMMYFUNCTION("""COMPUTED_VALUE"""),"Facebook")</f>
        <v>Facebook</v>
      </c>
      <c r="C816" s="26">
        <f>IFERROR(__xludf.DUMMYFUNCTION("""COMPUTED_VALUE"""),1.0)</f>
        <v>1</v>
      </c>
      <c r="D816" s="26">
        <f>IFERROR(__xludf.DUMMYFUNCTION("""COMPUTED_VALUE"""),41.0)</f>
        <v>41</v>
      </c>
      <c r="E816" s="26">
        <f>IFERROR(__xludf.DUMMYFUNCTION("""COMPUTED_VALUE"""),1006.0)</f>
        <v>1006</v>
      </c>
    </row>
    <row r="817">
      <c r="A817" s="25">
        <f>IFERROR(__xludf.DUMMYFUNCTION("""COMPUTED_VALUE"""),45681.0)</f>
        <v>45681</v>
      </c>
      <c r="B817" s="26" t="str">
        <f>IFERROR(__xludf.DUMMYFUNCTION("""COMPUTED_VALUE"""),"Facebook")</f>
        <v>Facebook</v>
      </c>
      <c r="C817" s="26">
        <f>IFERROR(__xludf.DUMMYFUNCTION("""COMPUTED_VALUE"""),1.0)</f>
        <v>1</v>
      </c>
      <c r="D817" s="26">
        <f>IFERROR(__xludf.DUMMYFUNCTION("""COMPUTED_VALUE"""),23.0)</f>
        <v>23</v>
      </c>
      <c r="E817" s="26">
        <f>IFERROR(__xludf.DUMMYFUNCTION("""COMPUTED_VALUE"""),511.0)</f>
        <v>511</v>
      </c>
    </row>
    <row r="818">
      <c r="A818" s="25">
        <f>IFERROR(__xludf.DUMMYFUNCTION("""COMPUTED_VALUE"""),45682.0)</f>
        <v>45682</v>
      </c>
      <c r="B818" s="26" t="str">
        <f>IFERROR(__xludf.DUMMYFUNCTION("""COMPUTED_VALUE"""),"Facebook")</f>
        <v>Facebook</v>
      </c>
      <c r="C818" s="26">
        <f>IFERROR(__xludf.DUMMYFUNCTION("""COMPUTED_VALUE"""),1.0)</f>
        <v>1</v>
      </c>
      <c r="D818" s="26">
        <f>IFERROR(__xludf.DUMMYFUNCTION("""COMPUTED_VALUE"""),21.0)</f>
        <v>21</v>
      </c>
      <c r="E818" s="26">
        <f>IFERROR(__xludf.DUMMYFUNCTION("""COMPUTED_VALUE"""),423.0)</f>
        <v>423</v>
      </c>
    </row>
    <row r="819">
      <c r="A819" s="25">
        <f>IFERROR(__xludf.DUMMYFUNCTION("""COMPUTED_VALUE"""),45683.0)</f>
        <v>45683</v>
      </c>
      <c r="B819" s="26" t="str">
        <f>IFERROR(__xludf.DUMMYFUNCTION("""COMPUTED_VALUE"""),"Facebook")</f>
        <v>Facebook</v>
      </c>
      <c r="C819" s="26">
        <f>IFERROR(__xludf.DUMMYFUNCTION("""COMPUTED_VALUE"""),4.0)</f>
        <v>4</v>
      </c>
      <c r="D819" s="26">
        <f>IFERROR(__xludf.DUMMYFUNCTION("""COMPUTED_VALUE"""),31.0)</f>
        <v>31</v>
      </c>
      <c r="E819" s="26">
        <f>IFERROR(__xludf.DUMMYFUNCTION("""COMPUTED_VALUE"""),480.0)</f>
        <v>480</v>
      </c>
    </row>
    <row r="820">
      <c r="A820" s="25">
        <f>IFERROR(__xludf.DUMMYFUNCTION("""COMPUTED_VALUE"""),45684.0)</f>
        <v>45684</v>
      </c>
      <c r="B820" s="26" t="str">
        <f>IFERROR(__xludf.DUMMYFUNCTION("""COMPUTED_VALUE"""),"Facebook")</f>
        <v>Facebook</v>
      </c>
      <c r="C820" s="26">
        <f>IFERROR(__xludf.DUMMYFUNCTION("""COMPUTED_VALUE"""),2.0)</f>
        <v>2</v>
      </c>
      <c r="D820" s="26">
        <f>IFERROR(__xludf.DUMMYFUNCTION("""COMPUTED_VALUE"""),96.0)</f>
        <v>96</v>
      </c>
      <c r="E820" s="26">
        <f>IFERROR(__xludf.DUMMYFUNCTION("""COMPUTED_VALUE"""),12695.0)</f>
        <v>12695</v>
      </c>
    </row>
    <row r="821">
      <c r="A821" s="25">
        <f>IFERROR(__xludf.DUMMYFUNCTION("""COMPUTED_VALUE"""),45685.0)</f>
        <v>45685</v>
      </c>
      <c r="B821" s="26" t="str">
        <f>IFERROR(__xludf.DUMMYFUNCTION("""COMPUTED_VALUE"""),"Facebook")</f>
        <v>Facebook</v>
      </c>
      <c r="C821" s="26">
        <f>IFERROR(__xludf.DUMMYFUNCTION("""COMPUTED_VALUE"""),1.0)</f>
        <v>1</v>
      </c>
      <c r="D821" s="26">
        <f>IFERROR(__xludf.DUMMYFUNCTION("""COMPUTED_VALUE"""),60.0)</f>
        <v>60</v>
      </c>
      <c r="E821" s="26">
        <f>IFERROR(__xludf.DUMMYFUNCTION("""COMPUTED_VALUE"""),9988.0)</f>
        <v>9988</v>
      </c>
    </row>
    <row r="822">
      <c r="A822" s="25">
        <f>IFERROR(__xludf.DUMMYFUNCTION("""COMPUTED_VALUE"""),45686.0)</f>
        <v>45686</v>
      </c>
      <c r="B822" s="26" t="str">
        <f>IFERROR(__xludf.DUMMYFUNCTION("""COMPUTED_VALUE"""),"Facebook")</f>
        <v>Facebook</v>
      </c>
      <c r="C822" s="26">
        <f>IFERROR(__xludf.DUMMYFUNCTION("""COMPUTED_VALUE"""),0.0)</f>
        <v>0</v>
      </c>
      <c r="D822" s="26">
        <f>IFERROR(__xludf.DUMMYFUNCTION("""COMPUTED_VALUE"""),40.0)</f>
        <v>40</v>
      </c>
      <c r="E822" s="26">
        <f>IFERROR(__xludf.DUMMYFUNCTION("""COMPUTED_VALUE"""),41226.0)</f>
        <v>41226</v>
      </c>
    </row>
    <row r="823">
      <c r="A823" s="25">
        <f>IFERROR(__xludf.DUMMYFUNCTION("""COMPUTED_VALUE"""),45687.0)</f>
        <v>45687</v>
      </c>
      <c r="B823" s="26" t="str">
        <f>IFERROR(__xludf.DUMMYFUNCTION("""COMPUTED_VALUE"""),"Facebook")</f>
        <v>Facebook</v>
      </c>
      <c r="C823" s="26">
        <f>IFERROR(__xludf.DUMMYFUNCTION("""COMPUTED_VALUE"""),3.0)</f>
        <v>3</v>
      </c>
      <c r="D823" s="26">
        <f>IFERROR(__xludf.DUMMYFUNCTION("""COMPUTED_VALUE"""),73.0)</f>
        <v>73</v>
      </c>
      <c r="E823" s="26">
        <f>IFERROR(__xludf.DUMMYFUNCTION("""COMPUTED_VALUE"""),57873.0)</f>
        <v>57873</v>
      </c>
    </row>
    <row r="824">
      <c r="A824" s="25">
        <f>IFERROR(__xludf.DUMMYFUNCTION("""COMPUTED_VALUE"""),45688.0)</f>
        <v>45688</v>
      </c>
      <c r="B824" s="26" t="str">
        <f>IFERROR(__xludf.DUMMYFUNCTION("""COMPUTED_VALUE"""),"Facebook")</f>
        <v>Facebook</v>
      </c>
      <c r="C824" s="26">
        <f>IFERROR(__xludf.DUMMYFUNCTION("""COMPUTED_VALUE"""),3.0)</f>
        <v>3</v>
      </c>
      <c r="D824" s="26">
        <f>IFERROR(__xludf.DUMMYFUNCTION("""COMPUTED_VALUE"""),72.0)</f>
        <v>72</v>
      </c>
      <c r="E824" s="26">
        <f>IFERROR(__xludf.DUMMYFUNCTION("""COMPUTED_VALUE"""),62803.0)</f>
        <v>62803</v>
      </c>
    </row>
    <row r="825">
      <c r="A825" s="25">
        <f>IFERROR(__xludf.DUMMYFUNCTION("""COMPUTED_VALUE"""),45689.0)</f>
        <v>45689</v>
      </c>
      <c r="B825" s="26" t="str">
        <f>IFERROR(__xludf.DUMMYFUNCTION("""COMPUTED_VALUE"""),"Facebook")</f>
        <v>Facebook</v>
      </c>
      <c r="C825" s="26">
        <f>IFERROR(__xludf.DUMMYFUNCTION("""COMPUTED_VALUE"""),0.0)</f>
        <v>0</v>
      </c>
      <c r="D825" s="26">
        <f>IFERROR(__xludf.DUMMYFUNCTION("""COMPUTED_VALUE"""),50.0)</f>
        <v>50</v>
      </c>
      <c r="E825" s="26">
        <f>IFERROR(__xludf.DUMMYFUNCTION("""COMPUTED_VALUE"""),82337.0)</f>
        <v>82337</v>
      </c>
    </row>
    <row r="826">
      <c r="A826" s="25">
        <f>IFERROR(__xludf.DUMMYFUNCTION("""COMPUTED_VALUE"""),45690.0)</f>
        <v>45690</v>
      </c>
      <c r="B826" s="26" t="str">
        <f>IFERROR(__xludf.DUMMYFUNCTION("""COMPUTED_VALUE"""),"Facebook")</f>
        <v>Facebook</v>
      </c>
      <c r="C826" s="26">
        <f>IFERROR(__xludf.DUMMYFUNCTION("""COMPUTED_VALUE"""),3.0)</f>
        <v>3</v>
      </c>
      <c r="D826" s="26">
        <f>IFERROR(__xludf.DUMMYFUNCTION("""COMPUTED_VALUE"""),34.0)</f>
        <v>34</v>
      </c>
      <c r="E826" s="26">
        <f>IFERROR(__xludf.DUMMYFUNCTION("""COMPUTED_VALUE"""),92740.0)</f>
        <v>92740</v>
      </c>
    </row>
    <row r="827">
      <c r="A827" s="25">
        <f>IFERROR(__xludf.DUMMYFUNCTION("""COMPUTED_VALUE"""),45691.0)</f>
        <v>45691</v>
      </c>
      <c r="B827" s="26" t="str">
        <f>IFERROR(__xludf.DUMMYFUNCTION("""COMPUTED_VALUE"""),"Facebook")</f>
        <v>Facebook</v>
      </c>
      <c r="C827" s="26">
        <f>IFERROR(__xludf.DUMMYFUNCTION("""COMPUTED_VALUE"""),0.0)</f>
        <v>0</v>
      </c>
      <c r="D827" s="26">
        <f>IFERROR(__xludf.DUMMYFUNCTION("""COMPUTED_VALUE"""),52.0)</f>
        <v>52</v>
      </c>
      <c r="E827" s="26">
        <f>IFERROR(__xludf.DUMMYFUNCTION("""COMPUTED_VALUE"""),33876.0)</f>
        <v>33876</v>
      </c>
    </row>
    <row r="828">
      <c r="A828" s="25">
        <f>IFERROR(__xludf.DUMMYFUNCTION("""COMPUTED_VALUE"""),45692.0)</f>
        <v>45692</v>
      </c>
      <c r="B828" s="26" t="str">
        <f>IFERROR(__xludf.DUMMYFUNCTION("""COMPUTED_VALUE"""),"Facebook")</f>
        <v>Facebook</v>
      </c>
      <c r="C828" s="26">
        <f>IFERROR(__xludf.DUMMYFUNCTION("""COMPUTED_VALUE"""),3.0)</f>
        <v>3</v>
      </c>
      <c r="D828" s="26">
        <f>IFERROR(__xludf.DUMMYFUNCTION("""COMPUTED_VALUE"""),147.0)</f>
        <v>147</v>
      </c>
      <c r="E828" s="26">
        <f>IFERROR(__xludf.DUMMYFUNCTION("""COMPUTED_VALUE"""),1505.0)</f>
        <v>1505</v>
      </c>
    </row>
    <row r="829">
      <c r="A829" s="25">
        <f>IFERROR(__xludf.DUMMYFUNCTION("""COMPUTED_VALUE"""),45693.0)</f>
        <v>45693</v>
      </c>
      <c r="B829" s="26" t="str">
        <f>IFERROR(__xludf.DUMMYFUNCTION("""COMPUTED_VALUE"""),"Facebook")</f>
        <v>Facebook</v>
      </c>
      <c r="C829" s="26">
        <f>IFERROR(__xludf.DUMMYFUNCTION("""COMPUTED_VALUE"""),2.0)</f>
        <v>2</v>
      </c>
      <c r="D829" s="26">
        <f>IFERROR(__xludf.DUMMYFUNCTION("""COMPUTED_VALUE"""),208.0)</f>
        <v>208</v>
      </c>
      <c r="E829" s="26">
        <f>IFERROR(__xludf.DUMMYFUNCTION("""COMPUTED_VALUE"""),1925.0)</f>
        <v>1925</v>
      </c>
    </row>
    <row r="830">
      <c r="A830" s="25">
        <f>IFERROR(__xludf.DUMMYFUNCTION("""COMPUTED_VALUE"""),45694.0)</f>
        <v>45694</v>
      </c>
      <c r="B830" s="26" t="str">
        <f>IFERROR(__xludf.DUMMYFUNCTION("""COMPUTED_VALUE"""),"Facebook")</f>
        <v>Facebook</v>
      </c>
      <c r="C830" s="26">
        <f>IFERROR(__xludf.DUMMYFUNCTION("""COMPUTED_VALUE"""),6.0)</f>
        <v>6</v>
      </c>
      <c r="D830" s="26">
        <f>IFERROR(__xludf.DUMMYFUNCTION("""COMPUTED_VALUE"""),198.0)</f>
        <v>198</v>
      </c>
      <c r="E830" s="26">
        <f>IFERROR(__xludf.DUMMYFUNCTION("""COMPUTED_VALUE"""),1867.0)</f>
        <v>1867</v>
      </c>
    </row>
    <row r="831">
      <c r="A831" s="25">
        <f>IFERROR(__xludf.DUMMYFUNCTION("""COMPUTED_VALUE"""),45695.0)</f>
        <v>45695</v>
      </c>
      <c r="B831" s="26" t="str">
        <f>IFERROR(__xludf.DUMMYFUNCTION("""COMPUTED_VALUE"""),"Facebook")</f>
        <v>Facebook</v>
      </c>
      <c r="C831" s="26">
        <f>IFERROR(__xludf.DUMMYFUNCTION("""COMPUTED_VALUE"""),2.0)</f>
        <v>2</v>
      </c>
      <c r="D831" s="26">
        <f>IFERROR(__xludf.DUMMYFUNCTION("""COMPUTED_VALUE"""),98.0)</f>
        <v>98</v>
      </c>
      <c r="E831" s="26">
        <f>IFERROR(__xludf.DUMMYFUNCTION("""COMPUTED_VALUE"""),1184.0)</f>
        <v>1184</v>
      </c>
    </row>
    <row r="832">
      <c r="A832" s="25">
        <f>IFERROR(__xludf.DUMMYFUNCTION("""COMPUTED_VALUE"""),45696.0)</f>
        <v>45696</v>
      </c>
      <c r="B832" s="26" t="str">
        <f>IFERROR(__xludf.DUMMYFUNCTION("""COMPUTED_VALUE"""),"Facebook")</f>
        <v>Facebook</v>
      </c>
      <c r="C832" s="26">
        <f>IFERROR(__xludf.DUMMYFUNCTION("""COMPUTED_VALUE"""),5.0)</f>
        <v>5</v>
      </c>
      <c r="D832" s="26">
        <f>IFERROR(__xludf.DUMMYFUNCTION("""COMPUTED_VALUE"""),103.0)</f>
        <v>103</v>
      </c>
      <c r="E832" s="26">
        <f>IFERROR(__xludf.DUMMYFUNCTION("""COMPUTED_VALUE"""),1301.0)</f>
        <v>1301</v>
      </c>
    </row>
    <row r="833">
      <c r="A833" s="25">
        <f>IFERROR(__xludf.DUMMYFUNCTION("""COMPUTED_VALUE"""),45697.0)</f>
        <v>45697</v>
      </c>
      <c r="B833" s="26" t="str">
        <f>IFERROR(__xludf.DUMMYFUNCTION("""COMPUTED_VALUE"""),"Facebook")</f>
        <v>Facebook</v>
      </c>
      <c r="C833" s="26">
        <f>IFERROR(__xludf.DUMMYFUNCTION("""COMPUTED_VALUE"""),2.0)</f>
        <v>2</v>
      </c>
      <c r="D833" s="26">
        <f>IFERROR(__xludf.DUMMYFUNCTION("""COMPUTED_VALUE"""),47.0)</f>
        <v>47</v>
      </c>
      <c r="E833" s="26">
        <f>IFERROR(__xludf.DUMMYFUNCTION("""COMPUTED_VALUE"""),1074.0)</f>
        <v>1074</v>
      </c>
    </row>
    <row r="834">
      <c r="A834" s="25">
        <f>IFERROR(__xludf.DUMMYFUNCTION("""COMPUTED_VALUE"""),45698.0)</f>
        <v>45698</v>
      </c>
      <c r="B834" s="26" t="str">
        <f>IFERROR(__xludf.DUMMYFUNCTION("""COMPUTED_VALUE"""),"Facebook")</f>
        <v>Facebook</v>
      </c>
      <c r="C834" s="26">
        <f>IFERROR(__xludf.DUMMYFUNCTION("""COMPUTED_VALUE"""),4.0)</f>
        <v>4</v>
      </c>
      <c r="D834" s="26">
        <f>IFERROR(__xludf.DUMMYFUNCTION("""COMPUTED_VALUE"""),60.0)</f>
        <v>60</v>
      </c>
      <c r="E834" s="26">
        <f>IFERROR(__xludf.DUMMYFUNCTION("""COMPUTED_VALUE"""),12859.0)</f>
        <v>12859</v>
      </c>
    </row>
    <row r="835">
      <c r="A835" s="25">
        <f>IFERROR(__xludf.DUMMYFUNCTION("""COMPUTED_VALUE"""),45699.0)</f>
        <v>45699</v>
      </c>
      <c r="B835" s="26" t="str">
        <f>IFERROR(__xludf.DUMMYFUNCTION("""COMPUTED_VALUE"""),"Facebook")</f>
        <v>Facebook</v>
      </c>
      <c r="C835" s="26">
        <f>IFERROR(__xludf.DUMMYFUNCTION("""COMPUTED_VALUE"""),2.0)</f>
        <v>2</v>
      </c>
      <c r="D835" s="26">
        <f>IFERROR(__xludf.DUMMYFUNCTION("""COMPUTED_VALUE"""),72.0)</f>
        <v>72</v>
      </c>
      <c r="E835" s="26">
        <f>IFERROR(__xludf.DUMMYFUNCTION("""COMPUTED_VALUE"""),14272.0)</f>
        <v>14272</v>
      </c>
    </row>
    <row r="836">
      <c r="A836" s="25">
        <f>IFERROR(__xludf.DUMMYFUNCTION("""COMPUTED_VALUE"""),45700.0)</f>
        <v>45700</v>
      </c>
      <c r="B836" s="26" t="str">
        <f>IFERROR(__xludf.DUMMYFUNCTION("""COMPUTED_VALUE"""),"Facebook")</f>
        <v>Facebook</v>
      </c>
      <c r="C836" s="26">
        <f>IFERROR(__xludf.DUMMYFUNCTION("""COMPUTED_VALUE"""),3.0)</f>
        <v>3</v>
      </c>
      <c r="D836" s="26">
        <f>IFERROR(__xludf.DUMMYFUNCTION("""COMPUTED_VALUE"""),50.0)</f>
        <v>50</v>
      </c>
      <c r="E836" s="26">
        <f>IFERROR(__xludf.DUMMYFUNCTION("""COMPUTED_VALUE"""),14985.0)</f>
        <v>14985</v>
      </c>
    </row>
    <row r="837">
      <c r="A837" s="25">
        <f>IFERROR(__xludf.DUMMYFUNCTION("""COMPUTED_VALUE"""),45701.0)</f>
        <v>45701</v>
      </c>
      <c r="B837" s="26" t="str">
        <f>IFERROR(__xludf.DUMMYFUNCTION("""COMPUTED_VALUE"""),"Facebook")</f>
        <v>Facebook</v>
      </c>
      <c r="C837" s="26">
        <f>IFERROR(__xludf.DUMMYFUNCTION("""COMPUTED_VALUE"""),3.0)</f>
        <v>3</v>
      </c>
      <c r="D837" s="26">
        <f>IFERROR(__xludf.DUMMYFUNCTION("""COMPUTED_VALUE"""),75.0)</f>
        <v>75</v>
      </c>
      <c r="E837" s="26">
        <f>IFERROR(__xludf.DUMMYFUNCTION("""COMPUTED_VALUE"""),17703.0)</f>
        <v>17703</v>
      </c>
    </row>
    <row r="838">
      <c r="A838" s="25">
        <f>IFERROR(__xludf.DUMMYFUNCTION("""COMPUTED_VALUE"""),45702.0)</f>
        <v>45702</v>
      </c>
      <c r="B838" s="26" t="str">
        <f>IFERROR(__xludf.DUMMYFUNCTION("""COMPUTED_VALUE"""),"Facebook")</f>
        <v>Facebook</v>
      </c>
      <c r="C838" s="26">
        <f>IFERROR(__xludf.DUMMYFUNCTION("""COMPUTED_VALUE"""),7.0)</f>
        <v>7</v>
      </c>
      <c r="D838" s="26">
        <f>IFERROR(__xludf.DUMMYFUNCTION("""COMPUTED_VALUE"""),51.0)</f>
        <v>51</v>
      </c>
      <c r="E838" s="26">
        <f>IFERROR(__xludf.DUMMYFUNCTION("""COMPUTED_VALUE"""),16594.0)</f>
        <v>16594</v>
      </c>
    </row>
    <row r="839">
      <c r="A839" s="25">
        <f>IFERROR(__xludf.DUMMYFUNCTION("""COMPUTED_VALUE"""),45703.0)</f>
        <v>45703</v>
      </c>
      <c r="B839" s="26" t="str">
        <f>IFERROR(__xludf.DUMMYFUNCTION("""COMPUTED_VALUE"""),"Facebook")</f>
        <v>Facebook</v>
      </c>
      <c r="C839" s="26">
        <f>IFERROR(__xludf.DUMMYFUNCTION("""COMPUTED_VALUE"""),10.0)</f>
        <v>10</v>
      </c>
      <c r="D839" s="26">
        <f>IFERROR(__xludf.DUMMYFUNCTION("""COMPUTED_VALUE"""),42.0)</f>
        <v>42</v>
      </c>
      <c r="E839" s="26">
        <f>IFERROR(__xludf.DUMMYFUNCTION("""COMPUTED_VALUE"""),17895.0)</f>
        <v>17895</v>
      </c>
    </row>
    <row r="840">
      <c r="A840" s="25">
        <f>IFERROR(__xludf.DUMMYFUNCTION("""COMPUTED_VALUE"""),45704.0)</f>
        <v>45704</v>
      </c>
      <c r="B840" s="26" t="str">
        <f>IFERROR(__xludf.DUMMYFUNCTION("""COMPUTED_VALUE"""),"Facebook")</f>
        <v>Facebook</v>
      </c>
      <c r="C840" s="26">
        <f>IFERROR(__xludf.DUMMYFUNCTION("""COMPUTED_VALUE"""),1.0)</f>
        <v>1</v>
      </c>
      <c r="D840" s="26">
        <f>IFERROR(__xludf.DUMMYFUNCTION("""COMPUTED_VALUE"""),85.0)</f>
        <v>85</v>
      </c>
      <c r="E840" s="26">
        <f>IFERROR(__xludf.DUMMYFUNCTION("""COMPUTED_VALUE"""),25409.0)</f>
        <v>25409</v>
      </c>
    </row>
    <row r="841">
      <c r="A841" s="25">
        <f>IFERROR(__xludf.DUMMYFUNCTION("""COMPUTED_VALUE"""),45705.0)</f>
        <v>45705</v>
      </c>
      <c r="B841" s="26" t="str">
        <f>IFERROR(__xludf.DUMMYFUNCTION("""COMPUTED_VALUE"""),"Facebook")</f>
        <v>Facebook</v>
      </c>
      <c r="C841" s="26">
        <f>IFERROR(__xludf.DUMMYFUNCTION("""COMPUTED_VALUE"""),4.0)</f>
        <v>4</v>
      </c>
      <c r="D841" s="26">
        <f>IFERROR(__xludf.DUMMYFUNCTION("""COMPUTED_VALUE"""),42.0)</f>
        <v>42</v>
      </c>
      <c r="E841" s="26">
        <f>IFERROR(__xludf.DUMMYFUNCTION("""COMPUTED_VALUE"""),29039.0)</f>
        <v>29039</v>
      </c>
    </row>
    <row r="842">
      <c r="A842" s="25">
        <f>IFERROR(__xludf.DUMMYFUNCTION("""COMPUTED_VALUE"""),45706.0)</f>
        <v>45706</v>
      </c>
      <c r="B842" s="26" t="str">
        <f>IFERROR(__xludf.DUMMYFUNCTION("""COMPUTED_VALUE"""),"Facebook")</f>
        <v>Facebook</v>
      </c>
      <c r="C842" s="26">
        <f>IFERROR(__xludf.DUMMYFUNCTION("""COMPUTED_VALUE"""),3.0)</f>
        <v>3</v>
      </c>
      <c r="D842" s="26">
        <f>IFERROR(__xludf.DUMMYFUNCTION("""COMPUTED_VALUE"""),34.0)</f>
        <v>34</v>
      </c>
      <c r="E842" s="26">
        <f>IFERROR(__xludf.DUMMYFUNCTION("""COMPUTED_VALUE"""),26411.0)</f>
        <v>26411</v>
      </c>
    </row>
    <row r="843">
      <c r="A843" s="25">
        <f>IFERROR(__xludf.DUMMYFUNCTION("""COMPUTED_VALUE"""),45707.0)</f>
        <v>45707</v>
      </c>
      <c r="B843" s="26" t="str">
        <f>IFERROR(__xludf.DUMMYFUNCTION("""COMPUTED_VALUE"""),"Facebook")</f>
        <v>Facebook</v>
      </c>
      <c r="C843" s="26">
        <f>IFERROR(__xludf.DUMMYFUNCTION("""COMPUTED_VALUE"""),5.0)</f>
        <v>5</v>
      </c>
      <c r="D843" s="26">
        <f>IFERROR(__xludf.DUMMYFUNCTION("""COMPUTED_VALUE"""),63.0)</f>
        <v>63</v>
      </c>
      <c r="E843" s="26">
        <f>IFERROR(__xludf.DUMMYFUNCTION("""COMPUTED_VALUE"""),25605.0)</f>
        <v>25605</v>
      </c>
    </row>
    <row r="844">
      <c r="A844" s="25">
        <f>IFERROR(__xludf.DUMMYFUNCTION("""COMPUTED_VALUE"""),45708.0)</f>
        <v>45708</v>
      </c>
      <c r="B844" s="26" t="str">
        <f>IFERROR(__xludf.DUMMYFUNCTION("""COMPUTED_VALUE"""),"Facebook")</f>
        <v>Facebook</v>
      </c>
      <c r="C844" s="26">
        <f>IFERROR(__xludf.DUMMYFUNCTION("""COMPUTED_VALUE"""),1.0)</f>
        <v>1</v>
      </c>
      <c r="D844" s="26">
        <f>IFERROR(__xludf.DUMMYFUNCTION("""COMPUTED_VALUE"""),47.0)</f>
        <v>47</v>
      </c>
      <c r="E844" s="26">
        <f>IFERROR(__xludf.DUMMYFUNCTION("""COMPUTED_VALUE"""),26041.0)</f>
        <v>26041</v>
      </c>
    </row>
    <row r="845">
      <c r="A845" s="25">
        <f>IFERROR(__xludf.DUMMYFUNCTION("""COMPUTED_VALUE"""),45709.0)</f>
        <v>45709</v>
      </c>
      <c r="B845" s="26" t="str">
        <f>IFERROR(__xludf.DUMMYFUNCTION("""COMPUTED_VALUE"""),"Facebook")</f>
        <v>Facebook</v>
      </c>
      <c r="C845" s="26">
        <f>IFERROR(__xludf.DUMMYFUNCTION("""COMPUTED_VALUE"""),1.0)</f>
        <v>1</v>
      </c>
      <c r="D845" s="26">
        <f>IFERROR(__xludf.DUMMYFUNCTION("""COMPUTED_VALUE"""),38.0)</f>
        <v>38</v>
      </c>
      <c r="E845" s="26">
        <f>IFERROR(__xludf.DUMMYFUNCTION("""COMPUTED_VALUE"""),28366.0)</f>
        <v>28366</v>
      </c>
    </row>
    <row r="846">
      <c r="A846" s="25">
        <f>IFERROR(__xludf.DUMMYFUNCTION("""COMPUTED_VALUE"""),45710.0)</f>
        <v>45710</v>
      </c>
      <c r="B846" s="26" t="str">
        <f>IFERROR(__xludf.DUMMYFUNCTION("""COMPUTED_VALUE"""),"Facebook")</f>
        <v>Facebook</v>
      </c>
      <c r="C846" s="26">
        <f>IFERROR(__xludf.DUMMYFUNCTION("""COMPUTED_VALUE"""),2.0)</f>
        <v>2</v>
      </c>
      <c r="D846" s="26">
        <f>IFERROR(__xludf.DUMMYFUNCTION("""COMPUTED_VALUE"""),34.0)</f>
        <v>34</v>
      </c>
      <c r="E846" s="26">
        <f>IFERROR(__xludf.DUMMYFUNCTION("""COMPUTED_VALUE"""),27041.0)</f>
        <v>27041</v>
      </c>
    </row>
    <row r="847">
      <c r="A847" s="25">
        <f>IFERROR(__xludf.DUMMYFUNCTION("""COMPUTED_VALUE"""),45711.0)</f>
        <v>45711</v>
      </c>
      <c r="B847" s="26" t="str">
        <f>IFERROR(__xludf.DUMMYFUNCTION("""COMPUTED_VALUE"""),"Facebook")</f>
        <v>Facebook</v>
      </c>
      <c r="C847" s="26">
        <f>IFERROR(__xludf.DUMMYFUNCTION("""COMPUTED_VALUE"""),2.0)</f>
        <v>2</v>
      </c>
      <c r="D847" s="26">
        <f>IFERROR(__xludf.DUMMYFUNCTION("""COMPUTED_VALUE"""),19.0)</f>
        <v>19</v>
      </c>
      <c r="E847" s="26">
        <f>IFERROR(__xludf.DUMMYFUNCTION("""COMPUTED_VALUE"""),28732.0)</f>
        <v>28732</v>
      </c>
    </row>
    <row r="848">
      <c r="A848" s="25">
        <f>IFERROR(__xludf.DUMMYFUNCTION("""COMPUTED_VALUE"""),45712.0)</f>
        <v>45712</v>
      </c>
      <c r="B848" s="26" t="str">
        <f>IFERROR(__xludf.DUMMYFUNCTION("""COMPUTED_VALUE"""),"Facebook")</f>
        <v>Facebook</v>
      </c>
      <c r="C848" s="26">
        <f>IFERROR(__xludf.DUMMYFUNCTION("""COMPUTED_VALUE"""),4.0)</f>
        <v>4</v>
      </c>
      <c r="D848" s="26">
        <f>IFERROR(__xludf.DUMMYFUNCTION("""COMPUTED_VALUE"""),121.0)</f>
        <v>121</v>
      </c>
      <c r="E848" s="26">
        <f>IFERROR(__xludf.DUMMYFUNCTION("""COMPUTED_VALUE"""),26989.0)</f>
        <v>26989</v>
      </c>
    </row>
    <row r="849">
      <c r="A849" s="25">
        <f>IFERROR(__xludf.DUMMYFUNCTION("""COMPUTED_VALUE"""),45713.0)</f>
        <v>45713</v>
      </c>
      <c r="B849" s="26" t="str">
        <f>IFERROR(__xludf.DUMMYFUNCTION("""COMPUTED_VALUE"""),"Facebook")</f>
        <v>Facebook</v>
      </c>
      <c r="C849" s="26">
        <f>IFERROR(__xludf.DUMMYFUNCTION("""COMPUTED_VALUE"""),5.0)</f>
        <v>5</v>
      </c>
      <c r="D849" s="26">
        <f>IFERROR(__xludf.DUMMYFUNCTION("""COMPUTED_VALUE"""),79.0)</f>
        <v>79</v>
      </c>
      <c r="E849" s="26">
        <f>IFERROR(__xludf.DUMMYFUNCTION("""COMPUTED_VALUE"""),27975.0)</f>
        <v>27975</v>
      </c>
    </row>
    <row r="850">
      <c r="A850" s="25">
        <f>IFERROR(__xludf.DUMMYFUNCTION("""COMPUTED_VALUE"""),45714.0)</f>
        <v>45714</v>
      </c>
      <c r="B850" s="26" t="str">
        <f>IFERROR(__xludf.DUMMYFUNCTION("""COMPUTED_VALUE"""),"Facebook")</f>
        <v>Facebook</v>
      </c>
      <c r="C850" s="26">
        <f>IFERROR(__xludf.DUMMYFUNCTION("""COMPUTED_VALUE"""),7.0)</f>
        <v>7</v>
      </c>
      <c r="D850" s="26">
        <f>IFERROR(__xludf.DUMMYFUNCTION("""COMPUTED_VALUE"""),78.0)</f>
        <v>78</v>
      </c>
      <c r="E850" s="26">
        <f>IFERROR(__xludf.DUMMYFUNCTION("""COMPUTED_VALUE"""),23156.0)</f>
        <v>23156</v>
      </c>
    </row>
    <row r="851">
      <c r="A851" s="25">
        <f>IFERROR(__xludf.DUMMYFUNCTION("""COMPUTED_VALUE"""),45715.0)</f>
        <v>45715</v>
      </c>
      <c r="B851" s="26" t="str">
        <f>IFERROR(__xludf.DUMMYFUNCTION("""COMPUTED_VALUE"""),"Facebook")</f>
        <v>Facebook</v>
      </c>
      <c r="C851" s="26">
        <f>IFERROR(__xludf.DUMMYFUNCTION("""COMPUTED_VALUE"""),4.0)</f>
        <v>4</v>
      </c>
      <c r="D851" s="26">
        <f>IFERROR(__xludf.DUMMYFUNCTION("""COMPUTED_VALUE"""),45.0)</f>
        <v>45</v>
      </c>
      <c r="E851" s="26">
        <f>IFERROR(__xludf.DUMMYFUNCTION("""COMPUTED_VALUE"""),22952.0)</f>
        <v>22952</v>
      </c>
    </row>
    <row r="852">
      <c r="A852" s="25">
        <f>IFERROR(__xludf.DUMMYFUNCTION("""COMPUTED_VALUE"""),45716.0)</f>
        <v>45716</v>
      </c>
      <c r="B852" s="26" t="str">
        <f>IFERROR(__xludf.DUMMYFUNCTION("""COMPUTED_VALUE"""),"Facebook")</f>
        <v>Facebook</v>
      </c>
      <c r="C852" s="26">
        <f>IFERROR(__xludf.DUMMYFUNCTION("""COMPUTED_VALUE"""),5.0)</f>
        <v>5</v>
      </c>
      <c r="D852" s="26">
        <f>IFERROR(__xludf.DUMMYFUNCTION("""COMPUTED_VALUE"""),79.0)</f>
        <v>79</v>
      </c>
      <c r="E852" s="26">
        <f>IFERROR(__xludf.DUMMYFUNCTION("""COMPUTED_VALUE"""),22866.0)</f>
        <v>22866</v>
      </c>
    </row>
    <row r="853">
      <c r="A853" s="25">
        <f>IFERROR(__xludf.DUMMYFUNCTION("""COMPUTED_VALUE"""),45717.0)</f>
        <v>45717</v>
      </c>
      <c r="B853" s="26" t="str">
        <f>IFERROR(__xludf.DUMMYFUNCTION("""COMPUTED_VALUE"""),"Facebook")</f>
        <v>Facebook</v>
      </c>
      <c r="C853" s="26">
        <f>IFERROR(__xludf.DUMMYFUNCTION("""COMPUTED_VALUE"""),4.0)</f>
        <v>4</v>
      </c>
      <c r="D853" s="26">
        <f>IFERROR(__xludf.DUMMYFUNCTION("""COMPUTED_VALUE"""),120.0)</f>
        <v>120</v>
      </c>
      <c r="E853" s="26">
        <f>IFERROR(__xludf.DUMMYFUNCTION("""COMPUTED_VALUE"""),2363.0)</f>
        <v>2363</v>
      </c>
    </row>
    <row r="854">
      <c r="A854" s="25">
        <f>IFERROR(__xludf.DUMMYFUNCTION("""COMPUTED_VALUE"""),45718.0)</f>
        <v>45718</v>
      </c>
      <c r="B854" s="26" t="str">
        <f>IFERROR(__xludf.DUMMYFUNCTION("""COMPUTED_VALUE"""),"Facebook")</f>
        <v>Facebook</v>
      </c>
      <c r="C854" s="26">
        <f>IFERROR(__xludf.DUMMYFUNCTION("""COMPUTED_VALUE"""),2.0)</f>
        <v>2</v>
      </c>
      <c r="D854" s="26">
        <f>IFERROR(__xludf.DUMMYFUNCTION("""COMPUTED_VALUE"""),96.0)</f>
        <v>96</v>
      </c>
      <c r="E854" s="26">
        <f>IFERROR(__xludf.DUMMYFUNCTION("""COMPUTED_VALUE"""),1995.0)</f>
        <v>1995</v>
      </c>
    </row>
    <row r="855">
      <c r="A855" s="25">
        <f>IFERROR(__xludf.DUMMYFUNCTION("""COMPUTED_VALUE"""),45719.0)</f>
        <v>45719</v>
      </c>
      <c r="B855" s="26" t="str">
        <f>IFERROR(__xludf.DUMMYFUNCTION("""COMPUTED_VALUE"""),"Facebook")</f>
        <v>Facebook</v>
      </c>
      <c r="C855" s="26">
        <f>IFERROR(__xludf.DUMMYFUNCTION("""COMPUTED_VALUE"""),2.0)</f>
        <v>2</v>
      </c>
      <c r="D855" s="26">
        <f>IFERROR(__xludf.DUMMYFUNCTION("""COMPUTED_VALUE"""),112.0)</f>
        <v>112</v>
      </c>
      <c r="E855" s="26">
        <f>IFERROR(__xludf.DUMMYFUNCTION("""COMPUTED_VALUE"""),1912.0)</f>
        <v>1912</v>
      </c>
    </row>
    <row r="856">
      <c r="A856" s="25">
        <f>IFERROR(__xludf.DUMMYFUNCTION("""COMPUTED_VALUE"""),45720.0)</f>
        <v>45720</v>
      </c>
      <c r="B856" s="26" t="str">
        <f>IFERROR(__xludf.DUMMYFUNCTION("""COMPUTED_VALUE"""),"Facebook")</f>
        <v>Facebook</v>
      </c>
      <c r="C856" s="26">
        <f>IFERROR(__xludf.DUMMYFUNCTION("""COMPUTED_VALUE"""),2.0)</f>
        <v>2</v>
      </c>
      <c r="D856" s="26">
        <f>IFERROR(__xludf.DUMMYFUNCTION("""COMPUTED_VALUE"""),110.0)</f>
        <v>110</v>
      </c>
      <c r="E856" s="26">
        <f>IFERROR(__xludf.DUMMYFUNCTION("""COMPUTED_VALUE"""),1756.0)</f>
        <v>1756</v>
      </c>
    </row>
    <row r="857">
      <c r="A857" s="25">
        <f>IFERROR(__xludf.DUMMYFUNCTION("""COMPUTED_VALUE"""),45721.0)</f>
        <v>45721</v>
      </c>
      <c r="B857" s="26" t="str">
        <f>IFERROR(__xludf.DUMMYFUNCTION("""COMPUTED_VALUE"""),"Facebook")</f>
        <v>Facebook</v>
      </c>
      <c r="C857" s="26">
        <f>IFERROR(__xludf.DUMMYFUNCTION("""COMPUTED_VALUE"""),5.0)</f>
        <v>5</v>
      </c>
      <c r="D857" s="26">
        <f>IFERROR(__xludf.DUMMYFUNCTION("""COMPUTED_VALUE"""),52.0)</f>
        <v>52</v>
      </c>
      <c r="E857" s="26">
        <f>IFERROR(__xludf.DUMMYFUNCTION("""COMPUTED_VALUE"""),1184.0)</f>
        <v>1184</v>
      </c>
    </row>
    <row r="858">
      <c r="A858" s="25">
        <f>IFERROR(__xludf.DUMMYFUNCTION("""COMPUTED_VALUE"""),45722.0)</f>
        <v>45722</v>
      </c>
      <c r="B858" s="26" t="str">
        <f>IFERROR(__xludf.DUMMYFUNCTION("""COMPUTED_VALUE"""),"Facebook")</f>
        <v>Facebook</v>
      </c>
      <c r="C858" s="26">
        <f>IFERROR(__xludf.DUMMYFUNCTION("""COMPUTED_VALUE"""),6.0)</f>
        <v>6</v>
      </c>
      <c r="D858" s="26">
        <f>IFERROR(__xludf.DUMMYFUNCTION("""COMPUTED_VALUE"""),111.0)</f>
        <v>111</v>
      </c>
      <c r="E858" s="26">
        <f>IFERROR(__xludf.DUMMYFUNCTION("""COMPUTED_VALUE"""),4061.0)</f>
        <v>4061</v>
      </c>
    </row>
    <row r="859">
      <c r="A859" s="25">
        <f>IFERROR(__xludf.DUMMYFUNCTION("""COMPUTED_VALUE"""),45723.0)</f>
        <v>45723</v>
      </c>
      <c r="B859" s="26" t="str">
        <f>IFERROR(__xludf.DUMMYFUNCTION("""COMPUTED_VALUE"""),"Facebook")</f>
        <v>Facebook</v>
      </c>
      <c r="C859" s="26">
        <f>IFERROR(__xludf.DUMMYFUNCTION("""COMPUTED_VALUE"""),5.0)</f>
        <v>5</v>
      </c>
      <c r="D859" s="26">
        <f>IFERROR(__xludf.DUMMYFUNCTION("""COMPUTED_VALUE"""),71.0)</f>
        <v>71</v>
      </c>
      <c r="E859" s="26">
        <f>IFERROR(__xludf.DUMMYFUNCTION("""COMPUTED_VALUE"""),8924.0)</f>
        <v>8924</v>
      </c>
    </row>
    <row r="860">
      <c r="A860" s="25">
        <f>IFERROR(__xludf.DUMMYFUNCTION("""COMPUTED_VALUE"""),45724.0)</f>
        <v>45724</v>
      </c>
      <c r="B860" s="26" t="str">
        <f>IFERROR(__xludf.DUMMYFUNCTION("""COMPUTED_VALUE"""),"Facebook")</f>
        <v>Facebook</v>
      </c>
      <c r="C860" s="26">
        <f>IFERROR(__xludf.DUMMYFUNCTION("""COMPUTED_VALUE"""),3.0)</f>
        <v>3</v>
      </c>
      <c r="D860" s="26">
        <f>IFERROR(__xludf.DUMMYFUNCTION("""COMPUTED_VALUE"""),46.0)</f>
        <v>46</v>
      </c>
      <c r="E860" s="26">
        <f>IFERROR(__xludf.DUMMYFUNCTION("""COMPUTED_VALUE"""),5655.0)</f>
        <v>5655</v>
      </c>
    </row>
    <row r="861">
      <c r="A861" s="25">
        <f>IFERROR(__xludf.DUMMYFUNCTION("""COMPUTED_VALUE"""),45725.0)</f>
        <v>45725</v>
      </c>
      <c r="B861" s="26" t="str">
        <f>IFERROR(__xludf.DUMMYFUNCTION("""COMPUTED_VALUE"""),"Facebook")</f>
        <v>Facebook</v>
      </c>
      <c r="C861" s="26">
        <f>IFERROR(__xludf.DUMMYFUNCTION("""COMPUTED_VALUE"""),4.0)</f>
        <v>4</v>
      </c>
      <c r="D861" s="26">
        <f>IFERROR(__xludf.DUMMYFUNCTION("""COMPUTED_VALUE"""),16.0)</f>
        <v>16</v>
      </c>
      <c r="E861" s="26">
        <f>IFERROR(__xludf.DUMMYFUNCTION("""COMPUTED_VALUE"""),5157.0)</f>
        <v>5157</v>
      </c>
    </row>
    <row r="862">
      <c r="A862" s="25">
        <f>IFERROR(__xludf.DUMMYFUNCTION("""COMPUTED_VALUE"""),45726.0)</f>
        <v>45726</v>
      </c>
      <c r="B862" s="26" t="str">
        <f>IFERROR(__xludf.DUMMYFUNCTION("""COMPUTED_VALUE"""),"Facebook")</f>
        <v>Facebook</v>
      </c>
      <c r="C862" s="26">
        <f>IFERROR(__xludf.DUMMYFUNCTION("""COMPUTED_VALUE"""),3.0)</f>
        <v>3</v>
      </c>
      <c r="D862" s="26">
        <f>IFERROR(__xludf.DUMMYFUNCTION("""COMPUTED_VALUE"""),125.0)</f>
        <v>125</v>
      </c>
      <c r="E862" s="26">
        <f>IFERROR(__xludf.DUMMYFUNCTION("""COMPUTED_VALUE"""),6508.0)</f>
        <v>6508</v>
      </c>
    </row>
    <row r="863">
      <c r="A863" s="25">
        <f>IFERROR(__xludf.DUMMYFUNCTION("""COMPUTED_VALUE"""),45727.0)</f>
        <v>45727</v>
      </c>
      <c r="B863" s="26" t="str">
        <f>IFERROR(__xludf.DUMMYFUNCTION("""COMPUTED_VALUE"""),"Facebook")</f>
        <v>Facebook</v>
      </c>
      <c r="C863" s="26">
        <f>IFERROR(__xludf.DUMMYFUNCTION("""COMPUTED_VALUE"""),4.0)</f>
        <v>4</v>
      </c>
      <c r="D863" s="26">
        <f>IFERROR(__xludf.DUMMYFUNCTION("""COMPUTED_VALUE"""),50.0)</f>
        <v>50</v>
      </c>
      <c r="E863" s="26">
        <f>IFERROR(__xludf.DUMMYFUNCTION("""COMPUTED_VALUE"""),5145.0)</f>
        <v>5145</v>
      </c>
    </row>
    <row r="864">
      <c r="A864" s="25">
        <f>IFERROR(__xludf.DUMMYFUNCTION("""COMPUTED_VALUE"""),45728.0)</f>
        <v>45728</v>
      </c>
      <c r="B864" s="26" t="str">
        <f>IFERROR(__xludf.DUMMYFUNCTION("""COMPUTED_VALUE"""),"Facebook")</f>
        <v>Facebook</v>
      </c>
      <c r="C864" s="26">
        <f>IFERROR(__xludf.DUMMYFUNCTION("""COMPUTED_VALUE"""),1.0)</f>
        <v>1</v>
      </c>
      <c r="D864" s="26">
        <f>IFERROR(__xludf.DUMMYFUNCTION("""COMPUTED_VALUE"""),40.0)</f>
        <v>40</v>
      </c>
      <c r="E864" s="26">
        <f>IFERROR(__xludf.DUMMYFUNCTION("""COMPUTED_VALUE"""),4283.0)</f>
        <v>4283</v>
      </c>
    </row>
    <row r="865">
      <c r="A865" s="25">
        <f>IFERROR(__xludf.DUMMYFUNCTION("""COMPUTED_VALUE"""),45729.0)</f>
        <v>45729</v>
      </c>
      <c r="B865" s="26" t="str">
        <f>IFERROR(__xludf.DUMMYFUNCTION("""COMPUTED_VALUE"""),"Facebook")</f>
        <v>Facebook</v>
      </c>
      <c r="C865" s="26">
        <f>IFERROR(__xludf.DUMMYFUNCTION("""COMPUTED_VALUE"""),6.0)</f>
        <v>6</v>
      </c>
      <c r="D865" s="26">
        <f>IFERROR(__xludf.DUMMYFUNCTION("""COMPUTED_VALUE"""),41.0)</f>
        <v>41</v>
      </c>
      <c r="E865" s="26">
        <f>IFERROR(__xludf.DUMMYFUNCTION("""COMPUTED_VALUE"""),4569.0)</f>
        <v>4569</v>
      </c>
    </row>
    <row r="866">
      <c r="A866" s="25">
        <f>IFERROR(__xludf.DUMMYFUNCTION("""COMPUTED_VALUE"""),45730.0)</f>
        <v>45730</v>
      </c>
      <c r="B866" s="26" t="str">
        <f>IFERROR(__xludf.DUMMYFUNCTION("""COMPUTED_VALUE"""),"Facebook")</f>
        <v>Facebook</v>
      </c>
      <c r="C866" s="26">
        <f>IFERROR(__xludf.DUMMYFUNCTION("""COMPUTED_VALUE"""),1.0)</f>
        <v>1</v>
      </c>
      <c r="D866" s="26">
        <f>IFERROR(__xludf.DUMMYFUNCTION("""COMPUTED_VALUE"""),72.0)</f>
        <v>72</v>
      </c>
      <c r="E866" s="26">
        <f>IFERROR(__xludf.DUMMYFUNCTION("""COMPUTED_VALUE"""),5248.0)</f>
        <v>5248</v>
      </c>
    </row>
    <row r="867">
      <c r="A867" s="25">
        <f>IFERROR(__xludf.DUMMYFUNCTION("""COMPUTED_VALUE"""),45731.0)</f>
        <v>45731</v>
      </c>
      <c r="B867" s="26" t="str">
        <f>IFERROR(__xludf.DUMMYFUNCTION("""COMPUTED_VALUE"""),"Facebook")</f>
        <v>Facebook</v>
      </c>
      <c r="C867" s="26">
        <f>IFERROR(__xludf.DUMMYFUNCTION("""COMPUTED_VALUE"""),6.0)</f>
        <v>6</v>
      </c>
      <c r="D867" s="26">
        <f>IFERROR(__xludf.DUMMYFUNCTION("""COMPUTED_VALUE"""),63.0)</f>
        <v>63</v>
      </c>
      <c r="E867" s="26">
        <f>IFERROR(__xludf.DUMMYFUNCTION("""COMPUTED_VALUE"""),5408.0)</f>
        <v>5408</v>
      </c>
    </row>
    <row r="868">
      <c r="A868" s="25">
        <f>IFERROR(__xludf.DUMMYFUNCTION("""COMPUTED_VALUE"""),45732.0)</f>
        <v>45732</v>
      </c>
      <c r="B868" s="26" t="str">
        <f>IFERROR(__xludf.DUMMYFUNCTION("""COMPUTED_VALUE"""),"Facebook")</f>
        <v>Facebook</v>
      </c>
      <c r="C868" s="26">
        <f>IFERROR(__xludf.DUMMYFUNCTION("""COMPUTED_VALUE"""),2.0)</f>
        <v>2</v>
      </c>
      <c r="D868" s="26">
        <f>IFERROR(__xludf.DUMMYFUNCTION("""COMPUTED_VALUE"""),115.0)</f>
        <v>115</v>
      </c>
      <c r="E868" s="26">
        <f>IFERROR(__xludf.DUMMYFUNCTION("""COMPUTED_VALUE"""),6021.0)</f>
        <v>6021</v>
      </c>
    </row>
    <row r="869">
      <c r="A869" s="25">
        <f>IFERROR(__xludf.DUMMYFUNCTION("""COMPUTED_VALUE"""),45733.0)</f>
        <v>45733</v>
      </c>
      <c r="B869" s="26" t="str">
        <f>IFERROR(__xludf.DUMMYFUNCTION("""COMPUTED_VALUE"""),"Facebook")</f>
        <v>Facebook</v>
      </c>
      <c r="C869" s="26">
        <f>IFERROR(__xludf.DUMMYFUNCTION("""COMPUTED_VALUE"""),4.0)</f>
        <v>4</v>
      </c>
      <c r="D869" s="26">
        <f>IFERROR(__xludf.DUMMYFUNCTION("""COMPUTED_VALUE"""),84.0)</f>
        <v>84</v>
      </c>
      <c r="E869" s="26">
        <f>IFERROR(__xludf.DUMMYFUNCTION("""COMPUTED_VALUE"""),8122.0)</f>
        <v>8122</v>
      </c>
    </row>
    <row r="870">
      <c r="A870" s="25">
        <f>IFERROR(__xludf.DUMMYFUNCTION("""COMPUTED_VALUE"""),45734.0)</f>
        <v>45734</v>
      </c>
      <c r="B870" s="26" t="str">
        <f>IFERROR(__xludf.DUMMYFUNCTION("""COMPUTED_VALUE"""),"Facebook")</f>
        <v>Facebook</v>
      </c>
      <c r="C870" s="26">
        <f>IFERROR(__xludf.DUMMYFUNCTION("""COMPUTED_VALUE"""),2.0)</f>
        <v>2</v>
      </c>
      <c r="D870" s="26">
        <f>IFERROR(__xludf.DUMMYFUNCTION("""COMPUTED_VALUE"""),55.0)</f>
        <v>55</v>
      </c>
      <c r="E870" s="26">
        <f>IFERROR(__xludf.DUMMYFUNCTION("""COMPUTED_VALUE"""),6738.0)</f>
        <v>6738</v>
      </c>
    </row>
    <row r="871">
      <c r="A871" s="25">
        <f>IFERROR(__xludf.DUMMYFUNCTION("""COMPUTED_VALUE"""),45735.0)</f>
        <v>45735</v>
      </c>
      <c r="B871" s="26" t="str">
        <f>IFERROR(__xludf.DUMMYFUNCTION("""COMPUTED_VALUE"""),"Facebook")</f>
        <v>Facebook</v>
      </c>
      <c r="C871" s="26">
        <f>IFERROR(__xludf.DUMMYFUNCTION("""COMPUTED_VALUE"""),2.0)</f>
        <v>2</v>
      </c>
      <c r="D871" s="26">
        <f>IFERROR(__xludf.DUMMYFUNCTION("""COMPUTED_VALUE"""),59.0)</f>
        <v>59</v>
      </c>
      <c r="E871" s="26">
        <f>IFERROR(__xludf.DUMMYFUNCTION("""COMPUTED_VALUE"""),7691.0)</f>
        <v>7691</v>
      </c>
    </row>
    <row r="872">
      <c r="A872" s="25">
        <f>IFERROR(__xludf.DUMMYFUNCTION("""COMPUTED_VALUE"""),45736.0)</f>
        <v>45736</v>
      </c>
      <c r="B872" s="26" t="str">
        <f>IFERROR(__xludf.DUMMYFUNCTION("""COMPUTED_VALUE"""),"Facebook")</f>
        <v>Facebook</v>
      </c>
      <c r="C872" s="26">
        <f>IFERROR(__xludf.DUMMYFUNCTION("""COMPUTED_VALUE"""),1.0)</f>
        <v>1</v>
      </c>
      <c r="D872" s="26">
        <f>IFERROR(__xludf.DUMMYFUNCTION("""COMPUTED_VALUE"""),179.0)</f>
        <v>179</v>
      </c>
      <c r="E872" s="26">
        <f>IFERROR(__xludf.DUMMYFUNCTION("""COMPUTED_VALUE"""),9510.0)</f>
        <v>9510</v>
      </c>
    </row>
    <row r="873">
      <c r="A873" s="25">
        <f>IFERROR(__xludf.DUMMYFUNCTION("""COMPUTED_VALUE"""),45737.0)</f>
        <v>45737</v>
      </c>
      <c r="B873" s="26" t="str">
        <f>IFERROR(__xludf.DUMMYFUNCTION("""COMPUTED_VALUE"""),"Facebook")</f>
        <v>Facebook</v>
      </c>
      <c r="C873" s="26">
        <f>IFERROR(__xludf.DUMMYFUNCTION("""COMPUTED_VALUE"""),3.0)</f>
        <v>3</v>
      </c>
      <c r="D873" s="26">
        <f>IFERROR(__xludf.DUMMYFUNCTION("""COMPUTED_VALUE"""),125.0)</f>
        <v>125</v>
      </c>
      <c r="E873" s="26">
        <f>IFERROR(__xludf.DUMMYFUNCTION("""COMPUTED_VALUE"""),8415.0)</f>
        <v>8415</v>
      </c>
    </row>
    <row r="874">
      <c r="A874" s="25">
        <f>IFERROR(__xludf.DUMMYFUNCTION("""COMPUTED_VALUE"""),45738.0)</f>
        <v>45738</v>
      </c>
      <c r="B874" s="26" t="str">
        <f>IFERROR(__xludf.DUMMYFUNCTION("""COMPUTED_VALUE"""),"Facebook")</f>
        <v>Facebook</v>
      </c>
      <c r="C874" s="26">
        <f>IFERROR(__xludf.DUMMYFUNCTION("""COMPUTED_VALUE"""),5.0)</f>
        <v>5</v>
      </c>
      <c r="D874" s="26">
        <f>IFERROR(__xludf.DUMMYFUNCTION("""COMPUTED_VALUE"""),55.0)</f>
        <v>55</v>
      </c>
      <c r="E874" s="26">
        <f>IFERROR(__xludf.DUMMYFUNCTION("""COMPUTED_VALUE"""),1335.0)</f>
        <v>1335</v>
      </c>
    </row>
    <row r="875">
      <c r="A875" s="25">
        <f>IFERROR(__xludf.DUMMYFUNCTION("""COMPUTED_VALUE"""),45739.0)</f>
        <v>45739</v>
      </c>
      <c r="B875" s="26" t="str">
        <f>IFERROR(__xludf.DUMMYFUNCTION("""COMPUTED_VALUE"""),"Facebook")</f>
        <v>Facebook</v>
      </c>
      <c r="C875" s="26">
        <f>IFERROR(__xludf.DUMMYFUNCTION("""COMPUTED_VALUE"""),5.0)</f>
        <v>5</v>
      </c>
      <c r="D875" s="26">
        <f>IFERROR(__xludf.DUMMYFUNCTION("""COMPUTED_VALUE"""),45.0)</f>
        <v>45</v>
      </c>
      <c r="E875" s="26">
        <f>IFERROR(__xludf.DUMMYFUNCTION("""COMPUTED_VALUE"""),1155.0)</f>
        <v>1155</v>
      </c>
    </row>
    <row r="876">
      <c r="A876" s="25">
        <f>IFERROR(__xludf.DUMMYFUNCTION("""COMPUTED_VALUE"""),45740.0)</f>
        <v>45740</v>
      </c>
      <c r="B876" s="26" t="str">
        <f>IFERROR(__xludf.DUMMYFUNCTION("""COMPUTED_VALUE"""),"Facebook")</f>
        <v>Facebook</v>
      </c>
      <c r="C876" s="26">
        <f>IFERROR(__xludf.DUMMYFUNCTION("""COMPUTED_VALUE"""),1.0)</f>
        <v>1</v>
      </c>
      <c r="D876" s="26">
        <f>IFERROR(__xludf.DUMMYFUNCTION("""COMPUTED_VALUE"""),95.0)</f>
        <v>95</v>
      </c>
      <c r="E876" s="26">
        <f>IFERROR(__xludf.DUMMYFUNCTION("""COMPUTED_VALUE"""),13335.0)</f>
        <v>13335</v>
      </c>
    </row>
    <row r="877">
      <c r="A877" s="25">
        <f>IFERROR(__xludf.DUMMYFUNCTION("""COMPUTED_VALUE"""),45741.0)</f>
        <v>45741</v>
      </c>
      <c r="B877" s="26" t="str">
        <f>IFERROR(__xludf.DUMMYFUNCTION("""COMPUTED_VALUE"""),"Facebook")</f>
        <v>Facebook</v>
      </c>
      <c r="C877" s="26">
        <f>IFERROR(__xludf.DUMMYFUNCTION("""COMPUTED_VALUE"""),4.0)</f>
        <v>4</v>
      </c>
      <c r="D877" s="26">
        <f>IFERROR(__xludf.DUMMYFUNCTION("""COMPUTED_VALUE"""),394.0)</f>
        <v>394</v>
      </c>
      <c r="E877" s="26">
        <f>IFERROR(__xludf.DUMMYFUNCTION("""COMPUTED_VALUE"""),28991.0)</f>
        <v>28991</v>
      </c>
    </row>
    <row r="878">
      <c r="A878" s="25">
        <f>IFERROR(__xludf.DUMMYFUNCTION("""COMPUTED_VALUE"""),45742.0)</f>
        <v>45742</v>
      </c>
      <c r="B878" s="26" t="str">
        <f>IFERROR(__xludf.DUMMYFUNCTION("""COMPUTED_VALUE"""),"Facebook")</f>
        <v>Facebook</v>
      </c>
      <c r="C878" s="26">
        <f>IFERROR(__xludf.DUMMYFUNCTION("""COMPUTED_VALUE"""),2.0)</f>
        <v>2</v>
      </c>
      <c r="D878" s="26">
        <f>IFERROR(__xludf.DUMMYFUNCTION("""COMPUTED_VALUE"""),355.0)</f>
        <v>355</v>
      </c>
      <c r="E878" s="26">
        <f>IFERROR(__xludf.DUMMYFUNCTION("""COMPUTED_VALUE"""),20512.0)</f>
        <v>20512</v>
      </c>
    </row>
    <row r="879">
      <c r="A879" s="25">
        <f>IFERROR(__xludf.DUMMYFUNCTION("""COMPUTED_VALUE"""),45743.0)</f>
        <v>45743</v>
      </c>
      <c r="B879" s="26" t="str">
        <f>IFERROR(__xludf.DUMMYFUNCTION("""COMPUTED_VALUE"""),"Facebook")</f>
        <v>Facebook</v>
      </c>
      <c r="C879" s="26">
        <f>IFERROR(__xludf.DUMMYFUNCTION("""COMPUTED_VALUE"""),5.0)</f>
        <v>5</v>
      </c>
      <c r="D879" s="26">
        <f>IFERROR(__xludf.DUMMYFUNCTION("""COMPUTED_VALUE"""),174.0)</f>
        <v>174</v>
      </c>
      <c r="E879" s="26">
        <f>IFERROR(__xludf.DUMMYFUNCTION("""COMPUTED_VALUE"""),1998.0)</f>
        <v>1998</v>
      </c>
    </row>
    <row r="880">
      <c r="A880" s="25">
        <f>IFERROR(__xludf.DUMMYFUNCTION("""COMPUTED_VALUE"""),45744.0)</f>
        <v>45744</v>
      </c>
      <c r="B880" s="26" t="str">
        <f>IFERROR(__xludf.DUMMYFUNCTION("""COMPUTED_VALUE"""),"Facebook")</f>
        <v>Facebook</v>
      </c>
      <c r="C880" s="26">
        <f>IFERROR(__xludf.DUMMYFUNCTION("""COMPUTED_VALUE"""),6.0)</f>
        <v>6</v>
      </c>
      <c r="D880" s="26">
        <f>IFERROR(__xludf.DUMMYFUNCTION("""COMPUTED_VALUE"""),206.0)</f>
        <v>206</v>
      </c>
      <c r="E880" s="26">
        <f>IFERROR(__xludf.DUMMYFUNCTION("""COMPUTED_VALUE"""),1801.0)</f>
        <v>1801</v>
      </c>
    </row>
    <row r="881">
      <c r="A881" s="25">
        <f>IFERROR(__xludf.DUMMYFUNCTION("""COMPUTED_VALUE"""),45745.0)</f>
        <v>45745</v>
      </c>
      <c r="B881" s="26" t="str">
        <f>IFERROR(__xludf.DUMMYFUNCTION("""COMPUTED_VALUE"""),"Facebook")</f>
        <v>Facebook</v>
      </c>
      <c r="C881" s="26">
        <f>IFERROR(__xludf.DUMMYFUNCTION("""COMPUTED_VALUE"""),3.0)</f>
        <v>3</v>
      </c>
      <c r="D881" s="26">
        <f>IFERROR(__xludf.DUMMYFUNCTION("""COMPUTED_VALUE"""),73.0)</f>
        <v>73</v>
      </c>
      <c r="E881" s="26">
        <f>IFERROR(__xludf.DUMMYFUNCTION("""COMPUTED_VALUE"""),1242.0)</f>
        <v>1242</v>
      </c>
    </row>
    <row r="882">
      <c r="A882" s="25">
        <f>IFERROR(__xludf.DUMMYFUNCTION("""COMPUTED_VALUE"""),45746.0)</f>
        <v>45746</v>
      </c>
      <c r="B882" s="26" t="str">
        <f>IFERROR(__xludf.DUMMYFUNCTION("""COMPUTED_VALUE"""),"Facebook")</f>
        <v>Facebook</v>
      </c>
      <c r="C882" s="26">
        <f>IFERROR(__xludf.DUMMYFUNCTION("""COMPUTED_VALUE"""),4.0)</f>
        <v>4</v>
      </c>
      <c r="D882" s="26">
        <f>IFERROR(__xludf.DUMMYFUNCTION("""COMPUTED_VALUE"""),49.0)</f>
        <v>49</v>
      </c>
      <c r="E882" s="26">
        <f>IFERROR(__xludf.DUMMYFUNCTION("""COMPUTED_VALUE"""),870.0)</f>
        <v>870</v>
      </c>
    </row>
    <row r="883">
      <c r="A883" s="25">
        <f>IFERROR(__xludf.DUMMYFUNCTION("""COMPUTED_VALUE"""),45747.0)</f>
        <v>45747</v>
      </c>
      <c r="B883" s="26" t="str">
        <f>IFERROR(__xludf.DUMMYFUNCTION("""COMPUTED_VALUE"""),"Facebook")</f>
        <v>Facebook</v>
      </c>
      <c r="C883" s="26">
        <f>IFERROR(__xludf.DUMMYFUNCTION("""COMPUTED_VALUE"""),1.0)</f>
        <v>1</v>
      </c>
      <c r="D883" s="26">
        <f>IFERROR(__xludf.DUMMYFUNCTION("""COMPUTED_VALUE"""),17.0)</f>
        <v>17</v>
      </c>
      <c r="E883" s="26">
        <f>IFERROR(__xludf.DUMMYFUNCTION("""COMPUTED_VALUE"""),767.0)</f>
        <v>767</v>
      </c>
    </row>
    <row r="884">
      <c r="A884" s="25">
        <f>IFERROR(__xludf.DUMMYFUNCTION("""COMPUTED_VALUE"""),45748.0)</f>
        <v>45748</v>
      </c>
      <c r="B884" s="26" t="str">
        <f>IFERROR(__xludf.DUMMYFUNCTION("""COMPUTED_VALUE"""),"Facebook")</f>
        <v>Facebook</v>
      </c>
      <c r="C884" s="26">
        <f>IFERROR(__xludf.DUMMYFUNCTION("""COMPUTED_VALUE"""),2.0)</f>
        <v>2</v>
      </c>
      <c r="D884" s="26">
        <f>IFERROR(__xludf.DUMMYFUNCTION("""COMPUTED_VALUE"""),36.0)</f>
        <v>36</v>
      </c>
      <c r="E884" s="26">
        <f>IFERROR(__xludf.DUMMYFUNCTION("""COMPUTED_VALUE"""),690.0)</f>
        <v>690</v>
      </c>
    </row>
    <row r="885">
      <c r="A885" s="25">
        <f>IFERROR(__xludf.DUMMYFUNCTION("""COMPUTED_VALUE"""),45749.0)</f>
        <v>45749</v>
      </c>
      <c r="B885" s="26" t="str">
        <f>IFERROR(__xludf.DUMMYFUNCTION("""COMPUTED_VALUE"""),"Facebook")</f>
        <v>Facebook</v>
      </c>
      <c r="C885" s="26">
        <f>IFERROR(__xludf.DUMMYFUNCTION("""COMPUTED_VALUE"""),1.0)</f>
        <v>1</v>
      </c>
      <c r="D885" s="26">
        <f>IFERROR(__xludf.DUMMYFUNCTION("""COMPUTED_VALUE"""),87.0)</f>
        <v>87</v>
      </c>
      <c r="E885" s="26">
        <f>IFERROR(__xludf.DUMMYFUNCTION("""COMPUTED_VALUE"""),1194.0)</f>
        <v>1194</v>
      </c>
    </row>
    <row r="886">
      <c r="A886" s="25">
        <f>IFERROR(__xludf.DUMMYFUNCTION("""COMPUTED_VALUE"""),45750.0)</f>
        <v>45750</v>
      </c>
      <c r="B886" s="26" t="str">
        <f>IFERROR(__xludf.DUMMYFUNCTION("""COMPUTED_VALUE"""),"Facebook")</f>
        <v>Facebook</v>
      </c>
      <c r="C886" s="26">
        <f>IFERROR(__xludf.DUMMYFUNCTION("""COMPUTED_VALUE"""),4.0)</f>
        <v>4</v>
      </c>
      <c r="D886" s="26">
        <f>IFERROR(__xludf.DUMMYFUNCTION("""COMPUTED_VALUE"""),123.0)</f>
        <v>123</v>
      </c>
      <c r="E886" s="26">
        <f>IFERROR(__xludf.DUMMYFUNCTION("""COMPUTED_VALUE"""),1277.0)</f>
        <v>1277</v>
      </c>
    </row>
    <row r="887">
      <c r="A887" s="25">
        <f>IFERROR(__xludf.DUMMYFUNCTION("""COMPUTED_VALUE"""),45751.0)</f>
        <v>45751</v>
      </c>
      <c r="B887" s="26" t="str">
        <f>IFERROR(__xludf.DUMMYFUNCTION("""COMPUTED_VALUE"""),"Facebook")</f>
        <v>Facebook</v>
      </c>
      <c r="C887" s="26">
        <f>IFERROR(__xludf.DUMMYFUNCTION("""COMPUTED_VALUE"""),2.0)</f>
        <v>2</v>
      </c>
      <c r="D887" s="26">
        <f>IFERROR(__xludf.DUMMYFUNCTION("""COMPUTED_VALUE"""),225.0)</f>
        <v>225</v>
      </c>
      <c r="E887" s="26">
        <f>IFERROR(__xludf.DUMMYFUNCTION("""COMPUTED_VALUE"""),1650.0)</f>
        <v>1650</v>
      </c>
    </row>
    <row r="888">
      <c r="A888" s="25">
        <f>IFERROR(__xludf.DUMMYFUNCTION("""COMPUTED_VALUE"""),45752.0)</f>
        <v>45752</v>
      </c>
      <c r="B888" s="26" t="str">
        <f>IFERROR(__xludf.DUMMYFUNCTION("""COMPUTED_VALUE"""),"Facebook")</f>
        <v>Facebook</v>
      </c>
      <c r="C888" s="26">
        <f>IFERROR(__xludf.DUMMYFUNCTION("""COMPUTED_VALUE"""),7.0)</f>
        <v>7</v>
      </c>
      <c r="D888" s="26">
        <f>IFERROR(__xludf.DUMMYFUNCTION("""COMPUTED_VALUE"""),100.0)</f>
        <v>100</v>
      </c>
      <c r="E888" s="26">
        <f>IFERROR(__xludf.DUMMYFUNCTION("""COMPUTED_VALUE"""),1299.0)</f>
        <v>1299</v>
      </c>
    </row>
    <row r="889">
      <c r="A889" s="25">
        <f>IFERROR(__xludf.DUMMYFUNCTION("""COMPUTED_VALUE"""),45753.0)</f>
        <v>45753</v>
      </c>
      <c r="B889" s="26" t="str">
        <f>IFERROR(__xludf.DUMMYFUNCTION("""COMPUTED_VALUE"""),"Facebook")</f>
        <v>Facebook</v>
      </c>
      <c r="C889" s="26">
        <f>IFERROR(__xludf.DUMMYFUNCTION("""COMPUTED_VALUE"""),1.0)</f>
        <v>1</v>
      </c>
      <c r="D889" s="26">
        <f>IFERROR(__xludf.DUMMYFUNCTION("""COMPUTED_VALUE"""),82.0)</f>
        <v>82</v>
      </c>
      <c r="E889" s="26">
        <f>IFERROR(__xludf.DUMMYFUNCTION("""COMPUTED_VALUE"""),1311.0)</f>
        <v>1311</v>
      </c>
    </row>
    <row r="890">
      <c r="A890" s="25">
        <f>IFERROR(__xludf.DUMMYFUNCTION("""COMPUTED_VALUE"""),45754.0)</f>
        <v>45754</v>
      </c>
      <c r="B890" s="26" t="str">
        <f>IFERROR(__xludf.DUMMYFUNCTION("""COMPUTED_VALUE"""),"Facebook")</f>
        <v>Facebook</v>
      </c>
      <c r="C890" s="26">
        <f>IFERROR(__xludf.DUMMYFUNCTION("""COMPUTED_VALUE"""),4.0)</f>
        <v>4</v>
      </c>
      <c r="D890" s="26">
        <f>IFERROR(__xludf.DUMMYFUNCTION("""COMPUTED_VALUE"""),165.0)</f>
        <v>165</v>
      </c>
      <c r="E890" s="26">
        <f>IFERROR(__xludf.DUMMYFUNCTION("""COMPUTED_VALUE"""),2421.0)</f>
        <v>2421</v>
      </c>
    </row>
    <row r="891">
      <c r="A891" s="25">
        <f>IFERROR(__xludf.DUMMYFUNCTION("""COMPUTED_VALUE"""),45755.0)</f>
        <v>45755</v>
      </c>
      <c r="B891" s="26" t="str">
        <f>IFERROR(__xludf.DUMMYFUNCTION("""COMPUTED_VALUE"""),"Facebook")</f>
        <v>Facebook</v>
      </c>
      <c r="C891" s="26">
        <f>IFERROR(__xludf.DUMMYFUNCTION("""COMPUTED_VALUE"""),0.0)</f>
        <v>0</v>
      </c>
      <c r="D891" s="26">
        <f>IFERROR(__xludf.DUMMYFUNCTION("""COMPUTED_VALUE"""),78.0)</f>
        <v>78</v>
      </c>
      <c r="E891" s="26">
        <f>IFERROR(__xludf.DUMMYFUNCTION("""COMPUTED_VALUE"""),1345.0)</f>
        <v>1345</v>
      </c>
    </row>
    <row r="892">
      <c r="A892" s="25">
        <f>IFERROR(__xludf.DUMMYFUNCTION("""COMPUTED_VALUE"""),45756.0)</f>
        <v>45756</v>
      </c>
      <c r="B892" s="26" t="str">
        <f>IFERROR(__xludf.DUMMYFUNCTION("""COMPUTED_VALUE"""),"Facebook")</f>
        <v>Facebook</v>
      </c>
      <c r="C892" s="26">
        <f>IFERROR(__xludf.DUMMYFUNCTION("""COMPUTED_VALUE"""),2.0)</f>
        <v>2</v>
      </c>
      <c r="D892" s="26">
        <f>IFERROR(__xludf.DUMMYFUNCTION("""COMPUTED_VALUE"""),40.0)</f>
        <v>40</v>
      </c>
      <c r="E892" s="26">
        <f>IFERROR(__xludf.DUMMYFUNCTION("""COMPUTED_VALUE"""),1058.0)</f>
        <v>1058</v>
      </c>
    </row>
    <row r="893">
      <c r="A893" s="25">
        <f>IFERROR(__xludf.DUMMYFUNCTION("""COMPUTED_VALUE"""),45757.0)</f>
        <v>45757</v>
      </c>
      <c r="B893" s="26" t="str">
        <f>IFERROR(__xludf.DUMMYFUNCTION("""COMPUTED_VALUE"""),"Facebook")</f>
        <v>Facebook</v>
      </c>
      <c r="C893" s="26">
        <f>IFERROR(__xludf.DUMMYFUNCTION("""COMPUTED_VALUE"""),2.0)</f>
        <v>2</v>
      </c>
      <c r="D893" s="26">
        <f>IFERROR(__xludf.DUMMYFUNCTION("""COMPUTED_VALUE"""),71.0)</f>
        <v>71</v>
      </c>
      <c r="E893" s="26">
        <f>IFERROR(__xludf.DUMMYFUNCTION("""COMPUTED_VALUE"""),1200.0)</f>
        <v>1200</v>
      </c>
    </row>
    <row r="894">
      <c r="A894" s="25">
        <f>IFERROR(__xludf.DUMMYFUNCTION("""COMPUTED_VALUE"""),45758.0)</f>
        <v>45758</v>
      </c>
      <c r="B894" s="26" t="str">
        <f>IFERROR(__xludf.DUMMYFUNCTION("""COMPUTED_VALUE"""),"Facebook")</f>
        <v>Facebook</v>
      </c>
      <c r="C894" s="26">
        <f>IFERROR(__xludf.DUMMYFUNCTION("""COMPUTED_VALUE"""),3.0)</f>
        <v>3</v>
      </c>
      <c r="D894" s="26">
        <f>IFERROR(__xludf.DUMMYFUNCTION("""COMPUTED_VALUE"""),46.0)</f>
        <v>46</v>
      </c>
      <c r="E894" s="26">
        <f>IFERROR(__xludf.DUMMYFUNCTION("""COMPUTED_VALUE"""),1110.0)</f>
        <v>1110</v>
      </c>
    </row>
    <row r="895">
      <c r="A895" s="25">
        <f>IFERROR(__xludf.DUMMYFUNCTION("""COMPUTED_VALUE"""),45759.0)</f>
        <v>45759</v>
      </c>
      <c r="B895" s="26" t="str">
        <f>IFERROR(__xludf.DUMMYFUNCTION("""COMPUTED_VALUE"""),"Facebook")</f>
        <v>Facebook</v>
      </c>
      <c r="C895" s="26">
        <f>IFERROR(__xludf.DUMMYFUNCTION("""COMPUTED_VALUE"""),3.0)</f>
        <v>3</v>
      </c>
      <c r="D895" s="26">
        <f>IFERROR(__xludf.DUMMYFUNCTION("""COMPUTED_VALUE"""),80.0)</f>
        <v>80</v>
      </c>
      <c r="E895" s="26">
        <f>IFERROR(__xludf.DUMMYFUNCTION("""COMPUTED_VALUE"""),1180.0)</f>
        <v>1180</v>
      </c>
    </row>
    <row r="896">
      <c r="A896" s="25">
        <f>IFERROR(__xludf.DUMMYFUNCTION("""COMPUTED_VALUE"""),45760.0)</f>
        <v>45760</v>
      </c>
      <c r="B896" s="26" t="str">
        <f>IFERROR(__xludf.DUMMYFUNCTION("""COMPUTED_VALUE"""),"Facebook")</f>
        <v>Facebook</v>
      </c>
      <c r="C896" s="26">
        <f>IFERROR(__xludf.DUMMYFUNCTION("""COMPUTED_VALUE"""),3.0)</f>
        <v>3</v>
      </c>
      <c r="D896" s="26">
        <f>IFERROR(__xludf.DUMMYFUNCTION("""COMPUTED_VALUE"""),57.0)</f>
        <v>57</v>
      </c>
      <c r="E896" s="26">
        <f>IFERROR(__xludf.DUMMYFUNCTION("""COMPUTED_VALUE"""),1024.0)</f>
        <v>1024</v>
      </c>
    </row>
    <row r="897">
      <c r="A897" s="25">
        <f>IFERROR(__xludf.DUMMYFUNCTION("""COMPUTED_VALUE"""),45761.0)</f>
        <v>45761</v>
      </c>
      <c r="B897" s="26" t="str">
        <f>IFERROR(__xludf.DUMMYFUNCTION("""COMPUTED_VALUE"""),"Facebook")</f>
        <v>Facebook</v>
      </c>
      <c r="C897" s="26">
        <f>IFERROR(__xludf.DUMMYFUNCTION("""COMPUTED_VALUE"""),1.0)</f>
        <v>1</v>
      </c>
      <c r="D897" s="26">
        <f>IFERROR(__xludf.DUMMYFUNCTION("""COMPUTED_VALUE"""),32.0)</f>
        <v>32</v>
      </c>
      <c r="E897" s="26">
        <f>IFERROR(__xludf.DUMMYFUNCTION("""COMPUTED_VALUE"""),992.0)</f>
        <v>992</v>
      </c>
    </row>
    <row r="898">
      <c r="A898" s="25">
        <f>IFERROR(__xludf.DUMMYFUNCTION("""COMPUTED_VALUE"""),45762.0)</f>
        <v>45762</v>
      </c>
      <c r="B898" s="26" t="str">
        <f>IFERROR(__xludf.DUMMYFUNCTION("""COMPUTED_VALUE"""),"Facebook")</f>
        <v>Facebook</v>
      </c>
      <c r="C898" s="26">
        <f>IFERROR(__xludf.DUMMYFUNCTION("""COMPUTED_VALUE"""),4.0)</f>
        <v>4</v>
      </c>
      <c r="D898" s="26">
        <f>IFERROR(__xludf.DUMMYFUNCTION("""COMPUTED_VALUE"""),46.0)</f>
        <v>46</v>
      </c>
      <c r="E898" s="26">
        <f>IFERROR(__xludf.DUMMYFUNCTION("""COMPUTED_VALUE"""),907.0)</f>
        <v>907</v>
      </c>
    </row>
    <row r="899">
      <c r="A899" s="25">
        <f>IFERROR(__xludf.DUMMYFUNCTION("""COMPUTED_VALUE"""),45763.0)</f>
        <v>45763</v>
      </c>
      <c r="B899" s="26" t="str">
        <f>IFERROR(__xludf.DUMMYFUNCTION("""COMPUTED_VALUE"""),"Facebook")</f>
        <v>Facebook</v>
      </c>
      <c r="C899" s="26">
        <f>IFERROR(__xludf.DUMMYFUNCTION("""COMPUTED_VALUE"""),4.0)</f>
        <v>4</v>
      </c>
      <c r="D899" s="26">
        <f>IFERROR(__xludf.DUMMYFUNCTION("""COMPUTED_VALUE"""),61.0)</f>
        <v>61</v>
      </c>
      <c r="E899" s="26">
        <f>IFERROR(__xludf.DUMMYFUNCTION("""COMPUTED_VALUE"""),803.0)</f>
        <v>803</v>
      </c>
    </row>
    <row r="900">
      <c r="A900" s="25">
        <f>IFERROR(__xludf.DUMMYFUNCTION("""COMPUTED_VALUE"""),45764.0)</f>
        <v>45764</v>
      </c>
      <c r="B900" s="26" t="str">
        <f>IFERROR(__xludf.DUMMYFUNCTION("""COMPUTED_VALUE"""),"Facebook")</f>
        <v>Facebook</v>
      </c>
      <c r="C900" s="26">
        <f>IFERROR(__xludf.DUMMYFUNCTION("""COMPUTED_VALUE"""),6.0)</f>
        <v>6</v>
      </c>
      <c r="D900" s="26">
        <f>IFERROR(__xludf.DUMMYFUNCTION("""COMPUTED_VALUE"""),33.0)</f>
        <v>33</v>
      </c>
      <c r="E900" s="26">
        <f>IFERROR(__xludf.DUMMYFUNCTION("""COMPUTED_VALUE"""),763.0)</f>
        <v>763</v>
      </c>
    </row>
    <row r="901">
      <c r="A901" s="25">
        <f>IFERROR(__xludf.DUMMYFUNCTION("""COMPUTED_VALUE"""),45765.0)</f>
        <v>45765</v>
      </c>
      <c r="B901" s="26" t="str">
        <f>IFERROR(__xludf.DUMMYFUNCTION("""COMPUTED_VALUE"""),"Facebook")</f>
        <v>Facebook</v>
      </c>
      <c r="C901" s="26">
        <f>IFERROR(__xludf.DUMMYFUNCTION("""COMPUTED_VALUE"""),4.0)</f>
        <v>4</v>
      </c>
      <c r="D901" s="26">
        <f>IFERROR(__xludf.DUMMYFUNCTION("""COMPUTED_VALUE"""),16.0)</f>
        <v>16</v>
      </c>
      <c r="E901" s="26">
        <f>IFERROR(__xludf.DUMMYFUNCTION("""COMPUTED_VALUE"""),27615.0)</f>
        <v>27615</v>
      </c>
    </row>
    <row r="902">
      <c r="A902" s="25">
        <f>IFERROR(__xludf.DUMMYFUNCTION("""COMPUTED_VALUE"""),45766.0)</f>
        <v>45766</v>
      </c>
      <c r="B902" s="26" t="str">
        <f>IFERROR(__xludf.DUMMYFUNCTION("""COMPUTED_VALUE"""),"Facebook")</f>
        <v>Facebook</v>
      </c>
      <c r="C902" s="26">
        <f>IFERROR(__xludf.DUMMYFUNCTION("""COMPUTED_VALUE"""),3.0)</f>
        <v>3</v>
      </c>
      <c r="D902" s="26">
        <f>IFERROR(__xludf.DUMMYFUNCTION("""COMPUTED_VALUE"""),23.0)</f>
        <v>23</v>
      </c>
      <c r="E902" s="26">
        <f>IFERROR(__xludf.DUMMYFUNCTION("""COMPUTED_VALUE"""),18250.0)</f>
        <v>18250</v>
      </c>
    </row>
    <row r="903">
      <c r="A903" s="25">
        <f>IFERROR(__xludf.DUMMYFUNCTION("""COMPUTED_VALUE"""),45767.0)</f>
        <v>45767</v>
      </c>
      <c r="B903" s="26" t="str">
        <f>IFERROR(__xludf.DUMMYFUNCTION("""COMPUTED_VALUE"""),"Facebook")</f>
        <v>Facebook</v>
      </c>
      <c r="C903" s="26">
        <f>IFERROR(__xludf.DUMMYFUNCTION("""COMPUTED_VALUE"""),0.0)</f>
        <v>0</v>
      </c>
      <c r="D903" s="26">
        <f>IFERROR(__xludf.DUMMYFUNCTION("""COMPUTED_VALUE"""),11.0)</f>
        <v>11</v>
      </c>
      <c r="E903" s="26">
        <f>IFERROR(__xludf.DUMMYFUNCTION("""COMPUTED_VALUE"""),34941.0)</f>
        <v>34941</v>
      </c>
    </row>
    <row r="904">
      <c r="A904" s="25">
        <f>IFERROR(__xludf.DUMMYFUNCTION("""COMPUTED_VALUE"""),45768.0)</f>
        <v>45768</v>
      </c>
      <c r="B904" s="26" t="str">
        <f>IFERROR(__xludf.DUMMYFUNCTION("""COMPUTED_VALUE"""),"Facebook")</f>
        <v>Facebook</v>
      </c>
      <c r="C904" s="26">
        <f>IFERROR(__xludf.DUMMYFUNCTION("""COMPUTED_VALUE"""),2.0)</f>
        <v>2</v>
      </c>
      <c r="D904" s="26">
        <f>IFERROR(__xludf.DUMMYFUNCTION("""COMPUTED_VALUE"""),30.0)</f>
        <v>30</v>
      </c>
      <c r="E904" s="26">
        <f>IFERROR(__xludf.DUMMYFUNCTION("""COMPUTED_VALUE"""),34606.0)</f>
        <v>34606</v>
      </c>
    </row>
    <row r="905">
      <c r="A905" s="25">
        <f>IFERROR(__xludf.DUMMYFUNCTION("""COMPUTED_VALUE"""),45769.0)</f>
        <v>45769</v>
      </c>
      <c r="B905" s="26" t="str">
        <f>IFERROR(__xludf.DUMMYFUNCTION("""COMPUTED_VALUE"""),"Facebook")</f>
        <v>Facebook</v>
      </c>
      <c r="C905" s="26">
        <f>IFERROR(__xludf.DUMMYFUNCTION("""COMPUTED_VALUE"""),2.0)</f>
        <v>2</v>
      </c>
      <c r="D905" s="26">
        <f>IFERROR(__xludf.DUMMYFUNCTION("""COMPUTED_VALUE"""),71.0)</f>
        <v>71</v>
      </c>
      <c r="E905" s="26">
        <f>IFERROR(__xludf.DUMMYFUNCTION("""COMPUTED_VALUE"""),36117.0)</f>
        <v>36117</v>
      </c>
    </row>
    <row r="906">
      <c r="A906" s="25">
        <f>IFERROR(__xludf.DUMMYFUNCTION("""COMPUTED_VALUE"""),45770.0)</f>
        <v>45770</v>
      </c>
      <c r="B906" s="26" t="str">
        <f>IFERROR(__xludf.DUMMYFUNCTION("""COMPUTED_VALUE"""),"Facebook")</f>
        <v>Facebook</v>
      </c>
      <c r="C906" s="26">
        <f>IFERROR(__xludf.DUMMYFUNCTION("""COMPUTED_VALUE"""),6.0)</f>
        <v>6</v>
      </c>
      <c r="D906" s="26">
        <f>IFERROR(__xludf.DUMMYFUNCTION("""COMPUTED_VALUE"""),125.0)</f>
        <v>125</v>
      </c>
      <c r="E906" s="26">
        <f>IFERROR(__xludf.DUMMYFUNCTION("""COMPUTED_VALUE"""),36054.0)</f>
        <v>36054</v>
      </c>
    </row>
    <row r="907">
      <c r="A907" s="25">
        <f>IFERROR(__xludf.DUMMYFUNCTION("""COMPUTED_VALUE"""),45771.0)</f>
        <v>45771</v>
      </c>
      <c r="B907" s="26" t="str">
        <f>IFERROR(__xludf.DUMMYFUNCTION("""COMPUTED_VALUE"""),"Facebook")</f>
        <v>Facebook</v>
      </c>
      <c r="C907" s="26">
        <f>IFERROR(__xludf.DUMMYFUNCTION("""COMPUTED_VALUE"""),3.0)</f>
        <v>3</v>
      </c>
      <c r="D907" s="26">
        <f>IFERROR(__xludf.DUMMYFUNCTION("""COMPUTED_VALUE"""),89.0)</f>
        <v>89</v>
      </c>
      <c r="E907" s="26">
        <f>IFERROR(__xludf.DUMMYFUNCTION("""COMPUTED_VALUE"""),38973.0)</f>
        <v>38973</v>
      </c>
    </row>
    <row r="908">
      <c r="A908" s="25">
        <f>IFERROR(__xludf.DUMMYFUNCTION("""COMPUTED_VALUE"""),45772.0)</f>
        <v>45772</v>
      </c>
      <c r="B908" s="26" t="str">
        <f>IFERROR(__xludf.DUMMYFUNCTION("""COMPUTED_VALUE"""),"Facebook")</f>
        <v>Facebook</v>
      </c>
      <c r="C908" s="26">
        <f>IFERROR(__xludf.DUMMYFUNCTION("""COMPUTED_VALUE"""),4.0)</f>
        <v>4</v>
      </c>
      <c r="D908" s="26">
        <f>IFERROR(__xludf.DUMMYFUNCTION("""COMPUTED_VALUE"""),86.0)</f>
        <v>86</v>
      </c>
      <c r="E908" s="26">
        <f>IFERROR(__xludf.DUMMYFUNCTION("""COMPUTED_VALUE"""),13095.0)</f>
        <v>13095</v>
      </c>
    </row>
    <row r="909">
      <c r="A909" s="25">
        <f>IFERROR(__xludf.DUMMYFUNCTION("""COMPUTED_VALUE"""),45773.0)</f>
        <v>45773</v>
      </c>
      <c r="B909" s="26" t="str">
        <f>IFERROR(__xludf.DUMMYFUNCTION("""COMPUTED_VALUE"""),"Facebook")</f>
        <v>Facebook</v>
      </c>
      <c r="C909" s="26">
        <f>IFERROR(__xludf.DUMMYFUNCTION("""COMPUTED_VALUE"""),3.0)</f>
        <v>3</v>
      </c>
      <c r="D909" s="26">
        <f>IFERROR(__xludf.DUMMYFUNCTION("""COMPUTED_VALUE"""),190.0)</f>
        <v>190</v>
      </c>
      <c r="E909" s="26">
        <f>IFERROR(__xludf.DUMMYFUNCTION("""COMPUTED_VALUE"""),1384.0)</f>
        <v>1384</v>
      </c>
    </row>
    <row r="910">
      <c r="A910" s="25">
        <f>IFERROR(__xludf.DUMMYFUNCTION("""COMPUTED_VALUE"""),45774.0)</f>
        <v>45774</v>
      </c>
      <c r="B910" s="26" t="str">
        <f>IFERROR(__xludf.DUMMYFUNCTION("""COMPUTED_VALUE"""),"Facebook")</f>
        <v>Facebook</v>
      </c>
      <c r="C910" s="26">
        <f>IFERROR(__xludf.DUMMYFUNCTION("""COMPUTED_VALUE"""),40.0)</f>
        <v>40</v>
      </c>
      <c r="D910" s="26">
        <f>IFERROR(__xludf.DUMMYFUNCTION("""COMPUTED_VALUE"""),75.0)</f>
        <v>75</v>
      </c>
      <c r="E910" s="26">
        <f>IFERROR(__xludf.DUMMYFUNCTION("""COMPUTED_VALUE"""),1777.0)</f>
        <v>1777</v>
      </c>
    </row>
    <row r="911">
      <c r="A911" s="25">
        <f>IFERROR(__xludf.DUMMYFUNCTION("""COMPUTED_VALUE"""),45775.0)</f>
        <v>45775</v>
      </c>
      <c r="B911" s="26" t="str">
        <f>IFERROR(__xludf.DUMMYFUNCTION("""COMPUTED_VALUE"""),"Facebook")</f>
        <v>Facebook</v>
      </c>
      <c r="C911" s="26">
        <f>IFERROR(__xludf.DUMMYFUNCTION("""COMPUTED_VALUE"""),9.0)</f>
        <v>9</v>
      </c>
      <c r="D911" s="26">
        <f>IFERROR(__xludf.DUMMYFUNCTION("""COMPUTED_VALUE"""),73.0)</f>
        <v>73</v>
      </c>
      <c r="E911" s="26">
        <f>IFERROR(__xludf.DUMMYFUNCTION("""COMPUTED_VALUE"""),1357.0)</f>
        <v>1357</v>
      </c>
    </row>
    <row r="912">
      <c r="A912" s="25">
        <f>IFERROR(__xludf.DUMMYFUNCTION("""COMPUTED_VALUE"""),45776.0)</f>
        <v>45776</v>
      </c>
      <c r="B912" s="26" t="str">
        <f>IFERROR(__xludf.DUMMYFUNCTION("""COMPUTED_VALUE"""),"Facebook")</f>
        <v>Facebook</v>
      </c>
      <c r="C912" s="26">
        <f>IFERROR(__xludf.DUMMYFUNCTION("""COMPUTED_VALUE"""),5.0)</f>
        <v>5</v>
      </c>
      <c r="D912" s="26">
        <f>IFERROR(__xludf.DUMMYFUNCTION("""COMPUTED_VALUE"""),125.0)</f>
        <v>125</v>
      </c>
      <c r="E912" s="26">
        <f>IFERROR(__xludf.DUMMYFUNCTION("""COMPUTED_VALUE"""),1558.0)</f>
        <v>1558</v>
      </c>
    </row>
    <row r="913">
      <c r="A913" s="25">
        <f>IFERROR(__xludf.DUMMYFUNCTION("""COMPUTED_VALUE"""),45777.0)</f>
        <v>45777</v>
      </c>
      <c r="B913" s="26" t="str">
        <f>IFERROR(__xludf.DUMMYFUNCTION("""COMPUTED_VALUE"""),"Facebook")</f>
        <v>Facebook</v>
      </c>
      <c r="C913" s="26">
        <f>IFERROR(__xludf.DUMMYFUNCTION("""COMPUTED_VALUE"""),5.0)</f>
        <v>5</v>
      </c>
      <c r="D913" s="26">
        <f>IFERROR(__xludf.DUMMYFUNCTION("""COMPUTED_VALUE"""),132.0)</f>
        <v>132</v>
      </c>
      <c r="E913" s="26">
        <f>IFERROR(__xludf.DUMMYFUNCTION("""COMPUTED_VALUE"""),11204.0)</f>
        <v>11204</v>
      </c>
    </row>
  </sheetData>
  <autoFilter ref="$A$1:$E$823">
    <sortState ref="A1:E823">
      <sortCondition ref="A1:A823"/>
    </sortState>
  </autoFilter>
  <drawing r:id="rId1"/>
</worksheet>
</file>