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charl\Downloads\"/>
    </mc:Choice>
  </mc:AlternateContent>
  <xr:revisionPtr revIDLastSave="0" documentId="13_ncr:1_{6E50F9F1-6F13-4F4F-84E8-CDBE65052732}" xr6:coauthVersionLast="47" xr6:coauthVersionMax="47" xr10:uidLastSave="{00000000-0000-0000-0000-000000000000}"/>
  <bookViews>
    <workbookView xWindow="-110" yWindow="-110" windowWidth="19420" windowHeight="10300" activeTab="1" xr2:uid="{5F141CAC-DE77-4535-A101-6F03B64064EC}"/>
  </bookViews>
  <sheets>
    <sheet name="Introduction" sheetId="2" r:id="rId1"/>
    <sheet name="Simple Operating Model" sheetId="1" r:id="rId2"/>
    <sheet name="CONDFORM" sheetId="4" state="hidden" r:id="rId3"/>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45207.8744097222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58" i="1" l="1"/>
  <c r="N258" i="1"/>
  <c r="O258" i="1"/>
  <c r="P258" i="1"/>
  <c r="Q258" i="1"/>
  <c r="M253" i="1"/>
  <c r="N253" i="1"/>
  <c r="O253" i="1"/>
  <c r="P253" i="1"/>
  <c r="Q253" i="1"/>
  <c r="M254" i="1"/>
  <c r="N254" i="1"/>
  <c r="O254" i="1"/>
  <c r="P254" i="1"/>
  <c r="Q254" i="1"/>
  <c r="M255" i="1"/>
  <c r="N255" i="1"/>
  <c r="O255" i="1"/>
  <c r="P255" i="1"/>
  <c r="Q255" i="1"/>
  <c r="M246" i="1"/>
  <c r="N246" i="1"/>
  <c r="O246" i="1"/>
  <c r="P246" i="1"/>
  <c r="Q246" i="1"/>
  <c r="M250" i="1"/>
  <c r="N250" i="1"/>
  <c r="O250" i="1"/>
  <c r="P250" i="1"/>
  <c r="Q250" i="1"/>
  <c r="M249" i="1"/>
  <c r="N249" i="1"/>
  <c r="O249" i="1"/>
  <c r="P249" i="1"/>
  <c r="Q249" i="1"/>
  <c r="N259" i="1"/>
  <c r="O259" i="1"/>
  <c r="P259" i="1"/>
  <c r="Q259" i="1"/>
  <c r="M259" i="1"/>
  <c r="N245" i="1"/>
  <c r="O245" i="1"/>
  <c r="P245" i="1"/>
  <c r="Q245" i="1"/>
  <c r="M245" i="1"/>
  <c r="N242" i="1"/>
  <c r="O242" i="1"/>
  <c r="P242" i="1"/>
  <c r="Q242" i="1"/>
  <c r="M242" i="1"/>
  <c r="N241" i="1"/>
  <c r="O241" i="1"/>
  <c r="P241" i="1"/>
  <c r="Q241" i="1"/>
  <c r="M241" i="1"/>
  <c r="N240" i="1"/>
  <c r="O240" i="1"/>
  <c r="P240" i="1"/>
  <c r="Q240" i="1"/>
  <c r="M240" i="1"/>
  <c r="N59" i="1"/>
  <c r="N69" i="1" s="1"/>
  <c r="N71" i="1" s="1"/>
  <c r="O59" i="1"/>
  <c r="P59" i="1"/>
  <c r="P69" i="1" s="1"/>
  <c r="P71" i="1" s="1"/>
  <c r="P72" i="1" s="1"/>
  <c r="Q59" i="1"/>
  <c r="Q69" i="1" s="1"/>
  <c r="Q71" i="1" s="1"/>
  <c r="Q72" i="1" s="1"/>
  <c r="M59" i="1"/>
  <c r="M69" i="1" s="1"/>
  <c r="M71" i="1" s="1"/>
  <c r="L218" i="1"/>
  <c r="M218" i="1"/>
  <c r="N218" i="1"/>
  <c r="O218" i="1"/>
  <c r="P218" i="1"/>
  <c r="L217" i="1"/>
  <c r="M217" i="1"/>
  <c r="N217" i="1"/>
  <c r="O217" i="1"/>
  <c r="P217" i="1"/>
  <c r="L216" i="1"/>
  <c r="M216" i="1"/>
  <c r="N216" i="1"/>
  <c r="O216" i="1"/>
  <c r="P216" i="1"/>
  <c r="L215" i="1"/>
  <c r="M215" i="1"/>
  <c r="N215" i="1"/>
  <c r="O215" i="1"/>
  <c r="P215" i="1"/>
  <c r="K218" i="1"/>
  <c r="K217" i="1"/>
  <c r="K216" i="1"/>
  <c r="K215" i="1"/>
  <c r="K199" i="1"/>
  <c r="L199" i="1"/>
  <c r="M199" i="1"/>
  <c r="J199" i="1"/>
  <c r="K198" i="1"/>
  <c r="L198" i="1"/>
  <c r="M198" i="1"/>
  <c r="J198" i="1"/>
  <c r="G202" i="1"/>
  <c r="I184" i="1"/>
  <c r="F183" i="1"/>
  <c r="J171" i="1"/>
  <c r="K171" i="1"/>
  <c r="L171" i="1"/>
  <c r="M171" i="1"/>
  <c r="I171" i="1"/>
  <c r="J169" i="1"/>
  <c r="K169" i="1"/>
  <c r="L169" i="1"/>
  <c r="M169" i="1"/>
  <c r="I169" i="1"/>
  <c r="G149" i="1"/>
  <c r="G142" i="1"/>
  <c r="G138" i="1"/>
  <c r="N121" i="1"/>
  <c r="N49" i="1" s="1"/>
  <c r="N54" i="1" s="1"/>
  <c r="M121" i="1"/>
  <c r="M49" i="1" s="1"/>
  <c r="M54" i="1" s="1"/>
  <c r="M120" i="1"/>
  <c r="N119" i="1"/>
  <c r="O119" i="1"/>
  <c r="P119" i="1"/>
  <c r="Q119" i="1"/>
  <c r="M119" i="1"/>
  <c r="O69" i="1"/>
  <c r="O71" i="1" s="1"/>
  <c r="O72" i="1" s="1"/>
  <c r="N67" i="1"/>
  <c r="O67" i="1"/>
  <c r="P67" i="1"/>
  <c r="Q67" i="1"/>
  <c r="M67" i="1"/>
  <c r="N63" i="1"/>
  <c r="O63" i="1"/>
  <c r="P63" i="1"/>
  <c r="Q63" i="1"/>
  <c r="M63" i="1"/>
  <c r="F180" i="1"/>
  <c r="F179" i="1"/>
  <c r="F178" i="1"/>
  <c r="F175" i="1"/>
  <c r="F146" i="1"/>
  <c r="F145" i="1"/>
  <c r="Q101" i="1"/>
  <c r="P101" i="1"/>
  <c r="O101" i="1"/>
  <c r="N101" i="1"/>
  <c r="M101" i="1"/>
  <c r="Q100" i="1"/>
  <c r="P100" i="1"/>
  <c r="O100" i="1"/>
  <c r="N100" i="1"/>
  <c r="M100" i="1"/>
  <c r="Q99" i="1"/>
  <c r="P99" i="1"/>
  <c r="O99" i="1"/>
  <c r="N99" i="1"/>
  <c r="M99" i="1"/>
  <c r="Q98" i="1"/>
  <c r="P98" i="1"/>
  <c r="O98" i="1"/>
  <c r="N98" i="1"/>
  <c r="M98" i="1"/>
  <c r="M65" i="1"/>
  <c r="N65" i="1" s="1"/>
  <c r="O65" i="1" s="1"/>
  <c r="P65" i="1" s="1"/>
  <c r="Q65" i="1" s="1"/>
  <c r="M62" i="1"/>
  <c r="N62" i="1" s="1"/>
  <c r="O62" i="1" s="1"/>
  <c r="P62" i="1" s="1"/>
  <c r="Q62" i="1" s="1"/>
  <c r="Q61" i="1"/>
  <c r="P61" i="1"/>
  <c r="O61" i="1"/>
  <c r="N61" i="1"/>
  <c r="M61" i="1"/>
  <c r="M56" i="1"/>
  <c r="N56" i="1" s="1"/>
  <c r="O56" i="1" s="1"/>
  <c r="P56" i="1" s="1"/>
  <c r="Q56" i="1" s="1"/>
  <c r="Q53" i="1"/>
  <c r="P53" i="1"/>
  <c r="O53" i="1"/>
  <c r="N53" i="1"/>
  <c r="M53" i="1"/>
  <c r="Q52" i="1"/>
  <c r="P52" i="1"/>
  <c r="O52" i="1"/>
  <c r="N52" i="1"/>
  <c r="M52" i="1"/>
  <c r="Q51" i="1"/>
  <c r="P51" i="1"/>
  <c r="O51" i="1"/>
  <c r="N51" i="1"/>
  <c r="M51" i="1"/>
  <c r="N50" i="1"/>
  <c r="O50" i="1" s="1"/>
  <c r="P50" i="1" s="1"/>
  <c r="Q50" i="1" s="1"/>
  <c r="M50" i="1"/>
  <c r="M72" i="1" l="1"/>
  <c r="O120" i="1"/>
  <c r="O121" i="1" s="1"/>
  <c r="N120" i="1"/>
  <c r="N72" i="1"/>
  <c r="F147" i="1"/>
  <c r="G145" i="1" s="1"/>
  <c r="O49" i="1" l="1"/>
  <c r="O54" i="1" s="1"/>
  <c r="P120" i="1"/>
  <c r="P121" i="1" s="1"/>
  <c r="G147" i="1"/>
  <c r="G146" i="1"/>
  <c r="P49" i="1" l="1"/>
  <c r="P54" i="1" s="1"/>
  <c r="Q120" i="1"/>
  <c r="Q121" i="1" s="1"/>
  <c r="Q49" i="1" s="1"/>
  <c r="Q54" i="1" s="1"/>
  <c r="S12" i="1"/>
  <c r="M21" i="1"/>
  <c r="M22" i="1" s="1"/>
  <c r="M23" i="1" s="1"/>
  <c r="M24" i="1" s="1"/>
  <c r="Q28" i="1"/>
  <c r="P28" i="1"/>
  <c r="O28" i="1"/>
  <c r="Q27" i="1"/>
  <c r="P27" i="1"/>
  <c r="O27" i="1"/>
  <c r="N27" i="1"/>
  <c r="Q26" i="1"/>
  <c r="P26" i="1"/>
  <c r="O26" i="1"/>
  <c r="N26" i="1"/>
  <c r="N28" i="1" s="1"/>
  <c r="M28" i="1"/>
  <c r="M27" i="1"/>
  <c r="M26" i="1"/>
  <c r="Q21" i="1"/>
  <c r="Q22" i="1" s="1"/>
  <c r="Q23" i="1" s="1"/>
  <c r="Q24" i="1" s="1"/>
  <c r="P21" i="1"/>
  <c r="P22" i="1" s="1"/>
  <c r="P23" i="1" s="1"/>
  <c r="P24" i="1" s="1"/>
  <c r="O21" i="1"/>
  <c r="O22" i="1" s="1"/>
  <c r="O23" i="1" s="1"/>
  <c r="O24" i="1" s="1"/>
  <c r="N21" i="1"/>
  <c r="N22" i="1" s="1"/>
  <c r="N23" i="1" s="1"/>
  <c r="N24" i="1" s="1"/>
  <c r="Q18" i="1"/>
  <c r="P18" i="1"/>
  <c r="O18" i="1"/>
  <c r="N18" i="1"/>
  <c r="M18" i="1"/>
  <c r="Q17" i="1"/>
  <c r="P17" i="1"/>
  <c r="O17" i="1"/>
  <c r="N17" i="1"/>
  <c r="Q16" i="1"/>
  <c r="P16" i="1"/>
  <c r="O16" i="1"/>
  <c r="N16" i="1"/>
  <c r="M17" i="1"/>
  <c r="M16" i="1"/>
  <c r="Q14" i="1"/>
  <c r="P14" i="1"/>
  <c r="O14" i="1"/>
  <c r="N14" i="1"/>
  <c r="M14" i="1"/>
  <c r="Q13" i="1"/>
  <c r="P13" i="1"/>
  <c r="O13" i="1"/>
  <c r="N13" i="1"/>
  <c r="M13" i="1"/>
  <c r="N12" i="1"/>
  <c r="O12" i="1" s="1"/>
  <c r="P12" i="1" s="1"/>
  <c r="Q12" i="1" s="1"/>
  <c r="M12" i="1"/>
  <c r="L259" i="4"/>
  <c r="K259" i="4"/>
  <c r="J259" i="4"/>
  <c r="I259" i="4"/>
  <c r="L258" i="4"/>
  <c r="K258" i="4"/>
  <c r="J258" i="4"/>
  <c r="I258" i="4"/>
  <c r="L255" i="4"/>
  <c r="K255" i="4"/>
  <c r="J255" i="4"/>
  <c r="I255" i="4"/>
  <c r="L254" i="4"/>
  <c r="K254" i="4"/>
  <c r="J254" i="4"/>
  <c r="I254" i="4"/>
  <c r="L253" i="4"/>
  <c r="K253" i="4"/>
  <c r="J253" i="4"/>
  <c r="I253" i="4"/>
  <c r="L250" i="4"/>
  <c r="K250" i="4"/>
  <c r="J250" i="4"/>
  <c r="L249" i="4"/>
  <c r="K249" i="4"/>
  <c r="J249" i="4"/>
  <c r="L246" i="4"/>
  <c r="K246" i="4"/>
  <c r="J246" i="4"/>
  <c r="I246" i="4"/>
  <c r="L245" i="4"/>
  <c r="K245" i="4"/>
  <c r="J245" i="4"/>
  <c r="I245" i="4"/>
  <c r="L242" i="4"/>
  <c r="K242" i="4"/>
  <c r="J242" i="4"/>
  <c r="I242" i="4"/>
  <c r="L241" i="4"/>
  <c r="K241" i="4"/>
  <c r="J241" i="4"/>
  <c r="I241" i="4"/>
  <c r="L240" i="4"/>
  <c r="K240" i="4"/>
  <c r="J240" i="4"/>
  <c r="I240" i="4"/>
  <c r="N237" i="4"/>
  <c r="M237" i="4"/>
  <c r="L237" i="4"/>
  <c r="J224" i="4"/>
  <c r="K224" i="4" s="1"/>
  <c r="D220" i="4"/>
  <c r="P218" i="4"/>
  <c r="O218" i="4"/>
  <c r="N218" i="4"/>
  <c r="M218" i="4"/>
  <c r="L218" i="4"/>
  <c r="K218" i="4"/>
  <c r="P217" i="4"/>
  <c r="O217" i="4"/>
  <c r="N217" i="4"/>
  <c r="M217" i="4"/>
  <c r="L217" i="4"/>
  <c r="K217" i="4"/>
  <c r="P216" i="4"/>
  <c r="O216" i="4"/>
  <c r="N216" i="4"/>
  <c r="N220" i="4" s="1"/>
  <c r="I227" i="4" s="1"/>
  <c r="J227" i="4" s="1"/>
  <c r="K227" i="4" s="1"/>
  <c r="M216" i="4"/>
  <c r="L216" i="4"/>
  <c r="K216" i="4"/>
  <c r="K220" i="4" s="1"/>
  <c r="I226" i="4" s="1"/>
  <c r="J226" i="4" s="1"/>
  <c r="K226" i="4" s="1"/>
  <c r="P215" i="4"/>
  <c r="O215" i="4"/>
  <c r="N215" i="4"/>
  <c r="M215" i="4"/>
  <c r="L215" i="4"/>
  <c r="K215" i="4"/>
  <c r="G200" i="4"/>
  <c r="G199" i="4"/>
  <c r="G198" i="4"/>
  <c r="G202" i="4" s="1"/>
  <c r="G197" i="4"/>
  <c r="J194" i="4"/>
  <c r="I185" i="4"/>
  <c r="I186" i="4" s="1"/>
  <c r="I183" i="4"/>
  <c r="I182" i="4" s="1"/>
  <c r="N181" i="4"/>
  <c r="M181" i="4"/>
  <c r="K181" i="4"/>
  <c r="J181" i="4" s="1"/>
  <c r="F180" i="4"/>
  <c r="G201" i="4" s="1"/>
  <c r="F179" i="4"/>
  <c r="K168" i="4"/>
  <c r="L168" i="4" s="1"/>
  <c r="M168" i="4" s="1"/>
  <c r="J168" i="4"/>
  <c r="I164" i="4"/>
  <c r="D160" i="4"/>
  <c r="J157" i="4"/>
  <c r="I157" i="4"/>
  <c r="F146" i="4"/>
  <c r="K141" i="4"/>
  <c r="F145" i="4" s="1"/>
  <c r="G141" i="4"/>
  <c r="L140" i="4"/>
  <c r="M140" i="4" s="1"/>
  <c r="L139" i="4"/>
  <c r="M139" i="4" s="1"/>
  <c r="M138" i="4"/>
  <c r="L138" i="4"/>
  <c r="G138" i="4"/>
  <c r="L137" i="4"/>
  <c r="M137" i="4" s="1"/>
  <c r="K137" i="4"/>
  <c r="L136" i="4"/>
  <c r="M136" i="4" s="1"/>
  <c r="M141" i="4" s="1"/>
  <c r="N126" i="4"/>
  <c r="M120" i="4"/>
  <c r="O113" i="4"/>
  <c r="P113" i="4" s="1"/>
  <c r="N113" i="4"/>
  <c r="Q112" i="4"/>
  <c r="P112" i="4"/>
  <c r="O112" i="4"/>
  <c r="N112" i="4"/>
  <c r="M112" i="4"/>
  <c r="N107" i="4"/>
  <c r="O107" i="4" s="1"/>
  <c r="P107" i="4" s="1"/>
  <c r="Q107" i="4" s="1"/>
  <c r="M106" i="4"/>
  <c r="N96" i="4"/>
  <c r="O96" i="4" s="1"/>
  <c r="P96" i="4" s="1"/>
  <c r="Q96" i="4" s="1"/>
  <c r="N82" i="4"/>
  <c r="O82" i="4" s="1"/>
  <c r="P82" i="4" s="1"/>
  <c r="Q82" i="4" s="1"/>
  <c r="N81" i="4"/>
  <c r="O81" i="4" s="1"/>
  <c r="N78" i="4"/>
  <c r="O78" i="4" s="1"/>
  <c r="N77" i="4"/>
  <c r="O77" i="4" s="1"/>
  <c r="M77" i="4"/>
  <c r="N76" i="4"/>
  <c r="O76" i="4" s="1"/>
  <c r="M65" i="4"/>
  <c r="M62" i="4"/>
  <c r="N62" i="4" s="1"/>
  <c r="M50" i="4"/>
  <c r="N39" i="4"/>
  <c r="O39" i="4" s="1"/>
  <c r="P39" i="4" s="1"/>
  <c r="Q39" i="4" s="1"/>
  <c r="N36" i="4"/>
  <c r="O36" i="4" s="1"/>
  <c r="N35" i="4"/>
  <c r="O35" i="4" s="1"/>
  <c r="O34" i="4"/>
  <c r="P34" i="4" s="1"/>
  <c r="N34" i="4"/>
  <c r="N33" i="4"/>
  <c r="O33" i="4" s="1"/>
  <c r="S32" i="4"/>
  <c r="N32" i="4"/>
  <c r="O32" i="4" s="1"/>
  <c r="P32" i="4" s="1"/>
  <c r="M12" i="4"/>
  <c r="N10" i="4"/>
  <c r="P206" i="4" s="1"/>
  <c r="M10" i="4"/>
  <c r="O206" i="4" s="1"/>
  <c r="K10" i="4"/>
  <c r="K237" i="4" s="1"/>
  <c r="K137" i="1"/>
  <c r="J220" i="4" l="1"/>
  <c r="I224" i="4"/>
  <c r="J199" i="4"/>
  <c r="J198" i="4"/>
  <c r="F147" i="4"/>
  <c r="G146" i="4" s="1"/>
  <c r="P36" i="4"/>
  <c r="O62" i="4"/>
  <c r="N102" i="4"/>
  <c r="M52" i="4"/>
  <c r="P77" i="4"/>
  <c r="P78" i="4"/>
  <c r="P35" i="4"/>
  <c r="M38" i="4"/>
  <c r="G140" i="4"/>
  <c r="G142" i="4" s="1"/>
  <c r="M14" i="4"/>
  <c r="Q113" i="4"/>
  <c r="P76" i="4"/>
  <c r="P81" i="4"/>
  <c r="P33" i="4"/>
  <c r="Q34" i="4"/>
  <c r="M53" i="4"/>
  <c r="K194" i="4"/>
  <c r="M51" i="4"/>
  <c r="M102" i="4"/>
  <c r="O126" i="4"/>
  <c r="F178" i="4"/>
  <c r="L194" i="4"/>
  <c r="N50" i="4"/>
  <c r="N65" i="4"/>
  <c r="M47" i="4"/>
  <c r="M17" i="4"/>
  <c r="M95" i="4" s="1"/>
  <c r="N47" i="4"/>
  <c r="L141" i="4"/>
  <c r="K196" i="4"/>
  <c r="L220" i="4" s="1"/>
  <c r="N12" i="4"/>
  <c r="N51" i="4" s="1"/>
  <c r="M108" i="4"/>
  <c r="M109" i="4" s="1"/>
  <c r="I220" i="4"/>
  <c r="M13" i="4"/>
  <c r="M91" i="4"/>
  <c r="M16" i="4"/>
  <c r="J10" i="4"/>
  <c r="M27" i="4"/>
  <c r="N91" i="4"/>
  <c r="L206" i="4"/>
  <c r="M80" i="4"/>
  <c r="N80" i="4" s="1"/>
  <c r="M206" i="4"/>
  <c r="O10" i="4"/>
  <c r="O80" i="4" l="1"/>
  <c r="N79" i="4"/>
  <c r="N106" i="4" s="1"/>
  <c r="N38" i="4"/>
  <c r="M21" i="4"/>
  <c r="M18" i="4"/>
  <c r="M240" i="4"/>
  <c r="Q35" i="4"/>
  <c r="Q33" i="4"/>
  <c r="N14" i="4"/>
  <c r="L196" i="4"/>
  <c r="O12" i="4"/>
  <c r="N249" i="4"/>
  <c r="N16" i="4"/>
  <c r="N53" i="4"/>
  <c r="N27" i="4"/>
  <c r="G145" i="4"/>
  <c r="G147" i="4" s="1"/>
  <c r="O65" i="4"/>
  <c r="N13" i="4"/>
  <c r="Q81" i="4"/>
  <c r="M99" i="4"/>
  <c r="G149" i="4"/>
  <c r="Q78" i="4"/>
  <c r="M56" i="4"/>
  <c r="M37" i="4"/>
  <c r="I162" i="4"/>
  <c r="M94" i="4"/>
  <c r="J237" i="4"/>
  <c r="I10" i="4"/>
  <c r="I237" i="4" s="1"/>
  <c r="O50" i="4"/>
  <c r="O108" i="4" s="1"/>
  <c r="Q77" i="4"/>
  <c r="N17" i="4"/>
  <c r="N95" i="4" s="1"/>
  <c r="Q36" i="4"/>
  <c r="M98" i="4"/>
  <c r="N98" i="4"/>
  <c r="N100" i="4"/>
  <c r="M100" i="4"/>
  <c r="K198" i="4"/>
  <c r="O47" i="4"/>
  <c r="M194" i="4"/>
  <c r="O237" i="4"/>
  <c r="K157" i="4"/>
  <c r="P10" i="4"/>
  <c r="O91" i="4"/>
  <c r="M249" i="4"/>
  <c r="M61" i="4"/>
  <c r="P126" i="4"/>
  <c r="Q76" i="4"/>
  <c r="O102" i="4"/>
  <c r="P62" i="4"/>
  <c r="N108" i="4"/>
  <c r="J224" i="1"/>
  <c r="K224" i="1" s="1"/>
  <c r="D220" i="1"/>
  <c r="N220" i="1"/>
  <c r="I227" i="1" s="1"/>
  <c r="K220" i="1"/>
  <c r="I226" i="1" s="1"/>
  <c r="S32" i="1"/>
  <c r="N32" i="1" s="1"/>
  <c r="L249" i="1"/>
  <c r="K249" i="1"/>
  <c r="J249" i="1"/>
  <c r="L237" i="1"/>
  <c r="G197" i="1"/>
  <c r="G198" i="1" s="1"/>
  <c r="J194" i="1"/>
  <c r="I185" i="1"/>
  <c r="I186" i="1" s="1"/>
  <c r="I183" i="1"/>
  <c r="I182" i="1" s="1"/>
  <c r="M181" i="1"/>
  <c r="N181" i="1" s="1"/>
  <c r="K181" i="1"/>
  <c r="J181" i="1" s="1"/>
  <c r="G201" i="1"/>
  <c r="J168" i="1"/>
  <c r="K168" i="1" s="1"/>
  <c r="L168" i="1" s="1"/>
  <c r="M168" i="1" s="1"/>
  <c r="D160" i="1"/>
  <c r="K141" i="1"/>
  <c r="G141" i="1"/>
  <c r="N126" i="1"/>
  <c r="O126" i="1" s="1"/>
  <c r="N113" i="1"/>
  <c r="O113" i="1" s="1"/>
  <c r="P113" i="1" s="1"/>
  <c r="Q112" i="1"/>
  <c r="P112" i="1"/>
  <c r="O112" i="1"/>
  <c r="N112" i="1"/>
  <c r="M112" i="1"/>
  <c r="N107" i="1"/>
  <c r="O107" i="1" s="1"/>
  <c r="P107" i="1" s="1"/>
  <c r="Q107" i="1" s="1"/>
  <c r="M106" i="1"/>
  <c r="I164" i="1" s="1"/>
  <c r="N96" i="1"/>
  <c r="O96" i="1" s="1"/>
  <c r="P96" i="1" s="1"/>
  <c r="Q96" i="1" s="1"/>
  <c r="M102" i="1"/>
  <c r="K246" i="1"/>
  <c r="M108" i="1"/>
  <c r="G200" i="1"/>
  <c r="N39" i="1"/>
  <c r="O39" i="1" s="1"/>
  <c r="P39" i="1" s="1"/>
  <c r="Q39" i="1" s="1"/>
  <c r="N36" i="1"/>
  <c r="N35" i="1"/>
  <c r="O35" i="1" s="1"/>
  <c r="N34" i="1"/>
  <c r="O34" i="1" s="1"/>
  <c r="P34" i="1" s="1"/>
  <c r="Q34" i="1" s="1"/>
  <c r="N33" i="1"/>
  <c r="I240" i="1"/>
  <c r="M10" i="1"/>
  <c r="M237" i="1" s="1"/>
  <c r="K10" i="1"/>
  <c r="N18" i="4" l="1"/>
  <c r="N240" i="4"/>
  <c r="N52" i="4"/>
  <c r="N61" i="4"/>
  <c r="P65" i="4"/>
  <c r="M242" i="4"/>
  <c r="M22" i="4"/>
  <c r="M26" i="4"/>
  <c r="M167" i="4"/>
  <c r="M169" i="4" s="1"/>
  <c r="L167" i="4"/>
  <c r="L169" i="4" s="1"/>
  <c r="K167" i="4"/>
  <c r="K169" i="4" s="1"/>
  <c r="J167" i="4"/>
  <c r="J169" i="4" s="1"/>
  <c r="I167" i="4"/>
  <c r="I169" i="4" s="1"/>
  <c r="M63" i="4"/>
  <c r="M67" i="4" s="1"/>
  <c r="M101" i="4"/>
  <c r="I163" i="4" s="1"/>
  <c r="P50" i="4"/>
  <c r="P108" i="4"/>
  <c r="M196" i="4"/>
  <c r="M198" i="4" s="1"/>
  <c r="O16" i="4"/>
  <c r="P12" i="4"/>
  <c r="O51" i="4"/>
  <c r="O249" i="4" s="1"/>
  <c r="O27" i="4"/>
  <c r="O13" i="4"/>
  <c r="O17" i="4"/>
  <c r="O95" i="4" s="1"/>
  <c r="O53" i="4"/>
  <c r="M250" i="4"/>
  <c r="P91" i="4"/>
  <c r="P47" i="4"/>
  <c r="Q10" i="4"/>
  <c r="L157" i="4"/>
  <c r="P237" i="4"/>
  <c r="N21" i="4"/>
  <c r="O38" i="4"/>
  <c r="L198" i="4"/>
  <c r="M220" i="4"/>
  <c r="N37" i="4"/>
  <c r="J162" i="4"/>
  <c r="N94" i="4"/>
  <c r="N109" i="4"/>
  <c r="J164" i="4"/>
  <c r="Q126" i="4"/>
  <c r="Q62" i="4"/>
  <c r="Q102" i="4" s="1"/>
  <c r="P102" i="4"/>
  <c r="O100" i="4"/>
  <c r="O79" i="4"/>
  <c r="O106" i="4" s="1"/>
  <c r="P80" i="4"/>
  <c r="N56" i="4"/>
  <c r="O56" i="4" s="1"/>
  <c r="K196" i="1"/>
  <c r="L220" i="1" s="1"/>
  <c r="J227" i="1"/>
  <c r="K227" i="1" s="1"/>
  <c r="J226" i="1"/>
  <c r="K226" i="1" s="1"/>
  <c r="J10" i="1"/>
  <c r="L140" i="1"/>
  <c r="M140" i="1" s="1"/>
  <c r="N82" i="1"/>
  <c r="O82" i="1" s="1"/>
  <c r="P82" i="1" s="1"/>
  <c r="Q82" i="1" s="1"/>
  <c r="M47" i="1"/>
  <c r="M109" i="1"/>
  <c r="I245" i="1"/>
  <c r="M95" i="1"/>
  <c r="J245" i="1"/>
  <c r="M80" i="1"/>
  <c r="N80" i="1" s="1"/>
  <c r="O80" i="1" s="1"/>
  <c r="N108" i="1"/>
  <c r="N78" i="1"/>
  <c r="J240" i="1"/>
  <c r="P126" i="1"/>
  <c r="N76" i="1"/>
  <c r="L240" i="1"/>
  <c r="Q113" i="1"/>
  <c r="O32" i="1"/>
  <c r="P32" i="1" s="1"/>
  <c r="P35" i="1"/>
  <c r="K245" i="1"/>
  <c r="O33" i="1"/>
  <c r="L138" i="1"/>
  <c r="M138" i="1" s="1"/>
  <c r="L139" i="1"/>
  <c r="M139" i="1" s="1"/>
  <c r="J250" i="1"/>
  <c r="K250" i="1"/>
  <c r="I220" i="1"/>
  <c r="M91" i="1"/>
  <c r="O206" i="1"/>
  <c r="L206" i="1"/>
  <c r="G199" i="1"/>
  <c r="M77" i="1"/>
  <c r="L250" i="1"/>
  <c r="O36" i="1"/>
  <c r="L136" i="1"/>
  <c r="N10" i="1"/>
  <c r="I157" i="1"/>
  <c r="L137" i="1"/>
  <c r="M137" i="1" s="1"/>
  <c r="K194" i="1"/>
  <c r="K237" i="1"/>
  <c r="M23" i="4" l="1"/>
  <c r="M24" i="4"/>
  <c r="Q12" i="4"/>
  <c r="P16" i="4"/>
  <c r="P53" i="4"/>
  <c r="P51" i="4"/>
  <c r="P17" i="4"/>
  <c r="P95" i="4" s="1"/>
  <c r="P13" i="4"/>
  <c r="P27" i="4"/>
  <c r="Q65" i="4"/>
  <c r="O52" i="4"/>
  <c r="O61" i="4"/>
  <c r="Q80" i="4"/>
  <c r="Q79" i="4" s="1"/>
  <c r="Q106" i="4" s="1"/>
  <c r="P79" i="4"/>
  <c r="P106" i="4" s="1"/>
  <c r="I159" i="4"/>
  <c r="M28" i="4"/>
  <c r="O37" i="4"/>
  <c r="K162" i="4"/>
  <c r="O94" i="4"/>
  <c r="Q91" i="4"/>
  <c r="Q47" i="4"/>
  <c r="S10" i="4"/>
  <c r="S12" i="4"/>
  <c r="M157" i="4"/>
  <c r="Q237" i="4"/>
  <c r="Q108" i="4"/>
  <c r="Q50" i="4"/>
  <c r="N63" i="4"/>
  <c r="N67" i="4" s="1"/>
  <c r="N101" i="4"/>
  <c r="O98" i="4"/>
  <c r="O99" i="4"/>
  <c r="N99" i="4"/>
  <c r="J163" i="4" s="1"/>
  <c r="K164" i="4"/>
  <c r="O109" i="4"/>
  <c r="N250" i="4"/>
  <c r="O14" i="4"/>
  <c r="P38" i="4"/>
  <c r="O21" i="4"/>
  <c r="P100" i="4"/>
  <c r="N242" i="4"/>
  <c r="N26" i="4"/>
  <c r="M94" i="1"/>
  <c r="J237" i="1"/>
  <c r="I162" i="1"/>
  <c r="J246" i="1"/>
  <c r="I10" i="1"/>
  <c r="L245" i="1"/>
  <c r="I246" i="1"/>
  <c r="M37" i="1"/>
  <c r="O108" i="1"/>
  <c r="N79" i="1"/>
  <c r="N106" i="1" s="1"/>
  <c r="N94" i="1"/>
  <c r="N95" i="1"/>
  <c r="P36" i="1"/>
  <c r="L242" i="1"/>
  <c r="O76" i="1"/>
  <c r="N77" i="1"/>
  <c r="J242" i="1"/>
  <c r="L246" i="1"/>
  <c r="N102" i="1"/>
  <c r="P80" i="1"/>
  <c r="M136" i="1"/>
  <c r="M141" i="1" s="1"/>
  <c r="M38" i="1" s="1"/>
  <c r="N38" i="1" s="1"/>
  <c r="O38" i="1" s="1"/>
  <c r="P38" i="1" s="1"/>
  <c r="Q38" i="1" s="1"/>
  <c r="L141" i="1"/>
  <c r="K240" i="1"/>
  <c r="N81" i="1"/>
  <c r="Q35" i="1"/>
  <c r="P33" i="1"/>
  <c r="I242" i="1"/>
  <c r="Q126" i="1"/>
  <c r="O78" i="1"/>
  <c r="P206" i="1"/>
  <c r="M206" i="1"/>
  <c r="O10" i="1"/>
  <c r="J157" i="1"/>
  <c r="N91" i="1"/>
  <c r="N47" i="1"/>
  <c r="N237" i="1"/>
  <c r="L194" i="1"/>
  <c r="L196" i="1"/>
  <c r="M220" i="1" s="1"/>
  <c r="L162" i="4" l="1"/>
  <c r="P94" i="4"/>
  <c r="P37" i="4"/>
  <c r="P52" i="4"/>
  <c r="P61" i="4"/>
  <c r="Q98" i="4"/>
  <c r="K197" i="4"/>
  <c r="M259" i="4"/>
  <c r="M258" i="4"/>
  <c r="M241" i="4"/>
  <c r="M255" i="4"/>
  <c r="Q100" i="4"/>
  <c r="J159" i="4"/>
  <c r="N28" i="4"/>
  <c r="P98" i="4"/>
  <c r="I161" i="4"/>
  <c r="I165" i="4" s="1"/>
  <c r="I171" i="4" s="1"/>
  <c r="I160" i="4"/>
  <c r="J174" i="4"/>
  <c r="D175" i="4"/>
  <c r="O18" i="4"/>
  <c r="O240" i="4"/>
  <c r="P109" i="4"/>
  <c r="L164" i="4"/>
  <c r="Q249" i="4"/>
  <c r="Q16" i="4"/>
  <c r="Q13" i="4"/>
  <c r="Q51" i="4"/>
  <c r="Q53" i="4"/>
  <c r="Q17" i="4"/>
  <c r="Q95" i="4" s="1"/>
  <c r="Q27" i="4"/>
  <c r="Q109" i="4"/>
  <c r="M164" i="4"/>
  <c r="P14" i="4"/>
  <c r="N23" i="4"/>
  <c r="N24" i="4"/>
  <c r="O101" i="4"/>
  <c r="K163" i="4" s="1"/>
  <c r="O63" i="4"/>
  <c r="O67" i="4" s="1"/>
  <c r="P249" i="4"/>
  <c r="P99" i="4"/>
  <c r="M93" i="4"/>
  <c r="M104" i="4" s="1"/>
  <c r="M119" i="4" s="1"/>
  <c r="M121" i="4" s="1"/>
  <c r="M49" i="4" s="1"/>
  <c r="M69" i="4"/>
  <c r="M114" i="4"/>
  <c r="M116" i="4" s="1"/>
  <c r="P21" i="4"/>
  <c r="Q38" i="4"/>
  <c r="Q21" i="4" s="1"/>
  <c r="P56" i="4"/>
  <c r="Q56" i="4" s="1"/>
  <c r="O250" i="4"/>
  <c r="I224" i="1"/>
  <c r="I159" i="1"/>
  <c r="I160" i="1" s="1"/>
  <c r="I161" i="1" s="1"/>
  <c r="J220" i="1"/>
  <c r="P108" i="1"/>
  <c r="I237" i="1"/>
  <c r="L254" i="1"/>
  <c r="L253" i="1"/>
  <c r="J164" i="1"/>
  <c r="N109" i="1"/>
  <c r="N37" i="1"/>
  <c r="O79" i="1"/>
  <c r="O106" i="1" s="1"/>
  <c r="O109" i="1" s="1"/>
  <c r="J162" i="1"/>
  <c r="O94" i="1"/>
  <c r="K162" i="1"/>
  <c r="P78" i="1"/>
  <c r="G140" i="1"/>
  <c r="L259" i="1"/>
  <c r="L258" i="1"/>
  <c r="L255" i="1"/>
  <c r="L241" i="1"/>
  <c r="J259" i="1"/>
  <c r="J241" i="1"/>
  <c r="J258" i="1"/>
  <c r="J255" i="1"/>
  <c r="I241" i="1"/>
  <c r="I259" i="1"/>
  <c r="I255" i="1"/>
  <c r="I258" i="1"/>
  <c r="Q80" i="1"/>
  <c r="Q36" i="1"/>
  <c r="J253" i="1"/>
  <c r="J254" i="1"/>
  <c r="K253" i="1"/>
  <c r="K254" i="1"/>
  <c r="P10" i="1"/>
  <c r="O91" i="1"/>
  <c r="O47" i="1"/>
  <c r="O237" i="1"/>
  <c r="M194" i="1"/>
  <c r="K157" i="1"/>
  <c r="O102" i="1"/>
  <c r="O77" i="1"/>
  <c r="K242" i="1"/>
  <c r="O81" i="1"/>
  <c r="Q33" i="1"/>
  <c r="M196" i="1"/>
  <c r="O95" i="1"/>
  <c r="P76" i="1"/>
  <c r="K199" i="4" l="1"/>
  <c r="O220" i="4"/>
  <c r="M253" i="4"/>
  <c r="M254" i="4"/>
  <c r="M71" i="4"/>
  <c r="Q61" i="4"/>
  <c r="Q52" i="4"/>
  <c r="Q99" i="4" s="1"/>
  <c r="P240" i="4"/>
  <c r="P18" i="4"/>
  <c r="O242" i="4"/>
  <c r="O22" i="4"/>
  <c r="O26" i="4"/>
  <c r="P63" i="4"/>
  <c r="P67" i="4" s="1"/>
  <c r="P101" i="4"/>
  <c r="N120" i="4"/>
  <c r="M246" i="4"/>
  <c r="M54" i="4"/>
  <c r="N93" i="4"/>
  <c r="N104" i="4" s="1"/>
  <c r="N114" i="4"/>
  <c r="N116" i="4" s="1"/>
  <c r="P250" i="4"/>
  <c r="L163" i="4"/>
  <c r="L197" i="4"/>
  <c r="N259" i="4"/>
  <c r="N258" i="4"/>
  <c r="N241" i="4"/>
  <c r="N255" i="4"/>
  <c r="Q14" i="4"/>
  <c r="Q37" i="4"/>
  <c r="M162" i="4"/>
  <c r="Q94" i="4"/>
  <c r="J160" i="4"/>
  <c r="J161" i="4"/>
  <c r="J165" i="4" s="1"/>
  <c r="J171" i="4" s="1"/>
  <c r="J159" i="1"/>
  <c r="Q108" i="1"/>
  <c r="I253" i="1"/>
  <c r="I254" i="1"/>
  <c r="O37" i="1"/>
  <c r="K164" i="1"/>
  <c r="I163" i="1"/>
  <c r="I165" i="1" s="1"/>
  <c r="P94" i="1"/>
  <c r="L162" i="1"/>
  <c r="Q102" i="1"/>
  <c r="P102" i="1"/>
  <c r="P81" i="1"/>
  <c r="Q78" i="1"/>
  <c r="P77" i="1"/>
  <c r="Q76" i="1"/>
  <c r="P95" i="1"/>
  <c r="Q10" i="1"/>
  <c r="P91" i="1"/>
  <c r="P47" i="1"/>
  <c r="P237" i="1"/>
  <c r="L157" i="1"/>
  <c r="P79" i="1"/>
  <c r="P106" i="1" s="1"/>
  <c r="K259" i="1"/>
  <c r="K258" i="1"/>
  <c r="K255" i="1"/>
  <c r="K241" i="1"/>
  <c r="N119" i="4" l="1"/>
  <c r="N121" i="4" s="1"/>
  <c r="N49" i="4" s="1"/>
  <c r="O28" i="4"/>
  <c r="K159" i="4"/>
  <c r="Q63" i="4"/>
  <c r="Q67" i="4" s="1"/>
  <c r="Q101" i="4"/>
  <c r="M163" i="4" s="1"/>
  <c r="O23" i="4"/>
  <c r="O24" i="4"/>
  <c r="Q250" i="4"/>
  <c r="M59" i="4"/>
  <c r="M72" i="4" s="1"/>
  <c r="M245" i="4"/>
  <c r="P220" i="4"/>
  <c r="L199" i="4"/>
  <c r="N69" i="4"/>
  <c r="N246" i="4"/>
  <c r="O120" i="4"/>
  <c r="N54" i="4"/>
  <c r="P242" i="4"/>
  <c r="P22" i="4"/>
  <c r="P26" i="4"/>
  <c r="Q240" i="4"/>
  <c r="Q18" i="4"/>
  <c r="K197" i="1"/>
  <c r="L197" i="1"/>
  <c r="K159" i="1"/>
  <c r="L167" i="1"/>
  <c r="J167" i="1"/>
  <c r="I167" i="1"/>
  <c r="K167" i="1"/>
  <c r="M167" i="1"/>
  <c r="J163" i="1"/>
  <c r="Q77" i="1"/>
  <c r="K163" i="1"/>
  <c r="J160" i="1"/>
  <c r="J161" i="1" s="1"/>
  <c r="Q81" i="1"/>
  <c r="Q79" i="1"/>
  <c r="Q106" i="1" s="1"/>
  <c r="L164" i="1"/>
  <c r="P109" i="1"/>
  <c r="Q95" i="1"/>
  <c r="Q91" i="1"/>
  <c r="Q237" i="1"/>
  <c r="Q47" i="1"/>
  <c r="S10" i="1"/>
  <c r="M157" i="1"/>
  <c r="P37" i="1"/>
  <c r="O220" i="1" l="1"/>
  <c r="O93" i="4"/>
  <c r="O104" i="4" s="1"/>
  <c r="O114" i="4"/>
  <c r="O116" i="4" s="1"/>
  <c r="N245" i="4"/>
  <c r="N59" i="4"/>
  <c r="Q22" i="4"/>
  <c r="Q26" i="4"/>
  <c r="Q242" i="4"/>
  <c r="O69" i="4"/>
  <c r="N253" i="4"/>
  <c r="N254" i="4"/>
  <c r="N71" i="4"/>
  <c r="P28" i="4"/>
  <c r="L159" i="4"/>
  <c r="K160" i="4"/>
  <c r="K161" i="4" s="1"/>
  <c r="K165" i="4" s="1"/>
  <c r="K171" i="4" s="1"/>
  <c r="P23" i="4"/>
  <c r="P24" i="4"/>
  <c r="M197" i="4"/>
  <c r="M199" i="4" s="1"/>
  <c r="O259" i="4"/>
  <c r="O241" i="4"/>
  <c r="O258" i="4"/>
  <c r="O255" i="4"/>
  <c r="P220" i="1"/>
  <c r="J165" i="1"/>
  <c r="M93" i="1"/>
  <c r="M104" i="1" s="1"/>
  <c r="M114" i="1"/>
  <c r="Q37" i="1"/>
  <c r="Q94" i="1"/>
  <c r="M162" i="1"/>
  <c r="M164" i="1"/>
  <c r="Q109" i="1"/>
  <c r="L163" i="1"/>
  <c r="K160" i="1"/>
  <c r="K161" i="1" s="1"/>
  <c r="K165" i="1" s="1"/>
  <c r="J174" i="1"/>
  <c r="D175" i="1"/>
  <c r="M116" i="1" l="1"/>
  <c r="L160" i="4"/>
  <c r="L161" i="4" s="1"/>
  <c r="L165" i="4" s="1"/>
  <c r="L171" i="4" s="1"/>
  <c r="P259" i="4"/>
  <c r="P241" i="4"/>
  <c r="P258" i="4"/>
  <c r="P255" i="4"/>
  <c r="M159" i="4"/>
  <c r="Q28" i="4"/>
  <c r="Q23" i="4"/>
  <c r="Q24" i="4" s="1"/>
  <c r="N72" i="4"/>
  <c r="P93" i="4"/>
  <c r="P104" i="4" s="1"/>
  <c r="P114" i="4"/>
  <c r="P116" i="4" s="1"/>
  <c r="P69" i="4"/>
  <c r="O253" i="4"/>
  <c r="O254" i="4"/>
  <c r="O71" i="4"/>
  <c r="O119" i="4"/>
  <c r="O121" i="4" s="1"/>
  <c r="O49" i="4" s="1"/>
  <c r="M197" i="1"/>
  <c r="L159" i="1"/>
  <c r="L160" i="1" s="1"/>
  <c r="L161" i="1" s="1"/>
  <c r="L165" i="1" s="1"/>
  <c r="M163" i="1"/>
  <c r="N114" i="1"/>
  <c r="N116" i="1" s="1"/>
  <c r="N93" i="1"/>
  <c r="N104" i="1" s="1"/>
  <c r="Q93" i="4" l="1"/>
  <c r="Q104" i="4" s="1"/>
  <c r="Q114" i="4"/>
  <c r="Q116" i="4" s="1"/>
  <c r="Q69" i="4"/>
  <c r="P253" i="4"/>
  <c r="P254" i="4"/>
  <c r="P71" i="4"/>
  <c r="P120" i="4"/>
  <c r="O54" i="4"/>
  <c r="O246" i="4"/>
  <c r="P119" i="4"/>
  <c r="P121" i="4" s="1"/>
  <c r="P49" i="4" s="1"/>
  <c r="Q259" i="4"/>
  <c r="Q241" i="4"/>
  <c r="Q255" i="4"/>
  <c r="M161" i="4"/>
  <c r="M165" i="4" s="1"/>
  <c r="M160" i="4"/>
  <c r="O93" i="1"/>
  <c r="O104" i="1" s="1"/>
  <c r="O114" i="1"/>
  <c r="O116" i="1" s="1"/>
  <c r="M159" i="1"/>
  <c r="Q253" i="4" l="1"/>
  <c r="Q254" i="4"/>
  <c r="Q71" i="4"/>
  <c r="O59" i="4"/>
  <c r="O72" i="4" s="1"/>
  <c r="O245" i="4"/>
  <c r="M174" i="4"/>
  <c r="M176" i="4" s="1"/>
  <c r="F176" i="4" s="1"/>
  <c r="M177" i="4" s="1"/>
  <c r="M171" i="4"/>
  <c r="F175" i="4" s="1"/>
  <c r="Q120" i="4"/>
  <c r="P54" i="4"/>
  <c r="P246" i="4"/>
  <c r="Q119" i="4"/>
  <c r="Q121" i="4" s="1"/>
  <c r="Q49" i="4" s="1"/>
  <c r="P93" i="1"/>
  <c r="P104" i="1" s="1"/>
  <c r="P114" i="1"/>
  <c r="P116" i="1" s="1"/>
  <c r="Q93" i="1"/>
  <c r="Q104" i="1" s="1"/>
  <c r="Q114" i="1"/>
  <c r="Q116" i="1" s="1"/>
  <c r="M160" i="1"/>
  <c r="M161" i="1" s="1"/>
  <c r="M165" i="1" s="1"/>
  <c r="M174" i="1" s="1"/>
  <c r="P245" i="4" l="1"/>
  <c r="P59" i="4"/>
  <c r="P72" i="4" s="1"/>
  <c r="F177" i="4"/>
  <c r="Q54" i="4"/>
  <c r="M176" i="1"/>
  <c r="F176" i="1" s="1"/>
  <c r="F177" i="1" s="1"/>
  <c r="F181" i="1" s="1"/>
  <c r="Q245" i="4" l="1"/>
  <c r="Q59" i="4"/>
  <c r="Q72" i="4" s="1"/>
  <c r="F181" i="4"/>
  <c r="F183" i="4" s="1"/>
  <c r="I225" i="4"/>
  <c r="M177" i="1"/>
  <c r="I181" i="4" l="1"/>
  <c r="J225" i="4"/>
  <c r="K225" i="4" s="1"/>
  <c r="I225" i="1"/>
  <c r="I181" i="1" l="1"/>
  <c r="J225" i="1"/>
  <c r="K225" i="1" s="1"/>
</calcChain>
</file>

<file path=xl/sharedStrings.xml><?xml version="1.0" encoding="utf-8"?>
<sst xmlns="http://schemas.openxmlformats.org/spreadsheetml/2006/main" count="706" uniqueCount="235">
  <si>
    <t>Activsion Blizzard Inc.</t>
  </si>
  <si>
    <t>ATVI</t>
  </si>
  <si>
    <t>Task 1</t>
  </si>
  <si>
    <t>Income Statement</t>
  </si>
  <si>
    <t>Historical</t>
  </si>
  <si>
    <t>Projected</t>
  </si>
  <si>
    <t>CAGR</t>
  </si>
  <si>
    <t>Amounts in millions</t>
  </si>
  <si>
    <t>Units</t>
  </si>
  <si>
    <t>Revenue</t>
  </si>
  <si>
    <t>$m</t>
  </si>
  <si>
    <t>Cost of Sales</t>
  </si>
  <si>
    <t>Gross Profit</t>
  </si>
  <si>
    <t>Product Development</t>
  </si>
  <si>
    <t>Selling, General &amp; Administrative</t>
  </si>
  <si>
    <t>Operating Income</t>
  </si>
  <si>
    <t>± Non-operating income (expense)</t>
  </si>
  <si>
    <t>– Interest Expense</t>
  </si>
  <si>
    <t>Pretax Income</t>
  </si>
  <si>
    <t>– Tax Provision</t>
  </si>
  <si>
    <t>Net Income</t>
  </si>
  <si>
    <t>EBIT</t>
  </si>
  <si>
    <t>Depreciation &amp; Amortization</t>
  </si>
  <si>
    <t>EBITDA</t>
  </si>
  <si>
    <t>x</t>
  </si>
  <si>
    <t>Income Statement Drivers</t>
  </si>
  <si>
    <t>Step</t>
  </si>
  <si>
    <t>Revenue Growth</t>
  </si>
  <si>
    <t>%</t>
  </si>
  <si>
    <t>Cost of Sales % Revenues</t>
  </si>
  <si>
    <t>Product Development as % Revenues</t>
  </si>
  <si>
    <t>Selling, General and Administrative Expenses % Revenues</t>
  </si>
  <si>
    <t>D&amp;A as a % of Revenue</t>
  </si>
  <si>
    <t>D&amp;A as a % Capital Expenditures</t>
  </si>
  <si>
    <t>Interest Expense as a % of Total Debt</t>
  </si>
  <si>
    <t>Taxes % of Profit Before Tax</t>
  </si>
  <si>
    <t>Task 2</t>
  </si>
  <si>
    <t>Balance Sheet</t>
  </si>
  <si>
    <t>Total Cash</t>
  </si>
  <si>
    <t>Held-to-maturity investments</t>
  </si>
  <si>
    <t>Accounts Receivable</t>
  </si>
  <si>
    <t>Inventory</t>
  </si>
  <si>
    <t>Other Current Assets</t>
  </si>
  <si>
    <t>Total Current Assets</t>
  </si>
  <si>
    <t>Net Property, Plant &amp; Equipment (PPE)</t>
  </si>
  <si>
    <t>Other Non-Current Assets</t>
  </si>
  <si>
    <t>Goodwill</t>
  </si>
  <si>
    <t>Total Assets</t>
  </si>
  <si>
    <t>Accounts Payable</t>
  </si>
  <si>
    <t>Other Current Liabilities</t>
  </si>
  <si>
    <t>Total Current Liabilities</t>
  </si>
  <si>
    <t>Long Term Debt</t>
  </si>
  <si>
    <t>Deferred Tax Liabilities</t>
  </si>
  <si>
    <t>Total Liabilities</t>
  </si>
  <si>
    <t>Total Equity</t>
  </si>
  <si>
    <t xml:space="preserve">Total Liabilities and Equity </t>
  </si>
  <si>
    <t>Balance Sheet Parity Check</t>
  </si>
  <si>
    <t>Balance Sheet Drivers</t>
  </si>
  <si>
    <t>Accounts Receivable % Revenues</t>
  </si>
  <si>
    <t>Inventory % COGS</t>
  </si>
  <si>
    <t>Other Current Assets % Revenues</t>
  </si>
  <si>
    <t>Capital Expenditures</t>
  </si>
  <si>
    <t>Capital Expenditures % Revenue</t>
  </si>
  <si>
    <t>Accounts Payable % COGS</t>
  </si>
  <si>
    <t>Other Current Liabilities % Revenues</t>
  </si>
  <si>
    <t>LT Debt Repayment Schedule</t>
  </si>
  <si>
    <t>Task 3</t>
  </si>
  <si>
    <t>Cash Flow Statement</t>
  </si>
  <si>
    <t xml:space="preserve">Net Income </t>
  </si>
  <si>
    <t>$</t>
  </si>
  <si>
    <t>Stock Based Compensation</t>
  </si>
  <si>
    <t>Other</t>
  </si>
  <si>
    <t>Changes in operating assets and liabilities</t>
  </si>
  <si>
    <t>Account Receivables</t>
  </si>
  <si>
    <t>Other Operating Assets and Liabilities</t>
  </si>
  <si>
    <t>Cash Provided by Operating Activities:</t>
  </si>
  <si>
    <t>Purchase of available-for-sale investments</t>
  </si>
  <si>
    <t>Other investing activities</t>
  </si>
  <si>
    <t>Cash Flows from Investing Activities:</t>
  </si>
  <si>
    <t>Debt Issued</t>
  </si>
  <si>
    <t>Debt Repayments</t>
  </si>
  <si>
    <t>Common Stock Issued</t>
  </si>
  <si>
    <t>Dividends Paid</t>
  </si>
  <si>
    <t>Cash Flows from Financing Activities:</t>
  </si>
  <si>
    <t>Effect of foreign exchange rate changes</t>
  </si>
  <si>
    <t>Change in Cash</t>
  </si>
  <si>
    <t>Cash at Beginning of Period</t>
  </si>
  <si>
    <t>Cash at End of Period</t>
  </si>
  <si>
    <t>Cash Flow Drivers</t>
  </si>
  <si>
    <t>Stock based compensation % SG&amp;A</t>
  </si>
  <si>
    <t>Dividend Payout Ratio</t>
  </si>
  <si>
    <t>Task 4</t>
  </si>
  <si>
    <t>Discounted Cash Flow Analysis</t>
  </si>
  <si>
    <t>Weighted Average Cost of Capital</t>
  </si>
  <si>
    <t>Weighted average historical cost of debt</t>
  </si>
  <si>
    <r>
      <t>Risk free rate (R</t>
    </r>
    <r>
      <rPr>
        <vertAlign val="subscript"/>
        <sz val="10"/>
        <rFont val="Calibri"/>
        <family val="2"/>
        <scheme val="minor"/>
      </rPr>
      <t>f</t>
    </r>
    <r>
      <rPr>
        <sz val="11"/>
        <color theme="1"/>
        <rFont val="Calibri"/>
        <family val="2"/>
        <scheme val="minor"/>
      </rPr>
      <t>)</t>
    </r>
  </si>
  <si>
    <t>Rate</t>
  </si>
  <si>
    <t>Principal</t>
  </si>
  <si>
    <t>% total</t>
  </si>
  <si>
    <t>Weighted cost</t>
  </si>
  <si>
    <t>Equity Beta</t>
  </si>
  <si>
    <r>
      <t>Equity risk premium (R</t>
    </r>
    <r>
      <rPr>
        <vertAlign val="subscript"/>
        <sz val="10"/>
        <rFont val="Calibri"/>
        <family val="2"/>
        <scheme val="minor"/>
      </rPr>
      <t>m</t>
    </r>
    <r>
      <rPr>
        <sz val="11"/>
        <color theme="1"/>
        <rFont val="Calibri"/>
        <family val="2"/>
        <scheme val="minor"/>
      </rPr>
      <t xml:space="preserve"> - R</t>
    </r>
    <r>
      <rPr>
        <vertAlign val="subscript"/>
        <sz val="10"/>
        <rFont val="Calibri"/>
        <family val="2"/>
        <scheme val="minor"/>
      </rPr>
      <t>f</t>
    </r>
    <r>
      <rPr>
        <sz val="11"/>
        <color theme="1"/>
        <rFont val="Calibri"/>
        <family val="2"/>
        <scheme val="minor"/>
      </rPr>
      <t>)</t>
    </r>
  </si>
  <si>
    <r>
      <t>Cost of Equity (K</t>
    </r>
    <r>
      <rPr>
        <b/>
        <vertAlign val="subscript"/>
        <sz val="8"/>
        <rFont val="Calibri"/>
        <family val="2"/>
        <scheme val="minor"/>
      </rPr>
      <t>e</t>
    </r>
    <r>
      <rPr>
        <b/>
        <sz val="10"/>
        <rFont val="Calibri"/>
        <family val="2"/>
        <scheme val="minor"/>
      </rPr>
      <t>)</t>
    </r>
  </si>
  <si>
    <t>Cost of debt</t>
  </si>
  <si>
    <t>Tax rate</t>
  </si>
  <si>
    <r>
      <t>After-tax Cost of Debt (K</t>
    </r>
    <r>
      <rPr>
        <b/>
        <vertAlign val="subscript"/>
        <sz val="8"/>
        <rFont val="Calibri"/>
        <family val="2"/>
        <scheme val="minor"/>
      </rPr>
      <t>dt</t>
    </r>
    <r>
      <rPr>
        <b/>
        <sz val="10"/>
        <rFont val="Calibri"/>
        <family val="2"/>
        <scheme val="minor"/>
      </rPr>
      <t>)</t>
    </r>
  </si>
  <si>
    <t>Percentage of Capital</t>
  </si>
  <si>
    <t>Debt</t>
  </si>
  <si>
    <t>Equity</t>
  </si>
  <si>
    <t>Total capital</t>
  </si>
  <si>
    <t>(1) As of Jan-14-2022, based on the current 10-year U.S. Treasury Bond Yield</t>
  </si>
  <si>
    <t>(2) Based on a 5 year monthly equity beta</t>
  </si>
  <si>
    <t xml:space="preserve">(3) Implied ERP average yield last 20 years </t>
  </si>
  <si>
    <t>(4) Based on weighted average historical cost of debt</t>
  </si>
  <si>
    <t>Discounted Cash Flow</t>
  </si>
  <si>
    <t>Amounts in millions, except per share amount</t>
  </si>
  <si>
    <t>NOPAT</t>
  </si>
  <si>
    <t>+ Depreciation and Amortization</t>
  </si>
  <si>
    <t>± Changes in working capital</t>
  </si>
  <si>
    <t>– Capital expenditures</t>
  </si>
  <si>
    <t>Unlevered Free Cash Flows</t>
  </si>
  <si>
    <t>Discount rate</t>
  </si>
  <si>
    <t>Discount period</t>
  </si>
  <si>
    <t>#</t>
  </si>
  <si>
    <t>Discount factor</t>
  </si>
  <si>
    <t>Present Value of Unlevered Free Cash Flow</t>
  </si>
  <si>
    <t>DCF Value - Perpetuity Growth</t>
  </si>
  <si>
    <t>Terminal Value - Perpetuity Growth</t>
  </si>
  <si>
    <t>Perpetuity growth rate</t>
  </si>
  <si>
    <t>PV of Terminal Value</t>
  </si>
  <si>
    <t>Terminal Value</t>
  </si>
  <si>
    <t>Implied Enterprise Value</t>
  </si>
  <si>
    <t>Implied Exit Multiple</t>
  </si>
  <si>
    <t>Less: Debt</t>
  </si>
  <si>
    <t>Add: Cash</t>
  </si>
  <si>
    <t>Implied Value Per Share</t>
  </si>
  <si>
    <t>Steps</t>
  </si>
  <si>
    <t>Add: Held-to-Maturity Assets</t>
  </si>
  <si>
    <t>Perpetuity Growth Rate</t>
  </si>
  <si>
    <t>Perp. Growth</t>
  </si>
  <si>
    <t>Implied Equity Value</t>
  </si>
  <si>
    <t>Diluted shares</t>
  </si>
  <si>
    <t>WACC</t>
  </si>
  <si>
    <t>Comparable Company Analysis</t>
  </si>
  <si>
    <t>Enterprise Value</t>
  </si>
  <si>
    <t>Enterprise Value Multiples</t>
  </si>
  <si>
    <t>Amounts in millions as of Jan-14-2022</t>
  </si>
  <si>
    <t xml:space="preserve">Share price </t>
  </si>
  <si>
    <t>LTM Revenue</t>
  </si>
  <si>
    <t xml:space="preserve">Diluted Shares </t>
  </si>
  <si>
    <t xml:space="preserve">LTM EBITDA </t>
  </si>
  <si>
    <t>Equity Value</t>
  </si>
  <si>
    <t>EV / LTM Revenue</t>
  </si>
  <si>
    <t>Total Debt</t>
  </si>
  <si>
    <t>EV / LTM EBITDA</t>
  </si>
  <si>
    <t>Cash</t>
  </si>
  <si>
    <t>Held-to Maturity Assets</t>
  </si>
  <si>
    <t>Market</t>
  </si>
  <si>
    <t>Enterprise</t>
  </si>
  <si>
    <t xml:space="preserve">  Enterprise Value / Revenue</t>
  </si>
  <si>
    <t xml:space="preserve">  Enterprise Value / EBITDA</t>
  </si>
  <si>
    <t>Company</t>
  </si>
  <si>
    <t>Value</t>
  </si>
  <si>
    <t>LTM</t>
  </si>
  <si>
    <t>Nintendo Co., Ltd.</t>
  </si>
  <si>
    <t>Electronic Arts Inc.</t>
  </si>
  <si>
    <t>Take-Two Interactive Software, Inc.</t>
  </si>
  <si>
    <t>Roblox Corporation</t>
  </si>
  <si>
    <t>NMF</t>
  </si>
  <si>
    <t>Playtika Holding Corp.</t>
  </si>
  <si>
    <t>SciPlay Corporation</t>
  </si>
  <si>
    <t>PLAYSTUDIOS, Inc.</t>
  </si>
  <si>
    <t>Source: S&amp;P Capital IQ, and company information</t>
  </si>
  <si>
    <t xml:space="preserve">High </t>
  </si>
  <si>
    <t>Note: Share prices and foreign exchange rates as at Jan-14-2022</t>
  </si>
  <si>
    <t xml:space="preserve">Mean </t>
  </si>
  <si>
    <t xml:space="preserve">Median </t>
  </si>
  <si>
    <t xml:space="preserve">Low </t>
  </si>
  <si>
    <t>Bonus Task</t>
  </si>
  <si>
    <t>Ratios and Key Metrics</t>
  </si>
  <si>
    <t>Profitability</t>
  </si>
  <si>
    <t>Gross Profit Margin</t>
  </si>
  <si>
    <t>EBITDA Margin</t>
  </si>
  <si>
    <t>Operating Profit Margin</t>
  </si>
  <si>
    <t>Liquidity</t>
  </si>
  <si>
    <t>Current Ratio</t>
  </si>
  <si>
    <t>Quick Ratio (Acid Test)</t>
  </si>
  <si>
    <t xml:space="preserve">Activity </t>
  </si>
  <si>
    <t>Accounts Receivable Days Outstanding (DSO)</t>
  </si>
  <si>
    <t>Accounts Payable Days Outstanding (DPO)</t>
  </si>
  <si>
    <t>Leverage</t>
  </si>
  <si>
    <t>Debt to Equity</t>
  </si>
  <si>
    <t>Debt to Capital</t>
  </si>
  <si>
    <t>Debt / EBITDA</t>
  </si>
  <si>
    <t>Coverage</t>
  </si>
  <si>
    <t>EBITDA / Interest</t>
  </si>
  <si>
    <t>(EBITDA - CapEx) / Interest</t>
  </si>
  <si>
    <t>Activision Blizzard Enterprise Value Jan 2022</t>
  </si>
  <si>
    <t>Microsoft Offer Jan 18th 2022</t>
  </si>
  <si>
    <t>Activision Blizzard DCF valuation Jan 2022</t>
  </si>
  <si>
    <t>Activision Blizzard LTM EV/Revenue - Trading Comps</t>
  </si>
  <si>
    <t>Activision Blizzard LTM EV/EBITDA - Trading Comps</t>
  </si>
  <si>
    <t>Valuation Analysis</t>
  </si>
  <si>
    <t>Per Share</t>
  </si>
  <si>
    <t>Premium to Jan 2022 Offer</t>
  </si>
  <si>
    <t>Key:</t>
  </si>
  <si>
    <t>Linked Cell - No Action Required:</t>
  </si>
  <si>
    <t>Black</t>
  </si>
  <si>
    <t xml:space="preserve">Hard Input - No Action Required: </t>
  </si>
  <si>
    <t>Blue</t>
  </si>
  <si>
    <t>Empty - Action Required:</t>
  </si>
  <si>
    <t>Complete - Correct Output</t>
  </si>
  <si>
    <t>Y</t>
  </si>
  <si>
    <t>Complete - Incorrect Output</t>
  </si>
  <si>
    <t>Analyst Actions:</t>
  </si>
  <si>
    <r>
      <t>You will be scored based on the following:
- Correct cell output
- Correct use of formulas (</t>
    </r>
    <r>
      <rPr>
        <b/>
        <sz val="11"/>
        <color rgb="FFFF0000"/>
        <rFont val="Calibri"/>
        <family val="2"/>
        <scheme val="minor"/>
      </rPr>
      <t>don't hardcode</t>
    </r>
    <r>
      <rPr>
        <sz val="11"/>
        <color theme="1"/>
        <rFont val="Calibri"/>
        <family val="2"/>
        <scheme val="minor"/>
      </rPr>
      <t xml:space="preserve">)
- Speed (make sure you submit before the time limit)
(Make sure to focus more on accuracy and quality, rather than speed)
- You will need to refer to the videos to support your working through the valuation model.
- You will only be able to take this simulation once. Make sure you have charge on your laptop and a fully functioning Microsoft Excel. 
If you do require any support please email massupport@amplifyme.com or your course facilitator. </t>
    </r>
  </si>
  <si>
    <t>All financials calendarized to December year end.</t>
  </si>
  <si>
    <t>Task 4.1</t>
  </si>
  <si>
    <t>Task 5</t>
  </si>
  <si>
    <t>Note: NO RED/GREEN FORMATTING ON THESE CELLS!! (Complete every yellow cell)</t>
  </si>
  <si>
    <t xml:space="preserve">Your Recommendation: </t>
  </si>
  <si>
    <t>Reject the Offer</t>
  </si>
  <si>
    <t>Justification:</t>
  </si>
  <si>
    <t>Take the Offer</t>
  </si>
  <si>
    <t>Note: NO VIDEO (green/red reinstated)</t>
  </si>
  <si>
    <t xml:space="preserve"> - </t>
  </si>
  <si>
    <t>Task 1: https://youtu.be/H-vvDy0dX4c</t>
  </si>
  <si>
    <t>Task 2: https://youtu.be/eHsQsGj3ofM</t>
  </si>
  <si>
    <t>Task 3: https://youtu.be/WxoGiOQlQKk</t>
  </si>
  <si>
    <t>Task 3.1: https://youtu.be/nU_HilBSWT8</t>
  </si>
  <si>
    <t>Task 4: https://youtu.be/1UJorCXfWlU</t>
  </si>
  <si>
    <t>You have already completed the Income Statement!</t>
  </si>
  <si>
    <t>&lt;&lt; Your recommendation should be focused on whether Microsoft should push on, or withdraw from the deal</t>
  </si>
  <si>
    <t>No Red/Green column Q!</t>
  </si>
  <si>
    <t>The DCF valuation in 2022 was very similar to Activision's
enterprise value. This leads us to believe that the DCF
model is a good estimate for the value of the company.
However, the value of the offer far exceeds the estimated
enterprise value of Activision in the years to come,
meaning this acquisition would not yield good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</si>
</sst>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 #,##0.00_-;_-* &quot;-&quot;??_-;_-@_-"/>
    <numFmt numFmtId="164" formatCode="_(* #,##0.00_);_(* \(#,##0.00\);_(* &quot;-&quot;??_);_(@_)"/>
    <numFmt numFmtId="165" formatCode="&quot;FY&quot;0\A"/>
    <numFmt numFmtId="166" formatCode="&quot;FY&quot;0\E"/>
    <numFmt numFmtId="167" formatCode="_(* #,##0_);_(* \(#,##0\);_(* \–\ ?;_(@_)"/>
    <numFmt numFmtId="168" formatCode="#,##0.0%_);\(#,##0.0%\)"/>
    <numFmt numFmtId="169" formatCode="_(* #,##0_);_(* \(#,##0\);_(* &quot;-&quot;??_);_(@_)"/>
    <numFmt numFmtId="170" formatCode="General&quot;E&quot;"/>
    <numFmt numFmtId="171" formatCode="0.0%"/>
    <numFmt numFmtId="172" formatCode="#,##0.00%_);\(#,##0.00%\)"/>
    <numFmt numFmtId="173" formatCode="_)0"/>
    <numFmt numFmtId="174" formatCode="#,##0.000_);\(#,##0.000\)"/>
    <numFmt numFmtId="175" formatCode="#,##0.0_);\(#,##0.0\)"/>
    <numFmt numFmtId="176" formatCode="#,##0.0\x_)"/>
    <numFmt numFmtId="177" formatCode="0.00%_);\(0.00%\)"/>
    <numFmt numFmtId="178" formatCode="#,##0.00\x_);&quot;NM &quot;;\-_)"/>
    <numFmt numFmtId="179" formatCode="0.0\x;\(0.0\x\)"/>
    <numFmt numFmtId="180" formatCode="_(* #,##0.0_);_(* \(#,##0.0\);_(* &quot;-&quot;?_);_(@_)"/>
    <numFmt numFmtId="181" formatCode="#,##0.0&quot;x&quot;"/>
    <numFmt numFmtId="182" formatCode="_-* #,##0_-;\-* #,##0_-;_-* &quot;-&quot;??_-;_-@_-"/>
    <numFmt numFmtId="183" formatCode="_(* #,##0.00_);_(* \(#,##0.00\);_(* \–\ ?;_(@_)"/>
    <numFmt numFmtId="184" formatCode="#,##0.0000000000000"/>
    <numFmt numFmtId="185" formatCode="#,##0.00000000000000"/>
    <numFmt numFmtId="187" formatCode="0.0&quot;x&quot;"/>
  </numFmts>
  <fonts count="4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3"/>
      <color theme="1"/>
      <name val="Calibri"/>
      <family val="2"/>
      <scheme val="minor"/>
    </font>
    <font>
      <b/>
      <sz val="11"/>
      <color rgb="FF0000FF"/>
      <name val="Calibri"/>
      <family val="2"/>
      <scheme val="minor"/>
    </font>
    <font>
      <sz val="11"/>
      <color rgb="FFC00000"/>
      <name val="Calibri"/>
      <family val="2"/>
      <scheme val="minor"/>
    </font>
    <font>
      <b/>
      <sz val="11"/>
      <color theme="4"/>
      <name val="Calibri"/>
      <family val="2"/>
      <scheme val="minor"/>
    </font>
    <font>
      <i/>
      <sz val="9"/>
      <name val="Calibri"/>
      <family val="2"/>
      <scheme val="minor"/>
    </font>
    <font>
      <b/>
      <sz val="11"/>
      <name val="Calibri"/>
      <family val="2"/>
      <scheme val="minor"/>
    </font>
    <font>
      <sz val="11"/>
      <color theme="0" tint="-0.34998626667073579"/>
      <name val="Calibri"/>
      <family val="2"/>
      <scheme val="minor"/>
    </font>
    <font>
      <sz val="11"/>
      <name val="Calibri"/>
      <family val="2"/>
      <scheme val="minor"/>
    </font>
    <font>
      <sz val="11"/>
      <color rgb="FF0000FF"/>
      <name val="Calibri"/>
      <family val="2"/>
      <scheme val="minor"/>
    </font>
    <font>
      <i/>
      <sz val="11"/>
      <color theme="1"/>
      <name val="Calibri"/>
      <family val="2"/>
      <scheme val="minor"/>
    </font>
    <font>
      <b/>
      <sz val="11"/>
      <color rgb="FF000000"/>
      <name val="Calibri"/>
      <family val="2"/>
      <scheme val="minor"/>
    </font>
    <font>
      <b/>
      <sz val="11"/>
      <color theme="0" tint="-0.34998626667073579"/>
      <name val="Calibri"/>
      <family val="2"/>
      <scheme val="minor"/>
    </font>
    <font>
      <sz val="9"/>
      <color theme="0" tint="-0.249977111117893"/>
      <name val="Calibri"/>
      <family val="2"/>
      <scheme val="minor"/>
    </font>
    <font>
      <b/>
      <sz val="11"/>
      <color rgb="FF336699"/>
      <name val="Calibri"/>
      <family val="2"/>
      <scheme val="minor"/>
    </font>
    <font>
      <i/>
      <sz val="11"/>
      <color theme="0" tint="-0.34998626667073579"/>
      <name val="Calibri"/>
      <family val="2"/>
      <scheme val="minor"/>
    </font>
    <font>
      <i/>
      <sz val="11"/>
      <color rgb="FF0000FF"/>
      <name val="Calibri"/>
      <family val="2"/>
      <scheme val="minor"/>
    </font>
    <font>
      <i/>
      <sz val="11"/>
      <color rgb="FF000000"/>
      <name val="Calibri"/>
      <family val="2"/>
      <scheme val="minor"/>
    </font>
    <font>
      <i/>
      <sz val="11"/>
      <name val="Calibri"/>
      <family val="2"/>
      <scheme val="minor"/>
    </font>
    <font>
      <sz val="9"/>
      <color theme="1"/>
      <name val="Calibri"/>
      <family val="2"/>
      <scheme val="minor"/>
    </font>
    <font>
      <b/>
      <sz val="10"/>
      <name val="Calibri"/>
      <family val="2"/>
      <scheme val="minor"/>
    </font>
    <font>
      <vertAlign val="subscript"/>
      <sz val="10"/>
      <name val="Calibri"/>
      <family val="2"/>
      <scheme val="minor"/>
    </font>
    <font>
      <b/>
      <vertAlign val="superscript"/>
      <sz val="9"/>
      <color theme="1"/>
      <name val="Calibri"/>
      <family val="2"/>
      <scheme val="minor"/>
    </font>
    <font>
      <b/>
      <u/>
      <sz val="11"/>
      <name val="Calibri"/>
      <family val="2"/>
      <scheme val="minor"/>
    </font>
    <font>
      <b/>
      <vertAlign val="subscript"/>
      <sz val="8"/>
      <name val="Calibri"/>
      <family val="2"/>
      <scheme val="minor"/>
    </font>
    <font>
      <b/>
      <vertAlign val="superscript"/>
      <sz val="9"/>
      <name val="Calibri"/>
      <family val="2"/>
      <scheme val="minor"/>
    </font>
    <font>
      <vertAlign val="superscript"/>
      <sz val="9"/>
      <color theme="1"/>
      <name val="Calibri"/>
      <family val="2"/>
      <scheme val="minor"/>
    </font>
    <font>
      <sz val="8"/>
      <name val="Calibri"/>
      <family val="2"/>
      <scheme val="minor"/>
    </font>
    <font>
      <sz val="10"/>
      <color rgb="FF000000"/>
      <name val="Arial"/>
      <family val="2"/>
    </font>
    <font>
      <sz val="11"/>
      <color rgb="FF000000"/>
      <name val="Calibri"/>
      <family val="2"/>
      <scheme val="minor"/>
    </font>
    <font>
      <sz val="11"/>
      <color indexed="12"/>
      <name val="Calibri"/>
      <family val="2"/>
      <scheme val="minor"/>
    </font>
    <font>
      <sz val="11"/>
      <color theme="0" tint="-4.9989318521683403E-2"/>
      <name val="Calibri"/>
      <family val="2"/>
      <scheme val="minor"/>
    </font>
    <font>
      <b/>
      <sz val="11"/>
      <color rgb="FFFF0000"/>
      <name val="Calibri"/>
      <family val="2"/>
      <scheme val="minor"/>
    </font>
    <font>
      <b/>
      <sz val="11"/>
      <color rgb="FFC00000"/>
      <name val="Calibri"/>
      <family val="2"/>
      <scheme val="minor"/>
    </font>
    <font>
      <b/>
      <sz val="9"/>
      <color theme="0" tint="-0.249977111117893"/>
      <name val="Calibri"/>
      <family val="2"/>
      <scheme val="minor"/>
    </font>
    <font>
      <b/>
      <sz val="13"/>
      <color rgb="FFC00000"/>
      <name val="Calibri"/>
      <family val="2"/>
      <scheme val="minor"/>
    </font>
    <font>
      <b/>
      <i/>
      <sz val="11"/>
      <color rgb="FFC00000"/>
      <name val="Calibri"/>
      <family val="2"/>
      <scheme val="minor"/>
    </font>
    <font>
      <sz val="11"/>
      <color rgb="FFFF0000"/>
      <name val="Calibri"/>
      <family val="2"/>
      <scheme val="minor"/>
    </font>
    <font>
      <i/>
      <sz val="11"/>
      <color rgb="FFFF0000"/>
      <name val="Calibri"/>
      <family val="2"/>
      <scheme val="minor"/>
    </font>
    <font>
      <b/>
      <sz val="14"/>
      <color theme="1"/>
      <name val="Calibri"/>
      <family val="2"/>
      <scheme val="minor"/>
    </font>
    <font>
      <u/>
      <sz val="11"/>
      <color theme="10"/>
      <name val="Calibri"/>
      <family val="2"/>
      <scheme val="minor"/>
    </font>
    <font>
      <i/>
      <u/>
      <sz val="11"/>
      <color theme="10"/>
      <name val="Calibri"/>
      <family val="2"/>
      <scheme val="minor"/>
    </font>
    <font>
      <sz val="12"/>
      <color rgb="FFFFFFFF"/>
      <name val="Arial"/>
    </font>
  </fonts>
  <fills count="13">
    <fill>
      <patternFill patternType="none"/>
    </fill>
    <fill>
      <patternFill patternType="gray125"/>
    </fill>
    <fill>
      <patternFill patternType="solid">
        <fgColor theme="0"/>
        <bgColor indexed="64"/>
      </patternFill>
    </fill>
    <fill>
      <patternFill patternType="solid">
        <fgColor rgb="FF336699"/>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indexed="9"/>
        <bgColor indexed="64"/>
      </patternFill>
    </fill>
    <fill>
      <patternFill patternType="solid">
        <fgColor theme="7" tint="0.79998168889431442"/>
        <bgColor indexed="64"/>
      </patternFill>
    </fill>
    <fill>
      <patternFill patternType="solid">
        <fgColor rgb="FFFFFFCC"/>
        <bgColor indexed="64"/>
      </patternFill>
    </fill>
  </fills>
  <borders count="91">
    <border>
      <left/>
      <right/>
      <top/>
      <bottom/>
      <diagonal/>
    </border>
    <border>
      <left/>
      <right/>
      <top style="thick">
        <color theme="4" tint="-0.24994659260841701"/>
      </top>
      <bottom/>
      <diagonal/>
    </border>
    <border>
      <left style="medium">
        <color theme="0"/>
      </left>
      <right/>
      <top/>
      <bottom/>
      <diagonal/>
    </border>
    <border>
      <left/>
      <right style="medium">
        <color theme="0"/>
      </right>
      <top/>
      <bottom/>
      <diagonal/>
    </border>
    <border>
      <left style="medium">
        <color theme="0"/>
      </left>
      <right/>
      <top style="thin">
        <color theme="8" tint="0.39994506668294322"/>
      </top>
      <bottom style="thin">
        <color theme="8" tint="0.79998168889431442"/>
      </bottom>
      <diagonal/>
    </border>
    <border>
      <left/>
      <right/>
      <top style="thin">
        <color theme="8" tint="0.39994506668294322"/>
      </top>
      <bottom style="thin">
        <color theme="8" tint="0.79998168889431442"/>
      </bottom>
      <diagonal/>
    </border>
    <border>
      <left/>
      <right style="medium">
        <color theme="0"/>
      </right>
      <top style="thin">
        <color theme="8" tint="0.39994506668294322"/>
      </top>
      <bottom style="thin">
        <color theme="8" tint="0.79998168889431442"/>
      </bottom>
      <diagonal/>
    </border>
    <border>
      <left style="medium">
        <color theme="0"/>
      </left>
      <right/>
      <top style="thin">
        <color theme="4" tint="0.79998168889431442"/>
      </top>
      <bottom style="thin">
        <color theme="4" tint="0.39994506668294322"/>
      </bottom>
      <diagonal/>
    </border>
    <border>
      <left/>
      <right/>
      <top style="thin">
        <color theme="4" tint="0.79998168889431442"/>
      </top>
      <bottom style="thin">
        <color theme="4" tint="0.39994506668294322"/>
      </bottom>
      <diagonal/>
    </border>
    <border>
      <left/>
      <right style="thin">
        <color indexed="64"/>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theme="1"/>
      </top>
      <bottom style="double">
        <color auto="1"/>
      </bottom>
      <diagonal/>
    </border>
    <border>
      <left/>
      <right style="thin">
        <color indexed="64"/>
      </right>
      <top style="double">
        <color auto="1"/>
      </top>
      <bottom/>
      <diagonal/>
    </border>
    <border>
      <left/>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left>
      <right style="medium">
        <color theme="0"/>
      </right>
      <top/>
      <bottom/>
      <diagonal/>
    </border>
    <border>
      <left style="medium">
        <color theme="0"/>
      </left>
      <right style="medium">
        <color theme="0"/>
      </right>
      <top style="thin">
        <color indexed="64"/>
      </top>
      <bottom/>
      <diagonal/>
    </border>
    <border>
      <left/>
      <right/>
      <top/>
      <bottom style="thin">
        <color theme="4" tint="0.79998168889431442"/>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top style="thin">
        <color theme="0"/>
      </top>
      <bottom/>
      <diagonal/>
    </border>
    <border>
      <left/>
      <right style="medium">
        <color theme="0"/>
      </right>
      <top style="thin">
        <color theme="0"/>
      </top>
      <bottom style="thin">
        <color theme="8" tint="0.79998168889431442"/>
      </bottom>
      <diagonal/>
    </border>
    <border>
      <left style="medium">
        <color theme="0"/>
      </left>
      <right/>
      <top style="thin">
        <color theme="0"/>
      </top>
      <bottom style="thin">
        <color theme="4" tint="0.39994506668294322"/>
      </bottom>
      <diagonal/>
    </border>
    <border>
      <left/>
      <right/>
      <top style="thin">
        <color theme="0"/>
      </top>
      <bottom style="thin">
        <color theme="4" tint="0.39994506668294322"/>
      </bottom>
      <diagonal/>
    </border>
    <border>
      <left/>
      <right style="thick">
        <color theme="4"/>
      </right>
      <top/>
      <bottom/>
      <diagonal/>
    </border>
    <border>
      <left style="thick">
        <color theme="4"/>
      </left>
      <right/>
      <top/>
      <bottom/>
      <diagonal/>
    </border>
    <border>
      <left/>
      <right style="thin">
        <color theme="4"/>
      </right>
      <top/>
      <bottom/>
      <diagonal/>
    </border>
    <border>
      <left/>
      <right/>
      <top/>
      <bottom style="thin">
        <color theme="4"/>
      </bottom>
      <diagonal/>
    </border>
    <border>
      <left/>
      <right/>
      <top style="thin">
        <color theme="0"/>
      </top>
      <bottom style="thin">
        <color theme="4"/>
      </bottom>
      <diagonal/>
    </border>
    <border>
      <left/>
      <right style="thick">
        <color theme="4"/>
      </right>
      <top style="thin">
        <color theme="0"/>
      </top>
      <bottom style="thin">
        <color theme="4"/>
      </bottom>
      <diagonal/>
    </border>
    <border>
      <left style="thick">
        <color theme="4"/>
      </left>
      <right/>
      <top style="thin">
        <color theme="0"/>
      </top>
      <bottom style="thin">
        <color theme="4"/>
      </bottom>
      <diagonal/>
    </border>
    <border>
      <left/>
      <right style="thin">
        <color theme="4"/>
      </right>
      <top style="thin">
        <color theme="0"/>
      </top>
      <bottom style="thin">
        <color theme="4"/>
      </bottom>
      <diagonal/>
    </border>
    <border>
      <left/>
      <right/>
      <top style="thin">
        <color theme="0" tint="-0.24994659260841701"/>
      </top>
      <bottom style="thin">
        <color theme="0" tint="-0.24994659260841701"/>
      </bottom>
      <diagonal/>
    </border>
    <border>
      <left style="thin">
        <color theme="4"/>
      </left>
      <right/>
      <top style="thin">
        <color theme="0" tint="-0.24994659260841701"/>
      </top>
      <bottom style="thin">
        <color theme="0" tint="-0.24994659260841701"/>
      </bottom>
      <diagonal/>
    </border>
    <border>
      <left/>
      <right style="thin">
        <color theme="4"/>
      </right>
      <top style="thin">
        <color theme="0" tint="-0.24994659260841701"/>
      </top>
      <bottom style="thin">
        <color theme="0" tint="-0.24994659260841701"/>
      </bottom>
      <diagonal/>
    </border>
    <border>
      <left style="thin">
        <color theme="0" tint="-0.249977111117893"/>
      </left>
      <right style="thin">
        <color theme="0" tint="-0.249977111117893"/>
      </right>
      <top style="thin">
        <color theme="1"/>
      </top>
      <bottom style="double">
        <color theme="1"/>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1"/>
      </top>
      <bottom style="thin">
        <color theme="0" tint="-0.249977111117893"/>
      </bottom>
      <diagonal/>
    </border>
    <border>
      <left style="thin">
        <color theme="1"/>
      </left>
      <right style="thin">
        <color theme="0" tint="-0.249977111117893"/>
      </right>
      <top style="thin">
        <color theme="1"/>
      </top>
      <bottom style="thin">
        <color theme="0" tint="-0.249977111117893"/>
      </bottom>
      <diagonal/>
    </border>
    <border>
      <left/>
      <right/>
      <top style="thin">
        <color theme="1"/>
      </top>
      <bottom/>
      <diagonal/>
    </border>
    <border>
      <left style="thin">
        <color theme="1"/>
      </left>
      <right/>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thin">
        <color theme="0" tint="-0.249977111117893"/>
      </left>
      <right style="thin">
        <color indexed="64"/>
      </right>
      <top style="thin">
        <color theme="0" tint="-0.249977111117893"/>
      </top>
      <bottom style="thin">
        <color theme="0" tint="-0.249977111117893"/>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top style="thin">
        <color rgb="FFC00000"/>
      </top>
      <bottom style="medium">
        <color rgb="FFC00000"/>
      </bottom>
      <diagonal/>
    </border>
    <border>
      <left style="thin">
        <color theme="1"/>
      </left>
      <right style="thin">
        <color theme="0" tint="-0.249977111117893"/>
      </right>
      <top style="thin">
        <color theme="1"/>
      </top>
      <bottom style="double">
        <color theme="1"/>
      </bottom>
      <diagonal/>
    </border>
    <border>
      <left style="thin">
        <color theme="1"/>
      </left>
      <right/>
      <top style="thin">
        <color theme="0" tint="-0.249977111117893"/>
      </top>
      <bottom style="thin">
        <color theme="0" tint="-0.249977111117893"/>
      </bottom>
      <diagonal/>
    </border>
    <border>
      <left style="thin">
        <color theme="1"/>
      </left>
      <right/>
      <top style="thin">
        <color theme="0" tint="-0.249977111117893"/>
      </top>
      <bottom/>
      <diagonal/>
    </border>
    <border>
      <left/>
      <right/>
      <top style="thin">
        <color theme="1"/>
      </top>
      <bottom style="double">
        <color theme="1"/>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indexed="64"/>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indexed="64"/>
      </top>
      <bottom style="double">
        <color indexed="64"/>
      </bottom>
      <diagonal/>
    </border>
    <border>
      <left style="thin">
        <color theme="0" tint="-0.249977111117893"/>
      </left>
      <right style="thin">
        <color theme="0" tint="-0.249977111117893"/>
      </right>
      <top style="thin">
        <color indexed="64"/>
      </top>
      <bottom style="double">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theme="0" tint="-0.249977111117893"/>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indexed="64"/>
      </bottom>
      <diagonal/>
    </border>
    <border>
      <left style="medium">
        <color indexed="64"/>
      </left>
      <right style="medium">
        <color indexed="64"/>
      </right>
      <top/>
      <bottom/>
      <diagonal/>
    </border>
    <border>
      <left style="thin">
        <color indexed="64"/>
      </left>
      <right style="thin">
        <color theme="0" tint="-0.249977111117893"/>
      </right>
      <top/>
      <bottom style="double">
        <color indexed="64"/>
      </bottom>
      <diagonal/>
    </border>
    <border>
      <left style="thin">
        <color theme="0" tint="-0.249977111117893"/>
      </left>
      <right style="thin">
        <color theme="0" tint="-0.249977111117893"/>
      </right>
      <top/>
      <bottom style="double">
        <color indexed="64"/>
      </bottom>
      <diagonal/>
    </border>
    <border>
      <left style="thin">
        <color indexed="64"/>
      </left>
      <right/>
      <top style="thin">
        <color theme="0" tint="-0.249977111117893"/>
      </top>
      <bottom/>
      <diagonal/>
    </border>
    <border>
      <left/>
      <right/>
      <top/>
      <bottom style="double">
        <color indexed="64"/>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32" fillId="0" borderId="0"/>
    <xf numFmtId="0" fontId="1" fillId="0" borderId="0"/>
    <xf numFmtId="0" fontId="44" fillId="0" borderId="0" applyNumberFormat="0" applyFill="0" applyBorder="0" applyAlignment="0" applyProtection="0"/>
    <xf numFmtId="43" fontId="1" fillId="0" borderId="0" applyFont="0" applyFill="0" applyBorder="0" applyAlignment="0" applyProtection="0"/>
  </cellStyleXfs>
  <cellXfs count="430">
    <xf numFmtId="0" fontId="0" fillId="0" borderId="0" xfId="0"/>
    <xf numFmtId="0" fontId="0" fillId="0" borderId="0" xfId="0" applyProtection="1">
      <protection locked="0"/>
    </xf>
    <xf numFmtId="0" fontId="5" fillId="2" borderId="0" xfId="1" applyNumberFormat="1" applyFont="1" applyFill="1" applyBorder="1" applyAlignment="1" applyProtection="1">
      <protection locked="0"/>
    </xf>
    <xf numFmtId="164" fontId="3" fillId="2" borderId="0" xfId="1" applyFont="1" applyFill="1" applyBorder="1" applyAlignment="1" applyProtection="1">
      <alignment horizontal="left" vertical="center"/>
      <protection locked="0"/>
    </xf>
    <xf numFmtId="164" fontId="6" fillId="2" borderId="0" xfId="1" applyFont="1" applyFill="1" applyBorder="1" applyAlignment="1" applyProtection="1">
      <alignment horizontal="left" vertical="center"/>
      <protection locked="0"/>
    </xf>
    <xf numFmtId="0" fontId="3" fillId="2" borderId="1" xfId="1" applyNumberFormat="1" applyFont="1" applyFill="1" applyBorder="1" applyAlignment="1" applyProtection="1">
      <alignment horizontal="left" vertical="center"/>
      <protection locked="0"/>
    </xf>
    <xf numFmtId="164" fontId="3" fillId="2" borderId="1" xfId="1" applyFont="1" applyFill="1" applyBorder="1" applyAlignment="1" applyProtection="1">
      <alignment horizontal="left" vertical="center"/>
      <protection locked="0"/>
    </xf>
    <xf numFmtId="164" fontId="6" fillId="2" borderId="1" xfId="1" applyFont="1" applyFill="1" applyBorder="1" applyAlignment="1" applyProtection="1">
      <alignment horizontal="left" vertical="center"/>
      <protection locked="0"/>
    </xf>
    <xf numFmtId="0" fontId="0" fillId="0" borderId="1" xfId="0" applyBorder="1" applyProtection="1">
      <protection locked="0"/>
    </xf>
    <xf numFmtId="0" fontId="7" fillId="0" borderId="0" xfId="0" applyFont="1" applyProtection="1">
      <protection locked="0"/>
    </xf>
    <xf numFmtId="0" fontId="2" fillId="3" borderId="0" xfId="0" applyFont="1" applyFill="1" applyAlignment="1" applyProtection="1">
      <alignment vertical="center"/>
      <protection locked="0"/>
    </xf>
    <xf numFmtId="0" fontId="0" fillId="3" borderId="0" xfId="0" applyFill="1" applyProtection="1">
      <protection locked="0"/>
    </xf>
    <xf numFmtId="0" fontId="8" fillId="4" borderId="2" xfId="0" applyFont="1" applyFill="1" applyBorder="1" applyAlignment="1" applyProtection="1">
      <alignment horizontal="centerContinuous" wrapText="1"/>
      <protection locked="0"/>
    </xf>
    <xf numFmtId="0" fontId="8" fillId="4" borderId="0" xfId="0" applyFont="1" applyFill="1" applyAlignment="1" applyProtection="1">
      <alignment horizontal="centerContinuous" wrapText="1"/>
      <protection locked="0"/>
    </xf>
    <xf numFmtId="0" fontId="8" fillId="4" borderId="3" xfId="0" applyFont="1" applyFill="1" applyBorder="1" applyAlignment="1" applyProtection="1">
      <alignment horizontal="centerContinuous" wrapText="1"/>
      <protection locked="0"/>
    </xf>
    <xf numFmtId="0" fontId="2" fillId="5" borderId="0" xfId="1" applyNumberFormat="1" applyFont="1" applyFill="1" applyBorder="1" applyAlignment="1" applyProtection="1">
      <alignment horizontal="centerContinuous"/>
      <protection locked="0"/>
    </xf>
    <xf numFmtId="0" fontId="0" fillId="0" borderId="0" xfId="0" applyAlignment="1" applyProtection="1">
      <alignment horizontal="center"/>
      <protection locked="0"/>
    </xf>
    <xf numFmtId="0" fontId="9" fillId="0" borderId="0" xfId="0" applyFont="1" applyAlignment="1" applyProtection="1">
      <alignment vertical="top"/>
      <protection locked="0"/>
    </xf>
    <xf numFmtId="0" fontId="10" fillId="0" borderId="0" xfId="0" applyFont="1" applyProtection="1">
      <protection locked="0"/>
    </xf>
    <xf numFmtId="0" fontId="11" fillId="0" borderId="0" xfId="0" applyFont="1" applyAlignment="1" applyProtection="1">
      <alignment horizontal="center" vertical="center"/>
      <protection locked="0"/>
    </xf>
    <xf numFmtId="165" fontId="8" fillId="4" borderId="4" xfId="1" applyNumberFormat="1" applyFont="1" applyFill="1" applyBorder="1" applyAlignment="1" applyProtection="1">
      <alignment horizontal="center"/>
      <protection locked="0"/>
    </xf>
    <xf numFmtId="165" fontId="8" fillId="4" borderId="5" xfId="1" applyNumberFormat="1" applyFont="1" applyFill="1" applyBorder="1" applyAlignment="1" applyProtection="1">
      <alignment horizontal="center"/>
      <protection locked="0"/>
    </xf>
    <xf numFmtId="165" fontId="8" fillId="4" borderId="6" xfId="1" applyNumberFormat="1" applyFont="1" applyFill="1" applyBorder="1" applyAlignment="1" applyProtection="1">
      <alignment horizontal="center"/>
      <protection locked="0"/>
    </xf>
    <xf numFmtId="166" fontId="2" fillId="5" borderId="7" xfId="1" applyNumberFormat="1" applyFont="1" applyFill="1" applyBorder="1" applyAlignment="1" applyProtection="1">
      <alignment horizontal="center"/>
      <protection locked="0"/>
    </xf>
    <xf numFmtId="166" fontId="2" fillId="5" borderId="8" xfId="1" applyNumberFormat="1" applyFont="1" applyFill="1" applyBorder="1" applyAlignment="1" applyProtection="1">
      <alignment horizontal="center"/>
      <protection locked="0"/>
    </xf>
    <xf numFmtId="166" fontId="12" fillId="0" borderId="0" xfId="1" applyNumberFormat="1" applyFont="1" applyFill="1" applyBorder="1" applyAlignment="1" applyProtection="1">
      <alignment horizontal="center"/>
      <protection locked="0"/>
    </xf>
    <xf numFmtId="0" fontId="11" fillId="0" borderId="0" xfId="0" applyFont="1" applyProtection="1">
      <protection locked="0"/>
    </xf>
    <xf numFmtId="167" fontId="13" fillId="0" borderId="0" xfId="1" applyNumberFormat="1" applyFont="1" applyFill="1" applyProtection="1">
      <protection locked="0"/>
    </xf>
    <xf numFmtId="167" fontId="13" fillId="0" borderId="9" xfId="1" applyNumberFormat="1" applyFont="1" applyFill="1" applyBorder="1" applyProtection="1">
      <protection locked="0"/>
    </xf>
    <xf numFmtId="0" fontId="0" fillId="0" borderId="0" xfId="0" applyAlignment="1" applyProtection="1">
      <alignment horizontal="left" indent="1"/>
      <protection locked="0"/>
    </xf>
    <xf numFmtId="167" fontId="13" fillId="0" borderId="0" xfId="1" applyNumberFormat="1" applyFont="1" applyFill="1" applyBorder="1" applyProtection="1">
      <protection locked="0"/>
    </xf>
    <xf numFmtId="0" fontId="3" fillId="0" borderId="11" xfId="0" applyFont="1" applyBorder="1" applyAlignment="1" applyProtection="1">
      <alignment horizontal="left" indent="2"/>
      <protection locked="0"/>
    </xf>
    <xf numFmtId="0" fontId="11" fillId="0" borderId="11" xfId="0" applyFont="1" applyBorder="1" applyAlignment="1" applyProtection="1">
      <alignment horizontal="center" vertical="center"/>
      <protection locked="0"/>
    </xf>
    <xf numFmtId="167" fontId="10" fillId="0" borderId="11" xfId="1" applyNumberFormat="1" applyFont="1" applyFill="1" applyBorder="1" applyProtection="1">
      <protection locked="0"/>
    </xf>
    <xf numFmtId="0" fontId="3" fillId="0" borderId="0" xfId="0" applyFont="1" applyProtection="1">
      <protection locked="0"/>
    </xf>
    <xf numFmtId="169" fontId="3" fillId="0" borderId="0" xfId="1" applyNumberFormat="1" applyFont="1" applyFill="1" applyProtection="1">
      <protection locked="0"/>
    </xf>
    <xf numFmtId="169" fontId="3" fillId="0" borderId="9" xfId="1" applyNumberFormat="1" applyFont="1" applyFill="1" applyBorder="1" applyProtection="1">
      <protection locked="0"/>
    </xf>
    <xf numFmtId="169" fontId="3" fillId="0" borderId="0" xfId="1" applyNumberFormat="1" applyFont="1" applyFill="1" applyBorder="1" applyProtection="1">
      <protection locked="0"/>
    </xf>
    <xf numFmtId="167" fontId="0" fillId="0" borderId="0" xfId="1" applyNumberFormat="1" applyFont="1" applyFill="1" applyBorder="1" applyProtection="1">
      <protection locked="0"/>
    </xf>
    <xf numFmtId="0" fontId="3" fillId="0" borderId="11" xfId="0" applyFont="1" applyBorder="1" applyProtection="1">
      <protection locked="0"/>
    </xf>
    <xf numFmtId="0" fontId="3" fillId="0" borderId="11" xfId="0" applyFont="1" applyBorder="1" applyAlignment="1" applyProtection="1">
      <alignment horizontal="left"/>
      <protection locked="0"/>
    </xf>
    <xf numFmtId="0" fontId="3" fillId="0" borderId="14" xfId="0" applyFont="1" applyBorder="1" applyProtection="1">
      <protection locked="0"/>
    </xf>
    <xf numFmtId="0" fontId="11" fillId="0" borderId="14" xfId="0" applyFont="1" applyBorder="1" applyAlignment="1" applyProtection="1">
      <alignment horizontal="center" vertical="center"/>
      <protection locked="0"/>
    </xf>
    <xf numFmtId="167" fontId="10" fillId="0" borderId="14" xfId="1" applyNumberFormat="1" applyFont="1" applyFill="1" applyBorder="1" applyProtection="1">
      <protection locked="0"/>
    </xf>
    <xf numFmtId="0" fontId="0" fillId="0" borderId="15" xfId="0" applyBorder="1" applyProtection="1">
      <protection locked="0"/>
    </xf>
    <xf numFmtId="167" fontId="0" fillId="0" borderId="0" xfId="0" applyNumberFormat="1" applyProtection="1">
      <protection locked="0"/>
    </xf>
    <xf numFmtId="167" fontId="13" fillId="0" borderId="0" xfId="0" applyNumberFormat="1" applyFont="1" applyProtection="1">
      <protection locked="0"/>
    </xf>
    <xf numFmtId="0" fontId="3" fillId="0" borderId="16" xfId="0" applyFont="1" applyBorder="1" applyProtection="1">
      <protection locked="0"/>
    </xf>
    <xf numFmtId="0" fontId="16" fillId="0" borderId="16" xfId="0" applyFont="1" applyBorder="1" applyAlignment="1" applyProtection="1">
      <alignment horizontal="center" vertical="center"/>
      <protection locked="0"/>
    </xf>
    <xf numFmtId="0" fontId="17" fillId="0" borderId="0" xfId="0" applyFont="1" applyProtection="1">
      <protection locked="0"/>
    </xf>
    <xf numFmtId="0" fontId="0" fillId="0" borderId="9" xfId="0" applyBorder="1"/>
    <xf numFmtId="0" fontId="18" fillId="6" borderId="0" xfId="0" applyFont="1" applyFill="1" applyProtection="1">
      <protection locked="0"/>
    </xf>
    <xf numFmtId="164" fontId="3" fillId="0" borderId="9" xfId="1" applyFont="1" applyFill="1" applyBorder="1" applyProtection="1">
      <protection locked="0"/>
    </xf>
    <xf numFmtId="0" fontId="14" fillId="0" borderId="0" xfId="0" applyFont="1" applyAlignment="1" applyProtection="1">
      <alignment horizontal="left" indent="1"/>
      <protection locked="0"/>
    </xf>
    <xf numFmtId="0" fontId="19" fillId="0" borderId="0" xfId="0" applyFont="1" applyAlignment="1" applyProtection="1">
      <alignment horizontal="center" vertical="center"/>
      <protection locked="0"/>
    </xf>
    <xf numFmtId="168" fontId="20" fillId="0" borderId="0" xfId="0" applyNumberFormat="1" applyFont="1" applyAlignment="1" applyProtection="1">
      <alignment horizontal="right"/>
      <protection locked="0"/>
    </xf>
    <xf numFmtId="168" fontId="21" fillId="0" borderId="0" xfId="2" applyNumberFormat="1" applyFont="1" applyFill="1" applyAlignment="1" applyProtection="1">
      <alignment horizontal="right"/>
      <protection locked="0"/>
    </xf>
    <xf numFmtId="168" fontId="21" fillId="0" borderId="9" xfId="2" applyNumberFormat="1" applyFont="1" applyFill="1" applyBorder="1" applyAlignment="1" applyProtection="1">
      <alignment horizontal="right"/>
      <protection locked="0"/>
    </xf>
    <xf numFmtId="168" fontId="14" fillId="0" borderId="0" xfId="2" applyNumberFormat="1" applyFont="1" applyFill="1" applyBorder="1" applyProtection="1">
      <protection locked="0"/>
    </xf>
    <xf numFmtId="0" fontId="14" fillId="0" borderId="0" xfId="0" applyFont="1" applyProtection="1">
      <protection locked="0"/>
    </xf>
    <xf numFmtId="168" fontId="20" fillId="0" borderId="10" xfId="0" applyNumberFormat="1" applyFont="1" applyBorder="1" applyProtection="1">
      <protection locked="0"/>
    </xf>
    <xf numFmtId="168" fontId="14" fillId="0" borderId="0" xfId="2" applyNumberFormat="1" applyFont="1" applyFill="1" applyBorder="1" applyAlignment="1" applyProtection="1">
      <alignment horizontal="right"/>
      <protection locked="0"/>
    </xf>
    <xf numFmtId="168" fontId="20" fillId="0" borderId="0" xfId="2" applyNumberFormat="1" applyFont="1" applyFill="1" applyAlignment="1" applyProtection="1">
      <alignment horizontal="right"/>
      <protection locked="0"/>
    </xf>
    <xf numFmtId="168" fontId="14" fillId="0" borderId="0" xfId="2" applyNumberFormat="1" applyFont="1" applyFill="1" applyAlignment="1" applyProtection="1">
      <alignment horizontal="right"/>
      <protection locked="0"/>
    </xf>
    <xf numFmtId="168" fontId="22" fillId="0" borderId="0" xfId="2" applyNumberFormat="1" applyFont="1" applyFill="1" applyAlignment="1" applyProtection="1">
      <alignment horizontal="right"/>
      <protection locked="0"/>
    </xf>
    <xf numFmtId="168" fontId="20" fillId="0" borderId="0" xfId="0" applyNumberFormat="1" applyFont="1" applyProtection="1">
      <protection locked="0"/>
    </xf>
    <xf numFmtId="168" fontId="22" fillId="0" borderId="9" xfId="2" applyNumberFormat="1" applyFont="1" applyFill="1" applyBorder="1" applyAlignment="1" applyProtection="1">
      <alignment horizontal="right"/>
      <protection locked="0"/>
    </xf>
    <xf numFmtId="0" fontId="16" fillId="0" borderId="0" xfId="0" applyFont="1" applyAlignment="1" applyProtection="1">
      <alignment horizontal="center" vertical="center"/>
      <protection locked="0"/>
    </xf>
    <xf numFmtId="0" fontId="10" fillId="0" borderId="0" xfId="1" applyNumberFormat="1" applyFont="1" applyFill="1" applyAlignment="1" applyProtection="1">
      <alignment horizontal="center"/>
      <protection locked="0"/>
    </xf>
    <xf numFmtId="0" fontId="10" fillId="0" borderId="0" xfId="1" applyNumberFormat="1" applyFont="1" applyFill="1" applyBorder="1" applyAlignment="1" applyProtection="1">
      <alignment horizontal="center"/>
      <protection locked="0"/>
    </xf>
    <xf numFmtId="170" fontId="10" fillId="0" borderId="0" xfId="1" applyNumberFormat="1" applyFont="1" applyFill="1" applyAlignment="1" applyProtection="1">
      <alignment horizontal="center"/>
      <protection locked="0"/>
    </xf>
    <xf numFmtId="0" fontId="12" fillId="0" borderId="0" xfId="0" applyFont="1" applyAlignment="1" applyProtection="1">
      <alignment horizontal="left" indent="1"/>
      <protection locked="0"/>
    </xf>
    <xf numFmtId="167" fontId="12" fillId="0" borderId="0" xfId="1" applyNumberFormat="1" applyFont="1" applyFill="1" applyBorder="1" applyProtection="1">
      <protection locked="0"/>
    </xf>
    <xf numFmtId="0" fontId="10" fillId="0" borderId="11" xfId="0" applyFont="1" applyBorder="1" applyAlignment="1" applyProtection="1">
      <alignment horizontal="left"/>
      <protection locked="0"/>
    </xf>
    <xf numFmtId="167" fontId="15" fillId="0" borderId="11" xfId="1" applyNumberFormat="1" applyFont="1" applyFill="1" applyBorder="1" applyProtection="1">
      <protection locked="0"/>
    </xf>
    <xf numFmtId="167" fontId="15" fillId="0" borderId="12" xfId="1" applyNumberFormat="1" applyFont="1" applyFill="1" applyBorder="1" applyProtection="1">
      <protection locked="0"/>
    </xf>
    <xf numFmtId="0" fontId="10" fillId="0" borderId="0" xfId="0" applyFont="1" applyAlignment="1" applyProtection="1">
      <alignment horizontal="left"/>
      <protection locked="0"/>
    </xf>
    <xf numFmtId="167" fontId="10" fillId="0" borderId="0" xfId="1" applyNumberFormat="1" applyFont="1" applyFill="1" applyBorder="1" applyProtection="1">
      <protection locked="0"/>
    </xf>
    <xf numFmtId="167" fontId="10" fillId="0" borderId="9" xfId="1" applyNumberFormat="1" applyFont="1" applyFill="1" applyBorder="1" applyProtection="1">
      <protection locked="0"/>
    </xf>
    <xf numFmtId="0" fontId="10" fillId="0" borderId="18" xfId="0" applyFont="1" applyBorder="1" applyAlignment="1" applyProtection="1">
      <alignment horizontal="left"/>
      <protection locked="0"/>
    </xf>
    <xf numFmtId="0" fontId="11" fillId="0" borderId="18" xfId="0" applyFont="1" applyBorder="1" applyAlignment="1" applyProtection="1">
      <alignment horizontal="center" vertical="center"/>
      <protection locked="0"/>
    </xf>
    <xf numFmtId="167" fontId="15" fillId="0" borderId="18" xfId="1" applyNumberFormat="1" applyFont="1" applyFill="1" applyBorder="1" applyProtection="1">
      <protection locked="0"/>
    </xf>
    <xf numFmtId="167" fontId="15" fillId="0" borderId="19" xfId="1" applyNumberFormat="1" applyFont="1" applyFill="1" applyBorder="1" applyProtection="1">
      <protection locked="0"/>
    </xf>
    <xf numFmtId="0" fontId="10" fillId="0" borderId="0" xfId="0" applyFont="1" applyAlignment="1" applyProtection="1">
      <alignment horizontal="left" indent="1"/>
      <protection locked="0"/>
    </xf>
    <xf numFmtId="0" fontId="12" fillId="0" borderId="0" xfId="0" applyFont="1" applyAlignment="1" applyProtection="1">
      <alignment horizontal="left" vertical="center" indent="1"/>
      <protection locked="0"/>
    </xf>
    <xf numFmtId="164" fontId="10" fillId="0" borderId="11" xfId="1" applyFont="1" applyFill="1" applyBorder="1" applyAlignment="1" applyProtection="1">
      <alignment horizontal="left"/>
      <protection locked="0"/>
    </xf>
    <xf numFmtId="0" fontId="16" fillId="0" borderId="11" xfId="0" applyFont="1" applyBorder="1" applyAlignment="1" applyProtection="1">
      <alignment horizontal="center" vertical="center"/>
      <protection locked="0"/>
    </xf>
    <xf numFmtId="0" fontId="10" fillId="0" borderId="0" xfId="0" applyFont="1" applyAlignment="1" applyProtection="1">
      <alignment horizontal="left" vertical="center"/>
      <protection locked="0"/>
    </xf>
    <xf numFmtId="0" fontId="10" fillId="0" borderId="11" xfId="0" applyFont="1" applyBorder="1" applyAlignment="1" applyProtection="1">
      <alignment horizontal="left" vertical="center"/>
      <protection locked="0"/>
    </xf>
    <xf numFmtId="0" fontId="12" fillId="0" borderId="0" xfId="0" applyFont="1" applyAlignment="1" applyProtection="1">
      <alignment horizontal="left"/>
      <protection locked="0"/>
    </xf>
    <xf numFmtId="167" fontId="10" fillId="0" borderId="0" xfId="1" applyNumberFormat="1" applyFont="1" applyFill="1" applyProtection="1">
      <protection locked="0"/>
    </xf>
    <xf numFmtId="167" fontId="12" fillId="0" borderId="0" xfId="1" applyNumberFormat="1" applyFont="1" applyFill="1" applyProtection="1">
      <protection locked="0"/>
    </xf>
    <xf numFmtId="0" fontId="22" fillId="0" borderId="0" xfId="0" applyFont="1" applyAlignment="1" applyProtection="1">
      <alignment horizontal="left" vertical="center" indent="1"/>
      <protection locked="0"/>
    </xf>
    <xf numFmtId="167" fontId="22" fillId="0" borderId="0" xfId="1" applyNumberFormat="1" applyFont="1" applyFill="1" applyAlignment="1" applyProtection="1">
      <alignment horizontal="right"/>
      <protection locked="0"/>
    </xf>
    <xf numFmtId="0" fontId="23" fillId="0" borderId="0" xfId="0" applyFont="1" applyProtection="1">
      <protection locked="0"/>
    </xf>
    <xf numFmtId="0" fontId="23" fillId="0" borderId="9" xfId="0" applyFont="1" applyBorder="1" applyProtection="1">
      <protection locked="0"/>
    </xf>
    <xf numFmtId="164" fontId="23" fillId="0" borderId="0" xfId="0" applyNumberFormat="1" applyFont="1" applyProtection="1">
      <protection locked="0"/>
    </xf>
    <xf numFmtId="0" fontId="14" fillId="2" borderId="0" xfId="0" applyFont="1" applyFill="1" applyAlignment="1" applyProtection="1">
      <alignment horizontal="left" indent="1"/>
      <protection locked="0"/>
    </xf>
    <xf numFmtId="0" fontId="19" fillId="2" borderId="0" xfId="0" applyFont="1" applyFill="1" applyAlignment="1" applyProtection="1">
      <alignment horizontal="center" vertical="center"/>
      <protection locked="0"/>
    </xf>
    <xf numFmtId="168" fontId="21" fillId="2" borderId="0" xfId="2" applyNumberFormat="1" applyFont="1" applyFill="1" applyBorder="1" applyProtection="1">
      <protection locked="0"/>
    </xf>
    <xf numFmtId="168" fontId="21" fillId="2" borderId="9" xfId="2" applyNumberFormat="1" applyFont="1" applyFill="1" applyBorder="1" applyProtection="1">
      <protection locked="0"/>
    </xf>
    <xf numFmtId="168" fontId="21" fillId="2" borderId="0" xfId="2" applyNumberFormat="1" applyFont="1" applyFill="1" applyAlignment="1" applyProtection="1">
      <alignment horizontal="right"/>
      <protection locked="0"/>
    </xf>
    <xf numFmtId="0" fontId="22" fillId="2" borderId="0" xfId="0" applyFont="1" applyFill="1" applyAlignment="1" applyProtection="1">
      <alignment horizontal="left" indent="1"/>
      <protection locked="0"/>
    </xf>
    <xf numFmtId="167" fontId="21" fillId="0" borderId="0" xfId="1" applyNumberFormat="1" applyFont="1" applyFill="1" applyProtection="1">
      <protection locked="0"/>
    </xf>
    <xf numFmtId="167" fontId="21" fillId="0" borderId="9" xfId="1" applyNumberFormat="1" applyFont="1" applyFill="1" applyBorder="1" applyProtection="1">
      <protection locked="0"/>
    </xf>
    <xf numFmtId="167" fontId="20" fillId="0" borderId="0" xfId="1" applyNumberFormat="1" applyFont="1" applyFill="1" applyProtection="1">
      <protection locked="0"/>
    </xf>
    <xf numFmtId="167" fontId="22" fillId="0" borderId="0" xfId="1" applyNumberFormat="1" applyFont="1" applyFill="1" applyProtection="1">
      <protection locked="0"/>
    </xf>
    <xf numFmtId="168" fontId="20" fillId="2" borderId="0" xfId="2" applyNumberFormat="1" applyFont="1" applyFill="1" applyProtection="1">
      <protection locked="0"/>
    </xf>
    <xf numFmtId="168" fontId="20" fillId="2" borderId="9" xfId="2" applyNumberFormat="1" applyFont="1" applyFill="1" applyBorder="1" applyProtection="1">
      <protection locked="0"/>
    </xf>
    <xf numFmtId="168" fontId="14" fillId="2" borderId="0" xfId="2" applyNumberFormat="1" applyFont="1" applyFill="1" applyAlignment="1" applyProtection="1">
      <alignment horizontal="right"/>
      <protection locked="0"/>
    </xf>
    <xf numFmtId="0" fontId="21" fillId="2" borderId="0" xfId="0" applyFont="1" applyFill="1" applyAlignment="1" applyProtection="1">
      <alignment horizontal="left" vertical="center" indent="1"/>
      <protection locked="0"/>
    </xf>
    <xf numFmtId="168" fontId="20" fillId="2" borderId="0" xfId="1" applyNumberFormat="1" applyFont="1" applyFill="1" applyBorder="1" applyProtection="1">
      <protection locked="0"/>
    </xf>
    <xf numFmtId="168" fontId="20" fillId="2" borderId="0" xfId="2" applyNumberFormat="1" applyFont="1" applyFill="1" applyBorder="1" applyProtection="1">
      <protection locked="0"/>
    </xf>
    <xf numFmtId="0" fontId="12" fillId="0" borderId="0" xfId="0" applyFont="1" applyProtection="1">
      <protection locked="0"/>
    </xf>
    <xf numFmtId="167" fontId="0" fillId="0" borderId="0" xfId="1" applyNumberFormat="1" applyFont="1" applyFill="1" applyProtection="1">
      <protection locked="0"/>
    </xf>
    <xf numFmtId="167" fontId="0" fillId="0" borderId="9" xfId="1" applyNumberFormat="1" applyFont="1" applyFill="1" applyBorder="1" applyProtection="1">
      <protection locked="0"/>
    </xf>
    <xf numFmtId="164" fontId="0" fillId="0" borderId="0" xfId="1" quotePrefix="1" applyFont="1" applyFill="1" applyAlignment="1" applyProtection="1">
      <alignment horizontal="left" indent="1"/>
      <protection locked="0"/>
    </xf>
    <xf numFmtId="167" fontId="12" fillId="0" borderId="9" xfId="1" applyNumberFormat="1" applyFont="1" applyFill="1" applyBorder="1" applyProtection="1">
      <protection locked="0"/>
    </xf>
    <xf numFmtId="164" fontId="0" fillId="0" borderId="0" xfId="1" applyFont="1" applyFill="1" applyAlignment="1" applyProtection="1">
      <alignment horizontal="left" indent="1"/>
      <protection locked="0"/>
    </xf>
    <xf numFmtId="164" fontId="0" fillId="0" borderId="0" xfId="1" applyFont="1" applyFill="1" applyAlignment="1" applyProtection="1">
      <alignment horizontal="left" indent="2"/>
      <protection locked="0"/>
    </xf>
    <xf numFmtId="164" fontId="0" fillId="0" borderId="0" xfId="1" applyFont="1" applyFill="1" applyAlignment="1" applyProtection="1">
      <alignment horizontal="left" indent="3"/>
      <protection locked="0"/>
    </xf>
    <xf numFmtId="0" fontId="3" fillId="0" borderId="11" xfId="1" applyNumberFormat="1" applyFont="1" applyFill="1" applyBorder="1" applyAlignment="1" applyProtection="1">
      <alignment horizontal="left"/>
      <protection locked="0"/>
    </xf>
    <xf numFmtId="164" fontId="3" fillId="0" borderId="11" xfId="1" applyFont="1" applyFill="1" applyBorder="1" applyAlignment="1" applyProtection="1">
      <alignment horizontal="left"/>
      <protection locked="0"/>
    </xf>
    <xf numFmtId="167" fontId="3" fillId="0" borderId="11" xfId="1" applyNumberFormat="1" applyFont="1" applyFill="1" applyBorder="1" applyProtection="1">
      <protection locked="0"/>
    </xf>
    <xf numFmtId="167" fontId="3" fillId="0" borderId="12" xfId="1" applyNumberFormat="1" applyFont="1" applyFill="1" applyBorder="1" applyProtection="1">
      <protection locked="0"/>
    </xf>
    <xf numFmtId="164" fontId="0" fillId="0" borderId="0" xfId="1" applyFont="1" applyFill="1" applyProtection="1">
      <protection locked="0"/>
    </xf>
    <xf numFmtId="0" fontId="3" fillId="0" borderId="11" xfId="1" applyNumberFormat="1" applyFont="1" applyFill="1" applyBorder="1" applyProtection="1">
      <protection locked="0"/>
    </xf>
    <xf numFmtId="164" fontId="3" fillId="0" borderId="11" xfId="1" applyFont="1" applyFill="1" applyBorder="1" applyProtection="1">
      <protection locked="0"/>
    </xf>
    <xf numFmtId="0" fontId="0" fillId="0" borderId="0" xfId="1" applyNumberFormat="1" applyFont="1" applyFill="1" applyAlignment="1" applyProtection="1">
      <protection locked="0"/>
    </xf>
    <xf numFmtId="164" fontId="0" fillId="0" borderId="20" xfId="1" applyFont="1" applyFill="1" applyBorder="1" applyAlignment="1" applyProtection="1">
      <alignment horizontal="left"/>
      <protection locked="0"/>
    </xf>
    <xf numFmtId="0" fontId="11" fillId="0" borderId="20" xfId="0" applyFont="1" applyBorder="1" applyAlignment="1" applyProtection="1">
      <alignment horizontal="center" vertical="center"/>
      <protection locked="0"/>
    </xf>
    <xf numFmtId="167" fontId="0" fillId="0" borderId="20" xfId="1" applyNumberFormat="1" applyFont="1" applyFill="1" applyBorder="1" applyProtection="1">
      <protection locked="0"/>
    </xf>
    <xf numFmtId="167" fontId="0" fillId="0" borderId="21" xfId="1" applyNumberFormat="1" applyFont="1" applyFill="1" applyBorder="1" applyProtection="1">
      <protection locked="0"/>
    </xf>
    <xf numFmtId="0" fontId="3" fillId="0" borderId="18" xfId="1" applyNumberFormat="1" applyFont="1" applyFill="1" applyBorder="1" applyAlignment="1" applyProtection="1">
      <alignment horizontal="left"/>
      <protection locked="0"/>
    </xf>
    <xf numFmtId="164" fontId="3" fillId="0" borderId="18" xfId="1" applyFont="1" applyFill="1" applyBorder="1" applyAlignment="1" applyProtection="1">
      <alignment horizontal="left"/>
      <protection locked="0"/>
    </xf>
    <xf numFmtId="0" fontId="16" fillId="0" borderId="18" xfId="0" applyFont="1" applyBorder="1" applyAlignment="1" applyProtection="1">
      <alignment horizontal="center" vertical="center"/>
      <protection locked="0"/>
    </xf>
    <xf numFmtId="167" fontId="3" fillId="0" borderId="18" xfId="1" applyNumberFormat="1" applyFont="1" applyFill="1" applyBorder="1" applyProtection="1">
      <protection locked="0"/>
    </xf>
    <xf numFmtId="167" fontId="3" fillId="0" borderId="19" xfId="1" applyNumberFormat="1" applyFont="1" applyFill="1" applyBorder="1" applyProtection="1">
      <protection locked="0"/>
    </xf>
    <xf numFmtId="168" fontId="22" fillId="2" borderId="0" xfId="2" applyNumberFormat="1" applyFont="1" applyFill="1" applyProtection="1">
      <protection locked="0"/>
    </xf>
    <xf numFmtId="168" fontId="22" fillId="2" borderId="9" xfId="2" applyNumberFormat="1" applyFont="1" applyFill="1" applyBorder="1" applyProtection="1">
      <protection locked="0"/>
    </xf>
    <xf numFmtId="168" fontId="20" fillId="2" borderId="0" xfId="2" applyNumberFormat="1" applyFont="1" applyFill="1" applyAlignment="1" applyProtection="1">
      <alignment horizontal="right"/>
      <protection locked="0"/>
    </xf>
    <xf numFmtId="0" fontId="0" fillId="2" borderId="0" xfId="0" applyFill="1" applyAlignment="1" applyProtection="1">
      <alignment horizontal="center" vertical="center"/>
      <protection locked="0"/>
    </xf>
    <xf numFmtId="169" fontId="14" fillId="2" borderId="0" xfId="1" applyNumberFormat="1" applyFont="1" applyFill="1" applyProtection="1">
      <protection locked="0"/>
    </xf>
    <xf numFmtId="9" fontId="14" fillId="2" borderId="0" xfId="2" applyFont="1" applyFill="1" applyProtection="1">
      <protection locked="0"/>
    </xf>
    <xf numFmtId="171" fontId="20" fillId="2" borderId="0" xfId="2" applyNumberFormat="1" applyFont="1" applyFill="1" applyBorder="1" applyProtection="1">
      <protection locked="0"/>
    </xf>
    <xf numFmtId="0" fontId="24" fillId="6" borderId="0" xfId="0" applyFont="1" applyFill="1" applyAlignment="1" applyProtection="1">
      <alignment vertical="center"/>
      <protection locked="0"/>
    </xf>
    <xf numFmtId="0" fontId="3" fillId="0" borderId="0" xfId="0" applyFont="1" applyAlignment="1" applyProtection="1">
      <alignment horizontal="centerContinuous"/>
      <protection locked="0"/>
    </xf>
    <xf numFmtId="0" fontId="0" fillId="0" borderId="0" xfId="0" applyAlignment="1" applyProtection="1">
      <alignment horizontal="centerContinuous"/>
      <protection locked="0"/>
    </xf>
    <xf numFmtId="172" fontId="13" fillId="0" borderId="0" xfId="0" applyNumberFormat="1" applyFont="1" applyProtection="1">
      <protection locked="0"/>
    </xf>
    <xf numFmtId="173" fontId="26" fillId="0" borderId="0" xfId="0" applyNumberFormat="1" applyFont="1" applyAlignment="1" applyProtection="1">
      <alignment horizontal="left"/>
      <protection locked="0"/>
    </xf>
    <xf numFmtId="0" fontId="0" fillId="0" borderId="0" xfId="0" applyAlignment="1" applyProtection="1">
      <alignment horizontal="right" indent="1"/>
      <protection locked="0"/>
    </xf>
    <xf numFmtId="0" fontId="27" fillId="2" borderId="0" xfId="0" applyFont="1" applyFill="1" applyProtection="1">
      <protection locked="0"/>
    </xf>
    <xf numFmtId="168" fontId="13" fillId="2" borderId="0" xfId="2" applyNumberFormat="1" applyFont="1" applyFill="1" applyProtection="1">
      <protection locked="0"/>
    </xf>
    <xf numFmtId="175" fontId="0" fillId="0" borderId="22" xfId="0" applyNumberFormat="1" applyBorder="1" applyProtection="1">
      <protection locked="0"/>
    </xf>
    <xf numFmtId="168" fontId="0" fillId="0" borderId="22" xfId="0" applyNumberFormat="1" applyBorder="1" applyAlignment="1" applyProtection="1">
      <alignment horizontal="right" indent="1"/>
      <protection locked="0"/>
    </xf>
    <xf numFmtId="172" fontId="0" fillId="0" borderId="22" xfId="0" applyNumberFormat="1" applyBorder="1" applyProtection="1">
      <protection locked="0"/>
    </xf>
    <xf numFmtId="0" fontId="0" fillId="2" borderId="0" xfId="0" applyFill="1" applyProtection="1">
      <protection locked="0"/>
    </xf>
    <xf numFmtId="0" fontId="24" fillId="0" borderId="11" xfId="0" applyFont="1" applyBorder="1" applyAlignment="1" applyProtection="1">
      <alignment horizontal="left" indent="1"/>
      <protection locked="0"/>
    </xf>
    <xf numFmtId="0" fontId="0" fillId="0" borderId="11" xfId="0" applyBorder="1" applyProtection="1">
      <protection locked="0"/>
    </xf>
    <xf numFmtId="0" fontId="10" fillId="0" borderId="11" xfId="0" applyFont="1" applyBorder="1" applyProtection="1">
      <protection locked="0"/>
    </xf>
    <xf numFmtId="173" fontId="29" fillId="0" borderId="11" xfId="0" applyNumberFormat="1" applyFont="1" applyBorder="1" applyAlignment="1" applyProtection="1">
      <alignment horizontal="left"/>
      <protection locked="0"/>
    </xf>
    <xf numFmtId="172" fontId="12" fillId="0" borderId="0" xfId="0" applyNumberFormat="1" applyFont="1" applyProtection="1">
      <protection locked="0"/>
    </xf>
    <xf numFmtId="173" fontId="29" fillId="0" borderId="0" xfId="0" applyNumberFormat="1" applyFont="1" applyAlignment="1" applyProtection="1">
      <alignment horizontal="left"/>
      <protection locked="0"/>
    </xf>
    <xf numFmtId="175" fontId="3" fillId="0" borderId="23" xfId="0" applyNumberFormat="1" applyFont="1" applyBorder="1" applyProtection="1">
      <protection locked="0"/>
    </xf>
    <xf numFmtId="168" fontId="3" fillId="0" borderId="23" xfId="0" applyNumberFormat="1" applyFont="1" applyBorder="1" applyAlignment="1" applyProtection="1">
      <alignment horizontal="right" indent="1"/>
      <protection locked="0"/>
    </xf>
    <xf numFmtId="172" fontId="3" fillId="0" borderId="23" xfId="0" applyNumberFormat="1" applyFont="1" applyBorder="1" applyProtection="1">
      <protection locked="0"/>
    </xf>
    <xf numFmtId="0" fontId="24" fillId="0" borderId="0" xfId="0" applyFont="1" applyProtection="1">
      <protection locked="0"/>
    </xf>
    <xf numFmtId="168" fontId="0" fillId="0" borderId="0" xfId="0" applyNumberFormat="1" applyProtection="1">
      <protection locked="0"/>
    </xf>
    <xf numFmtId="0" fontId="0" fillId="0" borderId="11" xfId="0" applyBorder="1" applyAlignment="1" applyProtection="1">
      <alignment horizontal="left" indent="2"/>
      <protection locked="0"/>
    </xf>
    <xf numFmtId="173" fontId="30" fillId="0" borderId="0" xfId="0" applyNumberFormat="1" applyFont="1" applyProtection="1">
      <protection locked="0"/>
    </xf>
    <xf numFmtId="0" fontId="31" fillId="0" borderId="0" xfId="0" applyFont="1" applyProtection="1">
      <protection locked="0"/>
    </xf>
    <xf numFmtId="0" fontId="0" fillId="3" borderId="3" xfId="0" applyFill="1" applyBorder="1" applyProtection="1">
      <protection locked="0"/>
    </xf>
    <xf numFmtId="0" fontId="2" fillId="5" borderId="24" xfId="1" applyNumberFormat="1" applyFont="1" applyFill="1" applyBorder="1" applyAlignment="1" applyProtection="1">
      <alignment horizontal="centerContinuous"/>
      <protection locked="0"/>
    </xf>
    <xf numFmtId="0" fontId="11" fillId="0" borderId="3" xfId="0" applyFont="1" applyBorder="1" applyAlignment="1" applyProtection="1">
      <alignment horizontal="center" vertical="center"/>
      <protection locked="0"/>
    </xf>
    <xf numFmtId="0" fontId="12" fillId="0" borderId="0" xfId="3" applyFont="1" applyAlignment="1" applyProtection="1">
      <alignment horizontal="left"/>
      <protection locked="0"/>
    </xf>
    <xf numFmtId="0" fontId="12" fillId="0" borderId="0" xfId="3" applyFont="1" applyAlignment="1" applyProtection="1">
      <alignment horizontal="left" indent="1"/>
      <protection locked="0"/>
    </xf>
    <xf numFmtId="0" fontId="10" fillId="0" borderId="0" xfId="3" applyFont="1" applyAlignment="1" applyProtection="1">
      <alignment horizontal="left"/>
      <protection locked="0"/>
    </xf>
    <xf numFmtId="167" fontId="3" fillId="0" borderId="0" xfId="1" applyNumberFormat="1" applyFont="1" applyFill="1" applyProtection="1">
      <protection locked="0"/>
    </xf>
    <xf numFmtId="0" fontId="12" fillId="0" borderId="0" xfId="3" quotePrefix="1" applyFont="1" applyAlignment="1" applyProtection="1">
      <alignment horizontal="left" indent="1"/>
      <protection locked="0"/>
    </xf>
    <xf numFmtId="0" fontId="33" fillId="0" borderId="0" xfId="3" applyFont="1" applyAlignment="1" applyProtection="1">
      <alignment horizontal="left"/>
      <protection locked="0"/>
    </xf>
    <xf numFmtId="0" fontId="10" fillId="0" borderId="18" xfId="3" applyFont="1" applyBorder="1" applyAlignment="1" applyProtection="1">
      <alignment horizontal="left"/>
      <protection locked="0"/>
    </xf>
    <xf numFmtId="172" fontId="0" fillId="0" borderId="0" xfId="0" applyNumberFormat="1" applyProtection="1">
      <protection locked="0"/>
    </xf>
    <xf numFmtId="37" fontId="0" fillId="0" borderId="0" xfId="0" applyNumberFormat="1" applyProtection="1">
      <protection locked="0"/>
    </xf>
    <xf numFmtId="0" fontId="15" fillId="0" borderId="18" xfId="3" applyFont="1" applyBorder="1" applyAlignment="1" applyProtection="1">
      <alignment horizontal="left"/>
      <protection locked="0"/>
    </xf>
    <xf numFmtId="0" fontId="33" fillId="0" borderId="18" xfId="3" applyFont="1" applyBorder="1" applyAlignment="1" applyProtection="1">
      <alignment horizontal="left"/>
      <protection locked="0"/>
    </xf>
    <xf numFmtId="0" fontId="15" fillId="6" borderId="0" xfId="3" applyFont="1" applyFill="1" applyAlignment="1" applyProtection="1">
      <alignment horizontal="left"/>
      <protection locked="0"/>
    </xf>
    <xf numFmtId="0" fontId="33" fillId="6" borderId="0" xfId="3" applyFont="1" applyFill="1" applyAlignment="1" applyProtection="1">
      <alignment horizontal="left"/>
      <protection locked="0"/>
    </xf>
    <xf numFmtId="0" fontId="15" fillId="0" borderId="0" xfId="3" applyFont="1" applyAlignment="1" applyProtection="1">
      <alignment horizontal="left"/>
      <protection locked="0"/>
    </xf>
    <xf numFmtId="0" fontId="33" fillId="0" borderId="25" xfId="3" applyFont="1" applyBorder="1" applyAlignment="1" applyProtection="1">
      <alignment horizontal="left"/>
      <protection locked="0"/>
    </xf>
    <xf numFmtId="0" fontId="0" fillId="0" borderId="25" xfId="0" applyBorder="1" applyProtection="1">
      <protection locked="0"/>
    </xf>
    <xf numFmtId="0" fontId="33" fillId="0" borderId="26" xfId="3" applyFont="1" applyBorder="1" applyAlignment="1" applyProtection="1">
      <alignment horizontal="left"/>
      <protection locked="0"/>
    </xf>
    <xf numFmtId="0" fontId="0" fillId="0" borderId="26" xfId="0" applyBorder="1" applyProtection="1">
      <protection locked="0"/>
    </xf>
    <xf numFmtId="0" fontId="10" fillId="0" borderId="11" xfId="3" applyFont="1" applyBorder="1" applyAlignment="1" applyProtection="1">
      <alignment horizontal="left" indent="1"/>
      <protection locked="0"/>
    </xf>
    <xf numFmtId="0" fontId="33" fillId="0" borderId="11" xfId="3" applyFont="1" applyBorder="1" applyAlignment="1" applyProtection="1">
      <alignment horizontal="left"/>
      <protection locked="0"/>
    </xf>
    <xf numFmtId="176" fontId="0" fillId="0" borderId="0" xfId="0" applyNumberFormat="1" applyProtection="1">
      <protection locked="0"/>
    </xf>
    <xf numFmtId="0" fontId="33" fillId="0" borderId="0" xfId="3" applyFont="1" applyProtection="1">
      <protection locked="0"/>
    </xf>
    <xf numFmtId="0" fontId="33" fillId="0" borderId="0" xfId="3" applyFont="1" applyAlignment="1" applyProtection="1">
      <alignment horizontal="center"/>
      <protection locked="0"/>
    </xf>
    <xf numFmtId="0" fontId="0" fillId="7" borderId="0" xfId="0" applyFill="1" applyProtection="1">
      <protection locked="0"/>
    </xf>
    <xf numFmtId="0" fontId="33" fillId="7" borderId="0" xfId="3" applyFont="1" applyFill="1" applyAlignment="1" applyProtection="1">
      <alignment horizontal="centerContinuous"/>
      <protection locked="0"/>
    </xf>
    <xf numFmtId="0" fontId="10" fillId="7" borderId="0" xfId="3" applyFont="1" applyFill="1" applyAlignment="1" applyProtection="1">
      <alignment horizontal="centerContinuous"/>
      <protection locked="0"/>
    </xf>
    <xf numFmtId="0" fontId="15" fillId="7" borderId="0" xfId="3" applyFont="1" applyFill="1" applyAlignment="1" applyProtection="1">
      <alignment horizontal="centerContinuous"/>
      <protection locked="0"/>
    </xf>
    <xf numFmtId="0" fontId="0" fillId="0" borderId="0" xfId="0" applyAlignment="1" applyProtection="1">
      <alignment horizontal="right"/>
      <protection locked="0"/>
    </xf>
    <xf numFmtId="177" fontId="34" fillId="0" borderId="10" xfId="3" applyNumberFormat="1" applyFont="1" applyBorder="1" applyAlignment="1" applyProtection="1">
      <alignment horizontal="center"/>
      <protection locked="0"/>
    </xf>
    <xf numFmtId="0" fontId="3" fillId="0" borderId="11" xfId="0" applyFont="1" applyBorder="1" applyAlignment="1" applyProtection="1">
      <alignment horizontal="left" indent="1"/>
      <protection locked="0"/>
    </xf>
    <xf numFmtId="177" fontId="12" fillId="0" borderId="0" xfId="3" applyNumberFormat="1" applyFont="1" applyProtection="1">
      <protection locked="0"/>
    </xf>
    <xf numFmtId="177" fontId="33" fillId="0" borderId="0" xfId="3" applyNumberFormat="1" applyFont="1" applyProtection="1">
      <protection locked="0"/>
    </xf>
    <xf numFmtId="174" fontId="13" fillId="0" borderId="0" xfId="0" applyNumberFormat="1" applyFont="1" applyProtection="1">
      <protection locked="0"/>
    </xf>
    <xf numFmtId="39" fontId="33" fillId="0" borderId="27" xfId="3" applyNumberFormat="1" applyFont="1" applyBorder="1" applyProtection="1">
      <protection locked="0"/>
    </xf>
    <xf numFmtId="39" fontId="33" fillId="0" borderId="28" xfId="3" applyNumberFormat="1" applyFont="1" applyBorder="1" applyProtection="1">
      <protection locked="0"/>
    </xf>
    <xf numFmtId="39" fontId="33" fillId="0" borderId="29" xfId="3" applyNumberFormat="1" applyFont="1" applyBorder="1" applyProtection="1">
      <protection locked="0"/>
    </xf>
    <xf numFmtId="39" fontId="33" fillId="8" borderId="0" xfId="3" applyNumberFormat="1" applyFont="1" applyFill="1" applyProtection="1">
      <protection locked="0"/>
    </xf>
    <xf numFmtId="39" fontId="33" fillId="0" borderId="0" xfId="3" applyNumberFormat="1" applyFont="1" applyProtection="1">
      <protection locked="0"/>
    </xf>
    <xf numFmtId="0" fontId="7" fillId="0" borderId="0" xfId="3" applyFont="1" applyProtection="1">
      <protection locked="0"/>
    </xf>
    <xf numFmtId="0" fontId="2" fillId="9" borderId="0" xfId="0" applyFont="1" applyFill="1" applyProtection="1">
      <protection locked="0"/>
    </xf>
    <xf numFmtId="0" fontId="4" fillId="9" borderId="0" xfId="0" applyFont="1" applyFill="1" applyAlignment="1" applyProtection="1">
      <alignment horizontal="right"/>
      <protection locked="0"/>
    </xf>
    <xf numFmtId="0" fontId="0" fillId="0" borderId="30" xfId="0" applyBorder="1" applyProtection="1">
      <protection locked="0"/>
    </xf>
    <xf numFmtId="165" fontId="8" fillId="4" borderId="31" xfId="1" applyNumberFormat="1" applyFont="1" applyFill="1" applyBorder="1" applyAlignment="1" applyProtection="1">
      <alignment horizontal="center"/>
      <protection locked="0"/>
    </xf>
    <xf numFmtId="166" fontId="2" fillId="5" borderId="32" xfId="1" applyNumberFormat="1" applyFont="1" applyFill="1" applyBorder="1" applyAlignment="1" applyProtection="1">
      <alignment horizontal="center"/>
      <protection locked="0"/>
    </xf>
    <xf numFmtId="166" fontId="2" fillId="5" borderId="33" xfId="1" applyNumberFormat="1" applyFont="1" applyFill="1" applyBorder="1" applyAlignment="1" applyProtection="1">
      <alignment horizontal="center"/>
      <protection locked="0"/>
    </xf>
    <xf numFmtId="0" fontId="0" fillId="2" borderId="0" xfId="0" applyFill="1" applyAlignment="1" applyProtection="1">
      <alignment horizontal="right"/>
      <protection locked="0"/>
    </xf>
    <xf numFmtId="167" fontId="12" fillId="2" borderId="0" xfId="1" applyNumberFormat="1" applyFont="1" applyFill="1" applyBorder="1" applyAlignment="1" applyProtection="1">
      <alignment horizontal="right"/>
      <protection locked="0"/>
    </xf>
    <xf numFmtId="167" fontId="0" fillId="2" borderId="0" xfId="1" applyNumberFormat="1" applyFont="1" applyFill="1" applyAlignment="1" applyProtection="1">
      <alignment horizontal="right"/>
      <protection locked="0"/>
    </xf>
    <xf numFmtId="0" fontId="3" fillId="2" borderId="11" xfId="0" applyFont="1" applyFill="1" applyBorder="1" applyProtection="1">
      <protection locked="0"/>
    </xf>
    <xf numFmtId="0" fontId="2" fillId="9" borderId="0" xfId="0" applyFont="1" applyFill="1" applyAlignment="1" applyProtection="1">
      <alignment horizontal="center" vertical="center"/>
      <protection locked="0"/>
    </xf>
    <xf numFmtId="0" fontId="2" fillId="9" borderId="0" xfId="0" applyFont="1" applyFill="1" applyAlignment="1" applyProtection="1">
      <alignment horizontal="centerContinuous"/>
      <protection locked="0"/>
    </xf>
    <xf numFmtId="0" fontId="2" fillId="9" borderId="34" xfId="0" applyFont="1" applyFill="1" applyBorder="1" applyAlignment="1" applyProtection="1">
      <alignment horizontal="centerContinuous"/>
      <protection locked="0"/>
    </xf>
    <xf numFmtId="0" fontId="2" fillId="9" borderId="35" xfId="0" applyFont="1" applyFill="1" applyBorder="1" applyAlignment="1" applyProtection="1">
      <alignment horizontal="centerContinuous" vertical="center"/>
      <protection locked="0"/>
    </xf>
    <xf numFmtId="0" fontId="2" fillId="9" borderId="0" xfId="0" applyFont="1" applyFill="1" applyAlignment="1" applyProtection="1">
      <alignment horizontal="centerContinuous" vertical="center"/>
      <protection locked="0"/>
    </xf>
    <xf numFmtId="0" fontId="2" fillId="9" borderId="36" xfId="0" applyFont="1" applyFill="1" applyBorder="1" applyAlignment="1" applyProtection="1">
      <alignment horizontal="centerContinuous" vertical="center"/>
      <protection locked="0"/>
    </xf>
    <xf numFmtId="0" fontId="2" fillId="9" borderId="37" xfId="0" applyFont="1" applyFill="1" applyBorder="1" applyAlignment="1" applyProtection="1">
      <alignment horizontal="left"/>
      <protection locked="0"/>
    </xf>
    <xf numFmtId="0" fontId="2" fillId="9" borderId="37" xfId="0" applyFont="1" applyFill="1" applyBorder="1" applyAlignment="1" applyProtection="1">
      <alignment horizontal="center" vertical="center"/>
      <protection locked="0"/>
    </xf>
    <xf numFmtId="0" fontId="2" fillId="9" borderId="38" xfId="0" applyFont="1" applyFill="1" applyBorder="1" applyAlignment="1" applyProtection="1">
      <alignment horizontal="center" vertical="center"/>
      <protection locked="0"/>
    </xf>
    <xf numFmtId="166" fontId="2" fillId="9" borderId="38" xfId="0" applyNumberFormat="1" applyFont="1" applyFill="1" applyBorder="1" applyAlignment="1" applyProtection="1">
      <alignment horizontal="center" vertical="center"/>
      <protection locked="0"/>
    </xf>
    <xf numFmtId="166" fontId="2" fillId="9" borderId="39" xfId="0" applyNumberFormat="1" applyFont="1" applyFill="1" applyBorder="1" applyAlignment="1" applyProtection="1">
      <alignment horizontal="center" vertical="center"/>
      <protection locked="0"/>
    </xf>
    <xf numFmtId="0" fontId="2" fillId="9" borderId="40" xfId="0" applyFont="1" applyFill="1" applyBorder="1" applyAlignment="1" applyProtection="1">
      <alignment horizontal="center" vertical="center"/>
      <protection locked="0"/>
    </xf>
    <xf numFmtId="166" fontId="2" fillId="9" borderId="41" xfId="0" applyNumberFormat="1" applyFont="1" applyFill="1" applyBorder="1" applyAlignment="1" applyProtection="1">
      <alignment horizontal="center" vertical="center"/>
      <protection locked="0"/>
    </xf>
    <xf numFmtId="0" fontId="0" fillId="2" borderId="42" xfId="0" applyFill="1" applyBorder="1" applyProtection="1">
      <protection locked="0"/>
    </xf>
    <xf numFmtId="0" fontId="0" fillId="2" borderId="42" xfId="0" applyFill="1" applyBorder="1" applyAlignment="1" applyProtection="1">
      <alignment horizontal="right"/>
      <protection locked="0"/>
    </xf>
    <xf numFmtId="37" fontId="0" fillId="10" borderId="42" xfId="0" applyNumberFormat="1" applyFill="1" applyBorder="1" applyProtection="1">
      <protection locked="0"/>
    </xf>
    <xf numFmtId="178" fontId="0" fillId="10" borderId="43" xfId="0" applyNumberFormat="1" applyFill="1" applyBorder="1" applyAlignment="1" applyProtection="1">
      <alignment horizontal="right" indent="2"/>
      <protection locked="0"/>
    </xf>
    <xf numFmtId="178" fontId="0" fillId="10" borderId="44" xfId="0" applyNumberFormat="1" applyFill="1" applyBorder="1" applyAlignment="1" applyProtection="1">
      <alignment horizontal="right" indent="2"/>
      <protection locked="0"/>
    </xf>
    <xf numFmtId="179" fontId="0" fillId="10" borderId="43" xfId="0" applyNumberFormat="1" applyFill="1" applyBorder="1" applyAlignment="1" applyProtection="1">
      <alignment horizontal="right" indent="2"/>
      <protection locked="0"/>
    </xf>
    <xf numFmtId="179" fontId="0" fillId="10" borderId="44" xfId="0" applyNumberFormat="1" applyFill="1" applyBorder="1" applyAlignment="1" applyProtection="1">
      <alignment horizontal="right" indent="2"/>
      <protection locked="0"/>
    </xf>
    <xf numFmtId="0" fontId="0" fillId="2" borderId="0" xfId="0" applyFill="1" applyAlignment="1" applyProtection="1">
      <alignment horizontal="right" indent="2"/>
      <protection locked="0"/>
    </xf>
    <xf numFmtId="0" fontId="0" fillId="0" borderId="0" xfId="0" applyAlignment="1" applyProtection="1">
      <alignment horizontal="right" indent="2"/>
      <protection locked="0"/>
    </xf>
    <xf numFmtId="0" fontId="23" fillId="2" borderId="0" xfId="0" applyFont="1" applyFill="1" applyProtection="1">
      <protection locked="0"/>
    </xf>
    <xf numFmtId="0" fontId="0" fillId="6" borderId="0" xfId="0" applyFill="1" applyAlignment="1" applyProtection="1">
      <alignment horizontal="right"/>
      <protection locked="0"/>
    </xf>
    <xf numFmtId="0" fontId="3" fillId="8" borderId="0" xfId="0" applyFont="1" applyFill="1" applyProtection="1">
      <protection locked="0"/>
    </xf>
    <xf numFmtId="0" fontId="3" fillId="8" borderId="0" xfId="0" applyFont="1" applyFill="1" applyAlignment="1" applyProtection="1">
      <alignment horizontal="right"/>
      <protection locked="0"/>
    </xf>
    <xf numFmtId="167" fontId="3" fillId="8" borderId="0" xfId="0" applyNumberFormat="1" applyFont="1" applyFill="1" applyAlignment="1" applyProtection="1">
      <alignment horizontal="right"/>
      <protection locked="0"/>
    </xf>
    <xf numFmtId="0" fontId="0" fillId="0" borderId="9" xfId="0" applyBorder="1" applyProtection="1">
      <protection locked="0"/>
    </xf>
    <xf numFmtId="0" fontId="11" fillId="2" borderId="0" xfId="0" applyFont="1" applyFill="1" applyAlignment="1" applyProtection="1">
      <alignment horizontal="center" vertical="center"/>
      <protection locked="0"/>
    </xf>
    <xf numFmtId="168" fontId="12" fillId="2" borderId="0" xfId="2" applyNumberFormat="1" applyFont="1" applyFill="1" applyBorder="1" applyProtection="1">
      <protection locked="0"/>
    </xf>
    <xf numFmtId="168" fontId="12" fillId="2" borderId="9" xfId="2" applyNumberFormat="1" applyFont="1" applyFill="1" applyBorder="1" applyProtection="1">
      <protection locked="0"/>
    </xf>
    <xf numFmtId="176" fontId="0" fillId="0" borderId="9" xfId="0" applyNumberFormat="1" applyBorder="1" applyProtection="1">
      <protection locked="0"/>
    </xf>
    <xf numFmtId="0" fontId="35" fillId="6" borderId="0" xfId="0" applyFont="1" applyFill="1" applyProtection="1">
      <protection locked="0"/>
    </xf>
    <xf numFmtId="180" fontId="0" fillId="0" borderId="0" xfId="0" applyNumberFormat="1" applyProtection="1">
      <protection locked="0"/>
    </xf>
    <xf numFmtId="168" fontId="0" fillId="0" borderId="9" xfId="0" applyNumberFormat="1" applyBorder="1" applyProtection="1">
      <protection locked="0"/>
    </xf>
    <xf numFmtId="0" fontId="24" fillId="2" borderId="18" xfId="0" applyFont="1" applyFill="1" applyBorder="1" applyAlignment="1" applyProtection="1">
      <alignment vertical="center"/>
      <protection locked="0"/>
    </xf>
    <xf numFmtId="167" fontId="3" fillId="0" borderId="17" xfId="1" applyNumberFormat="1" applyFont="1" applyFill="1" applyBorder="1" applyProtection="1">
      <protection locked="0"/>
    </xf>
    <xf numFmtId="167" fontId="3" fillId="0" borderId="45" xfId="1" applyNumberFormat="1" applyFont="1" applyFill="1" applyBorder="1" applyProtection="1">
      <protection locked="0"/>
    </xf>
    <xf numFmtId="167" fontId="1" fillId="0" borderId="17" xfId="1" applyNumberFormat="1" applyFont="1" applyFill="1" applyBorder="1" applyProtection="1">
      <protection locked="0"/>
    </xf>
    <xf numFmtId="167" fontId="1" fillId="0" borderId="46" xfId="1" applyNumberFormat="1" applyFont="1" applyFill="1" applyBorder="1" applyProtection="1">
      <protection locked="0"/>
    </xf>
    <xf numFmtId="167" fontId="1" fillId="0" borderId="48" xfId="1" applyNumberFormat="1" applyFont="1" applyFill="1" applyBorder="1" applyProtection="1">
      <protection locked="0"/>
    </xf>
    <xf numFmtId="167" fontId="3" fillId="0" borderId="48" xfId="1" applyNumberFormat="1" applyFont="1" applyFill="1" applyBorder="1" applyProtection="1">
      <protection locked="0"/>
    </xf>
    <xf numFmtId="167" fontId="3" fillId="0" borderId="49" xfId="1" applyNumberFormat="1" applyFont="1" applyFill="1" applyBorder="1" applyProtection="1">
      <protection locked="0"/>
    </xf>
    <xf numFmtId="167" fontId="3" fillId="0" borderId="50" xfId="0" applyNumberFormat="1" applyFont="1" applyBorder="1" applyProtection="1">
      <protection locked="0"/>
    </xf>
    <xf numFmtId="167" fontId="12" fillId="0" borderId="51" xfId="1" applyNumberFormat="1" applyFont="1" applyFill="1" applyBorder="1" applyProtection="1">
      <protection locked="0"/>
    </xf>
    <xf numFmtId="164" fontId="1" fillId="0" borderId="17" xfId="1" applyFont="1" applyFill="1" applyBorder="1" applyProtection="1">
      <protection locked="0"/>
    </xf>
    <xf numFmtId="181" fontId="1" fillId="0" borderId="17" xfId="1" applyNumberFormat="1" applyFont="1" applyFill="1" applyBorder="1" applyProtection="1">
      <protection locked="0"/>
    </xf>
    <xf numFmtId="0" fontId="2" fillId="9" borderId="13" xfId="0" applyFont="1" applyFill="1" applyBorder="1" applyAlignment="1" applyProtection="1">
      <alignment horizontal="left" vertical="center"/>
      <protection locked="0"/>
    </xf>
    <xf numFmtId="0" fontId="2" fillId="9" borderId="11" xfId="0" applyFont="1" applyFill="1" applyBorder="1" applyAlignment="1" applyProtection="1">
      <alignment horizontal="center" vertical="center" wrapText="1"/>
      <protection locked="0"/>
    </xf>
    <xf numFmtId="0" fontId="2" fillId="9" borderId="12" xfId="0" applyFont="1" applyFill="1" applyBorder="1" applyAlignment="1" applyProtection="1">
      <alignment horizontal="center" vertical="center" wrapText="1"/>
      <protection locked="0"/>
    </xf>
    <xf numFmtId="0" fontId="0" fillId="0" borderId="53" xfId="0" applyBorder="1" applyProtection="1">
      <protection locked="0"/>
    </xf>
    <xf numFmtId="182" fontId="0" fillId="0" borderId="0" xfId="0" applyNumberFormat="1" applyProtection="1">
      <protection locked="0"/>
    </xf>
    <xf numFmtId="169" fontId="0" fillId="0" borderId="0" xfId="0" applyNumberFormat="1" applyProtection="1">
      <protection locked="0"/>
    </xf>
    <xf numFmtId="40" fontId="0" fillId="2" borderId="0" xfId="0" applyNumberFormat="1" applyFill="1" applyAlignment="1" applyProtection="1">
      <alignment horizontal="right"/>
      <protection locked="0"/>
    </xf>
    <xf numFmtId="9" fontId="0" fillId="2" borderId="9" xfId="2" applyFont="1" applyFill="1" applyBorder="1" applyAlignment="1" applyProtection="1">
      <alignment horizontal="right"/>
      <protection locked="0"/>
    </xf>
    <xf numFmtId="164" fontId="0" fillId="2" borderId="0" xfId="0" applyNumberFormat="1" applyFill="1" applyAlignment="1" applyProtection="1">
      <alignment horizontal="right"/>
      <protection locked="0"/>
    </xf>
    <xf numFmtId="167" fontId="0" fillId="2" borderId="0" xfId="0" applyNumberFormat="1" applyFill="1" applyAlignment="1" applyProtection="1">
      <alignment horizontal="right"/>
      <protection locked="0"/>
    </xf>
    <xf numFmtId="43" fontId="0" fillId="2" borderId="0" xfId="0" applyNumberFormat="1" applyFill="1" applyAlignment="1" applyProtection="1">
      <alignment horizontal="right"/>
      <protection locked="0"/>
    </xf>
    <xf numFmtId="0" fontId="0" fillId="0" borderId="54" xfId="0" applyBorder="1" applyProtection="1">
      <protection locked="0"/>
    </xf>
    <xf numFmtId="0" fontId="0" fillId="0" borderId="55" xfId="0" applyBorder="1" applyProtection="1">
      <protection locked="0"/>
    </xf>
    <xf numFmtId="0" fontId="0" fillId="2" borderId="55" xfId="0" applyFill="1" applyBorder="1" applyAlignment="1" applyProtection="1">
      <alignment horizontal="right"/>
      <protection locked="0"/>
    </xf>
    <xf numFmtId="167" fontId="0" fillId="2" borderId="55" xfId="0" applyNumberFormat="1" applyFill="1" applyBorder="1" applyAlignment="1" applyProtection="1">
      <alignment horizontal="right"/>
      <protection locked="0"/>
    </xf>
    <xf numFmtId="43" fontId="0" fillId="2" borderId="55" xfId="0" applyNumberFormat="1" applyFill="1" applyBorder="1" applyAlignment="1" applyProtection="1">
      <alignment horizontal="right"/>
      <protection locked="0"/>
    </xf>
    <xf numFmtId="9" fontId="0" fillId="2" borderId="56" xfId="2" applyFont="1" applyFill="1" applyBorder="1" applyAlignment="1" applyProtection="1">
      <alignment horizontal="right"/>
      <protection locked="0"/>
    </xf>
    <xf numFmtId="2" fontId="0" fillId="2" borderId="0" xfId="0" applyNumberFormat="1" applyFill="1" applyAlignment="1" applyProtection="1">
      <alignment horizontal="right"/>
      <protection locked="0"/>
    </xf>
    <xf numFmtId="168" fontId="0" fillId="2" borderId="0" xfId="2" applyNumberFormat="1" applyFont="1" applyFill="1" applyBorder="1" applyAlignment="1" applyProtection="1">
      <alignment horizontal="right"/>
      <protection locked="0"/>
    </xf>
    <xf numFmtId="0" fontId="1" fillId="2" borderId="0" xfId="4" applyFill="1"/>
    <xf numFmtId="0" fontId="1" fillId="2" borderId="57" xfId="4" applyFill="1" applyBorder="1"/>
    <xf numFmtId="0" fontId="1" fillId="2" borderId="58" xfId="4" applyFill="1" applyBorder="1"/>
    <xf numFmtId="0" fontId="1" fillId="2" borderId="59" xfId="4" applyFill="1" applyBorder="1"/>
    <xf numFmtId="0" fontId="1" fillId="2" borderId="60" xfId="4" applyFill="1" applyBorder="1"/>
    <xf numFmtId="0" fontId="1" fillId="2" borderId="61" xfId="4" applyFill="1" applyBorder="1"/>
    <xf numFmtId="0" fontId="3" fillId="2" borderId="13" xfId="4" applyFont="1" applyFill="1" applyBorder="1"/>
    <xf numFmtId="0" fontId="1" fillId="2" borderId="12" xfId="4" applyFill="1" applyBorder="1"/>
    <xf numFmtId="0" fontId="1" fillId="2" borderId="53" xfId="4" applyFill="1" applyBorder="1"/>
    <xf numFmtId="0" fontId="1" fillId="2" borderId="9" xfId="4" applyFill="1" applyBorder="1" applyAlignment="1">
      <alignment horizontal="center"/>
    </xf>
    <xf numFmtId="0" fontId="13" fillId="2" borderId="9" xfId="4" applyFont="1" applyFill="1" applyBorder="1" applyAlignment="1">
      <alignment horizontal="center"/>
    </xf>
    <xf numFmtId="9" fontId="1" fillId="11" borderId="62" xfId="2" applyFont="1" applyFill="1" applyBorder="1"/>
    <xf numFmtId="169" fontId="1" fillId="11" borderId="17" xfId="1" applyNumberFormat="1" applyFont="1" applyFill="1" applyBorder="1" applyAlignment="1">
      <alignment horizontal="center"/>
    </xf>
    <xf numFmtId="0" fontId="1" fillId="2" borderId="54" xfId="4" applyFill="1" applyBorder="1"/>
    <xf numFmtId="0" fontId="3" fillId="2" borderId="0" xfId="4" applyFont="1" applyFill="1"/>
    <xf numFmtId="0" fontId="1" fillId="2" borderId="63" xfId="4" applyFill="1" applyBorder="1"/>
    <xf numFmtId="0" fontId="1" fillId="2" borderId="64" xfId="4" applyFill="1" applyBorder="1"/>
    <xf numFmtId="0" fontId="1" fillId="2" borderId="65" xfId="4" applyFill="1" applyBorder="1"/>
    <xf numFmtId="0" fontId="37" fillId="0" borderId="0" xfId="0" applyFont="1" applyProtection="1">
      <protection locked="0"/>
    </xf>
    <xf numFmtId="0" fontId="38" fillId="0" borderId="0" xfId="0" applyFont="1" applyProtection="1">
      <protection locked="0"/>
    </xf>
    <xf numFmtId="0" fontId="3" fillId="2" borderId="0" xfId="1" applyNumberFormat="1" applyFont="1" applyFill="1" applyBorder="1" applyAlignment="1" applyProtection="1">
      <alignment horizontal="left" vertical="center"/>
      <protection locked="0"/>
    </xf>
    <xf numFmtId="0" fontId="37" fillId="0" borderId="66" xfId="0" applyFont="1" applyBorder="1" applyProtection="1">
      <protection locked="0"/>
    </xf>
    <xf numFmtId="0" fontId="0" fillId="0" borderId="66" xfId="0" applyBorder="1" applyProtection="1">
      <protection locked="0"/>
    </xf>
    <xf numFmtId="164" fontId="3" fillId="2" borderId="66" xfId="1" applyFont="1" applyFill="1" applyBorder="1" applyAlignment="1" applyProtection="1">
      <alignment horizontal="left" vertical="center"/>
      <protection locked="0"/>
    </xf>
    <xf numFmtId="164" fontId="6" fillId="2" borderId="66" xfId="1" applyFont="1" applyFill="1" applyBorder="1" applyAlignment="1" applyProtection="1">
      <alignment horizontal="left" vertical="center"/>
      <protection locked="0"/>
    </xf>
    <xf numFmtId="0" fontId="39" fillId="2" borderId="66" xfId="1" applyNumberFormat="1" applyFont="1" applyFill="1" applyBorder="1" applyAlignment="1" applyProtection="1">
      <protection locked="0"/>
    </xf>
    <xf numFmtId="0" fontId="40" fillId="0" borderId="0" xfId="0" applyFont="1" applyProtection="1">
      <protection locked="0"/>
    </xf>
    <xf numFmtId="168" fontId="22" fillId="2" borderId="0" xfId="2" applyNumberFormat="1" applyFont="1" applyFill="1" applyBorder="1" applyProtection="1">
      <protection locked="0"/>
    </xf>
    <xf numFmtId="168" fontId="21" fillId="0" borderId="0" xfId="2" applyNumberFormat="1" applyFont="1" applyFill="1" applyBorder="1" applyAlignment="1" applyProtection="1">
      <alignment horizontal="right"/>
      <protection locked="0"/>
    </xf>
    <xf numFmtId="167" fontId="3" fillId="0" borderId="67" xfId="1" applyNumberFormat="1" applyFont="1" applyFill="1" applyBorder="1" applyProtection="1">
      <protection locked="0"/>
    </xf>
    <xf numFmtId="10" fontId="0" fillId="0" borderId="0" xfId="2" applyNumberFormat="1" applyFont="1" applyProtection="1">
      <protection locked="0"/>
    </xf>
    <xf numFmtId="169" fontId="0" fillId="0" borderId="0" xfId="1" applyNumberFormat="1" applyFont="1" applyProtection="1">
      <protection locked="0"/>
    </xf>
    <xf numFmtId="171" fontId="1" fillId="0" borderId="47" xfId="2" applyNumberFormat="1" applyFont="1" applyFill="1" applyBorder="1" applyProtection="1">
      <protection locked="0"/>
    </xf>
    <xf numFmtId="171" fontId="1" fillId="0" borderId="17" xfId="2" applyNumberFormat="1" applyFont="1" applyFill="1" applyBorder="1" applyProtection="1">
      <protection locked="0"/>
    </xf>
    <xf numFmtId="167" fontId="1" fillId="0" borderId="68" xfId="1" applyNumberFormat="1" applyFont="1" applyFill="1" applyBorder="1" applyProtection="1">
      <protection locked="0"/>
    </xf>
    <xf numFmtId="167" fontId="1" fillId="0" borderId="69" xfId="1" applyNumberFormat="1" applyFont="1" applyFill="1" applyBorder="1" applyProtection="1">
      <protection locked="0"/>
    </xf>
    <xf numFmtId="167" fontId="1" fillId="0" borderId="49" xfId="1" applyNumberFormat="1" applyFont="1" applyFill="1" applyBorder="1" applyProtection="1">
      <protection locked="0"/>
    </xf>
    <xf numFmtId="171" fontId="14" fillId="0" borderId="17" xfId="2" applyNumberFormat="1" applyFont="1" applyFill="1" applyBorder="1" applyProtection="1">
      <protection locked="0"/>
    </xf>
    <xf numFmtId="167" fontId="3" fillId="0" borderId="68" xfId="1" applyNumberFormat="1" applyFont="1" applyFill="1" applyBorder="1" applyProtection="1">
      <protection locked="0"/>
    </xf>
    <xf numFmtId="171" fontId="1" fillId="0" borderId="48" xfId="2" applyNumberFormat="1" applyFont="1" applyFill="1" applyBorder="1" applyProtection="1">
      <protection locked="0"/>
    </xf>
    <xf numFmtId="169" fontId="1" fillId="0" borderId="48" xfId="1" applyNumberFormat="1" applyFont="1" applyFill="1" applyBorder="1" applyProtection="1">
      <protection locked="0"/>
    </xf>
    <xf numFmtId="171" fontId="1" fillId="0" borderId="70" xfId="2" applyNumberFormat="1" applyFont="1" applyFill="1" applyBorder="1" applyProtection="1">
      <protection locked="0"/>
    </xf>
    <xf numFmtId="183" fontId="1" fillId="0" borderId="17" xfId="1" applyNumberFormat="1" applyFont="1" applyFill="1" applyBorder="1" applyProtection="1">
      <protection locked="0"/>
    </xf>
    <xf numFmtId="169" fontId="3" fillId="0" borderId="48" xfId="1" applyNumberFormat="1" applyFont="1" applyFill="1" applyBorder="1" applyProtection="1">
      <protection locked="0"/>
    </xf>
    <xf numFmtId="164" fontId="3" fillId="0" borderId="48" xfId="1" applyFont="1" applyFill="1" applyBorder="1" applyProtection="1">
      <protection locked="0"/>
    </xf>
    <xf numFmtId="164" fontId="3" fillId="0" borderId="0" xfId="1" applyFont="1" applyFill="1" applyBorder="1" applyProtection="1">
      <protection locked="0"/>
    </xf>
    <xf numFmtId="171" fontId="1" fillId="0" borderId="64" xfId="2" applyNumberFormat="1" applyFont="1" applyFill="1" applyBorder="1" applyProtection="1">
      <protection locked="0"/>
    </xf>
    <xf numFmtId="171" fontId="1" fillId="0" borderId="61" xfId="2" applyNumberFormat="1" applyFont="1" applyFill="1" applyBorder="1" applyProtection="1">
      <protection locked="0"/>
    </xf>
    <xf numFmtId="168" fontId="42" fillId="0" borderId="9" xfId="2" applyNumberFormat="1" applyFont="1" applyFill="1" applyBorder="1" applyAlignment="1" applyProtection="1">
      <alignment horizontal="right"/>
      <protection locked="0"/>
    </xf>
    <xf numFmtId="167" fontId="41" fillId="0" borderId="0" xfId="1" applyNumberFormat="1" applyFont="1" applyFill="1" applyBorder="1" applyProtection="1">
      <protection locked="0"/>
    </xf>
    <xf numFmtId="168" fontId="42" fillId="0" borderId="0" xfId="2" applyNumberFormat="1" applyFont="1" applyFill="1" applyBorder="1" applyProtection="1">
      <protection locked="0"/>
    </xf>
    <xf numFmtId="168" fontId="42" fillId="0" borderId="0" xfId="2" applyNumberFormat="1" applyFont="1" applyFill="1" applyBorder="1" applyAlignment="1" applyProtection="1">
      <alignment horizontal="right"/>
      <protection locked="0"/>
    </xf>
    <xf numFmtId="168" fontId="42" fillId="0" borderId="0" xfId="2" applyNumberFormat="1" applyFont="1" applyFill="1" applyAlignment="1" applyProtection="1">
      <alignment horizontal="right"/>
      <protection locked="0"/>
    </xf>
    <xf numFmtId="168" fontId="42" fillId="2" borderId="0" xfId="2" applyNumberFormat="1" applyFont="1" applyFill="1" applyAlignment="1" applyProtection="1">
      <alignment horizontal="right"/>
      <protection locked="0"/>
    </xf>
    <xf numFmtId="167" fontId="42" fillId="0" borderId="0" xfId="1" applyNumberFormat="1" applyFont="1" applyFill="1" applyProtection="1">
      <protection locked="0"/>
    </xf>
    <xf numFmtId="168" fontId="41" fillId="2" borderId="0" xfId="2" applyNumberFormat="1" applyFont="1" applyFill="1" applyProtection="1">
      <protection locked="0"/>
    </xf>
    <xf numFmtId="174" fontId="41" fillId="0" borderId="0" xfId="0" applyNumberFormat="1" applyFont="1" applyAlignment="1" applyProtection="1">
      <alignment horizontal="right"/>
      <protection locked="0"/>
    </xf>
    <xf numFmtId="172" fontId="41" fillId="0" borderId="0" xfId="0" applyNumberFormat="1" applyFont="1" applyProtection="1">
      <protection locked="0"/>
    </xf>
    <xf numFmtId="174" fontId="41" fillId="0" borderId="0" xfId="0" applyNumberFormat="1" applyFont="1" applyProtection="1">
      <protection locked="0"/>
    </xf>
    <xf numFmtId="167" fontId="41" fillId="0" borderId="0" xfId="0" applyNumberFormat="1" applyFont="1" applyProtection="1">
      <protection locked="0"/>
    </xf>
    <xf numFmtId="184" fontId="0" fillId="0" borderId="0" xfId="0" applyNumberFormat="1" applyProtection="1">
      <protection locked="0"/>
    </xf>
    <xf numFmtId="185" fontId="0" fillId="0" borderId="0" xfId="0" applyNumberFormat="1" applyProtection="1">
      <protection locked="0"/>
    </xf>
    <xf numFmtId="178" fontId="41" fillId="10" borderId="42" xfId="0" applyNumberFormat="1" applyFont="1" applyFill="1" applyBorder="1" applyAlignment="1" applyProtection="1">
      <alignment horizontal="right" indent="2"/>
      <protection locked="0"/>
    </xf>
    <xf numFmtId="179" fontId="41" fillId="10" borderId="42" xfId="0" applyNumberFormat="1" applyFont="1" applyFill="1" applyBorder="1" applyAlignment="1" applyProtection="1">
      <alignment horizontal="right" indent="2"/>
      <protection locked="0"/>
    </xf>
    <xf numFmtId="167" fontId="1" fillId="0" borderId="52" xfId="1" applyNumberFormat="1" applyFont="1" applyFill="1" applyBorder="1" applyProtection="1">
      <protection locked="0"/>
    </xf>
    <xf numFmtId="167" fontId="1" fillId="0" borderId="71" xfId="1" applyNumberFormat="1" applyFont="1" applyFill="1" applyBorder="1" applyProtection="1">
      <protection locked="0"/>
    </xf>
    <xf numFmtId="167" fontId="1" fillId="0" borderId="72" xfId="1" applyNumberFormat="1" applyFont="1" applyFill="1" applyBorder="1" applyProtection="1">
      <protection locked="0"/>
    </xf>
    <xf numFmtId="167" fontId="3" fillId="0" borderId="73" xfId="1" applyNumberFormat="1" applyFont="1" applyFill="1" applyBorder="1" applyProtection="1">
      <protection locked="0"/>
    </xf>
    <xf numFmtId="167" fontId="3" fillId="0" borderId="74" xfId="1" applyNumberFormat="1" applyFont="1" applyFill="1" applyBorder="1" applyProtection="1">
      <protection locked="0"/>
    </xf>
    <xf numFmtId="167" fontId="3" fillId="0" borderId="75" xfId="1" applyNumberFormat="1" applyFont="1" applyFill="1" applyBorder="1" applyProtection="1">
      <protection locked="0"/>
    </xf>
    <xf numFmtId="0" fontId="10" fillId="0" borderId="18" xfId="0" applyFont="1" applyBorder="1" applyAlignment="1" applyProtection="1">
      <alignment horizontal="left" vertical="center"/>
      <protection locked="0"/>
    </xf>
    <xf numFmtId="187" fontId="1" fillId="0" borderId="17" xfId="1" applyNumberFormat="1" applyFont="1" applyFill="1" applyBorder="1" applyProtection="1">
      <protection locked="0"/>
    </xf>
    <xf numFmtId="174" fontId="12" fillId="0" borderId="0" xfId="0" applyNumberFormat="1" applyFont="1" applyAlignment="1" applyProtection="1">
      <alignment horizontal="right"/>
      <protection locked="0"/>
    </xf>
    <xf numFmtId="167" fontId="12" fillId="0" borderId="0" xfId="0" applyNumberFormat="1" applyFont="1" applyProtection="1">
      <protection locked="0"/>
    </xf>
    <xf numFmtId="174" fontId="12" fillId="0" borderId="0" xfId="0" applyNumberFormat="1" applyFont="1" applyProtection="1">
      <protection locked="0"/>
    </xf>
    <xf numFmtId="178" fontId="12" fillId="10" borderId="42" xfId="0" applyNumberFormat="1" applyFont="1" applyFill="1" applyBorder="1" applyAlignment="1" applyProtection="1">
      <alignment horizontal="right" indent="2"/>
      <protection locked="0"/>
    </xf>
    <xf numFmtId="179" fontId="12" fillId="10" borderId="42" xfId="0" applyNumberFormat="1" applyFont="1" applyFill="1" applyBorder="1" applyAlignment="1" applyProtection="1">
      <alignment horizontal="right" indent="2"/>
      <protection locked="0"/>
    </xf>
    <xf numFmtId="0" fontId="45" fillId="0" borderId="0" xfId="5" applyFont="1" applyAlignment="1">
      <alignment vertical="center"/>
    </xf>
    <xf numFmtId="0" fontId="45" fillId="0" borderId="0" xfId="5" applyFont="1" applyAlignment="1"/>
    <xf numFmtId="167" fontId="1" fillId="0" borderId="84" xfId="1" applyNumberFormat="1" applyFont="1" applyFill="1" applyBorder="1" applyProtection="1">
      <protection locked="0"/>
    </xf>
    <xf numFmtId="167" fontId="1" fillId="0" borderId="83" xfId="1" applyNumberFormat="1" applyFont="1" applyFill="1" applyBorder="1" applyProtection="1">
      <protection locked="0"/>
    </xf>
    <xf numFmtId="167" fontId="1" fillId="0" borderId="85" xfId="1" applyNumberFormat="1" applyFont="1" applyFill="1" applyBorder="1" applyProtection="1">
      <protection locked="0"/>
    </xf>
    <xf numFmtId="167" fontId="1" fillId="0" borderId="73" xfId="1" applyNumberFormat="1" applyFont="1" applyFill="1" applyBorder="1" applyProtection="1">
      <protection locked="0"/>
    </xf>
    <xf numFmtId="167" fontId="1" fillId="0" borderId="62" xfId="1" applyNumberFormat="1" applyFont="1" applyFill="1" applyBorder="1" applyProtection="1">
      <protection locked="0"/>
    </xf>
    <xf numFmtId="9" fontId="1" fillId="0" borderId="71" xfId="2" applyFont="1" applyFill="1" applyBorder="1" applyProtection="1">
      <protection locked="0"/>
    </xf>
    <xf numFmtId="169" fontId="14" fillId="2" borderId="0" xfId="1" applyNumberFormat="1" applyFont="1" applyFill="1" applyAlignment="1" applyProtection="1">
      <alignment horizontal="right"/>
      <protection locked="0"/>
    </xf>
    <xf numFmtId="167" fontId="14" fillId="0" borderId="46" xfId="1" applyNumberFormat="1" applyFont="1" applyFill="1" applyBorder="1" applyProtection="1">
      <protection locked="0"/>
    </xf>
    <xf numFmtId="187" fontId="1" fillId="12" borderId="17" xfId="1" applyNumberFormat="1" applyFont="1" applyFill="1" applyBorder="1" applyProtection="1">
      <protection locked="0"/>
    </xf>
    <xf numFmtId="167" fontId="1" fillId="12" borderId="52" xfId="1" applyNumberFormat="1" applyFont="1" applyFill="1" applyBorder="1" applyProtection="1">
      <protection locked="0"/>
    </xf>
    <xf numFmtId="167" fontId="1" fillId="0" borderId="47" xfId="6" applyNumberFormat="1" applyFont="1" applyFill="1" applyBorder="1" applyProtection="1">
      <protection locked="0"/>
    </xf>
    <xf numFmtId="187" fontId="1" fillId="0" borderId="17" xfId="6" applyNumberFormat="1" applyFont="1" applyFill="1" applyBorder="1" applyProtection="1">
      <protection locked="0"/>
    </xf>
    <xf numFmtId="168" fontId="0" fillId="2" borderId="86" xfId="2" applyNumberFormat="1" applyFont="1" applyFill="1" applyBorder="1" applyAlignment="1" applyProtection="1">
      <alignment horizontal="right"/>
      <protection locked="0"/>
    </xf>
    <xf numFmtId="0" fontId="0" fillId="0" borderId="86" xfId="0" applyBorder="1" applyProtection="1">
      <protection locked="0"/>
    </xf>
    <xf numFmtId="176" fontId="0" fillId="0" borderId="86" xfId="0" applyNumberFormat="1" applyBorder="1" applyProtection="1">
      <protection locked="0"/>
    </xf>
    <xf numFmtId="167" fontId="1" fillId="0" borderId="0" xfId="1" applyNumberFormat="1" applyFont="1" applyFill="1" applyBorder="1" applyProtection="1">
      <protection locked="0"/>
    </xf>
    <xf numFmtId="167" fontId="3" fillId="0" borderId="87" xfId="1" applyNumberFormat="1" applyFont="1" applyFill="1" applyBorder="1" applyProtection="1">
      <protection locked="0"/>
    </xf>
    <xf numFmtId="167" fontId="1" fillId="0" borderId="53" xfId="1" applyNumberFormat="1" applyFont="1" applyFill="1" applyBorder="1" applyProtection="1">
      <protection locked="0"/>
    </xf>
    <xf numFmtId="167" fontId="12" fillId="0" borderId="53" xfId="1" applyNumberFormat="1" applyFont="1" applyFill="1" applyBorder="1" applyProtection="1">
      <protection locked="0"/>
    </xf>
    <xf numFmtId="167" fontId="10" fillId="0" borderId="53" xfId="1" applyNumberFormat="1" applyFont="1" applyFill="1" applyBorder="1" applyProtection="1">
      <protection locked="0"/>
    </xf>
    <xf numFmtId="167" fontId="14" fillId="0" borderId="89" xfId="1" applyNumberFormat="1" applyFont="1" applyFill="1" applyBorder="1" applyProtection="1">
      <protection locked="0"/>
    </xf>
    <xf numFmtId="167" fontId="0" fillId="0" borderId="53" xfId="1" applyNumberFormat="1" applyFont="1" applyFill="1" applyBorder="1" applyProtection="1">
      <protection locked="0"/>
    </xf>
    <xf numFmtId="167" fontId="13" fillId="0" borderId="53" xfId="1" applyNumberFormat="1" applyFont="1" applyFill="1" applyBorder="1" applyProtection="1">
      <protection locked="0"/>
    </xf>
    <xf numFmtId="0" fontId="24" fillId="2" borderId="90" xfId="0" applyFont="1" applyFill="1" applyBorder="1" applyAlignment="1" applyProtection="1">
      <alignment vertical="center"/>
      <protection locked="0"/>
    </xf>
    <xf numFmtId="9" fontId="1" fillId="0" borderId="88" xfId="2" applyFont="1" applyFill="1" applyBorder="1" applyProtection="1">
      <protection locked="0"/>
    </xf>
    <xf numFmtId="169" fontId="0" fillId="0" borderId="0" xfId="1" applyNumberFormat="1" applyFont="1" applyBorder="1" applyProtection="1">
      <protection locked="0"/>
    </xf>
    <xf numFmtId="171" fontId="1" fillId="0" borderId="0" xfId="2" applyNumberFormat="1" applyFont="1" applyFill="1" applyBorder="1" applyProtection="1">
      <protection locked="0"/>
    </xf>
    <xf numFmtId="167" fontId="1" fillId="0" borderId="11" xfId="1" applyNumberFormat="1" applyFont="1" applyFill="1" applyBorder="1" applyProtection="1">
      <protection locked="0"/>
    </xf>
    <xf numFmtId="171" fontId="1" fillId="0" borderId="11" xfId="2" applyNumberFormat="1" applyFont="1" applyFill="1" applyBorder="1" applyProtection="1">
      <protection locked="0"/>
    </xf>
    <xf numFmtId="0" fontId="46" fillId="0" borderId="0" xfId="0" applyFont="1"/>
    <xf numFmtId="0" fontId="0" fillId="2" borderId="13" xfId="4" applyFont="1" applyFill="1" applyBorder="1" applyAlignment="1">
      <alignment horizontal="left" vertical="top" wrapText="1"/>
    </xf>
    <xf numFmtId="0" fontId="0" fillId="2" borderId="11" xfId="4" applyFont="1" applyFill="1" applyBorder="1" applyAlignment="1">
      <alignment horizontal="left" vertical="top" wrapText="1"/>
    </xf>
    <xf numFmtId="0" fontId="0" fillId="2" borderId="12" xfId="4" applyFont="1" applyFill="1" applyBorder="1" applyAlignment="1">
      <alignment horizontal="left" vertical="top" wrapText="1"/>
    </xf>
    <xf numFmtId="0" fontId="0" fillId="2" borderId="53" xfId="4" applyFont="1" applyFill="1" applyBorder="1" applyAlignment="1">
      <alignment horizontal="left" vertical="top" wrapText="1"/>
    </xf>
    <xf numFmtId="0" fontId="0" fillId="2" borderId="0" xfId="4" applyFont="1" applyFill="1" applyAlignment="1">
      <alignment horizontal="left" vertical="top" wrapText="1"/>
    </xf>
    <xf numFmtId="0" fontId="0" fillId="2" borderId="9" xfId="4" applyFont="1" applyFill="1" applyBorder="1" applyAlignment="1">
      <alignment horizontal="left" vertical="top" wrapText="1"/>
    </xf>
    <xf numFmtId="0" fontId="0" fillId="2" borderId="54" xfId="4" applyFont="1" applyFill="1" applyBorder="1" applyAlignment="1">
      <alignment horizontal="left" vertical="top" wrapText="1"/>
    </xf>
    <xf numFmtId="0" fontId="0" fillId="2" borderId="55" xfId="4" applyFont="1" applyFill="1" applyBorder="1" applyAlignment="1">
      <alignment horizontal="left" vertical="top" wrapText="1"/>
    </xf>
    <xf numFmtId="0" fontId="0" fillId="2" borderId="56" xfId="4" applyFont="1" applyFill="1" applyBorder="1" applyAlignment="1">
      <alignment horizontal="left" vertical="top" wrapText="1"/>
    </xf>
    <xf numFmtId="0" fontId="1" fillId="2" borderId="0" xfId="4" applyFill="1" applyAlignment="1">
      <alignment horizontal="left" wrapText="1"/>
    </xf>
    <xf numFmtId="0" fontId="1" fillId="2" borderId="64" xfId="4" applyFill="1" applyBorder="1" applyAlignment="1">
      <alignment horizontal="left" wrapText="1"/>
    </xf>
    <xf numFmtId="0" fontId="43" fillId="7" borderId="27" xfId="0" applyFont="1" applyFill="1" applyBorder="1" applyAlignment="1" applyProtection="1">
      <alignment horizontal="center" vertical="center" wrapText="1"/>
      <protection locked="0"/>
    </xf>
    <xf numFmtId="0" fontId="43" fillId="7" borderId="76" xfId="0" applyFont="1" applyFill="1" applyBorder="1" applyAlignment="1" applyProtection="1">
      <alignment horizontal="center" vertical="center" wrapText="1"/>
      <protection locked="0"/>
    </xf>
    <xf numFmtId="0" fontId="43" fillId="7" borderId="29" xfId="0" applyFont="1" applyFill="1" applyBorder="1" applyAlignment="1" applyProtection="1">
      <alignment horizontal="center" vertical="center" wrapText="1"/>
      <protection locked="0"/>
    </xf>
    <xf numFmtId="0" fontId="43" fillId="7" borderId="77" xfId="0" applyFont="1" applyFill="1" applyBorder="1" applyAlignment="1" applyProtection="1">
      <alignment horizontal="center" vertical="center" wrapText="1"/>
      <protection locked="0"/>
    </xf>
    <xf numFmtId="0" fontId="43" fillId="7" borderId="78" xfId="0" applyFont="1" applyFill="1" applyBorder="1" applyAlignment="1" applyProtection="1">
      <alignment horizontal="center" vertical="center" wrapText="1"/>
      <protection locked="0"/>
    </xf>
    <xf numFmtId="0" fontId="43" fillId="7" borderId="79" xfId="0" applyFont="1" applyFill="1" applyBorder="1" applyAlignment="1" applyProtection="1">
      <alignment horizontal="center" vertical="center" wrapText="1"/>
      <protection locked="0"/>
    </xf>
    <xf numFmtId="0" fontId="10" fillId="7" borderId="0" xfId="3" applyFont="1" applyFill="1" applyAlignment="1" applyProtection="1">
      <alignment horizontal="center" vertical="center" textRotation="90" wrapText="1"/>
      <protection locked="0"/>
    </xf>
    <xf numFmtId="187" fontId="43" fillId="12" borderId="80" xfId="1" applyNumberFormat="1" applyFont="1" applyFill="1" applyBorder="1" applyAlignment="1" applyProtection="1">
      <alignment horizontal="center" vertical="center"/>
      <protection locked="0"/>
    </xf>
    <xf numFmtId="187" fontId="43" fillId="12" borderId="81" xfId="1" applyNumberFormat="1" applyFont="1" applyFill="1" applyBorder="1" applyAlignment="1" applyProtection="1">
      <alignment horizontal="center" vertical="center"/>
      <protection locked="0"/>
    </xf>
    <xf numFmtId="0" fontId="0" fillId="12" borderId="28" xfId="0" applyFill="1" applyBorder="1" applyAlignment="1" applyProtection="1">
      <alignment horizontal="center"/>
      <protection locked="0"/>
    </xf>
    <xf numFmtId="0" fontId="0" fillId="12" borderId="76" xfId="0" applyFill="1" applyBorder="1" applyAlignment="1" applyProtection="1">
      <alignment horizontal="center"/>
      <protection locked="0"/>
    </xf>
    <xf numFmtId="0" fontId="0" fillId="12" borderId="29" xfId="0" applyFill="1" applyBorder="1" applyAlignment="1" applyProtection="1">
      <alignment horizontal="center"/>
      <protection locked="0"/>
    </xf>
    <xf numFmtId="0" fontId="0" fillId="12" borderId="0" xfId="0" applyFill="1" applyAlignment="1" applyProtection="1">
      <alignment horizontal="center"/>
      <protection locked="0"/>
    </xf>
    <xf numFmtId="0" fontId="0" fillId="12" borderId="77" xfId="0" applyFill="1" applyBorder="1" applyAlignment="1" applyProtection="1">
      <alignment horizontal="center"/>
      <protection locked="0"/>
    </xf>
    <xf numFmtId="0" fontId="0" fillId="12" borderId="78" xfId="0" applyFill="1" applyBorder="1" applyAlignment="1" applyProtection="1">
      <alignment horizontal="center"/>
      <protection locked="0"/>
    </xf>
    <xf numFmtId="0" fontId="0" fillId="12" borderId="82" xfId="0" applyFill="1" applyBorder="1" applyAlignment="1" applyProtection="1">
      <alignment horizontal="center"/>
      <protection locked="0"/>
    </xf>
    <xf numFmtId="0" fontId="0" fillId="12" borderId="79" xfId="0" applyFill="1" applyBorder="1" applyAlignment="1" applyProtection="1">
      <alignment horizontal="center"/>
      <protection locked="0"/>
    </xf>
    <xf numFmtId="0" fontId="43" fillId="7" borderId="28" xfId="0" applyFont="1" applyFill="1" applyBorder="1" applyAlignment="1" applyProtection="1">
      <alignment horizontal="center" vertical="center" wrapText="1"/>
      <protection locked="0"/>
    </xf>
    <xf numFmtId="0" fontId="43" fillId="7" borderId="0" xfId="0" applyFont="1" applyFill="1" applyAlignment="1" applyProtection="1">
      <alignment horizontal="center" vertical="center" wrapText="1"/>
      <protection locked="0"/>
    </xf>
    <xf numFmtId="0" fontId="43" fillId="7" borderId="82" xfId="0" applyFont="1" applyFill="1" applyBorder="1" applyAlignment="1" applyProtection="1">
      <alignment horizontal="center" vertical="center" wrapText="1"/>
      <protection locked="0"/>
    </xf>
    <xf numFmtId="0" fontId="0" fillId="12" borderId="27" xfId="0" applyFill="1" applyBorder="1" applyAlignment="1" applyProtection="1">
      <alignment horizontal="center" wrapText="1"/>
      <protection locked="0"/>
    </xf>
  </cellXfs>
  <cellStyles count="7">
    <cellStyle name="Comma" xfId="1" builtinId="3"/>
    <cellStyle name="Comma 2" xfId="6" xr:uid="{A85E4D6A-0C9C-4680-8522-4D74ED75234D}"/>
    <cellStyle name="Hyperlink" xfId="5" builtinId="8"/>
    <cellStyle name="Normal" xfId="0" builtinId="0"/>
    <cellStyle name="Normal 2" xfId="3" xr:uid="{97E5E353-1765-4BD5-8290-4BB09BAF5ADF}"/>
    <cellStyle name="Normal 2 2" xfId="4" xr:uid="{D674D7F6-0F2E-45DF-83C4-2D3526887A9A}"/>
    <cellStyle name="Percent" xfId="2" builtinId="5"/>
  </cellStyles>
  <dxfs count="11">
    <dxf>
      <fill>
        <patternFill>
          <bgColor rgb="FFF4DCDC"/>
        </patternFill>
      </fill>
    </dxf>
    <dxf>
      <fill>
        <patternFill>
          <bgColor theme="9" tint="0.79998168889431442"/>
        </patternFill>
      </fill>
    </dxf>
    <dxf>
      <fill>
        <patternFill>
          <bgColor rgb="FFFFFFCC"/>
        </patternFill>
      </fill>
    </dxf>
    <dxf>
      <fill>
        <patternFill>
          <bgColor rgb="FFF4DCDC"/>
        </patternFill>
      </fill>
    </dxf>
    <dxf>
      <fill>
        <patternFill>
          <bgColor theme="9" tint="0.79998168889431442"/>
        </patternFill>
      </fill>
    </dxf>
    <dxf>
      <fill>
        <patternFill>
          <bgColor rgb="FFFFFFCC"/>
        </patternFill>
      </fill>
    </dxf>
    <dxf>
      <font>
        <color rgb="FF080808"/>
      </font>
      <fill>
        <patternFill patternType="none">
          <bgColor auto="1"/>
        </patternFill>
      </fill>
    </dxf>
    <dxf>
      <font>
        <b/>
        <i val="0"/>
      </font>
      <fill>
        <patternFill>
          <bgColor rgb="FFE3B5B5"/>
        </patternFill>
      </fill>
      <border>
        <left style="thin">
          <color theme="0" tint="-0.34998626667073579"/>
        </left>
        <right style="thin">
          <color theme="0" tint="-0.34998626667073579"/>
        </right>
        <top style="thin">
          <color theme="0" tint="-0.34998626667073579"/>
        </top>
        <bottom style="thin">
          <color theme="0" tint="-0.34998626667073579"/>
        </bottom>
      </border>
    </dxf>
    <dxf>
      <font>
        <color rgb="FF006100"/>
      </font>
      <fill>
        <patternFill>
          <bgColor rgb="FFC6EFCE"/>
        </patternFill>
      </fill>
    </dxf>
    <dxf>
      <font>
        <color rgb="FF006100"/>
      </font>
      <fill>
        <patternFill>
          <bgColor rgb="FFC6EFCE"/>
        </patternFill>
      </fill>
    </dxf>
    <dxf>
      <font>
        <b val="0"/>
        <i/>
      </font>
      <fill>
        <patternFill>
          <bgColor theme="7" tint="0.59996337778862885"/>
        </patternFill>
      </fill>
      <border>
        <left style="thin">
          <color theme="7"/>
        </left>
        <right style="thin">
          <color theme="7"/>
        </right>
        <top style="thin">
          <color theme="7"/>
        </top>
        <bottom style="thin">
          <color theme="7"/>
        </bottom>
      </border>
    </dxf>
  </dxfs>
  <tableStyles count="0" defaultTableStyle="TableStyleMedium2" defaultPivotStyle="PivotStyleLight16"/>
  <colors>
    <mruColors>
      <color rgb="FFFFFFCC"/>
      <color rgb="FFF4DC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757441</xdr:colOff>
      <xdr:row>2</xdr:row>
      <xdr:rowOff>48864</xdr:rowOff>
    </xdr:from>
    <xdr:to>
      <xdr:col>2</xdr:col>
      <xdr:colOff>2207699</xdr:colOff>
      <xdr:row>5</xdr:row>
      <xdr:rowOff>57032</xdr:rowOff>
    </xdr:to>
    <xdr:pic>
      <xdr:nvPicPr>
        <xdr:cNvPr id="2" name="Picture 1">
          <a:extLst>
            <a:ext uri="{FF2B5EF4-FFF2-40B4-BE49-F238E27FC236}">
              <a16:creationId xmlns:a16="http://schemas.microsoft.com/office/drawing/2014/main" id="{C2A50044-5540-4E9C-A97E-8D7F3918E319}"/>
            </a:ext>
          </a:extLst>
        </xdr:cNvPr>
        <xdr:cNvPicPr>
          <a:picLocks noChangeAspect="1"/>
        </xdr:cNvPicPr>
      </xdr:nvPicPr>
      <xdr:blipFill>
        <a:blip xmlns:r="http://schemas.openxmlformats.org/officeDocument/2006/relationships" r:embed="rId1"/>
        <a:stretch>
          <a:fillRect/>
        </a:stretch>
      </xdr:blipFill>
      <xdr:spPr>
        <a:xfrm>
          <a:off x="1058975" y="422244"/>
          <a:ext cx="2269953" cy="5600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76200</xdr:colOff>
      <xdr:row>249</xdr:row>
      <xdr:rowOff>21771</xdr:rowOff>
    </xdr:from>
    <xdr:to>
      <xdr:col>21</xdr:col>
      <xdr:colOff>0</xdr:colOff>
      <xdr:row>251</xdr:row>
      <xdr:rowOff>163286</xdr:rowOff>
    </xdr:to>
    <xdr:cxnSp macro="">
      <xdr:nvCxnSpPr>
        <xdr:cNvPr id="3" name="Straight Arrow Connector 2">
          <a:extLst>
            <a:ext uri="{FF2B5EF4-FFF2-40B4-BE49-F238E27FC236}">
              <a16:creationId xmlns:a16="http://schemas.microsoft.com/office/drawing/2014/main" id="{C1767294-B806-3850-CF66-6E3C087501DB}"/>
            </a:ext>
          </a:extLst>
        </xdr:cNvPr>
        <xdr:cNvCxnSpPr/>
      </xdr:nvCxnSpPr>
      <xdr:spPr>
        <a:xfrm flipH="1" flipV="1">
          <a:off x="14031686" y="44348400"/>
          <a:ext cx="2340428" cy="38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WxoGiOQlQKk" TargetMode="External"/><Relationship Id="rId2" Type="http://schemas.openxmlformats.org/officeDocument/2006/relationships/hyperlink" Target="https://youtu.be/eHsQsGj3ofM" TargetMode="External"/><Relationship Id="rId1" Type="http://schemas.openxmlformats.org/officeDocument/2006/relationships/hyperlink" Target="https://youtu.be/H-vvDy0dX4c" TargetMode="External"/><Relationship Id="rId5" Type="http://schemas.openxmlformats.org/officeDocument/2006/relationships/drawing" Target="../drawings/drawing2.xml"/><Relationship Id="rId4" Type="http://schemas.openxmlformats.org/officeDocument/2006/relationships/hyperlink" Target="https://youtu.be/nU_HilBSW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DB0E-BBE9-4CFE-B6E1-F1809739DF2A}">
  <dimension ref="B1:XX1000"/>
  <sheetViews>
    <sheetView topLeftCell="B1" zoomScale="52" zoomScaleNormal="115" workbookViewId="0">
      <selection activeCell="J26" sqref="J26"/>
    </sheetView>
  </sheetViews>
  <sheetFormatPr defaultColWidth="12" defaultRowHeight="14.5" x14ac:dyDescent="0.35"/>
  <cols>
    <col min="1" max="1" width="4.36328125" style="289" customWidth="1"/>
    <col min="2" max="2" width="12" style="289"/>
    <col min="3" max="3" width="32.54296875" style="289" customWidth="1"/>
    <col min="4" max="4" width="12" style="289"/>
    <col min="5" max="5" width="63.453125" style="289" customWidth="1"/>
    <col min="6" max="16384" width="12" style="289"/>
  </cols>
  <sheetData>
    <row r="1" spans="2:7" ht="15" thickBot="1" x14ac:dyDescent="0.4"/>
    <row r="2" spans="2:7" x14ac:dyDescent="0.35">
      <c r="B2" s="290"/>
      <c r="C2" s="291"/>
      <c r="D2" s="291"/>
      <c r="E2" s="291"/>
      <c r="F2" s="291"/>
      <c r="G2" s="292"/>
    </row>
    <row r="3" spans="2:7" x14ac:dyDescent="0.35">
      <c r="B3" s="293"/>
      <c r="G3" s="294"/>
    </row>
    <row r="4" spans="2:7" x14ac:dyDescent="0.35">
      <c r="B4" s="293"/>
      <c r="G4" s="294"/>
    </row>
    <row r="5" spans="2:7" x14ac:dyDescent="0.35">
      <c r="B5" s="293"/>
      <c r="G5" s="294"/>
    </row>
    <row r="6" spans="2:7" x14ac:dyDescent="0.35">
      <c r="B6" s="293"/>
      <c r="G6" s="294"/>
    </row>
    <row r="7" spans="2:7" x14ac:dyDescent="0.35">
      <c r="B7" s="293"/>
      <c r="C7" s="295" t="s">
        <v>205</v>
      </c>
      <c r="D7" s="296"/>
      <c r="G7" s="294"/>
    </row>
    <row r="8" spans="2:7" x14ac:dyDescent="0.35">
      <c r="B8" s="293"/>
      <c r="C8" s="297" t="s">
        <v>206</v>
      </c>
      <c r="D8" s="298" t="s">
        <v>207</v>
      </c>
      <c r="G8" s="294"/>
    </row>
    <row r="9" spans="2:7" x14ac:dyDescent="0.35">
      <c r="B9" s="293"/>
      <c r="C9" s="297" t="s">
        <v>208</v>
      </c>
      <c r="D9" s="299" t="s">
        <v>209</v>
      </c>
      <c r="G9" s="294"/>
    </row>
    <row r="10" spans="2:7" x14ac:dyDescent="0.35">
      <c r="B10" s="293"/>
      <c r="C10" s="297" t="s">
        <v>210</v>
      </c>
      <c r="D10" s="300"/>
      <c r="G10" s="294"/>
    </row>
    <row r="11" spans="2:7" x14ac:dyDescent="0.35">
      <c r="B11" s="293"/>
      <c r="C11" s="297" t="s">
        <v>211</v>
      </c>
      <c r="D11" s="301" t="s">
        <v>212</v>
      </c>
      <c r="G11" s="294"/>
    </row>
    <row r="12" spans="2:7" x14ac:dyDescent="0.35">
      <c r="B12" s="293"/>
      <c r="C12" s="302" t="s">
        <v>213</v>
      </c>
      <c r="D12" s="301" t="s">
        <v>212</v>
      </c>
      <c r="G12" s="294"/>
    </row>
    <row r="13" spans="2:7" x14ac:dyDescent="0.35">
      <c r="B13" s="293"/>
      <c r="G13" s="294"/>
    </row>
    <row r="14" spans="2:7" x14ac:dyDescent="0.35">
      <c r="B14" s="293"/>
      <c r="C14" s="303" t="s">
        <v>214</v>
      </c>
      <c r="G14" s="294"/>
    </row>
    <row r="15" spans="2:7" ht="14.4" customHeight="1" x14ac:dyDescent="0.35">
      <c r="B15" s="293"/>
      <c r="C15" s="398" t="s">
        <v>215</v>
      </c>
      <c r="D15" s="399"/>
      <c r="E15" s="399"/>
      <c r="F15" s="400"/>
      <c r="G15" s="294"/>
    </row>
    <row r="16" spans="2:7" x14ac:dyDescent="0.35">
      <c r="B16" s="293"/>
      <c r="C16" s="401"/>
      <c r="D16" s="402"/>
      <c r="E16" s="402"/>
      <c r="F16" s="403"/>
      <c r="G16" s="294"/>
    </row>
    <row r="17" spans="2:7" x14ac:dyDescent="0.35">
      <c r="B17" s="293"/>
      <c r="C17" s="401"/>
      <c r="D17" s="402"/>
      <c r="E17" s="402"/>
      <c r="F17" s="403"/>
      <c r="G17" s="294"/>
    </row>
    <row r="18" spans="2:7" x14ac:dyDescent="0.35">
      <c r="B18" s="293"/>
      <c r="C18" s="401"/>
      <c r="D18" s="402"/>
      <c r="E18" s="402"/>
      <c r="F18" s="403"/>
      <c r="G18" s="294"/>
    </row>
    <row r="19" spans="2:7" x14ac:dyDescent="0.35">
      <c r="B19" s="293"/>
      <c r="C19" s="401"/>
      <c r="D19" s="402"/>
      <c r="E19" s="402"/>
      <c r="F19" s="403"/>
      <c r="G19" s="294"/>
    </row>
    <row r="20" spans="2:7" x14ac:dyDescent="0.35">
      <c r="B20" s="293"/>
      <c r="C20" s="401"/>
      <c r="D20" s="402"/>
      <c r="E20" s="402"/>
      <c r="F20" s="403"/>
      <c r="G20" s="294"/>
    </row>
    <row r="21" spans="2:7" x14ac:dyDescent="0.35">
      <c r="B21" s="293"/>
      <c r="C21" s="401"/>
      <c r="D21" s="402"/>
      <c r="E21" s="402"/>
      <c r="F21" s="403"/>
      <c r="G21" s="294"/>
    </row>
    <row r="22" spans="2:7" x14ac:dyDescent="0.35">
      <c r="B22" s="293"/>
      <c r="C22" s="401"/>
      <c r="D22" s="402"/>
      <c r="E22" s="402"/>
      <c r="F22" s="403"/>
      <c r="G22" s="294"/>
    </row>
    <row r="23" spans="2:7" x14ac:dyDescent="0.35">
      <c r="B23" s="293"/>
      <c r="C23" s="401"/>
      <c r="D23" s="402"/>
      <c r="E23" s="402"/>
      <c r="F23" s="403"/>
      <c r="G23" s="294"/>
    </row>
    <row r="24" spans="2:7" x14ac:dyDescent="0.35">
      <c r="B24" s="293"/>
      <c r="C24" s="401"/>
      <c r="D24" s="402"/>
      <c r="E24" s="402"/>
      <c r="F24" s="403"/>
      <c r="G24" s="294"/>
    </row>
    <row r="25" spans="2:7" x14ac:dyDescent="0.35">
      <c r="B25" s="293"/>
      <c r="C25" s="404"/>
      <c r="D25" s="405"/>
      <c r="E25" s="405"/>
      <c r="F25" s="406"/>
      <c r="G25" s="294"/>
    </row>
    <row r="26" spans="2:7" x14ac:dyDescent="0.35">
      <c r="B26" s="293"/>
      <c r="C26" s="303"/>
      <c r="D26" s="407"/>
      <c r="E26" s="407"/>
      <c r="F26" s="407"/>
      <c r="G26" s="294"/>
    </row>
    <row r="27" spans="2:7" ht="15" thickBot="1" x14ac:dyDescent="0.4">
      <c r="B27" s="304"/>
      <c r="C27" s="305"/>
      <c r="D27" s="408"/>
      <c r="E27" s="408"/>
      <c r="F27" s="408"/>
      <c r="G27" s="306"/>
    </row>
    <row r="1000" spans="648:648" ht="15.5" x14ac:dyDescent="0.35">
      <c r="XX1000" s="397">
        <v>107642</v>
      </c>
    </row>
  </sheetData>
  <mergeCells count="2">
    <mergeCell ref="C15:F25"/>
    <mergeCell ref="D26:F27"/>
  </mergeCells>
  <conditionalFormatting sqref="D10">
    <cfRule type="cellIs" dxfId="10" priority="4" operator="greaterThan">
      <formula>0</formula>
    </cfRule>
  </conditionalFormatting>
  <conditionalFormatting sqref="D11">
    <cfRule type="cellIs" dxfId="9" priority="1" operator="equal">
      <formula>"Y"</formula>
    </cfRule>
  </conditionalFormatting>
  <conditionalFormatting sqref="D11:D12">
    <cfRule type="cellIs" dxfId="8" priority="2" operator="equal">
      <formula>10924.17088</formula>
    </cfRule>
    <cfRule type="cellIs" dxfId="7" priority="3" operator="notBetween">
      <formula>-0.0000001</formula>
      <formula>0.0000001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048BE-57EC-43E7-9BCB-957354E27671}">
  <dimension ref="B4:XX1000"/>
  <sheetViews>
    <sheetView showGridLines="0" tabSelected="1" topLeftCell="B1" zoomScale="70" zoomScaleNormal="70" workbookViewId="0">
      <selection activeCell="B21" sqref="A21:XFD21"/>
    </sheetView>
  </sheetViews>
  <sheetFormatPr defaultColWidth="9.08984375" defaultRowHeight="14.5" x14ac:dyDescent="0.35"/>
  <cols>
    <col min="1" max="1" width="9.08984375" style="1"/>
    <col min="2" max="2" width="9.08984375" style="34"/>
    <col min="3" max="3" width="3.6328125" style="1" customWidth="1"/>
    <col min="4" max="7" width="13.6328125" style="1" customWidth="1"/>
    <col min="8" max="8" width="5.6328125" style="1" bestFit="1" customWidth="1"/>
    <col min="9" max="17" width="13.54296875" style="1" customWidth="1"/>
    <col min="18" max="18" width="1.6328125" style="1" customWidth="1"/>
    <col min="19" max="19" width="7.6328125" style="1" customWidth="1"/>
    <col min="20" max="20" width="16.90625" style="1" bestFit="1" customWidth="1"/>
    <col min="21" max="16384" width="9.08984375" style="1"/>
  </cols>
  <sheetData>
    <row r="4" spans="2:23" ht="17.5" thickBot="1" x14ac:dyDescent="0.45">
      <c r="D4" s="2" t="s">
        <v>0</v>
      </c>
      <c r="E4" s="3"/>
      <c r="F4" s="3"/>
      <c r="G4" s="4"/>
      <c r="U4"/>
    </row>
    <row r="5" spans="2:23" ht="15" thickTop="1" x14ac:dyDescent="0.35">
      <c r="D5" s="5" t="s">
        <v>1</v>
      </c>
      <c r="E5" s="6"/>
      <c r="F5" s="6"/>
      <c r="G5" s="7"/>
      <c r="H5" s="8"/>
      <c r="I5" s="8"/>
      <c r="J5" s="8"/>
      <c r="K5" s="8"/>
      <c r="L5" s="8"/>
      <c r="M5" s="8"/>
      <c r="N5" s="8"/>
      <c r="O5" s="8"/>
      <c r="P5" s="8"/>
      <c r="Q5" s="8"/>
      <c r="R5" s="8"/>
      <c r="S5" s="8"/>
    </row>
    <row r="7" spans="2:23" s="311" customFormat="1" ht="17.5" thickBot="1" x14ac:dyDescent="0.45">
      <c r="B7" s="310"/>
      <c r="D7" s="314"/>
      <c r="E7" s="312"/>
      <c r="F7" s="312"/>
      <c r="G7" s="313"/>
    </row>
    <row r="9" spans="2:23" x14ac:dyDescent="0.35">
      <c r="B9" s="307"/>
      <c r="C9" s="9"/>
      <c r="D9" s="10" t="s">
        <v>3</v>
      </c>
      <c r="E9" s="10"/>
      <c r="F9" s="10"/>
      <c r="G9" s="10"/>
      <c r="H9" s="11"/>
      <c r="I9" s="12" t="s">
        <v>4</v>
      </c>
      <c r="J9" s="13"/>
      <c r="K9" s="13"/>
      <c r="L9" s="14"/>
      <c r="M9" s="15" t="s">
        <v>5</v>
      </c>
      <c r="N9" s="15"/>
      <c r="O9" s="15"/>
      <c r="P9" s="15"/>
      <c r="Q9" s="15"/>
      <c r="S9" s="16" t="s">
        <v>6</v>
      </c>
    </row>
    <row r="10" spans="2:23" x14ac:dyDescent="0.35">
      <c r="D10" s="17" t="s">
        <v>7</v>
      </c>
      <c r="E10" s="18"/>
      <c r="F10" s="18"/>
      <c r="G10" s="18"/>
      <c r="H10" s="19" t="s">
        <v>8</v>
      </c>
      <c r="I10" s="20">
        <f>J10-1</f>
        <v>2019</v>
      </c>
      <c r="J10" s="21">
        <f>K10-1</f>
        <v>2020</v>
      </c>
      <c r="K10" s="21">
        <f>L10-1</f>
        <v>2021</v>
      </c>
      <c r="L10" s="22">
        <v>2022</v>
      </c>
      <c r="M10" s="23">
        <f>L10+1</f>
        <v>2023</v>
      </c>
      <c r="N10" s="24">
        <f>M10+1</f>
        <v>2024</v>
      </c>
      <c r="O10" s="24">
        <f>N10+1</f>
        <v>2025</v>
      </c>
      <c r="P10" s="24">
        <f>O10+1</f>
        <v>2026</v>
      </c>
      <c r="Q10" s="24">
        <f>P10+1</f>
        <v>2027</v>
      </c>
      <c r="S10" s="25" t="str">
        <f>L10&amp;" - "&amp;Q10</f>
        <v>2022 - 2027</v>
      </c>
    </row>
    <row r="11" spans="2:23" ht="3.9" customHeight="1" x14ac:dyDescent="0.35">
      <c r="H11" s="26"/>
    </row>
    <row r="12" spans="2:23" ht="15" thickBot="1" x14ac:dyDescent="0.4">
      <c r="D12" s="1" t="s">
        <v>9</v>
      </c>
      <c r="H12" s="19" t="s">
        <v>10</v>
      </c>
      <c r="I12" s="27">
        <v>6489</v>
      </c>
      <c r="J12" s="27">
        <v>8086</v>
      </c>
      <c r="K12" s="27">
        <v>8803</v>
      </c>
      <c r="L12" s="30">
        <v>9657</v>
      </c>
      <c r="M12" s="354">
        <f>L12*(1+M32)</f>
        <v>11105.55</v>
      </c>
      <c r="N12" s="354">
        <f t="shared" ref="N12:Q12" si="0">M12*(1+N32)</f>
        <v>12632.563124999999</v>
      </c>
      <c r="O12" s="354">
        <f t="shared" si="0"/>
        <v>14211.633515624999</v>
      </c>
      <c r="P12" s="354">
        <f t="shared" si="0"/>
        <v>15810.442286132811</v>
      </c>
      <c r="Q12" s="354">
        <f t="shared" si="0"/>
        <v>17391.486514746095</v>
      </c>
      <c r="S12" s="322">
        <f>(Q12/L12)^(1/5)-1</f>
        <v>0.12486109052905014</v>
      </c>
    </row>
    <row r="13" spans="2:23" x14ac:dyDescent="0.35">
      <c r="D13" s="29" t="s">
        <v>11</v>
      </c>
      <c r="E13" s="29"/>
      <c r="F13" s="29"/>
      <c r="G13" s="29"/>
      <c r="H13" s="19" t="s">
        <v>10</v>
      </c>
      <c r="I13" s="30">
        <v>2094</v>
      </c>
      <c r="J13" s="30">
        <v>2260</v>
      </c>
      <c r="K13" s="30">
        <v>2317</v>
      </c>
      <c r="L13" s="30">
        <v>2222</v>
      </c>
      <c r="M13" s="355">
        <f>M12*M33</f>
        <v>3553.7759999999998</v>
      </c>
      <c r="N13" s="355">
        <f t="shared" ref="N13:Q13" si="1">N12*N33</f>
        <v>3916.0945687499998</v>
      </c>
      <c r="O13" s="355">
        <f t="shared" si="1"/>
        <v>4263.4900546874997</v>
      </c>
      <c r="P13" s="355">
        <f t="shared" si="1"/>
        <v>4585.0282629785152</v>
      </c>
      <c r="Q13" s="355">
        <f t="shared" si="1"/>
        <v>4869.6162241289057</v>
      </c>
      <c r="V13" s="409" t="s">
        <v>231</v>
      </c>
      <c r="W13" s="410"/>
    </row>
    <row r="14" spans="2:23" x14ac:dyDescent="0.35">
      <c r="D14" s="31" t="s">
        <v>12</v>
      </c>
      <c r="E14" s="31"/>
      <c r="F14" s="31"/>
      <c r="G14" s="31"/>
      <c r="H14" s="32" t="s">
        <v>10</v>
      </c>
      <c r="I14" s="33">
        <v>4395</v>
      </c>
      <c r="J14" s="33">
        <v>5826</v>
      </c>
      <c r="K14" s="33">
        <v>6486</v>
      </c>
      <c r="L14" s="33">
        <v>5306</v>
      </c>
      <c r="M14" s="356">
        <f>M12-M13</f>
        <v>7551.7739999999994</v>
      </c>
      <c r="N14" s="356">
        <f t="shared" ref="N14:Q14" si="2">N12-N13</f>
        <v>8716.4685562499981</v>
      </c>
      <c r="O14" s="356">
        <f t="shared" si="2"/>
        <v>9948.1434609374992</v>
      </c>
      <c r="P14" s="356">
        <f t="shared" si="2"/>
        <v>11225.414023154295</v>
      </c>
      <c r="Q14" s="356">
        <f t="shared" si="2"/>
        <v>12521.870290617189</v>
      </c>
      <c r="R14" s="34"/>
      <c r="S14" s="34"/>
      <c r="T14" s="34"/>
      <c r="V14" s="411"/>
      <c r="W14" s="412"/>
    </row>
    <row r="15" spans="2:23" ht="6.15" customHeight="1" x14ac:dyDescent="0.35">
      <c r="D15" s="34"/>
      <c r="E15" s="34"/>
      <c r="F15" s="34"/>
      <c r="G15" s="34"/>
      <c r="H15" s="19"/>
      <c r="I15" s="35"/>
      <c r="J15" s="35"/>
      <c r="K15" s="35"/>
      <c r="L15" s="36"/>
      <c r="M15" s="37"/>
      <c r="N15" s="37"/>
      <c r="O15" s="37"/>
      <c r="P15" s="37"/>
      <c r="Q15" s="37"/>
      <c r="S15" s="34"/>
      <c r="T15" s="34"/>
      <c r="V15" s="411"/>
      <c r="W15" s="412"/>
    </row>
    <row r="16" spans="2:23" x14ac:dyDescent="0.35">
      <c r="D16" s="29" t="s">
        <v>13</v>
      </c>
      <c r="E16" s="29"/>
      <c r="F16" s="29"/>
      <c r="G16" s="29"/>
      <c r="H16" s="19" t="s">
        <v>10</v>
      </c>
      <c r="I16" s="27">
        <v>998</v>
      </c>
      <c r="J16" s="27">
        <v>1150</v>
      </c>
      <c r="K16" s="27">
        <v>1337</v>
      </c>
      <c r="L16" s="30">
        <v>1421</v>
      </c>
      <c r="M16" s="354">
        <f>M12*M34</f>
        <v>2554.2764999999999</v>
      </c>
      <c r="N16" s="354">
        <f t="shared" ref="N16:Q16" si="3">N12*N34</f>
        <v>2741.2661981249998</v>
      </c>
      <c r="O16" s="354">
        <f t="shared" si="3"/>
        <v>2899.1732371874996</v>
      </c>
      <c r="P16" s="354">
        <f t="shared" si="3"/>
        <v>3019.7944766513665</v>
      </c>
      <c r="Q16" s="354">
        <f t="shared" si="3"/>
        <v>3095.6845996248044</v>
      </c>
      <c r="S16" s="34"/>
      <c r="T16" s="34"/>
      <c r="V16" s="411"/>
      <c r="W16" s="412"/>
    </row>
    <row r="17" spans="2:23" x14ac:dyDescent="0.35">
      <c r="D17" s="29" t="s">
        <v>14</v>
      </c>
      <c r="E17" s="29"/>
      <c r="F17" s="29"/>
      <c r="G17" s="29"/>
      <c r="H17" s="19" t="s">
        <v>10</v>
      </c>
      <c r="I17" s="27">
        <v>1790</v>
      </c>
      <c r="J17" s="27">
        <v>1942</v>
      </c>
      <c r="K17" s="27">
        <v>1890</v>
      </c>
      <c r="L17" s="30">
        <v>2215</v>
      </c>
      <c r="M17" s="355">
        <f>M12*M35</f>
        <v>2765.2819499999996</v>
      </c>
      <c r="N17" s="355">
        <f t="shared" ref="N17:Q17" si="4">N12*N35</f>
        <v>3019.1825868749997</v>
      </c>
      <c r="O17" s="355">
        <f t="shared" si="4"/>
        <v>3254.4640750781246</v>
      </c>
      <c r="P17" s="355">
        <f t="shared" si="4"/>
        <v>3462.4868606630853</v>
      </c>
      <c r="Q17" s="355">
        <f t="shared" si="4"/>
        <v>3634.8206815819331</v>
      </c>
      <c r="S17" s="34"/>
      <c r="T17" s="34"/>
      <c r="V17" s="411"/>
      <c r="W17" s="412"/>
    </row>
    <row r="18" spans="2:23" x14ac:dyDescent="0.35">
      <c r="D18" s="39" t="s">
        <v>15</v>
      </c>
      <c r="E18" s="39"/>
      <c r="F18" s="39"/>
      <c r="G18" s="39"/>
      <c r="H18" s="32" t="s">
        <v>10</v>
      </c>
      <c r="I18" s="33">
        <v>1607</v>
      </c>
      <c r="J18" s="33">
        <v>2734</v>
      </c>
      <c r="K18" s="33">
        <v>3259</v>
      </c>
      <c r="L18" s="33">
        <v>1670</v>
      </c>
      <c r="M18" s="356">
        <f>M14-SUM(M16:M17)</f>
        <v>2232.2155499999999</v>
      </c>
      <c r="N18" s="356">
        <f t="shared" ref="N18:Q18" si="5">N14-SUM(N16:N17)</f>
        <v>2956.0197712499985</v>
      </c>
      <c r="O18" s="356">
        <f t="shared" si="5"/>
        <v>3794.5061486718751</v>
      </c>
      <c r="P18" s="356">
        <f t="shared" si="5"/>
        <v>4743.1326858398434</v>
      </c>
      <c r="Q18" s="356">
        <f t="shared" si="5"/>
        <v>5791.3650094104523</v>
      </c>
      <c r="S18" s="34"/>
      <c r="T18" s="34"/>
      <c r="V18" s="411"/>
      <c r="W18" s="412"/>
    </row>
    <row r="19" spans="2:23" ht="6.15" customHeight="1" x14ac:dyDescent="0.35">
      <c r="D19" s="34"/>
      <c r="E19" s="34"/>
      <c r="F19" s="34"/>
      <c r="G19" s="34"/>
      <c r="H19" s="19"/>
      <c r="I19" s="35"/>
      <c r="J19" s="35"/>
      <c r="K19" s="35"/>
      <c r="L19" s="36"/>
      <c r="M19" s="37"/>
      <c r="N19" s="37"/>
      <c r="O19" s="37"/>
      <c r="P19" s="37"/>
      <c r="Q19" s="37"/>
      <c r="S19" s="34"/>
      <c r="T19" s="34"/>
      <c r="V19" s="411"/>
      <c r="W19" s="412"/>
    </row>
    <row r="20" spans="2:23" ht="15" thickBot="1" x14ac:dyDescent="0.4">
      <c r="D20" s="29" t="s">
        <v>16</v>
      </c>
      <c r="E20" s="34"/>
      <c r="F20" s="34"/>
      <c r="G20" s="34"/>
      <c r="H20" s="19" t="s">
        <v>10</v>
      </c>
      <c r="I20" s="27">
        <v>116.00000000000014</v>
      </c>
      <c r="J20" s="27">
        <v>-19</v>
      </c>
      <c r="K20" s="27">
        <v>13</v>
      </c>
      <c r="L20" s="28">
        <v>182</v>
      </c>
      <c r="M20" s="27">
        <v>70</v>
      </c>
      <c r="N20" s="27">
        <v>70</v>
      </c>
      <c r="O20" s="27">
        <v>70</v>
      </c>
      <c r="P20" s="27">
        <v>70</v>
      </c>
      <c r="Q20" s="27">
        <v>70</v>
      </c>
      <c r="S20" s="34"/>
      <c r="T20" s="34"/>
      <c r="V20" s="413"/>
      <c r="W20" s="414"/>
    </row>
    <row r="21" spans="2:23" x14ac:dyDescent="0.35">
      <c r="D21" s="29" t="s">
        <v>17</v>
      </c>
      <c r="E21" s="29"/>
      <c r="F21" s="29"/>
      <c r="G21" s="29"/>
      <c r="H21" s="19" t="s">
        <v>10</v>
      </c>
      <c r="I21" s="27">
        <v>-90</v>
      </c>
      <c r="J21" s="27">
        <v>-99</v>
      </c>
      <c r="K21" s="27">
        <v>-108</v>
      </c>
      <c r="L21" s="30">
        <v>-108</v>
      </c>
      <c r="M21" s="369">
        <f>-M38*M65</f>
        <v>-127.645</v>
      </c>
      <c r="N21" s="369">
        <f t="shared" ref="N21:Q21" si="6">-N38*N65</f>
        <v>-118.80776654666298</v>
      </c>
      <c r="O21" s="369">
        <f t="shared" si="6"/>
        <v>-109.97053309332595</v>
      </c>
      <c r="P21" s="369">
        <f t="shared" si="6"/>
        <v>-79.923939351980067</v>
      </c>
      <c r="Q21" s="369">
        <f t="shared" si="6"/>
        <v>-65.784365826640823</v>
      </c>
      <c r="S21" s="34"/>
      <c r="T21" s="34"/>
    </row>
    <row r="22" spans="2:23" x14ac:dyDescent="0.35">
      <c r="D22" s="40" t="s">
        <v>18</v>
      </c>
      <c r="E22" s="40"/>
      <c r="F22" s="40"/>
      <c r="G22" s="40"/>
      <c r="H22" s="32" t="s">
        <v>10</v>
      </c>
      <c r="I22" s="33">
        <v>1633.0000000000002</v>
      </c>
      <c r="J22" s="33">
        <v>2616</v>
      </c>
      <c r="K22" s="33">
        <v>3164</v>
      </c>
      <c r="L22" s="33">
        <v>1744</v>
      </c>
      <c r="M22" s="368">
        <f>SUM(M18:M21)</f>
        <v>2174.5705499999999</v>
      </c>
      <c r="N22" s="368">
        <f t="shared" ref="N22:Q22" si="7">SUM(N18:N21)</f>
        <v>2907.2120047033354</v>
      </c>
      <c r="O22" s="368">
        <f t="shared" si="7"/>
        <v>3754.5356155785489</v>
      </c>
      <c r="P22" s="368">
        <f t="shared" si="7"/>
        <v>4733.2087464878632</v>
      </c>
      <c r="Q22" s="368">
        <f t="shared" si="7"/>
        <v>5795.5806435838113</v>
      </c>
      <c r="S22" s="34"/>
      <c r="T22" s="34"/>
    </row>
    <row r="23" spans="2:23" x14ac:dyDescent="0.35">
      <c r="D23" s="29" t="s">
        <v>19</v>
      </c>
      <c r="E23" s="29"/>
      <c r="F23" s="29"/>
      <c r="G23" s="29"/>
      <c r="H23" s="19" t="s">
        <v>10</v>
      </c>
      <c r="I23" s="30">
        <v>-130</v>
      </c>
      <c r="J23" s="30">
        <v>-419</v>
      </c>
      <c r="K23" s="30">
        <v>-465</v>
      </c>
      <c r="L23" s="30">
        <v>-231</v>
      </c>
      <c r="M23" s="355">
        <f>-M39*M22</f>
        <v>-456.65981549999998</v>
      </c>
      <c r="N23" s="355">
        <f t="shared" ref="N23:Q23" si="8">-N39*N22</f>
        <v>-610.51452098770039</v>
      </c>
      <c r="O23" s="355">
        <f t="shared" si="8"/>
        <v>-788.45247927149524</v>
      </c>
      <c r="P23" s="355">
        <f t="shared" si="8"/>
        <v>-993.97383676245124</v>
      </c>
      <c r="Q23" s="355">
        <f t="shared" si="8"/>
        <v>-1217.0719351526004</v>
      </c>
      <c r="S23" s="34"/>
      <c r="T23" s="34"/>
    </row>
    <row r="24" spans="2:23" ht="15" thickBot="1" x14ac:dyDescent="0.4">
      <c r="D24" s="41" t="s">
        <v>20</v>
      </c>
      <c r="E24" s="41"/>
      <c r="F24" s="41"/>
      <c r="G24" s="41"/>
      <c r="H24" s="42" t="s">
        <v>10</v>
      </c>
      <c r="I24" s="43">
        <v>1503.0000000000002</v>
      </c>
      <c r="J24" s="43">
        <v>2197</v>
      </c>
      <c r="K24" s="43">
        <v>2699</v>
      </c>
      <c r="L24" s="43">
        <v>1513</v>
      </c>
      <c r="M24" s="357">
        <f>M23+M22</f>
        <v>1717.9107345</v>
      </c>
      <c r="N24" s="357">
        <f t="shared" ref="N24:Q24" si="9">N23+N22</f>
        <v>2296.6974837156349</v>
      </c>
      <c r="O24" s="357">
        <f t="shared" si="9"/>
        <v>2966.0831363070538</v>
      </c>
      <c r="P24" s="357">
        <f t="shared" si="9"/>
        <v>3739.2349097254119</v>
      </c>
      <c r="Q24" s="357">
        <f t="shared" si="9"/>
        <v>4578.5087084312108</v>
      </c>
      <c r="S24" s="34"/>
      <c r="T24" s="34"/>
    </row>
    <row r="25" spans="2:23" ht="15.75" customHeight="1" thickTop="1" x14ac:dyDescent="0.35">
      <c r="L25" s="44"/>
      <c r="S25" s="34"/>
      <c r="T25" s="34"/>
    </row>
    <row r="26" spans="2:23" x14ac:dyDescent="0.35">
      <c r="D26" s="1" t="s">
        <v>21</v>
      </c>
      <c r="H26" s="19" t="s">
        <v>10</v>
      </c>
      <c r="I26" s="45">
        <v>1607</v>
      </c>
      <c r="J26" s="45">
        <v>2734</v>
      </c>
      <c r="K26" s="45">
        <v>3259</v>
      </c>
      <c r="L26" s="45">
        <v>1670</v>
      </c>
      <c r="M26" s="354">
        <f>M18</f>
        <v>2232.2155499999999</v>
      </c>
      <c r="N26" s="354">
        <f t="shared" ref="N26:Q26" si="10">N18</f>
        <v>2956.0197712499985</v>
      </c>
      <c r="O26" s="354">
        <f t="shared" si="10"/>
        <v>3794.5061486718751</v>
      </c>
      <c r="P26" s="354">
        <f t="shared" si="10"/>
        <v>4743.1326858398434</v>
      </c>
      <c r="Q26" s="354">
        <f t="shared" si="10"/>
        <v>5791.3650094104523</v>
      </c>
      <c r="S26" s="34"/>
      <c r="T26" s="34"/>
    </row>
    <row r="27" spans="2:23" x14ac:dyDescent="0.35">
      <c r="D27" s="29" t="s">
        <v>22</v>
      </c>
      <c r="H27" s="19" t="s">
        <v>10</v>
      </c>
      <c r="I27" s="46">
        <v>328</v>
      </c>
      <c r="J27" s="46">
        <v>197</v>
      </c>
      <c r="K27" s="46">
        <v>116</v>
      </c>
      <c r="L27" s="46">
        <v>106</v>
      </c>
      <c r="M27" s="355">
        <f>M36*M12</f>
        <v>266.53319999999997</v>
      </c>
      <c r="N27" s="355">
        <f t="shared" ref="N27:Q27" si="11">N36*N12</f>
        <v>296.24536172911752</v>
      </c>
      <c r="O27" s="355">
        <f t="shared" si="11"/>
        <v>325.47285951551441</v>
      </c>
      <c r="P27" s="355">
        <f t="shared" si="11"/>
        <v>353.40752688292093</v>
      </c>
      <c r="Q27" s="355">
        <f t="shared" si="11"/>
        <v>379.19914731031537</v>
      </c>
      <c r="S27" s="34"/>
      <c r="T27" s="34"/>
    </row>
    <row r="28" spans="2:23" x14ac:dyDescent="0.35">
      <c r="D28" s="47" t="s">
        <v>23</v>
      </c>
      <c r="E28" s="47"/>
      <c r="F28" s="47"/>
      <c r="G28" s="47"/>
      <c r="H28" s="48" t="s">
        <v>10</v>
      </c>
      <c r="I28" s="266">
        <v>1935</v>
      </c>
      <c r="J28" s="266">
        <v>2931</v>
      </c>
      <c r="K28" s="266">
        <v>3375</v>
      </c>
      <c r="L28" s="266">
        <v>1776</v>
      </c>
      <c r="M28" s="356">
        <f>SUM(M26:M27)</f>
        <v>2498.7487499999997</v>
      </c>
      <c r="N28" s="356">
        <f t="shared" ref="N28:Q28" si="12">SUM(N26:N27)</f>
        <v>3252.2651329791161</v>
      </c>
      <c r="O28" s="356">
        <f t="shared" si="12"/>
        <v>4119.9790081873898</v>
      </c>
      <c r="P28" s="356">
        <f t="shared" si="12"/>
        <v>5096.5402127227644</v>
      </c>
      <c r="Q28" s="356">
        <f t="shared" si="12"/>
        <v>6170.5641567207676</v>
      </c>
      <c r="R28" s="34"/>
      <c r="S28" s="34"/>
      <c r="T28" s="34"/>
    </row>
    <row r="29" spans="2:23" customFormat="1" x14ac:dyDescent="0.35">
      <c r="B29" s="308" t="s">
        <v>24</v>
      </c>
      <c r="C29" s="49"/>
      <c r="D29" s="1"/>
      <c r="E29" s="1"/>
      <c r="F29" s="1"/>
      <c r="G29" s="1"/>
      <c r="L29" s="50"/>
      <c r="T29" s="1"/>
      <c r="U29" s="1"/>
    </row>
    <row r="30" spans="2:23" customFormat="1" x14ac:dyDescent="0.35">
      <c r="B30" s="34"/>
      <c r="C30" s="1"/>
      <c r="D30" s="51" t="s">
        <v>25</v>
      </c>
      <c r="E30" s="51"/>
      <c r="F30" s="51"/>
      <c r="G30" s="51"/>
      <c r="H30" s="19" t="s">
        <v>8</v>
      </c>
      <c r="L30" s="50"/>
      <c r="T30" s="1"/>
      <c r="U30" s="1"/>
    </row>
    <row r="31" spans="2:23" ht="3.9" customHeight="1" x14ac:dyDescent="0.35">
      <c r="H31" s="26"/>
      <c r="L31" s="52">
        <v>0</v>
      </c>
      <c r="S31" s="16" t="s">
        <v>26</v>
      </c>
    </row>
    <row r="32" spans="2:23" x14ac:dyDescent="0.35">
      <c r="D32" s="53" t="s">
        <v>27</v>
      </c>
      <c r="E32" s="53"/>
      <c r="F32" s="53"/>
      <c r="G32" s="53"/>
      <c r="H32" s="54" t="s">
        <v>28</v>
      </c>
      <c r="I32" s="55"/>
      <c r="J32" s="56">
        <v>0.24610879950685782</v>
      </c>
      <c r="K32" s="56">
        <v>8.8671778382389377E-2</v>
      </c>
      <c r="L32" s="57">
        <v>9.7012382142451337E-2</v>
      </c>
      <c r="M32" s="64">
        <v>0.15</v>
      </c>
      <c r="N32" s="58">
        <f t="shared" ref="N32:Q36" si="13">M32 + $S32</f>
        <v>0.13750000000000001</v>
      </c>
      <c r="O32" s="58">
        <f t="shared" si="13"/>
        <v>0.125</v>
      </c>
      <c r="P32" s="58">
        <f t="shared" si="13"/>
        <v>0.1125</v>
      </c>
      <c r="Q32" s="58">
        <v>0.1</v>
      </c>
      <c r="R32" s="59"/>
      <c r="S32" s="60">
        <f xml:space="preserve"> (M32 - Q32) / - 4</f>
        <v>-1.2499999999999997E-2</v>
      </c>
    </row>
    <row r="33" spans="2:21" x14ac:dyDescent="0.35">
      <c r="D33" s="53" t="s">
        <v>29</v>
      </c>
      <c r="E33" s="53"/>
      <c r="F33" s="53"/>
      <c r="G33" s="53"/>
      <c r="H33" s="54" t="s">
        <v>28</v>
      </c>
      <c r="I33" s="56">
        <v>0.32269995376791494</v>
      </c>
      <c r="J33" s="56">
        <v>0.27949542418995793</v>
      </c>
      <c r="K33" s="56">
        <v>0.2632057253209133</v>
      </c>
      <c r="L33" s="57">
        <v>0.29516471838469716</v>
      </c>
      <c r="M33" s="64">
        <v>0.32</v>
      </c>
      <c r="N33" s="58">
        <f t="shared" si="13"/>
        <v>0.31</v>
      </c>
      <c r="O33" s="58">
        <f t="shared" si="13"/>
        <v>0.3</v>
      </c>
      <c r="P33" s="58">
        <f t="shared" si="13"/>
        <v>0.28999999999999998</v>
      </c>
      <c r="Q33" s="58">
        <f t="shared" si="13"/>
        <v>0.27999999999999997</v>
      </c>
      <c r="R33" s="59"/>
      <c r="S33" s="60">
        <v>-0.01</v>
      </c>
    </row>
    <row r="34" spans="2:21" x14ac:dyDescent="0.35">
      <c r="D34" s="53" t="s">
        <v>30</v>
      </c>
      <c r="E34" s="53"/>
      <c r="F34" s="53"/>
      <c r="G34" s="53"/>
      <c r="H34" s="54" t="s">
        <v>28</v>
      </c>
      <c r="I34" s="56">
        <v>0.15379873632300817</v>
      </c>
      <c r="J34" s="56">
        <v>0.14222112292851843</v>
      </c>
      <c r="K34" s="56">
        <v>0.15188004089514939</v>
      </c>
      <c r="L34" s="57">
        <v>0.18876195536663123</v>
      </c>
      <c r="M34" s="64">
        <v>0.23</v>
      </c>
      <c r="N34" s="61">
        <f>M34 + $S34</f>
        <v>0.217</v>
      </c>
      <c r="O34" s="61">
        <f t="shared" si="13"/>
        <v>0.20399999999999999</v>
      </c>
      <c r="P34" s="61">
        <f t="shared" si="13"/>
        <v>0.19099999999999998</v>
      </c>
      <c r="Q34" s="61">
        <f t="shared" si="13"/>
        <v>0.17799999999999996</v>
      </c>
      <c r="R34" s="59"/>
      <c r="S34" s="60">
        <v>-1.2999999999999999E-2</v>
      </c>
    </row>
    <row r="35" spans="2:21" x14ac:dyDescent="0.35">
      <c r="D35" s="53" t="s">
        <v>31</v>
      </c>
      <c r="E35" s="53"/>
      <c r="F35" s="53"/>
      <c r="G35" s="53"/>
      <c r="H35" s="54" t="s">
        <v>28</v>
      </c>
      <c r="I35" s="56">
        <v>0.27585144089998459</v>
      </c>
      <c r="J35" s="56">
        <v>0.24016819193668068</v>
      </c>
      <c r="K35" s="56">
        <v>0.2146995342496876</v>
      </c>
      <c r="L35" s="57">
        <v>0.29423485653560044</v>
      </c>
      <c r="M35" s="64">
        <v>0.249</v>
      </c>
      <c r="N35" s="63">
        <f>M35 + $S35</f>
        <v>0.23899999999999999</v>
      </c>
      <c r="O35" s="63">
        <f t="shared" si="13"/>
        <v>0.22899999999999998</v>
      </c>
      <c r="P35" s="63">
        <f t="shared" si="13"/>
        <v>0.21899999999999997</v>
      </c>
      <c r="Q35" s="63">
        <f t="shared" si="13"/>
        <v>0.20899999999999996</v>
      </c>
      <c r="R35" s="59"/>
      <c r="S35" s="60">
        <v>-0.01</v>
      </c>
    </row>
    <row r="36" spans="2:21" x14ac:dyDescent="0.35">
      <c r="D36" s="53" t="s">
        <v>32</v>
      </c>
      <c r="E36" s="53"/>
      <c r="F36" s="53"/>
      <c r="G36" s="53"/>
      <c r="H36" s="54" t="s">
        <v>28</v>
      </c>
      <c r="I36" s="56">
        <v>5.0547079673293263E-2</v>
      </c>
      <c r="J36" s="56">
        <v>2.4363096710363592E-2</v>
      </c>
      <c r="K36" s="56">
        <v>1.3177325911621037E-2</v>
      </c>
      <c r="L36" s="57">
        <v>1.40807651434644E-2</v>
      </c>
      <c r="M36" s="64">
        <v>2.4E-2</v>
      </c>
      <c r="N36" s="63">
        <f>M36 + $S36</f>
        <v>2.3450930646279081E-2</v>
      </c>
      <c r="O36" s="63">
        <f t="shared" si="13"/>
        <v>2.2901861292558161E-2</v>
      </c>
      <c r="P36" s="63">
        <f t="shared" si="13"/>
        <v>2.2352791938837241E-2</v>
      </c>
      <c r="Q36" s="63">
        <f t="shared" si="13"/>
        <v>2.1803722585116321E-2</v>
      </c>
      <c r="R36" s="59"/>
      <c r="S36" s="60">
        <v>-5.4906935372091899E-4</v>
      </c>
    </row>
    <row r="37" spans="2:21" x14ac:dyDescent="0.35">
      <c r="D37" s="53" t="s">
        <v>33</v>
      </c>
      <c r="E37" s="53"/>
      <c r="F37" s="53"/>
      <c r="G37" s="53"/>
      <c r="H37" s="54"/>
      <c r="I37" s="56">
        <v>2.8275862068965516</v>
      </c>
      <c r="J37" s="56">
        <v>2.5256410256410255</v>
      </c>
      <c r="K37" s="56">
        <v>1.45</v>
      </c>
      <c r="L37" s="57">
        <v>1.1648351648351649</v>
      </c>
      <c r="M37" s="64">
        <f t="shared" ref="M37:Q37" si="14">M27 / M79</f>
        <v>1.7768879999999998</v>
      </c>
      <c r="N37" s="63">
        <f t="shared" si="14"/>
        <v>1.7362365522585643</v>
      </c>
      <c r="O37" s="63">
        <f t="shared" si="14"/>
        <v>1.6955851045171284</v>
      </c>
      <c r="P37" s="63">
        <f t="shared" si="14"/>
        <v>1.6549336567756927</v>
      </c>
      <c r="Q37" s="63">
        <f t="shared" si="14"/>
        <v>1.6142822090342568</v>
      </c>
      <c r="R37" s="59"/>
      <c r="S37" s="65"/>
    </row>
    <row r="38" spans="2:21" x14ac:dyDescent="0.35">
      <c r="D38" s="53" t="s">
        <v>34</v>
      </c>
      <c r="E38" s="53"/>
      <c r="F38" s="53"/>
      <c r="G38" s="53"/>
      <c r="H38" s="54" t="s">
        <v>28</v>
      </c>
      <c r="I38" s="64">
        <v>3.3644859813084113E-2</v>
      </c>
      <c r="J38" s="64">
        <v>2.7461858529819694E-2</v>
      </c>
      <c r="K38" s="64">
        <v>2.9933481152993349E-2</v>
      </c>
      <c r="L38" s="66">
        <v>2.9908612572694546E-2</v>
      </c>
      <c r="M38" s="64">
        <f>M141</f>
        <v>3.5348933813348103E-2</v>
      </c>
      <c r="N38" s="63">
        <f>M38</f>
        <v>3.5348933813348103E-2</v>
      </c>
      <c r="O38" s="63">
        <f t="shared" ref="O38:Q38" si="15">N38</f>
        <v>3.5348933813348103E-2</v>
      </c>
      <c r="P38" s="63">
        <f t="shared" si="15"/>
        <v>3.5348933813348103E-2</v>
      </c>
      <c r="Q38" s="63">
        <f t="shared" si="15"/>
        <v>3.5348933813348103E-2</v>
      </c>
      <c r="R38" s="59"/>
      <c r="S38" s="59"/>
    </row>
    <row r="39" spans="2:21" x14ac:dyDescent="0.35">
      <c r="D39" s="53" t="s">
        <v>35</v>
      </c>
      <c r="E39" s="53"/>
      <c r="F39" s="53"/>
      <c r="G39" s="53"/>
      <c r="H39" s="54" t="s">
        <v>28</v>
      </c>
      <c r="I39" s="56">
        <v>7.9608083282302497E-2</v>
      </c>
      <c r="J39" s="56">
        <v>0.16016819571865443</v>
      </c>
      <c r="K39" s="56">
        <v>0.14696586599241465</v>
      </c>
      <c r="L39" s="57">
        <v>0.13245412844036697</v>
      </c>
      <c r="M39" s="62">
        <v>0.21</v>
      </c>
      <c r="N39" s="63">
        <f>M39</f>
        <v>0.21</v>
      </c>
      <c r="O39" s="63">
        <f>N39</f>
        <v>0.21</v>
      </c>
      <c r="P39" s="63">
        <f>O39</f>
        <v>0.21</v>
      </c>
      <c r="Q39" s="63">
        <f>P39</f>
        <v>0.21</v>
      </c>
      <c r="R39" s="59"/>
      <c r="S39" s="59"/>
    </row>
    <row r="40" spans="2:21" x14ac:dyDescent="0.35">
      <c r="D40" s="53"/>
      <c r="E40" s="53"/>
      <c r="F40" s="53"/>
      <c r="G40" s="53"/>
      <c r="H40" s="54"/>
      <c r="I40" s="56"/>
      <c r="J40" s="56"/>
      <c r="K40" s="56"/>
      <c r="L40" s="317"/>
      <c r="M40" s="62"/>
      <c r="N40" s="63"/>
      <c r="O40" s="63"/>
      <c r="P40" s="63"/>
      <c r="Q40" s="63"/>
      <c r="R40" s="59"/>
      <c r="S40" s="59"/>
      <c r="U40" s="366"/>
    </row>
    <row r="41" spans="2:21" x14ac:dyDescent="0.35">
      <c r="D41" s="53"/>
      <c r="E41" s="53"/>
      <c r="F41" s="53"/>
      <c r="G41" s="53"/>
      <c r="H41" s="54"/>
      <c r="I41" s="56"/>
      <c r="J41" s="56"/>
      <c r="K41" s="56"/>
      <c r="L41" s="317"/>
      <c r="M41" s="62"/>
      <c r="N41" s="63"/>
      <c r="O41" s="63"/>
      <c r="P41" s="63"/>
      <c r="Q41" s="63"/>
      <c r="R41" s="59"/>
      <c r="S41" s="59"/>
    </row>
    <row r="42" spans="2:21" x14ac:dyDescent="0.35">
      <c r="D42" s="53"/>
      <c r="E42" s="53"/>
      <c r="F42" s="53"/>
      <c r="G42" s="53"/>
      <c r="H42" s="54"/>
      <c r="I42" s="56"/>
      <c r="J42" s="56"/>
      <c r="K42" s="56"/>
      <c r="L42" s="317"/>
      <c r="M42" s="62"/>
      <c r="N42" s="63"/>
      <c r="O42" s="63"/>
      <c r="P42" s="63"/>
      <c r="Q42" s="63"/>
      <c r="R42" s="59"/>
      <c r="S42" s="59"/>
    </row>
    <row r="44" spans="2:21" s="311" customFormat="1" ht="17.5" thickBot="1" x14ac:dyDescent="0.45">
      <c r="B44" s="310" t="s">
        <v>2</v>
      </c>
      <c r="D44" s="314" t="s">
        <v>37</v>
      </c>
      <c r="E44" s="312"/>
      <c r="F44" s="312"/>
      <c r="G44" s="313"/>
    </row>
    <row r="46" spans="2:21" x14ac:dyDescent="0.35">
      <c r="B46" s="307"/>
      <c r="C46" s="9"/>
      <c r="D46" s="10" t="s">
        <v>37</v>
      </c>
      <c r="E46" s="10"/>
      <c r="F46" s="10"/>
      <c r="G46" s="10"/>
      <c r="H46" s="11"/>
      <c r="I46" s="12" t="s">
        <v>4</v>
      </c>
      <c r="J46" s="13"/>
      <c r="K46" s="13"/>
      <c r="L46" s="14"/>
      <c r="M46" s="15" t="s">
        <v>5</v>
      </c>
      <c r="N46" s="15"/>
      <c r="O46" s="15"/>
      <c r="P46" s="15"/>
      <c r="Q46" s="15"/>
    </row>
    <row r="47" spans="2:21" x14ac:dyDescent="0.35">
      <c r="D47" s="17" t="s">
        <v>7</v>
      </c>
      <c r="E47" s="18"/>
      <c r="F47" s="18"/>
      <c r="G47" s="18"/>
      <c r="H47" s="67" t="s">
        <v>8</v>
      </c>
      <c r="I47" s="20">
        <v>2019</v>
      </c>
      <c r="J47" s="21">
        <v>2020</v>
      </c>
      <c r="K47" s="21">
        <v>2021</v>
      </c>
      <c r="L47" s="22">
        <v>2022</v>
      </c>
      <c r="M47" s="23">
        <f>$M$10</f>
        <v>2023</v>
      </c>
      <c r="N47" s="24">
        <f>$N$10</f>
        <v>2024</v>
      </c>
      <c r="O47" s="24">
        <f>$O$10</f>
        <v>2025</v>
      </c>
      <c r="P47" s="24">
        <f>$P$10</f>
        <v>2026</v>
      </c>
      <c r="Q47" s="24">
        <f>$Q$10</f>
        <v>2027</v>
      </c>
    </row>
    <row r="48" spans="2:21" ht="3.9" customHeight="1" x14ac:dyDescent="0.35">
      <c r="B48" s="307"/>
      <c r="C48" s="9"/>
      <c r="D48" s="18"/>
      <c r="E48" s="18"/>
      <c r="F48" s="18"/>
      <c r="G48" s="18"/>
      <c r="H48" s="67"/>
      <c r="I48" s="68"/>
      <c r="J48" s="68"/>
      <c r="K48" s="68"/>
      <c r="L48" s="69"/>
      <c r="M48" s="70"/>
      <c r="N48" s="70"/>
      <c r="O48" s="70"/>
      <c r="P48" s="70"/>
      <c r="Q48" s="70"/>
    </row>
    <row r="49" spans="4:26" x14ac:dyDescent="0.35">
      <c r="D49" s="71" t="s">
        <v>38</v>
      </c>
      <c r="E49" s="71"/>
      <c r="F49" s="71"/>
      <c r="G49" s="71"/>
      <c r="H49" s="19" t="s">
        <v>10</v>
      </c>
      <c r="I49" s="27">
        <v>5794</v>
      </c>
      <c r="J49" s="27">
        <v>8647</v>
      </c>
      <c r="K49" s="27">
        <v>10423</v>
      </c>
      <c r="L49" s="30">
        <v>7060</v>
      </c>
      <c r="M49" s="385">
        <f>M121</f>
        <v>8000.9234984369805</v>
      </c>
      <c r="N49" s="383">
        <f t="shared" ref="M49:Q49" si="16">N121</f>
        <v>9666.7674929014483</v>
      </c>
      <c r="O49" s="383">
        <f t="shared" si="16"/>
        <v>11863.226066907995</v>
      </c>
      <c r="P49" s="383">
        <f t="shared" si="16"/>
        <v>14070.747927472552</v>
      </c>
      <c r="Q49" s="383">
        <f t="shared" si="16"/>
        <v>17391.407041119543</v>
      </c>
    </row>
    <row r="50" spans="4:26" x14ac:dyDescent="0.35">
      <c r="D50" s="71" t="s">
        <v>39</v>
      </c>
      <c r="E50" s="71"/>
      <c r="F50" s="71"/>
      <c r="G50" s="71"/>
      <c r="H50" s="19" t="s">
        <v>10</v>
      </c>
      <c r="I50" s="27">
        <v>0</v>
      </c>
      <c r="J50" s="27">
        <v>0</v>
      </c>
      <c r="K50" s="27">
        <v>0</v>
      </c>
      <c r="L50" s="30">
        <v>4932</v>
      </c>
      <c r="M50" s="386">
        <f>L50</f>
        <v>4932</v>
      </c>
      <c r="N50" s="72">
        <f t="shared" ref="N50:Q50" si="17">M50</f>
        <v>4932</v>
      </c>
      <c r="O50" s="72">
        <f t="shared" si="17"/>
        <v>4932</v>
      </c>
      <c r="P50" s="72">
        <f t="shared" si="17"/>
        <v>4932</v>
      </c>
      <c r="Q50" s="72">
        <f t="shared" si="17"/>
        <v>4932</v>
      </c>
    </row>
    <row r="51" spans="4:26" x14ac:dyDescent="0.35">
      <c r="D51" s="71" t="s">
        <v>40</v>
      </c>
      <c r="E51" s="71"/>
      <c r="F51" s="71"/>
      <c r="G51" s="71"/>
      <c r="H51" s="19" t="s">
        <v>10</v>
      </c>
      <c r="I51" s="27">
        <v>848</v>
      </c>
      <c r="J51" s="27">
        <v>1052</v>
      </c>
      <c r="K51" s="27">
        <v>972</v>
      </c>
      <c r="L51" s="30">
        <v>1204</v>
      </c>
      <c r="M51" s="385">
        <f>M76 * M$12</f>
        <v>1554.777</v>
      </c>
      <c r="N51" s="383">
        <f>N76 * N$12</f>
        <v>1768.5588375</v>
      </c>
      <c r="O51" s="383">
        <f>O76 * O$12</f>
        <v>1989.6286921875001</v>
      </c>
      <c r="P51" s="383">
        <f>P76 * P$12</f>
        <v>2213.4619200585939</v>
      </c>
      <c r="Q51" s="383">
        <f>Q76 * Q$12</f>
        <v>2434.8081120644533</v>
      </c>
    </row>
    <row r="52" spans="4:26" x14ac:dyDescent="0.35">
      <c r="D52" s="71" t="s">
        <v>41</v>
      </c>
      <c r="E52" s="71"/>
      <c r="F52" s="71"/>
      <c r="G52" s="71"/>
      <c r="H52" s="19" t="s">
        <v>10</v>
      </c>
      <c r="I52" s="27">
        <v>0</v>
      </c>
      <c r="J52" s="27">
        <v>0</v>
      </c>
      <c r="K52" s="27">
        <v>0</v>
      </c>
      <c r="L52" s="27">
        <v>0</v>
      </c>
      <c r="M52" s="386">
        <f>M77 * M$13</f>
        <v>0</v>
      </c>
      <c r="N52" s="72">
        <f>N77 * N$13</f>
        <v>0</v>
      </c>
      <c r="O52" s="72">
        <f>O77 * O$13</f>
        <v>0</v>
      </c>
      <c r="P52" s="72">
        <f>P77 * P$13</f>
        <v>0</v>
      </c>
      <c r="Q52" s="72">
        <f>Q77 * Q$13</f>
        <v>0</v>
      </c>
    </row>
    <row r="53" spans="4:26" x14ac:dyDescent="0.35">
      <c r="D53" s="71" t="s">
        <v>42</v>
      </c>
      <c r="E53" s="71"/>
      <c r="F53" s="71"/>
      <c r="G53" s="71"/>
      <c r="H53" s="19" t="s">
        <v>10</v>
      </c>
      <c r="I53" s="27">
        <v>618</v>
      </c>
      <c r="J53" s="27">
        <v>824.00000000000159</v>
      </c>
      <c r="K53" s="27">
        <v>1109.9999999999995</v>
      </c>
      <c r="L53" s="30">
        <v>1203.5863336875684</v>
      </c>
      <c r="M53" s="385">
        <f>M78 * M$12</f>
        <v>1887.9435000000001</v>
      </c>
      <c r="N53" s="383">
        <f>N78 * N$12</f>
        <v>2147.53573125</v>
      </c>
      <c r="O53" s="383">
        <f>O78 * O$12</f>
        <v>2415.9776976562498</v>
      </c>
      <c r="P53" s="383">
        <f>P78 * P$12</f>
        <v>2687.7751886425781</v>
      </c>
      <c r="Q53" s="383">
        <f>Q78 * Q$12</f>
        <v>2956.5527075068362</v>
      </c>
    </row>
    <row r="54" spans="4:26" x14ac:dyDescent="0.35">
      <c r="D54" s="73" t="s">
        <v>43</v>
      </c>
      <c r="E54" s="73"/>
      <c r="F54" s="73"/>
      <c r="G54" s="73"/>
      <c r="H54" s="32" t="s">
        <v>10</v>
      </c>
      <c r="I54" s="74">
        <v>7260</v>
      </c>
      <c r="J54" s="74">
        <v>10523.000000000002</v>
      </c>
      <c r="K54" s="74">
        <v>12505</v>
      </c>
      <c r="L54" s="74">
        <v>14399.586333687568</v>
      </c>
      <c r="M54" s="371">
        <f>SUM(M49:M53)</f>
        <v>16375.643998436979</v>
      </c>
      <c r="N54" s="371">
        <f t="shared" ref="N54:Q54" si="18">SUM(N49:N53)</f>
        <v>18514.862061651449</v>
      </c>
      <c r="O54" s="371">
        <f t="shared" si="18"/>
        <v>21200.832456751745</v>
      </c>
      <c r="P54" s="371">
        <f t="shared" si="18"/>
        <v>23903.985036173726</v>
      </c>
      <c r="Q54" s="371">
        <f t="shared" si="18"/>
        <v>27714.76786069083</v>
      </c>
    </row>
    <row r="55" spans="4:26" ht="6.15" customHeight="1" thickBot="1" x14ac:dyDescent="0.4">
      <c r="D55" s="76"/>
      <c r="E55" s="76"/>
      <c r="F55" s="76"/>
      <c r="G55" s="76"/>
      <c r="H55" s="19"/>
      <c r="I55" s="77"/>
      <c r="J55" s="77"/>
      <c r="K55" s="77"/>
      <c r="L55" s="77"/>
      <c r="M55" s="387"/>
      <c r="N55" s="77"/>
      <c r="O55" s="77"/>
      <c r="P55" s="77"/>
      <c r="Q55" s="77"/>
    </row>
    <row r="56" spans="4:26" ht="14.4" customHeight="1" x14ac:dyDescent="0.35">
      <c r="D56" s="71" t="s">
        <v>44</v>
      </c>
      <c r="E56" s="71"/>
      <c r="F56" s="71"/>
      <c r="G56" s="71"/>
      <c r="H56" s="19" t="s">
        <v>10</v>
      </c>
      <c r="I56" s="27">
        <v>253</v>
      </c>
      <c r="J56" s="27">
        <v>209</v>
      </c>
      <c r="K56" s="27">
        <v>169</v>
      </c>
      <c r="L56" s="30">
        <v>193</v>
      </c>
      <c r="M56" s="385">
        <f>L56 + M79 - M27</f>
        <v>76.466800000000035</v>
      </c>
      <c r="N56" s="383">
        <f>M56 + N79 - N27</f>
        <v>-49.153561729117484</v>
      </c>
      <c r="O56" s="383">
        <f>N56 + O79 - O27</f>
        <v>-182.6732962446319</v>
      </c>
      <c r="P56" s="383">
        <f>O56 + P79 - P27</f>
        <v>-322.53297156505283</v>
      </c>
      <c r="Q56" s="383">
        <f>P56 + Q79 - Q27</f>
        <v>-466.82948215661816</v>
      </c>
      <c r="U56" s="409" t="s">
        <v>226</v>
      </c>
      <c r="V56" s="426"/>
      <c r="W56" s="426"/>
      <c r="X56" s="426"/>
      <c r="Y56" s="426"/>
      <c r="Z56" s="410"/>
    </row>
    <row r="57" spans="4:26" ht="14.4" customHeight="1" x14ac:dyDescent="0.35">
      <c r="D57" s="71" t="s">
        <v>45</v>
      </c>
      <c r="E57" s="71"/>
      <c r="F57" s="71"/>
      <c r="G57" s="71"/>
      <c r="H57" s="19" t="s">
        <v>10</v>
      </c>
      <c r="I57" s="27">
        <v>2536</v>
      </c>
      <c r="J57" s="27">
        <v>2570</v>
      </c>
      <c r="K57" s="27">
        <v>2532</v>
      </c>
      <c r="L57" s="30">
        <v>2792</v>
      </c>
      <c r="M57" s="386">
        <v>2792</v>
      </c>
      <c r="N57" s="72">
        <v>2792</v>
      </c>
      <c r="O57" s="72">
        <v>2792</v>
      </c>
      <c r="P57" s="72">
        <v>2792</v>
      </c>
      <c r="Q57" s="72">
        <v>2792</v>
      </c>
      <c r="U57" s="411"/>
      <c r="V57" s="427"/>
      <c r="W57" s="427"/>
      <c r="X57" s="427"/>
      <c r="Y57" s="427"/>
      <c r="Z57" s="412"/>
    </row>
    <row r="58" spans="4:26" ht="14.4" customHeight="1" x14ac:dyDescent="0.35">
      <c r="D58" s="71" t="s">
        <v>46</v>
      </c>
      <c r="E58" s="71"/>
      <c r="F58" s="71"/>
      <c r="G58" s="71"/>
      <c r="H58" s="19" t="s">
        <v>10</v>
      </c>
      <c r="I58" s="27">
        <v>9764</v>
      </c>
      <c r="J58" s="27">
        <v>9765</v>
      </c>
      <c r="K58" s="27">
        <v>9799</v>
      </c>
      <c r="L58" s="30">
        <v>9929</v>
      </c>
      <c r="M58" s="386">
        <v>9929</v>
      </c>
      <c r="N58" s="72">
        <v>9929</v>
      </c>
      <c r="O58" s="72">
        <v>9929</v>
      </c>
      <c r="P58" s="72">
        <v>9929</v>
      </c>
      <c r="Q58" s="72">
        <v>9929</v>
      </c>
      <c r="U58" s="411"/>
      <c r="V58" s="427"/>
      <c r="W58" s="427"/>
      <c r="X58" s="427"/>
      <c r="Y58" s="427"/>
      <c r="Z58" s="412"/>
    </row>
    <row r="59" spans="4:26" ht="15" customHeight="1" thickBot="1" x14ac:dyDescent="0.4">
      <c r="D59" s="79" t="s">
        <v>47</v>
      </c>
      <c r="E59" s="79"/>
      <c r="F59" s="79"/>
      <c r="G59" s="79"/>
      <c r="H59" s="80" t="s">
        <v>10</v>
      </c>
      <c r="I59" s="81">
        <v>19813</v>
      </c>
      <c r="J59" s="81">
        <v>23067</v>
      </c>
      <c r="K59" s="81">
        <v>25005</v>
      </c>
      <c r="L59" s="81">
        <v>27313.58633368757</v>
      </c>
      <c r="M59" s="357">
        <f>SUM(M56:M58)+M54</f>
        <v>29173.110798436981</v>
      </c>
      <c r="N59" s="357">
        <f t="shared" ref="N59:Q59" si="19">SUM(N56:N58)+N54</f>
        <v>31186.70849992233</v>
      </c>
      <c r="O59" s="357">
        <f t="shared" si="19"/>
        <v>33739.159160507115</v>
      </c>
      <c r="P59" s="357">
        <f t="shared" si="19"/>
        <v>36302.452064608675</v>
      </c>
      <c r="Q59" s="357">
        <f t="shared" si="19"/>
        <v>39968.938378534214</v>
      </c>
      <c r="U59" s="411"/>
      <c r="V59" s="427"/>
      <c r="W59" s="427"/>
      <c r="X59" s="427"/>
      <c r="Y59" s="427"/>
      <c r="Z59" s="412"/>
    </row>
    <row r="60" spans="4:26" ht="15" customHeight="1" thickTop="1" x14ac:dyDescent="0.35">
      <c r="D60" s="83"/>
      <c r="E60" s="83"/>
      <c r="F60" s="83"/>
      <c r="G60" s="83"/>
      <c r="H60" s="19"/>
      <c r="I60" s="77"/>
      <c r="J60" s="77"/>
      <c r="K60" s="77"/>
      <c r="L60" s="77"/>
      <c r="M60" s="387"/>
      <c r="N60" s="77"/>
      <c r="O60" s="77"/>
      <c r="P60" s="77"/>
      <c r="Q60" s="77"/>
      <c r="U60" s="411"/>
      <c r="V60" s="427"/>
      <c r="W60" s="427"/>
      <c r="X60" s="427"/>
      <c r="Y60" s="427"/>
      <c r="Z60" s="412"/>
    </row>
    <row r="61" spans="4:26" ht="14.4" customHeight="1" x14ac:dyDescent="0.35">
      <c r="D61" s="84" t="s">
        <v>48</v>
      </c>
      <c r="E61" s="84"/>
      <c r="F61" s="84"/>
      <c r="G61" s="84"/>
      <c r="H61" s="19" t="s">
        <v>10</v>
      </c>
      <c r="I61" s="27">
        <v>292</v>
      </c>
      <c r="J61" s="27">
        <v>295</v>
      </c>
      <c r="K61" s="27">
        <v>285</v>
      </c>
      <c r="L61" s="30">
        <v>324</v>
      </c>
      <c r="M61" s="385">
        <f>M81 * M13</f>
        <v>440.66822399999995</v>
      </c>
      <c r="N61" s="383">
        <f>N81 * N13</f>
        <v>485.59572652499998</v>
      </c>
      <c r="O61" s="383">
        <f>O81 * O13</f>
        <v>528.67276678124995</v>
      </c>
      <c r="P61" s="383">
        <f>P81 * P13</f>
        <v>568.54350460933586</v>
      </c>
      <c r="Q61" s="383">
        <f>Q81 * Q13</f>
        <v>603.83241179198433</v>
      </c>
      <c r="U61" s="411"/>
      <c r="V61" s="427"/>
      <c r="W61" s="427"/>
      <c r="X61" s="427"/>
      <c r="Y61" s="427"/>
      <c r="Z61" s="412"/>
    </row>
    <row r="62" spans="4:26" ht="14.4" customHeight="1" x14ac:dyDescent="0.35">
      <c r="D62" s="84" t="s">
        <v>49</v>
      </c>
      <c r="E62" s="84"/>
      <c r="F62" s="84"/>
      <c r="G62" s="84"/>
      <c r="H62" s="19" t="s">
        <v>10</v>
      </c>
      <c r="I62" s="27">
        <v>2623</v>
      </c>
      <c r="J62" s="27">
        <v>2805</v>
      </c>
      <c r="K62" s="27">
        <v>2126</v>
      </c>
      <c r="L62" s="30">
        <v>3231</v>
      </c>
      <c r="M62" s="385">
        <f>L62</f>
        <v>3231</v>
      </c>
      <c r="N62" s="383">
        <f>M62</f>
        <v>3231</v>
      </c>
      <c r="O62" s="383">
        <f t="shared" ref="O62:Q62" si="20">N62</f>
        <v>3231</v>
      </c>
      <c r="P62" s="383">
        <f t="shared" si="20"/>
        <v>3231</v>
      </c>
      <c r="Q62" s="383">
        <f t="shared" si="20"/>
        <v>3231</v>
      </c>
      <c r="U62" s="411"/>
      <c r="V62" s="427"/>
      <c r="W62" s="427"/>
      <c r="X62" s="427"/>
      <c r="Y62" s="427"/>
      <c r="Z62" s="412"/>
    </row>
    <row r="63" spans="4:26" ht="15" customHeight="1" thickBot="1" x14ac:dyDescent="0.4">
      <c r="D63" s="85" t="s">
        <v>50</v>
      </c>
      <c r="E63" s="85"/>
      <c r="F63" s="85"/>
      <c r="G63" s="85"/>
      <c r="H63" s="86" t="s">
        <v>10</v>
      </c>
      <c r="I63" s="74">
        <v>2915</v>
      </c>
      <c r="J63" s="74">
        <v>3100</v>
      </c>
      <c r="K63" s="74">
        <v>2411</v>
      </c>
      <c r="L63" s="74">
        <v>3555</v>
      </c>
      <c r="M63" s="371">
        <f>SUM(M61:M62)</f>
        <v>3671.668224</v>
      </c>
      <c r="N63" s="371">
        <f t="shared" ref="N63:Q63" si="21">SUM(N61:N62)</f>
        <v>3716.5957265249999</v>
      </c>
      <c r="O63" s="371">
        <f t="shared" si="21"/>
        <v>3759.6727667812502</v>
      </c>
      <c r="P63" s="371">
        <f t="shared" si="21"/>
        <v>3799.5435046093357</v>
      </c>
      <c r="Q63" s="371">
        <f t="shared" si="21"/>
        <v>3834.8324117919842</v>
      </c>
      <c r="U63" s="413"/>
      <c r="V63" s="428"/>
      <c r="W63" s="428"/>
      <c r="X63" s="428"/>
      <c r="Y63" s="428"/>
      <c r="Z63" s="414"/>
    </row>
    <row r="64" spans="4:26" ht="6.15" customHeight="1" x14ac:dyDescent="0.35">
      <c r="D64" s="87"/>
      <c r="E64" s="87"/>
      <c r="F64" s="87"/>
      <c r="G64" s="87"/>
      <c r="H64" s="19"/>
      <c r="I64" s="77"/>
      <c r="J64" s="77"/>
      <c r="K64" s="77"/>
      <c r="L64" s="77"/>
      <c r="M64" s="387"/>
      <c r="N64" s="77"/>
      <c r="O64" s="77"/>
      <c r="P64" s="77"/>
      <c r="Q64" s="77"/>
    </row>
    <row r="65" spans="4:21" x14ac:dyDescent="0.35">
      <c r="D65" s="84" t="s">
        <v>51</v>
      </c>
      <c r="E65" s="84"/>
      <c r="F65" s="84"/>
      <c r="G65" s="84"/>
      <c r="H65" s="19" t="s">
        <v>10</v>
      </c>
      <c r="I65" s="27">
        <v>2675</v>
      </c>
      <c r="J65" s="27">
        <v>3605</v>
      </c>
      <c r="K65" s="27">
        <v>3608</v>
      </c>
      <c r="L65" s="30">
        <v>3611</v>
      </c>
      <c r="M65" s="385">
        <f>L65-M83</f>
        <v>3611</v>
      </c>
      <c r="N65" s="383">
        <f>M65-N83</f>
        <v>3361</v>
      </c>
      <c r="O65" s="383">
        <f>N65-O83</f>
        <v>3111</v>
      </c>
      <c r="P65" s="383">
        <f>O65-P83</f>
        <v>2261</v>
      </c>
      <c r="Q65" s="383">
        <f>P65-Q83</f>
        <v>1861</v>
      </c>
      <c r="U65" s="366" t="s">
        <v>226</v>
      </c>
    </row>
    <row r="66" spans="4:21" x14ac:dyDescent="0.35">
      <c r="D66" s="84" t="s">
        <v>52</v>
      </c>
      <c r="E66" s="84"/>
      <c r="F66" s="84"/>
      <c r="G66" s="84"/>
      <c r="H66" s="19"/>
      <c r="I66" s="27">
        <v>1450</v>
      </c>
      <c r="J66" s="27">
        <v>1367</v>
      </c>
      <c r="K66" s="27">
        <v>599.20000000000005</v>
      </c>
      <c r="L66" s="30">
        <v>974</v>
      </c>
      <c r="M66" s="386">
        <v>974</v>
      </c>
      <c r="N66" s="72">
        <v>974</v>
      </c>
      <c r="O66" s="72">
        <v>974</v>
      </c>
      <c r="P66" s="72">
        <v>974</v>
      </c>
      <c r="Q66" s="72">
        <v>974</v>
      </c>
    </row>
    <row r="67" spans="4:21" ht="15" thickBot="1" x14ac:dyDescent="0.4">
      <c r="D67" s="359" t="s">
        <v>53</v>
      </c>
      <c r="E67" s="359"/>
      <c r="F67" s="359"/>
      <c r="G67" s="359"/>
      <c r="H67" s="80" t="s">
        <v>10</v>
      </c>
      <c r="I67" s="81">
        <v>7040</v>
      </c>
      <c r="J67" s="81">
        <v>8072</v>
      </c>
      <c r="K67" s="81">
        <v>6618.2</v>
      </c>
      <c r="L67" s="81">
        <v>8140</v>
      </c>
      <c r="M67" s="384">
        <f>M63+SUM(M65:M66)</f>
        <v>8256.6682240000009</v>
      </c>
      <c r="N67" s="384">
        <f t="shared" ref="N67:Q67" si="22">N63+SUM(N65:N66)</f>
        <v>8051.5957265249999</v>
      </c>
      <c r="O67" s="384">
        <f t="shared" si="22"/>
        <v>7844.6727667812502</v>
      </c>
      <c r="P67" s="384">
        <f t="shared" si="22"/>
        <v>7034.5435046093353</v>
      </c>
      <c r="Q67" s="384">
        <f t="shared" si="22"/>
        <v>6669.8324117919838</v>
      </c>
    </row>
    <row r="68" spans="4:21" ht="6.15" customHeight="1" thickTop="1" x14ac:dyDescent="0.35">
      <c r="D68" s="89"/>
      <c r="E68" s="89"/>
      <c r="F68" s="89"/>
      <c r="G68" s="89"/>
      <c r="H68" s="19"/>
      <c r="I68" s="90"/>
      <c r="J68" s="90"/>
      <c r="K68" s="90"/>
      <c r="L68" s="77"/>
      <c r="M68" s="386"/>
      <c r="N68" s="91"/>
      <c r="O68" s="91"/>
      <c r="P68" s="91"/>
      <c r="Q68" s="91"/>
    </row>
    <row r="69" spans="4:21" x14ac:dyDescent="0.35">
      <c r="D69" s="87" t="s">
        <v>54</v>
      </c>
      <c r="E69" s="87"/>
      <c r="F69" s="87"/>
      <c r="G69" s="87"/>
      <c r="H69" s="19" t="s">
        <v>10</v>
      </c>
      <c r="I69" s="90">
        <v>12773</v>
      </c>
      <c r="J69" s="90">
        <v>14995</v>
      </c>
      <c r="K69" s="90">
        <v>18386.8</v>
      </c>
      <c r="L69" s="77">
        <v>19173.58633368757</v>
      </c>
      <c r="M69" s="354">
        <f>M59-M67</f>
        <v>20916.44257443698</v>
      </c>
      <c r="N69" s="354">
        <f t="shared" ref="N69:Q69" si="23">N59-N67</f>
        <v>23135.11277339733</v>
      </c>
      <c r="O69" s="354">
        <f t="shared" si="23"/>
        <v>25894.486393725863</v>
      </c>
      <c r="P69" s="354">
        <f t="shared" si="23"/>
        <v>29267.908559999341</v>
      </c>
      <c r="Q69" s="354">
        <f t="shared" si="23"/>
        <v>33299.105966742231</v>
      </c>
    </row>
    <row r="70" spans="4:21" ht="6.15" customHeight="1" x14ac:dyDescent="0.35">
      <c r="D70" s="87"/>
      <c r="E70" s="87"/>
      <c r="F70" s="87"/>
      <c r="G70" s="87"/>
      <c r="H70" s="19"/>
      <c r="I70" s="90"/>
      <c r="J70" s="90"/>
      <c r="K70" s="90"/>
      <c r="L70" s="77"/>
      <c r="M70" s="387"/>
      <c r="N70" s="90"/>
      <c r="O70" s="90"/>
      <c r="P70" s="90"/>
      <c r="Q70" s="90"/>
    </row>
    <row r="71" spans="4:21" ht="15" thickBot="1" x14ac:dyDescent="0.4">
      <c r="D71" s="79" t="s">
        <v>55</v>
      </c>
      <c r="E71" s="79"/>
      <c r="F71" s="79"/>
      <c r="G71" s="79"/>
      <c r="H71" s="80" t="s">
        <v>10</v>
      </c>
      <c r="I71" s="81">
        <v>19813</v>
      </c>
      <c r="J71" s="81">
        <v>23067</v>
      </c>
      <c r="K71" s="81">
        <v>25005</v>
      </c>
      <c r="L71" s="81">
        <v>27313.58633368757</v>
      </c>
      <c r="M71" s="357">
        <f>M67+M69</f>
        <v>29173.110798436981</v>
      </c>
      <c r="N71" s="357">
        <f t="shared" ref="N71:Q71" si="24">N67+N69</f>
        <v>31186.70849992233</v>
      </c>
      <c r="O71" s="357">
        <f t="shared" si="24"/>
        <v>33739.159160507115</v>
      </c>
      <c r="P71" s="357">
        <f t="shared" si="24"/>
        <v>36302.452064608675</v>
      </c>
      <c r="Q71" s="357">
        <f t="shared" si="24"/>
        <v>39968.938378534214</v>
      </c>
    </row>
    <row r="72" spans="4:21" ht="15" thickTop="1" x14ac:dyDescent="0.35">
      <c r="D72" s="92" t="s">
        <v>56</v>
      </c>
      <c r="E72" s="92"/>
      <c r="F72" s="92"/>
      <c r="G72" s="92"/>
      <c r="H72" s="54"/>
      <c r="I72" s="93" t="b">
        <v>1</v>
      </c>
      <c r="J72" s="93" t="b">
        <v>1</v>
      </c>
      <c r="K72" s="93" t="b">
        <v>1</v>
      </c>
      <c r="L72" s="93" t="b">
        <v>1</v>
      </c>
      <c r="M72" s="388" t="b">
        <f t="shared" ref="M72:Q72" si="25">M59=M71</f>
        <v>1</v>
      </c>
      <c r="N72" s="375" t="b">
        <f t="shared" si="25"/>
        <v>1</v>
      </c>
      <c r="O72" s="375" t="b">
        <f t="shared" si="25"/>
        <v>1</v>
      </c>
      <c r="P72" s="375" t="b">
        <f t="shared" si="25"/>
        <v>1</v>
      </c>
      <c r="Q72" s="375" t="b">
        <f t="shared" si="25"/>
        <v>1</v>
      </c>
      <c r="R72" s="201"/>
    </row>
    <row r="73" spans="4:21" x14ac:dyDescent="0.35">
      <c r="H73" s="26"/>
      <c r="I73" s="94"/>
      <c r="J73" s="94"/>
      <c r="K73" s="94"/>
      <c r="L73" s="95"/>
      <c r="M73" s="96"/>
      <c r="N73" s="94"/>
      <c r="O73" s="94"/>
      <c r="P73" s="94"/>
      <c r="Q73" s="94"/>
    </row>
    <row r="74" spans="4:21" x14ac:dyDescent="0.35">
      <c r="D74" s="51" t="s">
        <v>57</v>
      </c>
      <c r="E74" s="51"/>
      <c r="F74" s="51"/>
      <c r="G74" s="51"/>
      <c r="H74" s="67" t="s">
        <v>8</v>
      </c>
      <c r="I74"/>
      <c r="J74"/>
      <c r="K74"/>
      <c r="L74" s="50"/>
      <c r="M74"/>
      <c r="N74"/>
      <c r="O74"/>
      <c r="P74"/>
      <c r="Q74"/>
    </row>
    <row r="75" spans="4:21" ht="3.9" customHeight="1" x14ac:dyDescent="0.35">
      <c r="H75" s="26"/>
      <c r="L75" s="52">
        <v>0</v>
      </c>
      <c r="S75" s="16" t="s">
        <v>26</v>
      </c>
    </row>
    <row r="76" spans="4:21" x14ac:dyDescent="0.35">
      <c r="D76" s="97" t="s">
        <v>58</v>
      </c>
      <c r="E76" s="97"/>
      <c r="F76" s="97"/>
      <c r="G76" s="97"/>
      <c r="H76" s="98" t="s">
        <v>28</v>
      </c>
      <c r="I76" s="99">
        <v>0.13068269378948991</v>
      </c>
      <c r="J76" s="99">
        <v>0.13010140984417512</v>
      </c>
      <c r="K76" s="99">
        <v>0.11041690332841077</v>
      </c>
      <c r="L76" s="100">
        <v>0.15993623804463336</v>
      </c>
      <c r="M76" s="109">
        <v>0.14000000000000001</v>
      </c>
      <c r="N76" s="101">
        <f t="shared" ref="M76:Q82" si="26">M76</f>
        <v>0.14000000000000001</v>
      </c>
      <c r="O76" s="101">
        <f t="shared" si="26"/>
        <v>0.14000000000000001</v>
      </c>
      <c r="P76" s="101">
        <f t="shared" si="26"/>
        <v>0.14000000000000001</v>
      </c>
      <c r="Q76" s="101">
        <f t="shared" si="26"/>
        <v>0.14000000000000001</v>
      </c>
    </row>
    <row r="77" spans="4:21" x14ac:dyDescent="0.35">
      <c r="D77" s="97" t="s">
        <v>59</v>
      </c>
      <c r="E77" s="97"/>
      <c r="F77" s="97"/>
      <c r="G77" s="97"/>
      <c r="H77" s="98" t="s">
        <v>28</v>
      </c>
      <c r="I77" s="99">
        <v>0</v>
      </c>
      <c r="J77" s="99">
        <v>0</v>
      </c>
      <c r="K77" s="99">
        <v>0</v>
      </c>
      <c r="L77" s="100">
        <v>0</v>
      </c>
      <c r="M77" s="109">
        <f t="shared" si="26"/>
        <v>0</v>
      </c>
      <c r="N77" s="101">
        <f t="shared" si="26"/>
        <v>0</v>
      </c>
      <c r="O77" s="101">
        <f t="shared" si="26"/>
        <v>0</v>
      </c>
      <c r="P77" s="101">
        <f t="shared" si="26"/>
        <v>0</v>
      </c>
      <c r="Q77" s="101">
        <f t="shared" si="26"/>
        <v>0</v>
      </c>
    </row>
    <row r="78" spans="4:21" x14ac:dyDescent="0.35">
      <c r="D78" s="97" t="s">
        <v>60</v>
      </c>
      <c r="E78" s="97"/>
      <c r="F78" s="97"/>
      <c r="G78" s="97"/>
      <c r="H78" s="98" t="s">
        <v>28</v>
      </c>
      <c r="I78" s="99">
        <v>9.5238095238095233E-2</v>
      </c>
      <c r="J78" s="99">
        <v>0.10190452634182558</v>
      </c>
      <c r="K78" s="99">
        <v>0.12609337725775299</v>
      </c>
      <c r="L78" s="100">
        <v>0.159881287684321</v>
      </c>
      <c r="M78" s="109">
        <v>0.17</v>
      </c>
      <c r="N78" s="101">
        <f t="shared" si="26"/>
        <v>0.17</v>
      </c>
      <c r="O78" s="101">
        <f t="shared" si="26"/>
        <v>0.17</v>
      </c>
      <c r="P78" s="101">
        <f t="shared" si="26"/>
        <v>0.17</v>
      </c>
      <c r="Q78" s="101">
        <f t="shared" si="26"/>
        <v>0.17</v>
      </c>
    </row>
    <row r="79" spans="4:21" x14ac:dyDescent="0.35">
      <c r="D79" s="102" t="s">
        <v>61</v>
      </c>
      <c r="E79" s="102"/>
      <c r="F79" s="102"/>
      <c r="G79" s="102"/>
      <c r="H79" s="98" t="s">
        <v>10</v>
      </c>
      <c r="I79" s="103">
        <v>116</v>
      </c>
      <c r="J79" s="103">
        <v>78</v>
      </c>
      <c r="K79" s="103">
        <v>80</v>
      </c>
      <c r="L79" s="104">
        <v>91</v>
      </c>
      <c r="M79" s="374">
        <v>150</v>
      </c>
      <c r="N79" s="106">
        <f>N80 * N12</f>
        <v>170.625</v>
      </c>
      <c r="O79" s="106">
        <f>O80 * O12</f>
        <v>191.953125</v>
      </c>
      <c r="P79" s="106">
        <f>P80 * P12</f>
        <v>213.5478515625</v>
      </c>
      <c r="Q79" s="106">
        <f>Q80 * Q12</f>
        <v>234.90263671875005</v>
      </c>
    </row>
    <row r="80" spans="4:21" x14ac:dyDescent="0.35">
      <c r="D80" s="102" t="s">
        <v>62</v>
      </c>
      <c r="E80" s="102"/>
      <c r="F80" s="102"/>
      <c r="G80" s="102"/>
      <c r="H80" s="98"/>
      <c r="I80" s="107">
        <v>0.02</v>
      </c>
      <c r="J80" s="107">
        <v>2.7551659361302442E-2</v>
      </c>
      <c r="K80" s="107">
        <v>5.5788005578800558E-2</v>
      </c>
      <c r="L80" s="108">
        <v>2.2719527433829365E-2</v>
      </c>
      <c r="M80" s="109">
        <f>IFERROR(M79 /M12,0)</f>
        <v>1.3506760133446791E-2</v>
      </c>
      <c r="N80" s="109">
        <f>M80</f>
        <v>1.3506760133446791E-2</v>
      </c>
      <c r="O80" s="109">
        <f t="shared" ref="O80:Q80" si="27">N80</f>
        <v>1.3506760133446791E-2</v>
      </c>
      <c r="P80" s="109">
        <f t="shared" si="27"/>
        <v>1.3506760133446791E-2</v>
      </c>
      <c r="Q80" s="109">
        <f t="shared" si="27"/>
        <v>1.3506760133446791E-2</v>
      </c>
    </row>
    <row r="81" spans="2:17" x14ac:dyDescent="0.35">
      <c r="D81" s="110" t="s">
        <v>63</v>
      </c>
      <c r="E81" s="110"/>
      <c r="F81" s="110"/>
      <c r="G81" s="110"/>
      <c r="H81" s="98" t="s">
        <v>28</v>
      </c>
      <c r="I81" s="99">
        <v>0.13944603629417382</v>
      </c>
      <c r="J81" s="99">
        <v>0.13053097345132744</v>
      </c>
      <c r="K81" s="99">
        <v>0.12300388433318947</v>
      </c>
      <c r="L81" s="100">
        <v>0.14581458145814583</v>
      </c>
      <c r="M81" s="109">
        <v>0.124</v>
      </c>
      <c r="N81" s="101">
        <f t="shared" si="26"/>
        <v>0.124</v>
      </c>
      <c r="O81" s="101">
        <f t="shared" si="26"/>
        <v>0.124</v>
      </c>
      <c r="P81" s="101">
        <f t="shared" si="26"/>
        <v>0.124</v>
      </c>
      <c r="Q81" s="101">
        <f t="shared" si="26"/>
        <v>0.124</v>
      </c>
    </row>
    <row r="82" spans="2:17" x14ac:dyDescent="0.35">
      <c r="D82" s="97" t="s">
        <v>64</v>
      </c>
      <c r="E82" s="110"/>
      <c r="F82" s="110"/>
      <c r="G82" s="110"/>
      <c r="H82" s="98" t="s">
        <v>28</v>
      </c>
      <c r="I82" s="99">
        <v>0.40422253043612266</v>
      </c>
      <c r="J82" s="99">
        <v>0.34689586940390799</v>
      </c>
      <c r="K82" s="99">
        <v>0.24150857662160627</v>
      </c>
      <c r="L82" s="100">
        <v>0.42919766206163656</v>
      </c>
      <c r="M82" s="109">
        <v>0.39800000000000002</v>
      </c>
      <c r="N82" s="101">
        <f t="shared" si="26"/>
        <v>0.39800000000000002</v>
      </c>
      <c r="O82" s="101">
        <f t="shared" si="26"/>
        <v>0.39800000000000002</v>
      </c>
      <c r="P82" s="101">
        <f t="shared" si="26"/>
        <v>0.39800000000000002</v>
      </c>
      <c r="Q82" s="101">
        <f t="shared" si="26"/>
        <v>0.39800000000000002</v>
      </c>
    </row>
    <row r="83" spans="2:17" x14ac:dyDescent="0.35">
      <c r="D83" s="110" t="s">
        <v>65</v>
      </c>
      <c r="E83" s="110"/>
      <c r="F83" s="110"/>
      <c r="G83" s="110"/>
      <c r="H83" s="98" t="s">
        <v>10</v>
      </c>
      <c r="I83" s="111"/>
      <c r="J83" s="112"/>
      <c r="K83" s="112"/>
      <c r="L83" s="108"/>
      <c r="M83" s="105">
        <v>0</v>
      </c>
      <c r="N83" s="105">
        <v>250</v>
      </c>
      <c r="O83" s="105">
        <v>250</v>
      </c>
      <c r="P83" s="105">
        <v>850</v>
      </c>
      <c r="Q83" s="105">
        <v>400</v>
      </c>
    </row>
    <row r="84" spans="2:17" x14ac:dyDescent="0.35">
      <c r="D84" s="110"/>
      <c r="E84" s="110"/>
      <c r="F84" s="110"/>
      <c r="G84" s="110"/>
      <c r="H84" s="98"/>
      <c r="I84" s="111"/>
      <c r="J84" s="112"/>
      <c r="K84" s="112"/>
      <c r="L84" s="112"/>
      <c r="M84" s="105"/>
      <c r="N84" s="105"/>
      <c r="O84" s="105"/>
      <c r="P84" s="105"/>
      <c r="Q84" s="105"/>
    </row>
    <row r="85" spans="2:17" x14ac:dyDescent="0.35">
      <c r="D85" s="110"/>
      <c r="E85" s="110"/>
      <c r="F85" s="110"/>
      <c r="G85" s="110"/>
      <c r="H85" s="98"/>
      <c r="I85" s="111"/>
      <c r="J85" s="112"/>
      <c r="K85" s="112"/>
      <c r="L85" s="112"/>
      <c r="M85" s="105"/>
      <c r="N85" s="105"/>
      <c r="O85" s="105"/>
      <c r="P85" s="105"/>
      <c r="Q85" s="105"/>
    </row>
    <row r="86" spans="2:17" x14ac:dyDescent="0.35">
      <c r="D86" s="110"/>
      <c r="E86" s="110"/>
      <c r="F86" s="110"/>
      <c r="G86" s="110"/>
      <c r="H86" s="98"/>
      <c r="I86" s="111"/>
      <c r="J86" s="112"/>
      <c r="K86" s="112"/>
      <c r="L86" s="112"/>
      <c r="M86" s="105"/>
      <c r="N86" s="105"/>
      <c r="O86" s="105"/>
      <c r="P86" s="105"/>
      <c r="Q86" s="105"/>
    </row>
    <row r="87" spans="2:17" x14ac:dyDescent="0.35">
      <c r="H87" s="26"/>
    </row>
    <row r="88" spans="2:17" s="311" customFormat="1" ht="17.5" thickBot="1" x14ac:dyDescent="0.45">
      <c r="B88" s="310" t="s">
        <v>36</v>
      </c>
      <c r="D88" s="314" t="s">
        <v>67</v>
      </c>
      <c r="E88" s="312"/>
      <c r="F88" s="312"/>
      <c r="G88" s="313"/>
    </row>
    <row r="89" spans="2:17" x14ac:dyDescent="0.35">
      <c r="H89" s="26"/>
    </row>
    <row r="90" spans="2:17" x14ac:dyDescent="0.35">
      <c r="B90" s="307"/>
      <c r="C90" s="9"/>
      <c r="D90" s="10" t="s">
        <v>67</v>
      </c>
      <c r="E90" s="10"/>
      <c r="F90" s="10"/>
      <c r="G90" s="10"/>
      <c r="H90" s="11"/>
      <c r="I90" s="12" t="s">
        <v>4</v>
      </c>
      <c r="J90" s="13"/>
      <c r="K90" s="13"/>
      <c r="L90" s="14"/>
      <c r="M90" s="15" t="s">
        <v>5</v>
      </c>
      <c r="N90" s="15"/>
      <c r="O90" s="15"/>
      <c r="P90" s="15"/>
      <c r="Q90" s="15"/>
    </row>
    <row r="91" spans="2:17" x14ac:dyDescent="0.35">
      <c r="D91" s="17" t="s">
        <v>7</v>
      </c>
      <c r="E91" s="18"/>
      <c r="F91" s="18"/>
      <c r="G91" s="18"/>
      <c r="H91" s="19" t="s">
        <v>8</v>
      </c>
      <c r="I91" s="20">
        <v>2019</v>
      </c>
      <c r="J91" s="21">
        <v>2020</v>
      </c>
      <c r="K91" s="21">
        <v>2021</v>
      </c>
      <c r="L91" s="22">
        <v>2022</v>
      </c>
      <c r="M91" s="23">
        <f>$M$10</f>
        <v>2023</v>
      </c>
      <c r="N91" s="24">
        <f>$N$10</f>
        <v>2024</v>
      </c>
      <c r="O91" s="24">
        <f>$O$10</f>
        <v>2025</v>
      </c>
      <c r="P91" s="24">
        <f>$P$10</f>
        <v>2026</v>
      </c>
      <c r="Q91" s="24">
        <f>$Q$10</f>
        <v>2027</v>
      </c>
    </row>
    <row r="92" spans="2:17" ht="3.9" customHeight="1" x14ac:dyDescent="0.35">
      <c r="H92" s="26"/>
    </row>
    <row r="93" spans="2:17" x14ac:dyDescent="0.35">
      <c r="D93" s="113" t="s">
        <v>68</v>
      </c>
      <c r="E93" s="113"/>
      <c r="F93" s="113"/>
      <c r="G93" s="113"/>
      <c r="H93" s="19" t="s">
        <v>69</v>
      </c>
      <c r="I93" s="114">
        <v>1503.0000000000002</v>
      </c>
      <c r="J93" s="114">
        <v>2197</v>
      </c>
      <c r="K93" s="114">
        <v>2699</v>
      </c>
      <c r="L93" s="38">
        <v>1513</v>
      </c>
      <c r="M93" s="389">
        <f t="shared" ref="M93:Q93" si="28">M24</f>
        <v>1717.9107345</v>
      </c>
      <c r="N93" s="114">
        <f t="shared" si="28"/>
        <v>2296.6974837156349</v>
      </c>
      <c r="O93" s="114">
        <f t="shared" si="28"/>
        <v>2966.0831363070538</v>
      </c>
      <c r="P93" s="114">
        <f t="shared" si="28"/>
        <v>3739.2349097254119</v>
      </c>
      <c r="Q93" s="114">
        <f t="shared" si="28"/>
        <v>4578.5087084312108</v>
      </c>
    </row>
    <row r="94" spans="2:17" x14ac:dyDescent="0.35">
      <c r="D94" s="116" t="s">
        <v>22</v>
      </c>
      <c r="E94" s="116"/>
      <c r="F94" s="116"/>
      <c r="G94" s="116"/>
      <c r="H94" s="19" t="s">
        <v>69</v>
      </c>
      <c r="I94" s="91">
        <v>328</v>
      </c>
      <c r="J94" s="91">
        <v>197</v>
      </c>
      <c r="K94" s="91">
        <v>116</v>
      </c>
      <c r="L94" s="72">
        <v>106</v>
      </c>
      <c r="M94" s="389">
        <f t="shared" ref="M94:Q94" si="29">M27</f>
        <v>266.53319999999997</v>
      </c>
      <c r="N94" s="114">
        <f t="shared" si="29"/>
        <v>296.24536172911752</v>
      </c>
      <c r="O94" s="114">
        <f t="shared" si="29"/>
        <v>325.47285951551441</v>
      </c>
      <c r="P94" s="114">
        <f t="shared" si="29"/>
        <v>353.40752688292093</v>
      </c>
      <c r="Q94" s="114">
        <f t="shared" si="29"/>
        <v>379.19914731031537</v>
      </c>
    </row>
    <row r="95" spans="2:17" x14ac:dyDescent="0.35">
      <c r="D95" s="116" t="s">
        <v>70</v>
      </c>
      <c r="E95" s="116"/>
      <c r="F95" s="116"/>
      <c r="G95" s="116"/>
      <c r="H95" s="19" t="s">
        <v>69</v>
      </c>
      <c r="I95" s="27">
        <v>166</v>
      </c>
      <c r="J95" s="27">
        <v>218</v>
      </c>
      <c r="K95" s="27">
        <v>508</v>
      </c>
      <c r="L95" s="30">
        <v>462</v>
      </c>
      <c r="M95" s="389">
        <f>M125 * M17</f>
        <v>454.42318987441251</v>
      </c>
      <c r="N95" s="114">
        <f>N125 * N17</f>
        <v>496.14708617362442</v>
      </c>
      <c r="O95" s="114">
        <f>O125 * O17</f>
        <v>534.81126809824264</v>
      </c>
      <c r="P95" s="114">
        <f>P125 * P17</f>
        <v>568.99598397941293</v>
      </c>
      <c r="Q95" s="114">
        <f>Q125 * Q17</f>
        <v>597.3158754194842</v>
      </c>
    </row>
    <row r="96" spans="2:17" x14ac:dyDescent="0.35">
      <c r="D96" s="118" t="s">
        <v>71</v>
      </c>
      <c r="E96" s="118"/>
      <c r="F96" s="118"/>
      <c r="G96" s="118"/>
      <c r="H96" s="19" t="s">
        <v>69</v>
      </c>
      <c r="I96" s="27">
        <v>-59</v>
      </c>
      <c r="J96" s="27">
        <v>248</v>
      </c>
      <c r="K96" s="27">
        <v>366</v>
      </c>
      <c r="L96" s="30">
        <v>95</v>
      </c>
      <c r="M96" s="390">
        <v>0</v>
      </c>
      <c r="N96" s="114">
        <f t="shared" ref="N96:Q96" si="30">M96</f>
        <v>0</v>
      </c>
      <c r="O96" s="114">
        <f t="shared" si="30"/>
        <v>0</v>
      </c>
      <c r="P96" s="114">
        <f t="shared" si="30"/>
        <v>0</v>
      </c>
      <c r="Q96" s="114">
        <f t="shared" si="30"/>
        <v>0</v>
      </c>
    </row>
    <row r="97" spans="4:26" x14ac:dyDescent="0.35">
      <c r="D97" s="119" t="s">
        <v>72</v>
      </c>
      <c r="E97" s="119"/>
      <c r="F97" s="119"/>
      <c r="G97" s="119"/>
      <c r="H97" s="19"/>
      <c r="I97" s="114"/>
      <c r="J97" s="114"/>
      <c r="K97" s="114"/>
      <c r="L97" s="38"/>
      <c r="M97" s="389"/>
      <c r="N97" s="114"/>
      <c r="O97" s="114"/>
      <c r="P97" s="114"/>
      <c r="Q97" s="114"/>
    </row>
    <row r="98" spans="4:26" x14ac:dyDescent="0.35">
      <c r="D98" s="120" t="s">
        <v>73</v>
      </c>
      <c r="E98" s="120"/>
      <c r="F98" s="120"/>
      <c r="G98" s="120"/>
      <c r="H98" s="19" t="s">
        <v>69</v>
      </c>
      <c r="I98" s="27">
        <v>182</v>
      </c>
      <c r="J98" s="27">
        <v>-204</v>
      </c>
      <c r="K98" s="27">
        <v>80</v>
      </c>
      <c r="L98" s="30">
        <v>-232</v>
      </c>
      <c r="M98" s="385">
        <f>L51-M51</f>
        <v>-350.77700000000004</v>
      </c>
      <c r="N98" s="383">
        <f t="shared" ref="N98:Q98" si="31">M51-N51</f>
        <v>-213.78183749999994</v>
      </c>
      <c r="O98" s="383">
        <f t="shared" si="31"/>
        <v>-221.06985468750008</v>
      </c>
      <c r="P98" s="383">
        <f t="shared" si="31"/>
        <v>-223.83322787109387</v>
      </c>
      <c r="Q98" s="383">
        <f t="shared" si="31"/>
        <v>-221.34619200585939</v>
      </c>
    </row>
    <row r="99" spans="4:26" ht="15" thickBot="1" x14ac:dyDescent="0.4">
      <c r="D99" s="120" t="s">
        <v>41</v>
      </c>
      <c r="E99" s="120"/>
      <c r="F99" s="120"/>
      <c r="G99" s="120"/>
      <c r="H99" s="19" t="s">
        <v>69</v>
      </c>
      <c r="I99" s="27">
        <v>0</v>
      </c>
      <c r="J99" s="27">
        <v>0</v>
      </c>
      <c r="K99" s="27">
        <v>0</v>
      </c>
      <c r="L99" s="30">
        <v>0</v>
      </c>
      <c r="M99" s="386">
        <f t="shared" ref="M99:Q100" si="32">L52-M52</f>
        <v>0</v>
      </c>
      <c r="N99" s="38">
        <f t="shared" si="32"/>
        <v>0</v>
      </c>
      <c r="O99" s="38">
        <f t="shared" si="32"/>
        <v>0</v>
      </c>
      <c r="P99" s="38">
        <f t="shared" si="32"/>
        <v>0</v>
      </c>
      <c r="Q99" s="38">
        <f t="shared" si="32"/>
        <v>0</v>
      </c>
    </row>
    <row r="100" spans="4:26" x14ac:dyDescent="0.35">
      <c r="D100" s="120" t="s">
        <v>42</v>
      </c>
      <c r="E100" s="120"/>
      <c r="F100" s="120"/>
      <c r="G100" s="120"/>
      <c r="H100" s="19" t="s">
        <v>69</v>
      </c>
      <c r="I100" s="27">
        <v>186</v>
      </c>
      <c r="J100" s="27">
        <v>-206.00000000000159</v>
      </c>
      <c r="K100" s="27">
        <v>-285.99999999999795</v>
      </c>
      <c r="L100" s="30">
        <v>-93.586333687568867</v>
      </c>
      <c r="M100" s="389">
        <f t="shared" si="32"/>
        <v>-684.35716631243167</v>
      </c>
      <c r="N100" s="38">
        <f t="shared" si="32"/>
        <v>-259.59223124999994</v>
      </c>
      <c r="O100" s="38">
        <f t="shared" si="32"/>
        <v>-268.44196640624978</v>
      </c>
      <c r="P100" s="38">
        <f t="shared" si="32"/>
        <v>-271.79749098632828</v>
      </c>
      <c r="Q100" s="38">
        <f t="shared" si="32"/>
        <v>-268.77751886425813</v>
      </c>
      <c r="U100" s="409" t="s">
        <v>227</v>
      </c>
      <c r="V100" s="426"/>
      <c r="W100" s="426"/>
      <c r="X100" s="426"/>
      <c r="Y100" s="426"/>
      <c r="Z100" s="410"/>
    </row>
    <row r="101" spans="4:26" x14ac:dyDescent="0.35">
      <c r="D101" s="120" t="s">
        <v>48</v>
      </c>
      <c r="E101" s="120"/>
      <c r="F101" s="120"/>
      <c r="G101" s="120"/>
      <c r="H101" s="19" t="s">
        <v>69</v>
      </c>
      <c r="I101" s="27">
        <v>31</v>
      </c>
      <c r="J101" s="27">
        <v>3</v>
      </c>
      <c r="K101" s="27">
        <v>-10</v>
      </c>
      <c r="L101" s="30">
        <v>39</v>
      </c>
      <c r="M101" s="385">
        <f t="shared" ref="M101:Q101" si="33">M61-L61</f>
        <v>116.66822399999995</v>
      </c>
      <c r="N101" s="383">
        <f t="shared" si="33"/>
        <v>44.927502525000023</v>
      </c>
      <c r="O101" s="383">
        <f t="shared" si="33"/>
        <v>43.077040256249973</v>
      </c>
      <c r="P101" s="383">
        <f t="shared" si="33"/>
        <v>39.870737828085907</v>
      </c>
      <c r="Q101" s="383">
        <f t="shared" si="33"/>
        <v>35.288907182648472</v>
      </c>
      <c r="U101" s="411"/>
      <c r="V101" s="427"/>
      <c r="W101" s="427"/>
      <c r="X101" s="427"/>
      <c r="Y101" s="427"/>
      <c r="Z101" s="412"/>
    </row>
    <row r="102" spans="4:26" x14ac:dyDescent="0.35">
      <c r="D102" s="120" t="s">
        <v>49</v>
      </c>
      <c r="E102" s="120"/>
      <c r="F102" s="120"/>
      <c r="G102" s="120"/>
      <c r="H102" s="19" t="s">
        <v>69</v>
      </c>
      <c r="I102" s="27">
        <v>-77</v>
      </c>
      <c r="J102" s="27">
        <v>182</v>
      </c>
      <c r="K102" s="27">
        <v>-679</v>
      </c>
      <c r="L102" s="30">
        <v>1105</v>
      </c>
      <c r="M102" s="389">
        <f t="shared" ref="M102:Q102" si="34">M62-L62</f>
        <v>0</v>
      </c>
      <c r="N102" s="114">
        <f t="shared" si="34"/>
        <v>0</v>
      </c>
      <c r="O102" s="114">
        <f t="shared" si="34"/>
        <v>0</v>
      </c>
      <c r="P102" s="114">
        <f t="shared" si="34"/>
        <v>0</v>
      </c>
      <c r="Q102" s="114">
        <f t="shared" si="34"/>
        <v>0</v>
      </c>
      <c r="U102" s="411"/>
      <c r="V102" s="427"/>
      <c r="W102" s="427"/>
      <c r="X102" s="427"/>
      <c r="Y102" s="427"/>
      <c r="Z102" s="412"/>
    </row>
    <row r="103" spans="4:26" x14ac:dyDescent="0.35">
      <c r="D103" s="120" t="s">
        <v>74</v>
      </c>
      <c r="E103" s="120"/>
      <c r="F103" s="120"/>
      <c r="G103" s="120"/>
      <c r="H103" s="19"/>
      <c r="I103" s="27">
        <v>-419</v>
      </c>
      <c r="J103" s="27">
        <v>-372.99999999999795</v>
      </c>
      <c r="K103" s="27">
        <v>-371.0000000000025</v>
      </c>
      <c r="L103" s="28">
        <v>-755.99999999999682</v>
      </c>
      <c r="M103" s="114">
        <v>0</v>
      </c>
      <c r="N103" s="114">
        <v>0</v>
      </c>
      <c r="O103" s="114">
        <v>0</v>
      </c>
      <c r="P103" s="114">
        <v>0</v>
      </c>
      <c r="Q103" s="114">
        <v>0</v>
      </c>
      <c r="U103" s="411"/>
      <c r="V103" s="427"/>
      <c r="W103" s="427"/>
      <c r="X103" s="427"/>
      <c r="Y103" s="427"/>
      <c r="Z103" s="412"/>
    </row>
    <row r="104" spans="4:26" x14ac:dyDescent="0.35">
      <c r="D104" s="121" t="s">
        <v>75</v>
      </c>
      <c r="E104" s="122"/>
      <c r="F104" s="122"/>
      <c r="G104" s="122"/>
      <c r="H104" s="86" t="s">
        <v>69</v>
      </c>
      <c r="I104" s="123">
        <v>1841</v>
      </c>
      <c r="J104" s="123">
        <v>2262</v>
      </c>
      <c r="K104" s="123">
        <v>2422.9999999999991</v>
      </c>
      <c r="L104" s="124">
        <v>2238.4136663124341</v>
      </c>
      <c r="M104" s="123">
        <f t="shared" ref="M104:Q104" si="35">SUM(M93:M103)</f>
        <v>1520.4011820619808</v>
      </c>
      <c r="N104" s="123">
        <f t="shared" si="35"/>
        <v>2660.6433653933773</v>
      </c>
      <c r="O104" s="123">
        <f t="shared" si="35"/>
        <v>3379.9324830833107</v>
      </c>
      <c r="P104" s="123">
        <f t="shared" si="35"/>
        <v>4205.8784395584089</v>
      </c>
      <c r="Q104" s="123">
        <f t="shared" si="35"/>
        <v>5100.1889274735413</v>
      </c>
      <c r="U104" s="411"/>
      <c r="V104" s="427"/>
      <c r="W104" s="427"/>
      <c r="X104" s="427"/>
      <c r="Y104" s="427"/>
      <c r="Z104" s="412"/>
    </row>
    <row r="105" spans="4:26" x14ac:dyDescent="0.35">
      <c r="D105" s="125"/>
      <c r="E105" s="125"/>
      <c r="F105" s="125"/>
      <c r="G105" s="125"/>
      <c r="H105" s="19"/>
      <c r="I105" s="114"/>
      <c r="J105" s="114"/>
      <c r="K105" s="114"/>
      <c r="L105" s="115"/>
      <c r="M105" s="114"/>
      <c r="N105" s="114"/>
      <c r="O105" s="114"/>
      <c r="P105" s="114"/>
      <c r="Q105" s="114"/>
      <c r="U105" s="411"/>
      <c r="V105" s="427"/>
      <c r="W105" s="427"/>
      <c r="X105" s="427"/>
      <c r="Y105" s="427"/>
      <c r="Z105" s="412"/>
    </row>
    <row r="106" spans="4:26" x14ac:dyDescent="0.35">
      <c r="D106" s="118" t="s">
        <v>61</v>
      </c>
      <c r="E106" s="118"/>
      <c r="F106" s="118"/>
      <c r="G106" s="118"/>
      <c r="H106" s="19" t="s">
        <v>69</v>
      </c>
      <c r="I106" s="27">
        <v>-116</v>
      </c>
      <c r="J106" s="27">
        <v>-78</v>
      </c>
      <c r="K106" s="27">
        <v>-80</v>
      </c>
      <c r="L106" s="28">
        <v>-91</v>
      </c>
      <c r="M106" s="114">
        <f xml:space="preserve"> - M79</f>
        <v>-150</v>
      </c>
      <c r="N106" s="114">
        <f xml:space="preserve"> - N79</f>
        <v>-170.625</v>
      </c>
      <c r="O106" s="114">
        <f xml:space="preserve"> - O79</f>
        <v>-191.953125</v>
      </c>
      <c r="P106" s="114">
        <f xml:space="preserve"> - P79</f>
        <v>-213.5478515625</v>
      </c>
      <c r="Q106" s="114">
        <f xml:space="preserve"> - Q79</f>
        <v>-234.90263671875005</v>
      </c>
      <c r="U106" s="411"/>
      <c r="V106" s="427"/>
      <c r="W106" s="427"/>
      <c r="X106" s="427"/>
      <c r="Y106" s="427"/>
      <c r="Z106" s="412"/>
    </row>
    <row r="107" spans="4:26" ht="15" thickBot="1" x14ac:dyDescent="0.4">
      <c r="D107" s="118" t="s">
        <v>76</v>
      </c>
      <c r="E107" s="118"/>
      <c r="F107" s="118"/>
      <c r="G107" s="118"/>
      <c r="H107" s="19" t="s">
        <v>69</v>
      </c>
      <c r="I107" s="27">
        <v>-65</v>
      </c>
      <c r="J107" s="27">
        <v>-221</v>
      </c>
      <c r="K107" s="27">
        <v>-248</v>
      </c>
      <c r="L107" s="28">
        <v>-109</v>
      </c>
      <c r="M107" s="27">
        <v>0</v>
      </c>
      <c r="N107" s="114">
        <f>M107</f>
        <v>0</v>
      </c>
      <c r="O107" s="114">
        <f t="shared" ref="O107:Q107" si="36">N107</f>
        <v>0</v>
      </c>
      <c r="P107" s="114">
        <f t="shared" si="36"/>
        <v>0</v>
      </c>
      <c r="Q107" s="114">
        <f t="shared" si="36"/>
        <v>0</v>
      </c>
      <c r="U107" s="413"/>
      <c r="V107" s="428"/>
      <c r="W107" s="428"/>
      <c r="X107" s="428"/>
      <c r="Y107" s="428"/>
      <c r="Z107" s="414"/>
    </row>
    <row r="108" spans="4:26" x14ac:dyDescent="0.35">
      <c r="D108" s="118" t="s">
        <v>77</v>
      </c>
      <c r="E108" s="118"/>
      <c r="F108" s="118"/>
      <c r="G108" s="118"/>
      <c r="H108" s="19" t="s">
        <v>69</v>
      </c>
      <c r="I108" s="27">
        <v>159</v>
      </c>
      <c r="J108" s="27">
        <v>121</v>
      </c>
      <c r="K108" s="27">
        <v>269</v>
      </c>
      <c r="L108" s="28">
        <v>-4794</v>
      </c>
      <c r="M108" s="27">
        <f>L50-M50</f>
        <v>0</v>
      </c>
      <c r="N108" s="27">
        <f>M50-N50</f>
        <v>0</v>
      </c>
      <c r="O108" s="27">
        <f>N50-O50</f>
        <v>0</v>
      </c>
      <c r="P108" s="27">
        <f>O50-P50</f>
        <v>0</v>
      </c>
      <c r="Q108" s="27">
        <f>P50-Q50</f>
        <v>0</v>
      </c>
      <c r="U108" s="366" t="s">
        <v>227</v>
      </c>
    </row>
    <row r="109" spans="4:26" x14ac:dyDescent="0.35">
      <c r="D109" s="126" t="s">
        <v>78</v>
      </c>
      <c r="E109" s="127"/>
      <c r="F109" s="127"/>
      <c r="G109" s="127"/>
      <c r="H109" s="86" t="s">
        <v>69</v>
      </c>
      <c r="I109" s="123">
        <v>-22</v>
      </c>
      <c r="J109" s="123">
        <v>-178</v>
      </c>
      <c r="K109" s="123">
        <v>-59</v>
      </c>
      <c r="L109" s="124">
        <v>-4994</v>
      </c>
      <c r="M109" s="123">
        <f t="shared" ref="M109:Q109" si="37">SUM(M106:M108)</f>
        <v>-150</v>
      </c>
      <c r="N109" s="123">
        <f t="shared" si="37"/>
        <v>-170.625</v>
      </c>
      <c r="O109" s="123">
        <f t="shared" si="37"/>
        <v>-191.953125</v>
      </c>
      <c r="P109" s="123">
        <f t="shared" si="37"/>
        <v>-213.5478515625</v>
      </c>
      <c r="Q109" s="123">
        <f t="shared" si="37"/>
        <v>-234.90263671875005</v>
      </c>
    </row>
    <row r="110" spans="4:26" x14ac:dyDescent="0.35">
      <c r="D110" s="125"/>
      <c r="E110" s="125"/>
      <c r="F110" s="125"/>
      <c r="G110" s="125"/>
      <c r="H110" s="19"/>
      <c r="I110" s="114"/>
      <c r="J110" s="114"/>
      <c r="K110" s="114"/>
      <c r="L110" s="115"/>
      <c r="M110" s="114"/>
      <c r="N110" s="114"/>
      <c r="O110" s="114"/>
      <c r="P110" s="114"/>
      <c r="Q110" s="114"/>
    </row>
    <row r="111" spans="4:26" x14ac:dyDescent="0.35">
      <c r="D111" s="118" t="s">
        <v>79</v>
      </c>
      <c r="E111" s="118"/>
      <c r="F111" s="118"/>
      <c r="G111" s="118"/>
      <c r="H111" s="19" t="s">
        <v>69</v>
      </c>
      <c r="I111" s="27">
        <v>0</v>
      </c>
      <c r="J111" s="27">
        <v>1997</v>
      </c>
      <c r="K111" s="27">
        <v>0</v>
      </c>
      <c r="L111" s="28">
        <v>0</v>
      </c>
      <c r="M111" s="27">
        <v>0</v>
      </c>
      <c r="N111" s="114">
        <v>0</v>
      </c>
      <c r="O111" s="114">
        <v>0</v>
      </c>
      <c r="P111" s="114">
        <v>0</v>
      </c>
      <c r="Q111" s="114">
        <v>0</v>
      </c>
    </row>
    <row r="112" spans="4:26" x14ac:dyDescent="0.35">
      <c r="D112" s="118" t="s">
        <v>80</v>
      </c>
      <c r="E112" s="118"/>
      <c r="F112" s="118"/>
      <c r="G112" s="118"/>
      <c r="H112" s="19" t="s">
        <v>69</v>
      </c>
      <c r="I112" s="27">
        <v>0</v>
      </c>
      <c r="J112" s="27">
        <v>-1050</v>
      </c>
      <c r="K112" s="27">
        <v>0</v>
      </c>
      <c r="L112" s="28">
        <v>0</v>
      </c>
      <c r="M112" s="114">
        <f xml:space="preserve"> - M83</f>
        <v>0</v>
      </c>
      <c r="N112" s="114">
        <f xml:space="preserve"> - N83</f>
        <v>-250</v>
      </c>
      <c r="O112" s="114">
        <f xml:space="preserve"> - O83</f>
        <v>-250</v>
      </c>
      <c r="P112" s="114">
        <f xml:space="preserve"> - P83</f>
        <v>-850</v>
      </c>
      <c r="Q112" s="114">
        <f xml:space="preserve"> - Q83</f>
        <v>-400</v>
      </c>
    </row>
    <row r="113" spans="4:19" x14ac:dyDescent="0.35">
      <c r="D113" s="118" t="s">
        <v>81</v>
      </c>
      <c r="E113" s="118"/>
      <c r="F113" s="118"/>
      <c r="G113" s="118"/>
      <c r="H113" s="19" t="s">
        <v>69</v>
      </c>
      <c r="I113" s="27">
        <v>105</v>
      </c>
      <c r="J113" s="27">
        <v>170</v>
      </c>
      <c r="K113" s="27">
        <v>90</v>
      </c>
      <c r="L113" s="28">
        <v>47</v>
      </c>
      <c r="M113" s="114">
        <v>0</v>
      </c>
      <c r="N113" s="114">
        <f>M113</f>
        <v>0</v>
      </c>
      <c r="O113" s="114">
        <f t="shared" ref="O113:Q113" si="38">N113</f>
        <v>0</v>
      </c>
      <c r="P113" s="114">
        <f t="shared" si="38"/>
        <v>0</v>
      </c>
      <c r="Q113" s="114">
        <f t="shared" si="38"/>
        <v>0</v>
      </c>
    </row>
    <row r="114" spans="4:19" x14ac:dyDescent="0.35">
      <c r="D114" s="118" t="s">
        <v>82</v>
      </c>
      <c r="E114" s="118"/>
      <c r="F114" s="118"/>
      <c r="G114" s="118"/>
      <c r="H114" s="19" t="s">
        <v>69</v>
      </c>
      <c r="I114" s="27">
        <v>-283</v>
      </c>
      <c r="J114" s="27">
        <v>-316</v>
      </c>
      <c r="K114" s="27">
        <v>-365</v>
      </c>
      <c r="L114" s="28">
        <v>-367</v>
      </c>
      <c r="M114" s="114">
        <f>M126 * -M24</f>
        <v>-429.477683625</v>
      </c>
      <c r="N114" s="114">
        <f>N126 * -N24</f>
        <v>-574.17437092890873</v>
      </c>
      <c r="O114" s="114">
        <f>O126 * -O24</f>
        <v>-741.52078407676345</v>
      </c>
      <c r="P114" s="114">
        <f>P126 * -P24</f>
        <v>-934.80872743135296</v>
      </c>
      <c r="Q114" s="114">
        <f>Q126 * -Q24</f>
        <v>-1144.6271771078027</v>
      </c>
    </row>
    <row r="115" spans="4:19" x14ac:dyDescent="0.35">
      <c r="D115" s="118" t="s">
        <v>71</v>
      </c>
      <c r="E115" s="118"/>
      <c r="F115" s="118"/>
      <c r="G115" s="118"/>
      <c r="H115" s="19"/>
      <c r="I115" s="27">
        <v>-59</v>
      </c>
      <c r="J115" s="27">
        <v>-89.999999999999943</v>
      </c>
      <c r="K115" s="27">
        <v>-246</v>
      </c>
      <c r="L115" s="28">
        <v>-214</v>
      </c>
      <c r="M115" s="114">
        <v>0</v>
      </c>
      <c r="N115" s="114">
        <v>0</v>
      </c>
      <c r="O115" s="114">
        <v>0</v>
      </c>
      <c r="P115" s="114">
        <v>0</v>
      </c>
      <c r="Q115" s="114">
        <v>0</v>
      </c>
    </row>
    <row r="116" spans="4:19" x14ac:dyDescent="0.35">
      <c r="D116" s="121" t="s">
        <v>83</v>
      </c>
      <c r="E116" s="122"/>
      <c r="F116" s="122"/>
      <c r="G116" s="122"/>
      <c r="H116" s="86" t="s">
        <v>69</v>
      </c>
      <c r="I116" s="123">
        <v>-237</v>
      </c>
      <c r="J116" s="123">
        <v>711</v>
      </c>
      <c r="K116" s="123">
        <v>-521</v>
      </c>
      <c r="L116" s="124">
        <v>-534</v>
      </c>
      <c r="M116" s="123">
        <f t="shared" ref="M116:Q116" si="39">SUM(M111:M115)</f>
        <v>-429.477683625</v>
      </c>
      <c r="N116" s="123">
        <f t="shared" si="39"/>
        <v>-824.17437092890873</v>
      </c>
      <c r="O116" s="123">
        <f t="shared" si="39"/>
        <v>-991.52078407676345</v>
      </c>
      <c r="P116" s="123">
        <f t="shared" si="39"/>
        <v>-1784.808727431353</v>
      </c>
      <c r="Q116" s="123">
        <f t="shared" si="39"/>
        <v>-1544.6271771078027</v>
      </c>
    </row>
    <row r="117" spans="4:19" x14ac:dyDescent="0.35">
      <c r="D117" s="125"/>
      <c r="E117" s="125"/>
      <c r="F117" s="125"/>
      <c r="G117" s="125"/>
      <c r="H117" s="19"/>
      <c r="I117" s="114"/>
      <c r="J117" s="114"/>
      <c r="K117" s="114"/>
      <c r="L117" s="115"/>
      <c r="M117" s="114"/>
      <c r="N117" s="114"/>
      <c r="O117" s="114"/>
      <c r="P117" s="114"/>
      <c r="Q117" s="114"/>
    </row>
    <row r="118" spans="4:19" x14ac:dyDescent="0.35">
      <c r="D118" s="128" t="s">
        <v>84</v>
      </c>
      <c r="E118" s="125"/>
      <c r="F118" s="125"/>
      <c r="G118" s="125"/>
      <c r="H118" s="19"/>
      <c r="I118" s="27">
        <v>-7.0000000000004441</v>
      </c>
      <c r="J118" s="27">
        <v>68</v>
      </c>
      <c r="K118" s="27">
        <v>-58</v>
      </c>
      <c r="L118" s="28">
        <v>-55</v>
      </c>
      <c r="M118" s="114">
        <v>0</v>
      </c>
      <c r="N118" s="114">
        <v>0</v>
      </c>
      <c r="O118" s="114">
        <v>0</v>
      </c>
      <c r="P118" s="114">
        <v>0</v>
      </c>
      <c r="Q118" s="114">
        <v>0</v>
      </c>
    </row>
    <row r="119" spans="4:19" x14ac:dyDescent="0.35">
      <c r="D119" s="129" t="s">
        <v>85</v>
      </c>
      <c r="E119" s="129"/>
      <c r="F119" s="129"/>
      <c r="G119" s="129"/>
      <c r="H119" s="130" t="s">
        <v>69</v>
      </c>
      <c r="I119" s="131">
        <v>1574.9999999999995</v>
      </c>
      <c r="J119" s="131">
        <v>2863</v>
      </c>
      <c r="K119" s="131">
        <v>1784.9999999999991</v>
      </c>
      <c r="L119" s="132">
        <v>-3344.5863336875659</v>
      </c>
      <c r="M119" s="371">
        <f>M104+M109+M116</f>
        <v>940.92349843698071</v>
      </c>
      <c r="N119" s="371">
        <f t="shared" ref="N119:Q119" si="40">N104+N109+N116</f>
        <v>1665.8439944644686</v>
      </c>
      <c r="O119" s="371">
        <f t="shared" si="40"/>
        <v>2196.4585740065472</v>
      </c>
      <c r="P119" s="371">
        <f t="shared" si="40"/>
        <v>2207.5218605645559</v>
      </c>
      <c r="Q119" s="371">
        <f t="shared" si="40"/>
        <v>3320.6591136469888</v>
      </c>
    </row>
    <row r="120" spans="4:19" x14ac:dyDescent="0.35">
      <c r="D120" s="118" t="s">
        <v>86</v>
      </c>
      <c r="E120" s="118"/>
      <c r="F120" s="118"/>
      <c r="G120" s="118"/>
      <c r="H120" s="19" t="s">
        <v>69</v>
      </c>
      <c r="I120" s="27">
        <v>4229</v>
      </c>
      <c r="J120" s="114">
        <v>5794</v>
      </c>
      <c r="K120" s="114">
        <v>8647</v>
      </c>
      <c r="L120" s="115">
        <v>10423</v>
      </c>
      <c r="M120" s="371">
        <f>L121</f>
        <v>7060</v>
      </c>
      <c r="N120" s="371">
        <f t="shared" ref="N120:Q120" si="41">M121</f>
        <v>8000.9234984369805</v>
      </c>
      <c r="O120" s="371">
        <f t="shared" si="41"/>
        <v>9666.7674929014483</v>
      </c>
      <c r="P120" s="371">
        <f t="shared" si="41"/>
        <v>11863.226066907995</v>
      </c>
      <c r="Q120" s="371">
        <f t="shared" si="41"/>
        <v>14070.747927472552</v>
      </c>
    </row>
    <row r="121" spans="4:19" ht="15" thickBot="1" x14ac:dyDescent="0.4">
      <c r="D121" s="133" t="s">
        <v>87</v>
      </c>
      <c r="E121" s="134"/>
      <c r="F121" s="134"/>
      <c r="G121" s="134"/>
      <c r="H121" s="135" t="s">
        <v>69</v>
      </c>
      <c r="I121" s="136">
        <v>5804</v>
      </c>
      <c r="J121" s="136">
        <v>8657</v>
      </c>
      <c r="K121" s="136">
        <v>10432</v>
      </c>
      <c r="L121" s="137">
        <v>7060</v>
      </c>
      <c r="M121" s="357">
        <f>M119+M120</f>
        <v>8000.9234984369805</v>
      </c>
      <c r="N121" s="357">
        <f t="shared" ref="N121:Q121" si="42">N119+N120</f>
        <v>9666.7674929014483</v>
      </c>
      <c r="O121" s="357">
        <f t="shared" si="42"/>
        <v>11863.226066907995</v>
      </c>
      <c r="P121" s="357">
        <f t="shared" si="42"/>
        <v>14070.747927472552</v>
      </c>
      <c r="Q121" s="357">
        <f t="shared" si="42"/>
        <v>17391.407041119543</v>
      </c>
    </row>
    <row r="122" spans="4:19" ht="15" thickTop="1" x14ac:dyDescent="0.35">
      <c r="L122" s="44"/>
    </row>
    <row r="123" spans="4:19" x14ac:dyDescent="0.35">
      <c r="D123" s="51" t="s">
        <v>88</v>
      </c>
      <c r="E123" s="51"/>
      <c r="F123" s="51"/>
      <c r="G123" s="51"/>
      <c r="H123" s="67" t="s">
        <v>8</v>
      </c>
      <c r="I123"/>
      <c r="J123"/>
      <c r="K123"/>
      <c r="L123" s="50"/>
      <c r="M123"/>
      <c r="N123"/>
      <c r="O123"/>
      <c r="P123"/>
      <c r="Q123"/>
    </row>
    <row r="124" spans="4:19" ht="3.9" customHeight="1" x14ac:dyDescent="0.35">
      <c r="H124" s="26"/>
      <c r="L124" s="52">
        <v>0</v>
      </c>
      <c r="S124" s="16" t="s">
        <v>26</v>
      </c>
    </row>
    <row r="125" spans="4:19" x14ac:dyDescent="0.35">
      <c r="D125" s="102" t="s">
        <v>89</v>
      </c>
      <c r="E125" s="102"/>
      <c r="F125" s="102"/>
      <c r="G125" s="102"/>
      <c r="H125" s="98" t="s">
        <v>28</v>
      </c>
      <c r="I125" s="138">
        <v>9.2737430167597765E-2</v>
      </c>
      <c r="J125" s="138">
        <v>0.11225540679711637</v>
      </c>
      <c r="K125" s="138">
        <v>0.26878306878306879</v>
      </c>
      <c r="L125" s="139">
        <v>0.20857787810383746</v>
      </c>
      <c r="M125" s="109">
        <v>0.16433159370038652</v>
      </c>
      <c r="N125" s="109">
        <v>0.16433159370038652</v>
      </c>
      <c r="O125" s="109">
        <v>0.16433159370038652</v>
      </c>
      <c r="P125" s="109">
        <v>0.16433159370038652</v>
      </c>
      <c r="Q125" s="109">
        <v>0.16433159370038652</v>
      </c>
    </row>
    <row r="126" spans="4:19" x14ac:dyDescent="0.35">
      <c r="D126" s="102" t="s">
        <v>90</v>
      </c>
      <c r="E126" s="102"/>
      <c r="F126" s="102"/>
      <c r="G126" s="102"/>
      <c r="H126" s="98" t="s">
        <v>28</v>
      </c>
      <c r="I126" s="138">
        <v>0.18829008649367929</v>
      </c>
      <c r="J126" s="138">
        <v>0.14383249886208466</v>
      </c>
      <c r="K126" s="138">
        <v>0.13523527232308263</v>
      </c>
      <c r="L126" s="139">
        <v>0.24256444150693984</v>
      </c>
      <c r="M126" s="140">
        <v>0.25</v>
      </c>
      <c r="N126" s="109">
        <f>M126</f>
        <v>0.25</v>
      </c>
      <c r="O126" s="109">
        <f t="shared" ref="O126:Q126" si="43">N126</f>
        <v>0.25</v>
      </c>
      <c r="P126" s="109">
        <f t="shared" si="43"/>
        <v>0.25</v>
      </c>
      <c r="Q126" s="109">
        <f t="shared" si="43"/>
        <v>0.25</v>
      </c>
    </row>
    <row r="127" spans="4:19" x14ac:dyDescent="0.35">
      <c r="D127" s="102"/>
      <c r="E127" s="102"/>
      <c r="F127" s="102"/>
      <c r="G127" s="102"/>
      <c r="H127" s="98"/>
      <c r="I127" s="138"/>
      <c r="J127" s="138"/>
      <c r="K127" s="138"/>
      <c r="L127" s="316"/>
      <c r="M127" s="140"/>
      <c r="N127" s="109"/>
      <c r="O127" s="109"/>
      <c r="P127" s="109"/>
      <c r="Q127" s="109"/>
    </row>
    <row r="128" spans="4:19" x14ac:dyDescent="0.35">
      <c r="D128" s="102"/>
      <c r="E128" s="102"/>
      <c r="F128" s="102"/>
      <c r="G128" s="102"/>
      <c r="H128" s="98"/>
      <c r="I128" s="138"/>
      <c r="J128" s="138"/>
      <c r="K128" s="138"/>
      <c r="L128" s="316"/>
      <c r="M128" s="140"/>
      <c r="N128" s="109"/>
      <c r="O128" s="109"/>
      <c r="P128" s="109"/>
      <c r="Q128" s="109"/>
    </row>
    <row r="129" spans="2:26" x14ac:dyDescent="0.35">
      <c r="D129" s="110"/>
      <c r="E129" s="141"/>
      <c r="F129" s="142"/>
      <c r="G129" s="143"/>
      <c r="H129" s="143"/>
      <c r="I129" s="143"/>
      <c r="J129" s="144"/>
      <c r="K129" s="144"/>
      <c r="L129" s="144"/>
      <c r="M129" s="144"/>
      <c r="N129" s="144"/>
    </row>
    <row r="130" spans="2:26" x14ac:dyDescent="0.35">
      <c r="D130" s="110"/>
      <c r="E130" s="141"/>
      <c r="F130" s="142"/>
      <c r="G130" s="143"/>
      <c r="H130" s="143"/>
      <c r="I130" s="143"/>
      <c r="J130" s="144"/>
      <c r="K130" s="144"/>
      <c r="L130" s="144"/>
      <c r="M130" s="144"/>
      <c r="N130" s="144"/>
    </row>
    <row r="131" spans="2:26" s="311" customFormat="1" ht="17.5" thickBot="1" x14ac:dyDescent="0.45">
      <c r="B131" s="310" t="s">
        <v>66</v>
      </c>
      <c r="D131" s="314" t="s">
        <v>92</v>
      </c>
      <c r="E131" s="312"/>
      <c r="F131" s="312"/>
      <c r="G131" s="313"/>
    </row>
    <row r="132" spans="2:26" ht="15" customHeight="1" x14ac:dyDescent="0.35">
      <c r="D132" s="309"/>
      <c r="E132" s="3"/>
      <c r="F132" s="3"/>
      <c r="G132" s="4"/>
    </row>
    <row r="133" spans="2:26" x14ac:dyDescent="0.35">
      <c r="D133" s="145" t="s">
        <v>93</v>
      </c>
      <c r="E133" s="145"/>
      <c r="F133" s="145"/>
      <c r="G133" s="145"/>
      <c r="H133" s="145"/>
      <c r="J133" s="146" t="s">
        <v>94</v>
      </c>
      <c r="K133" s="147"/>
      <c r="L133" s="147"/>
      <c r="M133" s="147"/>
    </row>
    <row r="134" spans="2:26" ht="3.9" customHeight="1" thickBot="1" x14ac:dyDescent="0.4"/>
    <row r="135" spans="2:26" ht="15" x14ac:dyDescent="0.4">
      <c r="D135" s="1" t="s">
        <v>95</v>
      </c>
      <c r="G135" s="161">
        <v>2.7890999999999999E-2</v>
      </c>
      <c r="H135" s="149">
        <v>1</v>
      </c>
      <c r="J135" s="150" t="s">
        <v>96</v>
      </c>
      <c r="K135" s="150" t="s">
        <v>97</v>
      </c>
      <c r="L135" s="147" t="s">
        <v>98</v>
      </c>
      <c r="M135" s="1" t="s">
        <v>99</v>
      </c>
      <c r="Q135" s="151"/>
      <c r="U135" s="409" t="s">
        <v>228</v>
      </c>
      <c r="V135" s="426"/>
      <c r="W135" s="426"/>
      <c r="X135" s="426"/>
      <c r="Y135" s="426"/>
      <c r="Z135" s="410"/>
    </row>
    <row r="136" spans="2:26" x14ac:dyDescent="0.35">
      <c r="D136" s="1" t="s">
        <v>100</v>
      </c>
      <c r="G136" s="361">
        <v>1.1425000000000001</v>
      </c>
      <c r="H136" s="149">
        <v>2</v>
      </c>
      <c r="J136" s="152">
        <v>3.4000000000000002E-2</v>
      </c>
      <c r="K136" s="153">
        <v>850</v>
      </c>
      <c r="L136" s="154">
        <f>K136 / $K$141</f>
        <v>0.23539185821102188</v>
      </c>
      <c r="M136" s="155">
        <f>J136 * L136</f>
        <v>8.0033231791747442E-3</v>
      </c>
      <c r="Q136" s="156"/>
      <c r="U136" s="411"/>
      <c r="V136" s="427"/>
      <c r="W136" s="427"/>
      <c r="X136" s="427"/>
      <c r="Y136" s="427"/>
      <c r="Z136" s="412"/>
    </row>
    <row r="137" spans="2:26" ht="15" x14ac:dyDescent="0.4">
      <c r="D137" s="1" t="s">
        <v>101</v>
      </c>
      <c r="G137" s="161">
        <v>5.7500000000000002E-2</v>
      </c>
      <c r="H137" s="149">
        <v>3</v>
      </c>
      <c r="J137" s="152">
        <v>4.4999999999999998E-2</v>
      </c>
      <c r="K137" s="153">
        <f>400-39</f>
        <v>361</v>
      </c>
      <c r="L137" s="154">
        <f>K137 / $K$141</f>
        <v>9.9972306840210468E-2</v>
      </c>
      <c r="M137" s="155">
        <f>J137 * L137</f>
        <v>4.4987538078094707E-3</v>
      </c>
      <c r="Q137" s="156"/>
      <c r="U137" s="411"/>
      <c r="V137" s="427"/>
      <c r="W137" s="427"/>
      <c r="X137" s="427"/>
      <c r="Y137" s="427"/>
      <c r="Z137" s="412"/>
    </row>
    <row r="138" spans="2:26" x14ac:dyDescent="0.35">
      <c r="D138" s="157" t="s">
        <v>102</v>
      </c>
      <c r="E138" s="158"/>
      <c r="F138" s="159"/>
      <c r="G138" s="322">
        <f>G135+G136*G137</f>
        <v>9.3584750000000008E-2</v>
      </c>
      <c r="H138" s="160"/>
      <c r="J138" s="152">
        <v>5.3999999999999999E-2</v>
      </c>
      <c r="K138" s="153">
        <v>500</v>
      </c>
      <c r="L138" s="154">
        <f>K138 / $K$141</f>
        <v>0.13846579894765992</v>
      </c>
      <c r="M138" s="155">
        <f>J138 * L138</f>
        <v>7.4771531431736355E-3</v>
      </c>
      <c r="Q138" s="156"/>
      <c r="U138" s="411"/>
      <c r="V138" s="427"/>
      <c r="W138" s="427"/>
      <c r="X138" s="427"/>
      <c r="Y138" s="427"/>
      <c r="Z138" s="412"/>
    </row>
    <row r="139" spans="2:26" x14ac:dyDescent="0.35">
      <c r="H139" s="149"/>
      <c r="J139" s="152">
        <v>4.4999999999999998E-2</v>
      </c>
      <c r="K139" s="153">
        <v>400</v>
      </c>
      <c r="L139" s="154">
        <f>K139 / $K$141</f>
        <v>0.11077263915812795</v>
      </c>
      <c r="M139" s="155">
        <f>J139 * L139</f>
        <v>4.9847687621157573E-3</v>
      </c>
      <c r="Q139" s="156"/>
      <c r="U139" s="411"/>
      <c r="V139" s="427"/>
      <c r="W139" s="427"/>
      <c r="X139" s="427"/>
      <c r="Y139" s="427"/>
      <c r="Z139" s="412"/>
    </row>
    <row r="140" spans="2:26" x14ac:dyDescent="0.35">
      <c r="D140" s="1" t="s">
        <v>103</v>
      </c>
      <c r="G140" s="319">
        <f>M141</f>
        <v>3.5348933813348103E-2</v>
      </c>
      <c r="H140" s="149">
        <v>4</v>
      </c>
      <c r="J140" s="152">
        <v>2.5000000000000001E-2</v>
      </c>
      <c r="K140" s="153">
        <v>1500</v>
      </c>
      <c r="L140" s="154">
        <f>K140 / $K$141</f>
        <v>0.41539739684297977</v>
      </c>
      <c r="M140" s="155">
        <f>J140 * L140</f>
        <v>1.0384934921074495E-2</v>
      </c>
      <c r="Q140" s="156"/>
      <c r="U140" s="411"/>
      <c r="V140" s="427"/>
      <c r="W140" s="427"/>
      <c r="X140" s="427"/>
      <c r="Y140" s="427"/>
      <c r="Z140" s="412"/>
    </row>
    <row r="141" spans="2:26" x14ac:dyDescent="0.35">
      <c r="D141" s="1" t="s">
        <v>104</v>
      </c>
      <c r="G141" s="161">
        <f>M39</f>
        <v>0.21</v>
      </c>
      <c r="H141" s="162"/>
      <c r="K141" s="163">
        <f>SUM(K136:K140)</f>
        <v>3611</v>
      </c>
      <c r="L141" s="164">
        <f>SUM(L136:L140)</f>
        <v>1</v>
      </c>
      <c r="M141" s="165">
        <f>SUM(M136:M140)</f>
        <v>3.5348933813348103E-2</v>
      </c>
      <c r="Q141" s="156"/>
      <c r="R141" s="156"/>
      <c r="S141" s="156"/>
      <c r="T141" s="156"/>
      <c r="U141" s="411"/>
      <c r="V141" s="427"/>
      <c r="W141" s="427"/>
      <c r="X141" s="427"/>
      <c r="Y141" s="427"/>
      <c r="Z141" s="412"/>
    </row>
    <row r="142" spans="2:26" ht="15" thickBot="1" x14ac:dyDescent="0.4">
      <c r="D142" s="157" t="s">
        <v>105</v>
      </c>
      <c r="E142" s="158"/>
      <c r="F142" s="158"/>
      <c r="G142" s="322">
        <f>G140*(1-G141)</f>
        <v>2.7925657712545002E-2</v>
      </c>
      <c r="H142" s="160"/>
      <c r="Q142" s="156"/>
      <c r="R142" s="156"/>
      <c r="S142" s="156"/>
      <c r="T142" s="156"/>
      <c r="U142" s="413"/>
      <c r="V142" s="428"/>
      <c r="W142" s="428"/>
      <c r="X142" s="428"/>
      <c r="Y142" s="428"/>
      <c r="Z142" s="414"/>
    </row>
    <row r="143" spans="2:26" ht="6.15" customHeight="1" x14ac:dyDescent="0.35">
      <c r="H143" s="149"/>
      <c r="Q143" s="156"/>
      <c r="R143" s="156"/>
      <c r="S143" s="156"/>
      <c r="T143" s="156"/>
      <c r="U143" s="156"/>
    </row>
    <row r="144" spans="2:26" x14ac:dyDescent="0.35">
      <c r="D144" s="166" t="s">
        <v>106</v>
      </c>
      <c r="H144" s="149"/>
      <c r="Q144" s="156"/>
      <c r="R144" s="156"/>
      <c r="S144" s="156"/>
      <c r="T144" s="156"/>
      <c r="U144" s="366" t="s">
        <v>228</v>
      </c>
    </row>
    <row r="145" spans="2:26" x14ac:dyDescent="0.35">
      <c r="D145" s="29" t="s">
        <v>107</v>
      </c>
      <c r="F145" s="393">
        <f>K141</f>
        <v>3611</v>
      </c>
      <c r="G145" s="394">
        <f>F145/$F$147</f>
        <v>6.3286247636339041E-2</v>
      </c>
      <c r="H145" s="149"/>
      <c r="Q145" s="156"/>
      <c r="R145" s="156"/>
      <c r="S145" s="156"/>
      <c r="T145" s="156"/>
      <c r="U145" s="156"/>
    </row>
    <row r="146" spans="2:26" x14ac:dyDescent="0.35">
      <c r="D146" s="29" t="s">
        <v>108</v>
      </c>
      <c r="F146" s="393">
        <f>$G$198</f>
        <v>53447.209877600006</v>
      </c>
      <c r="G146" s="394">
        <f>F146/$F$147</f>
        <v>0.93671375236366095</v>
      </c>
      <c r="H146" s="149"/>
      <c r="Q146" s="156"/>
      <c r="R146" s="156"/>
      <c r="S146" s="156"/>
      <c r="T146" s="156"/>
      <c r="U146" s="156"/>
    </row>
    <row r="147" spans="2:26" x14ac:dyDescent="0.35">
      <c r="D147" s="168" t="s">
        <v>109</v>
      </c>
      <c r="E147" s="158"/>
      <c r="F147" s="395">
        <f>SUM(F145:F146)</f>
        <v>57058.209877600006</v>
      </c>
      <c r="G147" s="396">
        <f>SUM(G145:G146)</f>
        <v>1</v>
      </c>
      <c r="H147" s="149"/>
      <c r="Q147" s="156"/>
      <c r="R147" s="156"/>
      <c r="S147" s="156"/>
      <c r="T147" s="156"/>
      <c r="U147" s="156"/>
    </row>
    <row r="148" spans="2:26" ht="3.9" customHeight="1" x14ac:dyDescent="0.35">
      <c r="D148" s="158"/>
      <c r="E148" s="158"/>
      <c r="F148" s="158"/>
      <c r="G148" s="158"/>
      <c r="H148" s="169"/>
      <c r="Q148" s="156"/>
      <c r="R148" s="156"/>
      <c r="S148" s="156"/>
      <c r="T148" s="156"/>
      <c r="U148" s="156"/>
    </row>
    <row r="149" spans="2:26" ht="15" thickBot="1" x14ac:dyDescent="0.4">
      <c r="D149" s="258" t="s">
        <v>93</v>
      </c>
      <c r="E149" s="258"/>
      <c r="F149" s="391"/>
      <c r="G149" s="392">
        <f>G138*G146+G142*G145</f>
        <v>8.9429432425918901E-2</v>
      </c>
      <c r="H149" s="258"/>
      <c r="Q149" s="156"/>
      <c r="R149" s="156"/>
      <c r="S149" s="156"/>
      <c r="T149" s="156"/>
      <c r="U149" s="156"/>
    </row>
    <row r="150" spans="2:26" ht="15" thickTop="1" x14ac:dyDescent="0.35">
      <c r="D150" s="170" t="s">
        <v>110</v>
      </c>
      <c r="Q150" s="156"/>
      <c r="R150" s="156"/>
      <c r="S150" s="156"/>
      <c r="T150" s="156"/>
      <c r="U150" s="156"/>
    </row>
    <row r="151" spans="2:26" x14ac:dyDescent="0.35">
      <c r="D151" s="170" t="s">
        <v>111</v>
      </c>
    </row>
    <row r="152" spans="2:26" x14ac:dyDescent="0.35">
      <c r="D152" s="170" t="s">
        <v>112</v>
      </c>
    </row>
    <row r="153" spans="2:26" x14ac:dyDescent="0.35">
      <c r="D153" s="170" t="s">
        <v>113</v>
      </c>
    </row>
    <row r="156" spans="2:26" ht="15" thickBot="1" x14ac:dyDescent="0.4">
      <c r="B156" s="315" t="s">
        <v>217</v>
      </c>
      <c r="D156" s="10" t="s">
        <v>114</v>
      </c>
      <c r="E156" s="10"/>
      <c r="F156" s="10"/>
      <c r="G156" s="10"/>
      <c r="H156" s="171"/>
      <c r="I156" s="172" t="s">
        <v>5</v>
      </c>
      <c r="J156" s="172"/>
      <c r="K156" s="172"/>
      <c r="L156" s="172"/>
      <c r="M156" s="172"/>
    </row>
    <row r="157" spans="2:26" x14ac:dyDescent="0.35">
      <c r="D157" s="17" t="s">
        <v>115</v>
      </c>
      <c r="E157" s="18"/>
      <c r="F157" s="18"/>
      <c r="G157" s="18"/>
      <c r="H157" s="173" t="s">
        <v>8</v>
      </c>
      <c r="I157" s="24">
        <f>$M$10</f>
        <v>2023</v>
      </c>
      <c r="J157" s="24">
        <f>$N$10</f>
        <v>2024</v>
      </c>
      <c r="K157" s="24">
        <f>$O$10</f>
        <v>2025</v>
      </c>
      <c r="L157" s="24">
        <f>$P$10</f>
        <v>2026</v>
      </c>
      <c r="M157" s="24">
        <f>$Q$10</f>
        <v>2027</v>
      </c>
      <c r="U157" s="409" t="s">
        <v>229</v>
      </c>
      <c r="V157" s="426"/>
      <c r="W157" s="426"/>
      <c r="X157" s="426"/>
      <c r="Y157" s="426"/>
      <c r="Z157" s="410"/>
    </row>
    <row r="158" spans="2:26" ht="6.15" customHeight="1" x14ac:dyDescent="0.35">
      <c r="D158" s="170"/>
      <c r="U158" s="411"/>
      <c r="V158" s="427"/>
      <c r="W158" s="427"/>
      <c r="X158" s="427"/>
      <c r="Y158" s="427"/>
      <c r="Z158" s="412"/>
    </row>
    <row r="159" spans="2:26" x14ac:dyDescent="0.35">
      <c r="D159" s="174" t="s">
        <v>21</v>
      </c>
      <c r="H159" s="19" t="s">
        <v>69</v>
      </c>
      <c r="I159" s="114">
        <f>M26</f>
        <v>2232.2155499999999</v>
      </c>
      <c r="J159" s="114">
        <f>N26</f>
        <v>2956.0197712499985</v>
      </c>
      <c r="K159" s="114">
        <f>O26</f>
        <v>3794.5061486718751</v>
      </c>
      <c r="L159" s="114">
        <f>P26</f>
        <v>4743.1326858398434</v>
      </c>
      <c r="M159" s="114">
        <f>Q26</f>
        <v>5791.3650094104523</v>
      </c>
      <c r="U159" s="411"/>
      <c r="V159" s="427"/>
      <c r="W159" s="427"/>
      <c r="X159" s="427"/>
      <c r="Y159" s="427"/>
      <c r="Z159" s="412"/>
    </row>
    <row r="160" spans="2:26" x14ac:dyDescent="0.35">
      <c r="D160" s="175" t="str">
        <f>"Taxes @ "&amp;TEXT(M39,"0.0%")</f>
        <v>Taxes @ 21.0%</v>
      </c>
      <c r="G160" s="174"/>
      <c r="H160" s="19" t="s">
        <v>69</v>
      </c>
      <c r="I160" s="114">
        <f xml:space="preserve"> - I159 * $M$39</f>
        <v>-468.76526549999994</v>
      </c>
      <c r="J160" s="114">
        <f t="shared" ref="J160:M160" si="44" xml:space="preserve"> - J159 * $M$39</f>
        <v>-620.76415196249968</v>
      </c>
      <c r="K160" s="114">
        <f t="shared" si="44"/>
        <v>-796.84629122109368</v>
      </c>
      <c r="L160" s="114">
        <f t="shared" si="44"/>
        <v>-996.05786402636704</v>
      </c>
      <c r="M160" s="114">
        <f t="shared" si="44"/>
        <v>-1216.186651976195</v>
      </c>
      <c r="U160" s="411"/>
      <c r="V160" s="427"/>
      <c r="W160" s="427"/>
      <c r="X160" s="427"/>
      <c r="Y160" s="427"/>
      <c r="Z160" s="412"/>
    </row>
    <row r="161" spans="4:26" x14ac:dyDescent="0.35">
      <c r="D161" s="176" t="s">
        <v>116</v>
      </c>
      <c r="H161" s="19" t="s">
        <v>69</v>
      </c>
      <c r="I161" s="177">
        <f>SUM(I159:I160)</f>
        <v>1763.4502845</v>
      </c>
      <c r="J161" s="177">
        <f t="shared" ref="J161:M161" si="45">SUM(J159:J160)</f>
        <v>2335.255619287499</v>
      </c>
      <c r="K161" s="177">
        <f t="shared" si="45"/>
        <v>2997.6598574507816</v>
      </c>
      <c r="L161" s="177">
        <f t="shared" si="45"/>
        <v>3747.0748218134763</v>
      </c>
      <c r="M161" s="177">
        <f t="shared" si="45"/>
        <v>4575.1783574342571</v>
      </c>
      <c r="U161" s="411"/>
      <c r="V161" s="427"/>
      <c r="W161" s="427"/>
      <c r="X161" s="427"/>
      <c r="Y161" s="427"/>
      <c r="Z161" s="412"/>
    </row>
    <row r="162" spans="4:26" x14ac:dyDescent="0.35">
      <c r="D162" s="178" t="s">
        <v>117</v>
      </c>
      <c r="G162" s="179"/>
      <c r="H162" s="19" t="s">
        <v>69</v>
      </c>
      <c r="I162" s="114">
        <f>M27</f>
        <v>266.53319999999997</v>
      </c>
      <c r="J162" s="114">
        <f>N27</f>
        <v>296.24536172911752</v>
      </c>
      <c r="K162" s="114">
        <f>O27</f>
        <v>325.47285951551441</v>
      </c>
      <c r="L162" s="114">
        <f>P27</f>
        <v>353.40752688292093</v>
      </c>
      <c r="M162" s="114">
        <f>Q27</f>
        <v>379.19914731031537</v>
      </c>
      <c r="U162" s="411"/>
      <c r="V162" s="427"/>
      <c r="W162" s="427"/>
      <c r="X162" s="427"/>
      <c r="Y162" s="427"/>
      <c r="Z162" s="412"/>
    </row>
    <row r="163" spans="4:26" x14ac:dyDescent="0.35">
      <c r="D163" s="178" t="s">
        <v>118</v>
      </c>
      <c r="G163" s="174"/>
      <c r="H163" s="19" t="s">
        <v>69</v>
      </c>
      <c r="I163" s="114">
        <f>SUM(M98:M103)</f>
        <v>-918.46594231243171</v>
      </c>
      <c r="J163" s="114">
        <f>SUM(N98:N103)</f>
        <v>-428.44656622499986</v>
      </c>
      <c r="K163" s="114">
        <f>SUM(O98:O103)</f>
        <v>-446.43478083749989</v>
      </c>
      <c r="L163" s="114">
        <f>SUM(P98:P103)</f>
        <v>-455.75998102933625</v>
      </c>
      <c r="M163" s="114">
        <f>SUM(Q98:Q103)</f>
        <v>-454.83480368746905</v>
      </c>
      <c r="U163" s="411"/>
      <c r="V163" s="427"/>
      <c r="W163" s="427"/>
      <c r="X163" s="427"/>
      <c r="Y163" s="427"/>
      <c r="Z163" s="412"/>
    </row>
    <row r="164" spans="4:26" ht="15" thickBot="1" x14ac:dyDescent="0.4">
      <c r="D164" s="178" t="s">
        <v>119</v>
      </c>
      <c r="G164" s="174"/>
      <c r="H164" s="19" t="s">
        <v>69</v>
      </c>
      <c r="I164" s="114">
        <f xml:space="preserve"> M106</f>
        <v>-150</v>
      </c>
      <c r="J164" s="114">
        <f xml:space="preserve"> N106</f>
        <v>-170.625</v>
      </c>
      <c r="K164" s="114">
        <f xml:space="preserve"> O106</f>
        <v>-191.953125</v>
      </c>
      <c r="L164" s="114">
        <f xml:space="preserve"> P106</f>
        <v>-213.5478515625</v>
      </c>
      <c r="M164" s="114">
        <f xml:space="preserve"> Q106</f>
        <v>-234.90263671875005</v>
      </c>
      <c r="U164" s="413"/>
      <c r="V164" s="428"/>
      <c r="W164" s="428"/>
      <c r="X164" s="428"/>
      <c r="Y164" s="428"/>
      <c r="Z164" s="414"/>
    </row>
    <row r="165" spans="4:26" ht="15" thickBot="1" x14ac:dyDescent="0.4">
      <c r="D165" s="180" t="s">
        <v>120</v>
      </c>
      <c r="E165" s="180"/>
      <c r="F165" s="180"/>
      <c r="G165" s="180"/>
      <c r="H165" s="80" t="s">
        <v>69</v>
      </c>
      <c r="I165" s="136">
        <f>SUM(I161:I164)</f>
        <v>961.51754218756832</v>
      </c>
      <c r="J165" s="136">
        <f>SUM(J161:J164)</f>
        <v>2032.4294147916166</v>
      </c>
      <c r="K165" s="136">
        <f>SUM(K161:K164)</f>
        <v>2684.7448111287958</v>
      </c>
      <c r="L165" s="136">
        <f>SUM(L161:L164)</f>
        <v>3431.1745161045606</v>
      </c>
      <c r="M165" s="136">
        <f>SUM(M161:M164)</f>
        <v>4264.640064338354</v>
      </c>
      <c r="U165" s="366" t="s">
        <v>229</v>
      </c>
    </row>
    <row r="166" spans="4:26" ht="6.15" customHeight="1" thickTop="1" x14ac:dyDescent="0.35">
      <c r="D166" s="179"/>
      <c r="G166" s="179"/>
    </row>
    <row r="167" spans="4:26" x14ac:dyDescent="0.35">
      <c r="D167" s="179" t="s">
        <v>121</v>
      </c>
      <c r="G167" s="179"/>
      <c r="H167" s="19" t="s">
        <v>28</v>
      </c>
      <c r="I167" s="181">
        <f>$G$149</f>
        <v>8.9429432425918901E-2</v>
      </c>
      <c r="J167" s="181">
        <f t="shared" ref="J167:M167" si="46">$G$149</f>
        <v>8.9429432425918901E-2</v>
      </c>
      <c r="K167" s="181">
        <f t="shared" si="46"/>
        <v>8.9429432425918901E-2</v>
      </c>
      <c r="L167" s="181">
        <f t="shared" si="46"/>
        <v>8.9429432425918901E-2</v>
      </c>
      <c r="M167" s="181">
        <f t="shared" si="46"/>
        <v>8.9429432425918901E-2</v>
      </c>
    </row>
    <row r="168" spans="4:26" x14ac:dyDescent="0.35">
      <c r="D168" s="179" t="s">
        <v>122</v>
      </c>
      <c r="G168" s="179"/>
      <c r="H168" s="19" t="s">
        <v>123</v>
      </c>
      <c r="I168" s="182">
        <v>1</v>
      </c>
      <c r="J168" s="182">
        <f>I168+1</f>
        <v>2</v>
      </c>
      <c r="K168" s="182">
        <f t="shared" ref="K168:M168" si="47">J168+1</f>
        <v>3</v>
      </c>
      <c r="L168" s="182">
        <f t="shared" si="47"/>
        <v>4</v>
      </c>
      <c r="M168" s="182">
        <f t="shared" si="47"/>
        <v>5</v>
      </c>
    </row>
    <row r="169" spans="4:26" x14ac:dyDescent="0.35">
      <c r="D169" s="179" t="s">
        <v>124</v>
      </c>
      <c r="G169" s="179"/>
      <c r="H169" s="19" t="s">
        <v>123</v>
      </c>
      <c r="I169" s="331">
        <f>1/((1+I167)^I168)</f>
        <v>0.91791167948640862</v>
      </c>
      <c r="J169" s="331">
        <f t="shared" ref="J169:M169" si="48">1/((1+J167)^J168)</f>
        <v>0.84256185133755923</v>
      </c>
      <c r="K169" s="331">
        <f t="shared" si="48"/>
        <v>0.77339736403243664</v>
      </c>
      <c r="L169" s="331">
        <f t="shared" si="48"/>
        <v>0.70991047332937529</v>
      </c>
      <c r="M169" s="331">
        <f t="shared" si="48"/>
        <v>0.65163511485875814</v>
      </c>
    </row>
    <row r="170" spans="4:26" ht="6.15" customHeight="1" x14ac:dyDescent="0.35">
      <c r="D170" s="179"/>
      <c r="E170" s="179"/>
      <c r="F170" s="179"/>
    </row>
    <row r="171" spans="4:26" ht="15" thickBot="1" x14ac:dyDescent="0.4">
      <c r="D171" s="183" t="s">
        <v>125</v>
      </c>
      <c r="E171" s="184"/>
      <c r="F171" s="180"/>
      <c r="G171" s="180"/>
      <c r="H171" s="80" t="s">
        <v>69</v>
      </c>
      <c r="I171" s="358">
        <f>I169*I165</f>
        <v>882.58818200503458</v>
      </c>
      <c r="J171" s="358">
        <f t="shared" ref="J171:M171" si="49">J169*J165</f>
        <v>1712.4474904397366</v>
      </c>
      <c r="K171" s="358">
        <f t="shared" si="49"/>
        <v>2076.3745600267725</v>
      </c>
      <c r="L171" s="358">
        <f t="shared" si="49"/>
        <v>2435.826724803479</v>
      </c>
      <c r="M171" s="358">
        <f t="shared" si="49"/>
        <v>2778.989218156385</v>
      </c>
    </row>
    <row r="172" spans="4:26" ht="15" thickTop="1" x14ac:dyDescent="0.35">
      <c r="D172" s="179"/>
      <c r="E172" s="179"/>
      <c r="F172" s="179"/>
    </row>
    <row r="173" spans="4:26" x14ac:dyDescent="0.35">
      <c r="D173" s="185" t="s">
        <v>126</v>
      </c>
      <c r="E173" s="186"/>
      <c r="F173" s="186"/>
      <c r="J173" s="187" t="s">
        <v>127</v>
      </c>
    </row>
    <row r="174" spans="4:26" x14ac:dyDescent="0.35">
      <c r="D174" s="179"/>
      <c r="E174" s="179"/>
      <c r="F174" s="179"/>
      <c r="J174" s="188" t="str">
        <f>"FY"&amp;TEXT(M157,"0")&amp;"E Unlevered Free Cash Flow"</f>
        <v>FY2027E Unlevered Free Cash Flow</v>
      </c>
      <c r="K174" s="189"/>
      <c r="L174" s="189"/>
      <c r="M174" s="45">
        <f>M165</f>
        <v>4264.640064338354</v>
      </c>
    </row>
    <row r="175" spans="4:26" x14ac:dyDescent="0.35">
      <c r="D175" s="174" t="str">
        <f>"NPV of UFCF "&amp;TEXT(I157,"0")&amp;" - "&amp;TEXT(M157,"0")</f>
        <v>NPV of UFCF 2023 - 2027</v>
      </c>
      <c r="E175" s="179"/>
      <c r="F175" s="383">
        <f>SUM(I171:M171)</f>
        <v>9886.2261754314077</v>
      </c>
      <c r="J175" s="190" t="s">
        <v>128</v>
      </c>
      <c r="K175" s="191"/>
      <c r="L175" s="191"/>
      <c r="M175" s="148">
        <v>1.4999999999999999E-2</v>
      </c>
    </row>
    <row r="176" spans="4:26" x14ac:dyDescent="0.35">
      <c r="D176" s="174" t="s">
        <v>129</v>
      </c>
      <c r="E176" s="179"/>
      <c r="F176" s="383">
        <f>M176*M169</f>
        <v>37897.293644368496</v>
      </c>
      <c r="J176" s="190" t="s">
        <v>130</v>
      </c>
      <c r="K176" s="191"/>
      <c r="L176" s="191"/>
      <c r="M176" s="45">
        <f>(M174 * (1 + M175)) / (G149 - M175)</f>
        <v>58157.230603790791</v>
      </c>
    </row>
    <row r="177" spans="2:17" x14ac:dyDescent="0.35">
      <c r="D177" s="192" t="s">
        <v>131</v>
      </c>
      <c r="E177" s="193"/>
      <c r="F177" s="123">
        <f>SUM(F175:F176)</f>
        <v>47783.519819799905</v>
      </c>
      <c r="J177" s="190" t="s">
        <v>132</v>
      </c>
      <c r="K177" s="191"/>
      <c r="L177" s="191"/>
      <c r="M177" s="194">
        <f>IFERROR(F176/(Q28*M169),0)</f>
        <v>9.4249454550193636</v>
      </c>
    </row>
    <row r="178" spans="2:17" x14ac:dyDescent="0.35">
      <c r="D178" s="1" t="s">
        <v>133</v>
      </c>
      <c r="F178" s="383">
        <f xml:space="preserve"> - K141</f>
        <v>-3611</v>
      </c>
    </row>
    <row r="179" spans="2:17" x14ac:dyDescent="0.35">
      <c r="D179" s="1" t="s">
        <v>134</v>
      </c>
      <c r="F179" s="383">
        <f>L49</f>
        <v>7060</v>
      </c>
      <c r="H179" s="10" t="s">
        <v>135</v>
      </c>
      <c r="I179" s="10"/>
      <c r="J179" s="10"/>
      <c r="K179" s="10"/>
      <c r="L179" s="10"/>
      <c r="M179" s="10"/>
      <c r="N179" s="10"/>
      <c r="O179" s="195"/>
      <c r="Q179" s="196" t="s">
        <v>136</v>
      </c>
    </row>
    <row r="180" spans="2:17" x14ac:dyDescent="0.35">
      <c r="D180" s="1" t="s">
        <v>137</v>
      </c>
      <c r="F180" s="383">
        <f>L50</f>
        <v>4932</v>
      </c>
      <c r="H180" s="197"/>
      <c r="I180" s="198"/>
      <c r="J180" s="199" t="s">
        <v>138</v>
      </c>
      <c r="K180" s="200"/>
      <c r="L180" s="200"/>
      <c r="M180" s="200"/>
      <c r="N180" s="200"/>
      <c r="O180" s="195"/>
      <c r="P180" s="201" t="s">
        <v>139</v>
      </c>
      <c r="Q180" s="202">
        <v>2.5000000000000001E-3</v>
      </c>
    </row>
    <row r="181" spans="2:17" ht="15" thickBot="1" x14ac:dyDescent="0.4">
      <c r="D181" s="203" t="s">
        <v>140</v>
      </c>
      <c r="E181" s="39"/>
      <c r="F181" s="123">
        <f>SUM(F177:F180)</f>
        <v>56164.519819799905</v>
      </c>
      <c r="H181" s="197"/>
      <c r="I181" s="334">
        <f>F183</f>
        <v>71.383629568248068</v>
      </c>
      <c r="J181" s="204">
        <f>K181-$Q$180</f>
        <v>9.9999999999999985E-3</v>
      </c>
      <c r="K181" s="205">
        <f>L181-$Q$180</f>
        <v>1.2499999999999999E-2</v>
      </c>
      <c r="L181" s="370">
        <v>1.4999999999999999E-2</v>
      </c>
      <c r="M181" s="205">
        <f>L181+$Q$180</f>
        <v>1.7499999999999998E-2</v>
      </c>
      <c r="N181" s="205">
        <f>M181+$Q$180</f>
        <v>1.9999999999999997E-2</v>
      </c>
      <c r="O181" s="195"/>
      <c r="Q181" s="196"/>
    </row>
    <row r="182" spans="2:17" ht="14.4" customHeight="1" x14ac:dyDescent="0.35">
      <c r="D182" s="1" t="s">
        <v>141</v>
      </c>
      <c r="F182" s="206">
        <v>786.79831999999999</v>
      </c>
      <c r="H182" s="415" t="s">
        <v>142</v>
      </c>
      <c r="I182" s="204">
        <f t="shared" ref="I182:I183" si="50">I183-$Q$182</f>
        <v>8.4429432425918896E-2</v>
      </c>
      <c r="J182" s="207"/>
      <c r="K182" s="208"/>
      <c r="L182" s="211"/>
      <c r="M182" s="208"/>
      <c r="N182" s="208"/>
      <c r="O182" s="195"/>
      <c r="P182" s="201" t="s">
        <v>142</v>
      </c>
      <c r="Q182" s="202">
        <v>2.5000000000000001E-3</v>
      </c>
    </row>
    <row r="183" spans="2:17" x14ac:dyDescent="0.35">
      <c r="D183" s="203" t="s">
        <v>135</v>
      </c>
      <c r="E183" s="39"/>
      <c r="F183" s="353">
        <f>F181/F182</f>
        <v>71.383629568248068</v>
      </c>
      <c r="H183" s="415"/>
      <c r="I183" s="205">
        <f t="shared" si="50"/>
        <v>8.6929432425918898E-2</v>
      </c>
      <c r="J183" s="209"/>
      <c r="K183" s="210"/>
      <c r="L183" s="210"/>
      <c r="M183" s="210"/>
      <c r="N183" s="211"/>
      <c r="O183" s="195"/>
      <c r="P183" s="195"/>
      <c r="Q183" s="195"/>
    </row>
    <row r="184" spans="2:17" x14ac:dyDescent="0.35">
      <c r="H184" s="415"/>
      <c r="I184" s="372">
        <f>G149</f>
        <v>8.9429432425918901E-2</v>
      </c>
      <c r="J184" s="211"/>
      <c r="K184" s="210"/>
      <c r="L184" s="210"/>
      <c r="M184" s="210"/>
      <c r="N184" s="211"/>
      <c r="O184" s="195"/>
      <c r="P184" s="212"/>
      <c r="Q184" s="195"/>
    </row>
    <row r="185" spans="2:17" x14ac:dyDescent="0.35">
      <c r="H185" s="415"/>
      <c r="I185" s="205">
        <f>I184+$Q$182</f>
        <v>9.1929432425918903E-2</v>
      </c>
      <c r="J185" s="209"/>
      <c r="K185" s="210"/>
      <c r="L185" s="210"/>
      <c r="M185" s="210"/>
      <c r="N185" s="211"/>
      <c r="O185" s="195"/>
      <c r="P185" s="195"/>
      <c r="Q185" s="195"/>
    </row>
    <row r="186" spans="2:17" x14ac:dyDescent="0.35">
      <c r="H186" s="415"/>
      <c r="I186" s="205">
        <f>I185+$Q$182</f>
        <v>9.4429432425918905E-2</v>
      </c>
      <c r="J186" s="209"/>
      <c r="K186" s="211"/>
      <c r="L186" s="211"/>
      <c r="M186" s="211"/>
      <c r="N186" s="211"/>
      <c r="O186" s="195"/>
      <c r="P186" s="195"/>
      <c r="Q186" s="195"/>
    </row>
    <row r="187" spans="2:17" x14ac:dyDescent="0.35">
      <c r="I187" s="195"/>
      <c r="J187" s="195"/>
      <c r="K187" s="195"/>
      <c r="L187" s="195"/>
      <c r="M187" s="195"/>
      <c r="N187" s="195"/>
    </row>
    <row r="188" spans="2:17" x14ac:dyDescent="0.35">
      <c r="I188" s="195"/>
      <c r="J188" s="195"/>
      <c r="K188" s="195"/>
      <c r="L188" s="195"/>
      <c r="M188" s="195"/>
      <c r="N188" s="195"/>
    </row>
    <row r="189" spans="2:17" x14ac:dyDescent="0.35">
      <c r="I189" s="195"/>
      <c r="J189" s="195"/>
      <c r="K189" s="195"/>
      <c r="L189" s="195"/>
      <c r="M189" s="195"/>
      <c r="N189" s="195"/>
    </row>
    <row r="190" spans="2:17" x14ac:dyDescent="0.35">
      <c r="I190" s="195"/>
      <c r="J190" s="195"/>
      <c r="K190" s="195"/>
      <c r="L190" s="195"/>
      <c r="M190" s="195"/>
      <c r="N190" s="195"/>
    </row>
    <row r="191" spans="2:17" s="311" customFormat="1" ht="17.5" thickBot="1" x14ac:dyDescent="0.45">
      <c r="B191" s="310" t="s">
        <v>91</v>
      </c>
      <c r="D191" s="314" t="s">
        <v>143</v>
      </c>
      <c r="E191" s="312"/>
      <c r="F191" s="312"/>
      <c r="G191" s="313"/>
    </row>
    <row r="192" spans="2:17" ht="15" customHeight="1" x14ac:dyDescent="0.35">
      <c r="D192" s="309"/>
      <c r="E192" s="3"/>
      <c r="F192" s="3"/>
      <c r="G192" s="4"/>
    </row>
    <row r="193" spans="4:26" ht="15" thickBot="1" x14ac:dyDescent="0.4">
      <c r="D193" s="213" t="s">
        <v>144</v>
      </c>
      <c r="E193" s="214"/>
      <c r="F193" s="214"/>
      <c r="G193" s="214"/>
      <c r="I193" s="213" t="s">
        <v>145</v>
      </c>
      <c r="J193" s="214"/>
      <c r="K193" s="214"/>
      <c r="L193" s="214"/>
      <c r="M193" s="214"/>
    </row>
    <row r="194" spans="4:26" x14ac:dyDescent="0.35">
      <c r="D194" s="17" t="s">
        <v>146</v>
      </c>
      <c r="I194" s="215"/>
      <c r="J194" s="216">
        <f>$L$10</f>
        <v>2022</v>
      </c>
      <c r="K194" s="217">
        <f>$M$10</f>
        <v>2023</v>
      </c>
      <c r="L194" s="218">
        <f>$N$10</f>
        <v>2024</v>
      </c>
      <c r="M194" s="218">
        <f>$O$10</f>
        <v>2025</v>
      </c>
      <c r="P194" s="409" t="s">
        <v>219</v>
      </c>
      <c r="Q194" s="410"/>
      <c r="U194" s="409" t="s">
        <v>230</v>
      </c>
      <c r="V194" s="426"/>
      <c r="W194" s="426"/>
      <c r="X194" s="426"/>
      <c r="Y194" s="426"/>
      <c r="Z194" s="410"/>
    </row>
    <row r="195" spans="4:26" ht="6.15" customHeight="1" x14ac:dyDescent="0.35">
      <c r="D195" s="156"/>
      <c r="E195" s="219"/>
      <c r="F195" s="219"/>
      <c r="G195" s="219"/>
      <c r="H195" s="219"/>
      <c r="I195" s="219"/>
      <c r="P195" s="411"/>
      <c r="Q195" s="412"/>
      <c r="U195" s="411"/>
      <c r="V195" s="427"/>
      <c r="W195" s="427"/>
      <c r="X195" s="427"/>
      <c r="Y195" s="427"/>
      <c r="Z195" s="412"/>
    </row>
    <row r="196" spans="4:26" x14ac:dyDescent="0.35">
      <c r="D196" s="156" t="s">
        <v>147</v>
      </c>
      <c r="G196" s="363">
        <v>67.930000000000007</v>
      </c>
      <c r="H196" s="219"/>
      <c r="I196" s="219" t="s">
        <v>148</v>
      </c>
      <c r="J196" s="362">
        <v>10381.275</v>
      </c>
      <c r="K196" s="221">
        <f>M12</f>
        <v>11105.55</v>
      </c>
      <c r="L196" s="221">
        <f>N12</f>
        <v>12632.563124999999</v>
      </c>
      <c r="M196" s="221">
        <f>O12</f>
        <v>14211.633515624999</v>
      </c>
      <c r="P196" s="411"/>
      <c r="Q196" s="412"/>
      <c r="U196" s="411"/>
      <c r="V196" s="427"/>
      <c r="W196" s="427"/>
      <c r="X196" s="427"/>
      <c r="Y196" s="427"/>
      <c r="Z196" s="412"/>
    </row>
    <row r="197" spans="4:26" x14ac:dyDescent="0.35">
      <c r="D197" s="156" t="s">
        <v>149</v>
      </c>
      <c r="G197" s="206">
        <f>F182</f>
        <v>786.79831999999999</v>
      </c>
      <c r="H197" s="219"/>
      <c r="I197" s="219" t="s">
        <v>150</v>
      </c>
      <c r="J197" s="362">
        <v>2137.3743749999999</v>
      </c>
      <c r="K197" s="221">
        <f>M28</f>
        <v>2498.7487499999997</v>
      </c>
      <c r="L197" s="221">
        <f>N28</f>
        <v>3252.2651329791161</v>
      </c>
      <c r="M197" s="221">
        <f>O28</f>
        <v>4119.9790081873898</v>
      </c>
      <c r="P197" s="411"/>
      <c r="Q197" s="412"/>
      <c r="U197" s="411"/>
      <c r="V197" s="427"/>
      <c r="W197" s="427"/>
      <c r="X197" s="427"/>
      <c r="Y197" s="427"/>
      <c r="Z197" s="412"/>
    </row>
    <row r="198" spans="4:26" x14ac:dyDescent="0.35">
      <c r="D198" s="156" t="s">
        <v>151</v>
      </c>
      <c r="E198" s="156"/>
      <c r="F198" s="156"/>
      <c r="G198" s="220">
        <f>G196 * G197</f>
        <v>53447.209877600006</v>
      </c>
      <c r="H198" s="219"/>
      <c r="I198" s="201" t="s">
        <v>152</v>
      </c>
      <c r="J198" s="376">
        <f>$G$202/J196</f>
        <v>4.3411054882565008</v>
      </c>
      <c r="K198" s="376">
        <f t="shared" ref="K198:M198" si="51">$G$202/K196</f>
        <v>4.0579899129354251</v>
      </c>
      <c r="L198" s="376">
        <f t="shared" si="51"/>
        <v>3.5674636597234506</v>
      </c>
      <c r="M198" s="376">
        <f t="shared" si="51"/>
        <v>3.1710788086430672</v>
      </c>
      <c r="P198" s="411"/>
      <c r="Q198" s="412"/>
      <c r="U198" s="411"/>
      <c r="V198" s="427"/>
      <c r="W198" s="427"/>
      <c r="X198" s="427"/>
      <c r="Y198" s="427"/>
      <c r="Z198" s="412"/>
    </row>
    <row r="199" spans="4:26" x14ac:dyDescent="0.35">
      <c r="D199" s="156" t="s">
        <v>153</v>
      </c>
      <c r="E199" s="156"/>
      <c r="F199" s="156"/>
      <c r="G199" s="221">
        <f>K141</f>
        <v>3611</v>
      </c>
      <c r="H199" s="219"/>
      <c r="I199" s="219" t="s">
        <v>154</v>
      </c>
      <c r="J199" s="376">
        <f>$G$202/J197</f>
        <v>21.084846157379427</v>
      </c>
      <c r="K199" s="376">
        <f t="shared" ref="K199:M199" si="52">$G$202/K197</f>
        <v>18.035510724157444</v>
      </c>
      <c r="L199" s="376">
        <f t="shared" si="52"/>
        <v>13.85686837786155</v>
      </c>
      <c r="M199" s="376">
        <f t="shared" si="52"/>
        <v>10.938456188257902</v>
      </c>
      <c r="P199" s="411"/>
      <c r="Q199" s="412"/>
      <c r="U199" s="411"/>
      <c r="V199" s="427"/>
      <c r="W199" s="427"/>
      <c r="X199" s="427"/>
      <c r="Y199" s="427"/>
      <c r="Z199" s="412"/>
    </row>
    <row r="200" spans="4:26" x14ac:dyDescent="0.35">
      <c r="D200" s="156" t="s">
        <v>155</v>
      </c>
      <c r="E200" s="156"/>
      <c r="F200" s="156"/>
      <c r="G200" s="221">
        <f>L49</f>
        <v>7060</v>
      </c>
      <c r="H200" s="219"/>
      <c r="I200" s="219"/>
      <c r="J200" s="219"/>
      <c r="K200" s="219"/>
      <c r="P200" s="411"/>
      <c r="Q200" s="412"/>
      <c r="U200" s="411"/>
      <c r="V200" s="427"/>
      <c r="W200" s="427"/>
      <c r="X200" s="427"/>
      <c r="Y200" s="427"/>
      <c r="Z200" s="412"/>
    </row>
    <row r="201" spans="4:26" ht="15" thickBot="1" x14ac:dyDescent="0.4">
      <c r="D201" s="156" t="s">
        <v>156</v>
      </c>
      <c r="E201" s="156"/>
      <c r="F201" s="156"/>
      <c r="G201" s="221">
        <f>F180</f>
        <v>4932</v>
      </c>
      <c r="H201" s="219"/>
      <c r="I201" s="219"/>
      <c r="J201" s="219"/>
      <c r="K201" s="219"/>
      <c r="P201" s="413"/>
      <c r="Q201" s="414"/>
      <c r="U201" s="413"/>
      <c r="V201" s="428"/>
      <c r="W201" s="428"/>
      <c r="X201" s="428"/>
      <c r="Y201" s="428"/>
      <c r="Z201" s="414"/>
    </row>
    <row r="202" spans="4:26" x14ac:dyDescent="0.35">
      <c r="D202" s="222" t="s">
        <v>144</v>
      </c>
      <c r="E202" s="222"/>
      <c r="F202" s="222"/>
      <c r="G202" s="377">
        <f>G198+G199-G200-G201</f>
        <v>45066.209877600006</v>
      </c>
      <c r="H202" s="219"/>
      <c r="I202" s="219"/>
      <c r="J202" s="219"/>
      <c r="K202" s="219"/>
    </row>
    <row r="203" spans="4:26" x14ac:dyDescent="0.35">
      <c r="H203" s="219"/>
      <c r="T203" s="367" t="s">
        <v>230</v>
      </c>
    </row>
    <row r="204" spans="4:26" x14ac:dyDescent="0.35">
      <c r="D204" s="156"/>
      <c r="E204" s="156"/>
      <c r="F204" s="156"/>
      <c r="G204" s="219"/>
      <c r="H204" s="219"/>
      <c r="I204" s="219"/>
      <c r="J204" s="219"/>
      <c r="K204" s="219"/>
    </row>
    <row r="205" spans="4:26" x14ac:dyDescent="0.35">
      <c r="D205" s="223"/>
      <c r="E205" s="223"/>
      <c r="F205" s="223"/>
      <c r="G205" s="223"/>
      <c r="H205" s="223"/>
      <c r="I205" s="223" t="s">
        <v>157</v>
      </c>
      <c r="J205" s="223" t="s">
        <v>158</v>
      </c>
      <c r="K205" s="224" t="s">
        <v>159</v>
      </c>
      <c r="L205" s="224"/>
      <c r="M205" s="225"/>
      <c r="N205" s="226" t="s">
        <v>160</v>
      </c>
      <c r="O205" s="227"/>
      <c r="P205" s="228"/>
    </row>
    <row r="206" spans="4:26" x14ac:dyDescent="0.35">
      <c r="D206" s="229" t="s">
        <v>161</v>
      </c>
      <c r="E206" s="230"/>
      <c r="F206" s="230"/>
      <c r="G206" s="230"/>
      <c r="H206" s="230"/>
      <c r="I206" s="230" t="s">
        <v>162</v>
      </c>
      <c r="J206" s="230" t="s">
        <v>162</v>
      </c>
      <c r="K206" s="231" t="s">
        <v>163</v>
      </c>
      <c r="L206" s="232">
        <f>$M$10</f>
        <v>2023</v>
      </c>
      <c r="M206" s="233">
        <f>$N$10</f>
        <v>2024</v>
      </c>
      <c r="N206" s="234" t="s">
        <v>163</v>
      </c>
      <c r="O206" s="232">
        <f>$M$10</f>
        <v>2023</v>
      </c>
      <c r="P206" s="235">
        <f>$N$10</f>
        <v>2024</v>
      </c>
    </row>
    <row r="207" spans="4:26" x14ac:dyDescent="0.35">
      <c r="D207" s="236" t="s">
        <v>164</v>
      </c>
      <c r="E207" s="236"/>
      <c r="F207" s="236"/>
      <c r="G207" s="237"/>
      <c r="H207" s="237"/>
      <c r="I207" s="238">
        <v>53504.913480000003</v>
      </c>
      <c r="J207" s="238">
        <v>40597.775690000002</v>
      </c>
      <c r="K207" s="239">
        <v>2.7912112884242957</v>
      </c>
      <c r="L207" s="364">
        <v>3.3851076144962997</v>
      </c>
      <c r="M207" s="240">
        <v>4.0764081074616438</v>
      </c>
      <c r="N207" s="241">
        <v>7.7414742177403308</v>
      </c>
      <c r="O207" s="365">
        <v>14.466674711290384</v>
      </c>
      <c r="P207" s="242">
        <v>12.926959327726898</v>
      </c>
      <c r="T207" s="349"/>
    </row>
    <row r="208" spans="4:26" x14ac:dyDescent="0.35">
      <c r="D208" s="236" t="s">
        <v>165</v>
      </c>
      <c r="E208" s="236"/>
      <c r="F208" s="236"/>
      <c r="G208" s="237"/>
      <c r="H208" s="237"/>
      <c r="I208" s="238">
        <v>36920.14718</v>
      </c>
      <c r="J208" s="238">
        <v>36778.14718</v>
      </c>
      <c r="K208" s="239">
        <v>5.6477498740786238</v>
      </c>
      <c r="L208" s="364">
        <v>5.0914758997335108</v>
      </c>
      <c r="M208" s="240">
        <v>4.6537366047755162</v>
      </c>
      <c r="N208" s="241">
        <v>27.446378492537313</v>
      </c>
      <c r="O208" s="365">
        <v>16.492801176566967</v>
      </c>
      <c r="P208" s="242">
        <v>12.15459760736028</v>
      </c>
      <c r="T208" s="349"/>
    </row>
    <row r="209" spans="4:21" x14ac:dyDescent="0.35">
      <c r="D209" s="236" t="s">
        <v>166</v>
      </c>
      <c r="E209" s="236"/>
      <c r="F209" s="236"/>
      <c r="G209" s="237"/>
      <c r="H209" s="237"/>
      <c r="I209" s="238">
        <v>17610.132389999999</v>
      </c>
      <c r="J209" s="238">
        <v>15307.873390000001</v>
      </c>
      <c r="K209" s="239">
        <v>4.4835494112729926</v>
      </c>
      <c r="L209" s="364">
        <v>2.502308718377086</v>
      </c>
      <c r="M209" s="240">
        <v>2.176539979465737</v>
      </c>
      <c r="N209" s="241">
        <v>19.137640617440301</v>
      </c>
      <c r="O209" s="365">
        <v>22.215838900445242</v>
      </c>
      <c r="P209" s="242">
        <v>9.438177416637016</v>
      </c>
      <c r="T209" s="349"/>
    </row>
    <row r="210" spans="4:21" x14ac:dyDescent="0.35">
      <c r="D210" s="236" t="s">
        <v>167</v>
      </c>
      <c r="E210" s="236"/>
      <c r="F210" s="236"/>
      <c r="G210" s="237"/>
      <c r="H210" s="237"/>
      <c r="I210" s="238">
        <v>51109.394189999999</v>
      </c>
      <c r="J210" s="238">
        <v>49193.897189999996</v>
      </c>
      <c r="K210" s="239" t="s">
        <v>168</v>
      </c>
      <c r="L210" s="364">
        <v>14.68085394632838</v>
      </c>
      <c r="M210" s="240">
        <v>12.480273853917</v>
      </c>
      <c r="N210" s="241" t="s">
        <v>168</v>
      </c>
      <c r="O210" s="365" t="s">
        <v>168</v>
      </c>
      <c r="P210" s="242" t="s">
        <v>168</v>
      </c>
      <c r="T210" s="349"/>
    </row>
    <row r="211" spans="4:21" x14ac:dyDescent="0.35">
      <c r="D211" s="236" t="s">
        <v>169</v>
      </c>
      <c r="E211" s="236"/>
      <c r="F211" s="236"/>
      <c r="G211" s="237"/>
      <c r="H211" s="237"/>
      <c r="I211" s="238">
        <v>7766.6647700000003</v>
      </c>
      <c r="J211" s="238">
        <v>9209.5647700000009</v>
      </c>
      <c r="K211" s="239">
        <v>3.5654528726287267</v>
      </c>
      <c r="L211" s="364">
        <v>3.2676099576180455</v>
      </c>
      <c r="M211" s="240">
        <v>3.4561852092735736</v>
      </c>
      <c r="N211" s="241">
        <v>13.53750517418786</v>
      </c>
      <c r="O211" s="365">
        <v>14.106632461124407</v>
      </c>
      <c r="P211" s="242">
        <v>10.625033912880758</v>
      </c>
      <c r="T211" s="349"/>
    </row>
    <row r="212" spans="4:21" x14ac:dyDescent="0.35">
      <c r="D212" s="236" t="s">
        <v>170</v>
      </c>
      <c r="E212" s="236"/>
      <c r="F212" s="236"/>
      <c r="G212" s="237"/>
      <c r="H212" s="237"/>
      <c r="I212" s="238">
        <v>304.25484</v>
      </c>
      <c r="J212" s="238">
        <v>389.15483999999998</v>
      </c>
      <c r="K212" s="239">
        <v>0.64206375185612929</v>
      </c>
      <c r="L212" s="364">
        <v>0.8183443051398962</v>
      </c>
      <c r="M212" s="240">
        <v>0.49955843896469876</v>
      </c>
      <c r="N212" s="241">
        <v>2.177699160604365</v>
      </c>
      <c r="O212" s="365">
        <v>4.8130242895644475</v>
      </c>
      <c r="P212" s="242">
        <v>1.7211783283985982</v>
      </c>
      <c r="T212" s="349"/>
    </row>
    <row r="213" spans="4:21" x14ac:dyDescent="0.35">
      <c r="D213" s="236" t="s">
        <v>171</v>
      </c>
      <c r="E213" s="236"/>
      <c r="F213" s="236"/>
      <c r="G213" s="237"/>
      <c r="H213" s="237"/>
      <c r="I213" s="238">
        <v>616.48829999999998</v>
      </c>
      <c r="J213" s="238">
        <v>390.51330000000002</v>
      </c>
      <c r="K213" s="239">
        <v>1.3586899265532204</v>
      </c>
      <c r="L213" s="364">
        <v>0.93390386936546954</v>
      </c>
      <c r="M213" s="240">
        <v>1.1706936406879558</v>
      </c>
      <c r="N213" s="241" t="s">
        <v>168</v>
      </c>
      <c r="O213" s="365">
        <v>9.6837528721615342</v>
      </c>
      <c r="P213" s="242">
        <v>6.0045057629760183</v>
      </c>
      <c r="T213" s="349"/>
    </row>
    <row r="214" spans="4:21" x14ac:dyDescent="0.35">
      <c r="D214" s="156"/>
      <c r="E214" s="156"/>
      <c r="F214" s="156"/>
      <c r="G214" s="219"/>
      <c r="H214" s="219"/>
      <c r="I214" s="219"/>
      <c r="J214" s="219"/>
      <c r="K214" s="243"/>
      <c r="L214" s="244"/>
      <c r="M214" s="244"/>
      <c r="N214" s="244"/>
      <c r="O214" s="244"/>
      <c r="P214" s="244"/>
      <c r="T214" s="350"/>
    </row>
    <row r="215" spans="4:21" x14ac:dyDescent="0.35">
      <c r="D215" s="245" t="s">
        <v>172</v>
      </c>
      <c r="E215" s="156"/>
      <c r="F215" s="156"/>
      <c r="J215" s="246" t="s">
        <v>173</v>
      </c>
      <c r="K215" s="376">
        <f>MAX(K207:K213)</f>
        <v>5.6477498740786238</v>
      </c>
      <c r="L215" s="376">
        <f t="shared" ref="L215:P215" si="53">MAX(L207:L213)</f>
        <v>14.68085394632838</v>
      </c>
      <c r="M215" s="376">
        <f t="shared" si="53"/>
        <v>12.480273853917</v>
      </c>
      <c r="N215" s="376">
        <f t="shared" si="53"/>
        <v>27.446378492537313</v>
      </c>
      <c r="O215" s="376">
        <f t="shared" si="53"/>
        <v>22.215838900445242</v>
      </c>
      <c r="P215" s="376">
        <f t="shared" si="53"/>
        <v>12.926959327726898</v>
      </c>
    </row>
    <row r="216" spans="4:21" x14ac:dyDescent="0.35">
      <c r="D216" s="245" t="s">
        <v>174</v>
      </c>
      <c r="E216" s="156"/>
      <c r="F216" s="156"/>
      <c r="J216" s="246" t="s">
        <v>175</v>
      </c>
      <c r="K216" s="376">
        <f>AVERAGE(K207:K213)</f>
        <v>3.0814528541356645</v>
      </c>
      <c r="L216" s="376">
        <f t="shared" ref="L216:P216" si="54">AVERAGE(L207:L213)</f>
        <v>4.3828006158655262</v>
      </c>
      <c r="M216" s="376">
        <f t="shared" si="54"/>
        <v>4.0733422620780173</v>
      </c>
      <c r="N216" s="376">
        <f t="shared" si="54"/>
        <v>14.008139532502033</v>
      </c>
      <c r="O216" s="376">
        <f t="shared" si="54"/>
        <v>13.629787401858833</v>
      </c>
      <c r="P216" s="376">
        <f t="shared" si="54"/>
        <v>8.8117420593299283</v>
      </c>
    </row>
    <row r="217" spans="4:21" x14ac:dyDescent="0.35">
      <c r="D217" s="245" t="s">
        <v>216</v>
      </c>
      <c r="E217" s="156"/>
      <c r="F217" s="156"/>
      <c r="J217" s="246" t="s">
        <v>176</v>
      </c>
      <c r="K217" s="376">
        <f>MEDIAN(K207:K213)</f>
        <v>3.1783320805265109</v>
      </c>
      <c r="L217" s="376">
        <f t="shared" ref="L217:P217" si="55">MEDIAN(L207:L213)</f>
        <v>3.2676099576180455</v>
      </c>
      <c r="M217" s="376">
        <f t="shared" si="55"/>
        <v>3.4561852092735736</v>
      </c>
      <c r="N217" s="376">
        <f t="shared" si="55"/>
        <v>13.53750517418786</v>
      </c>
      <c r="O217" s="376">
        <f t="shared" si="55"/>
        <v>14.286653586207397</v>
      </c>
      <c r="P217" s="376">
        <f t="shared" si="55"/>
        <v>10.031605664758887</v>
      </c>
    </row>
    <row r="218" spans="4:21" x14ac:dyDescent="0.35">
      <c r="D218" s="156"/>
      <c r="E218" s="156"/>
      <c r="F218" s="156"/>
      <c r="J218" s="246" t="s">
        <v>177</v>
      </c>
      <c r="K218" s="376">
        <f>MIN(K207:K213)</f>
        <v>0.64206375185612929</v>
      </c>
      <c r="L218" s="376">
        <f t="shared" ref="L218:P218" si="56">MIN(L207:L213)</f>
        <v>0.8183443051398962</v>
      </c>
      <c r="M218" s="376">
        <f t="shared" si="56"/>
        <v>0.49955843896469876</v>
      </c>
      <c r="N218" s="376">
        <f t="shared" si="56"/>
        <v>2.177699160604365</v>
      </c>
      <c r="O218" s="376">
        <f t="shared" si="56"/>
        <v>4.8130242895644475</v>
      </c>
      <c r="P218" s="376">
        <f t="shared" si="56"/>
        <v>1.7211783283985982</v>
      </c>
    </row>
    <row r="219" spans="4:21" x14ac:dyDescent="0.35">
      <c r="H219" s="219"/>
      <c r="I219" s="219"/>
      <c r="J219" s="219"/>
      <c r="K219" s="219"/>
    </row>
    <row r="220" spans="4:21" x14ac:dyDescent="0.35">
      <c r="D220" s="247" t="str">
        <f>D4&amp;" Implied Enterprise Value"</f>
        <v>Activsion Blizzard Inc. Implied Enterprise Value</v>
      </c>
      <c r="E220" s="247"/>
      <c r="F220" s="247"/>
      <c r="G220" s="247"/>
      <c r="H220" s="248"/>
      <c r="I220" s="249">
        <f>G198</f>
        <v>53447.209877600006</v>
      </c>
      <c r="J220" s="249">
        <f>G202</f>
        <v>45066.209877600006</v>
      </c>
      <c r="K220" s="249">
        <f>K216*J196</f>
        <v>31989.409478317219</v>
      </c>
      <c r="L220" s="249">
        <f>L216*K196</f>
        <v>48673.411379525394</v>
      </c>
      <c r="M220" s="249">
        <f>M216*L196</f>
        <v>51456.753255430842</v>
      </c>
      <c r="N220" s="249">
        <f>N216*J197</f>
        <v>29940.638478194323</v>
      </c>
      <c r="O220" s="249">
        <f>O216*K197</f>
        <v>34057.414233160503</v>
      </c>
      <c r="P220" s="249">
        <f>P216*L197</f>
        <v>28658.12146036432</v>
      </c>
    </row>
    <row r="221" spans="4:21" ht="15" thickBot="1" x14ac:dyDescent="0.4">
      <c r="H221" s="219"/>
      <c r="I221" s="219"/>
      <c r="J221" s="219"/>
      <c r="K221" s="219"/>
    </row>
    <row r="222" spans="4:21" ht="29.5" thickBot="1" x14ac:dyDescent="0.4">
      <c r="D222" s="270" t="s">
        <v>202</v>
      </c>
      <c r="E222" s="271"/>
      <c r="F222" s="271"/>
      <c r="G222" s="271"/>
      <c r="H222" s="271"/>
      <c r="I222" s="271" t="s">
        <v>144</v>
      </c>
      <c r="J222" s="271" t="s">
        <v>203</v>
      </c>
      <c r="K222" s="272" t="s">
        <v>204</v>
      </c>
      <c r="M222" s="34" t="s">
        <v>220</v>
      </c>
      <c r="O222" s="416" t="s">
        <v>221</v>
      </c>
      <c r="P222" s="417"/>
    </row>
    <row r="223" spans="4:21" ht="15" thickBot="1" x14ac:dyDescent="0.4">
      <c r="D223" s="273" t="s">
        <v>198</v>
      </c>
      <c r="H223" s="219"/>
      <c r="I223" s="274">
        <v>68700</v>
      </c>
      <c r="J223" s="287">
        <v>95</v>
      </c>
      <c r="K223" s="250"/>
      <c r="T223" s="409" t="s">
        <v>232</v>
      </c>
      <c r="U223" s="410"/>
    </row>
    <row r="224" spans="4:21" x14ac:dyDescent="0.35">
      <c r="D224" s="273" t="s">
        <v>197</v>
      </c>
      <c r="H224" s="219"/>
      <c r="I224" s="275">
        <f>G202</f>
        <v>45066.209877600006</v>
      </c>
      <c r="J224" s="276">
        <f>G196</f>
        <v>67.930000000000007</v>
      </c>
      <c r="K224" s="277">
        <f>$J$223/J224-1</f>
        <v>0.39849845429118202</v>
      </c>
      <c r="M224" s="34" t="s">
        <v>222</v>
      </c>
      <c r="N224" s="429" t="s">
        <v>234</v>
      </c>
      <c r="O224" s="418"/>
      <c r="P224" s="418"/>
      <c r="Q224" s="419"/>
      <c r="T224" s="411"/>
      <c r="U224" s="412"/>
    </row>
    <row r="225" spans="2:21" ht="14.4" customHeight="1" x14ac:dyDescent="0.35">
      <c r="D225" s="273" t="s">
        <v>199</v>
      </c>
      <c r="H225" s="219"/>
      <c r="I225" s="275">
        <f>F177</f>
        <v>47783.519819799905</v>
      </c>
      <c r="J225" s="278">
        <f>F183</f>
        <v>71.383629568248068</v>
      </c>
      <c r="K225" s="277">
        <f>$J$223/J225-1</f>
        <v>0.33083734428455935</v>
      </c>
      <c r="N225" s="420"/>
      <c r="O225" s="421"/>
      <c r="P225" s="421"/>
      <c r="Q225" s="422"/>
      <c r="T225" s="411"/>
      <c r="U225" s="412"/>
    </row>
    <row r="226" spans="2:21" ht="14.4" customHeight="1" x14ac:dyDescent="0.35">
      <c r="D226" s="273" t="s">
        <v>200</v>
      </c>
      <c r="H226" s="219"/>
      <c r="I226" s="279">
        <f>K220</f>
        <v>31989.409478317219</v>
      </c>
      <c r="J226" s="280">
        <f>I226/G197</f>
        <v>40.657699266969992</v>
      </c>
      <c r="K226" s="277">
        <f>$J$223/J226-1</f>
        <v>1.3365808128050491</v>
      </c>
      <c r="N226" s="420"/>
      <c r="O226" s="421"/>
      <c r="P226" s="421"/>
      <c r="Q226" s="422"/>
      <c r="T226" s="411"/>
      <c r="U226" s="412"/>
    </row>
    <row r="227" spans="2:21" ht="14.4" customHeight="1" x14ac:dyDescent="0.35">
      <c r="D227" s="281" t="s">
        <v>201</v>
      </c>
      <c r="E227" s="282"/>
      <c r="F227" s="282"/>
      <c r="G227" s="282"/>
      <c r="H227" s="283"/>
      <c r="I227" s="284">
        <f>N220</f>
        <v>29940.638478194323</v>
      </c>
      <c r="J227" s="285">
        <f>I227/G197</f>
        <v>38.053765135383514</v>
      </c>
      <c r="K227" s="286">
        <f>$J$223/J227-1</f>
        <v>1.4964678176264403</v>
      </c>
      <c r="N227" s="420"/>
      <c r="O227" s="421"/>
      <c r="P227" s="421"/>
      <c r="Q227" s="422"/>
      <c r="T227" s="411"/>
      <c r="U227" s="412"/>
    </row>
    <row r="228" spans="2:21" ht="14.4" customHeight="1" x14ac:dyDescent="0.35">
      <c r="H228" s="219"/>
      <c r="I228" s="219"/>
      <c r="J228" s="219"/>
      <c r="K228" s="219"/>
      <c r="N228" s="420"/>
      <c r="O228" s="421"/>
      <c r="P228" s="421"/>
      <c r="Q228" s="422"/>
      <c r="T228" s="411"/>
      <c r="U228" s="412"/>
    </row>
    <row r="229" spans="2:21" ht="14.4" customHeight="1" x14ac:dyDescent="0.35">
      <c r="H229" s="219"/>
      <c r="I229" s="219"/>
      <c r="J229" s="219"/>
      <c r="K229" s="219"/>
      <c r="N229" s="420"/>
      <c r="O229" s="421"/>
      <c r="P229" s="421"/>
      <c r="Q229" s="422"/>
      <c r="T229" s="411"/>
      <c r="U229" s="412"/>
    </row>
    <row r="230" spans="2:21" ht="28.75" customHeight="1" thickBot="1" x14ac:dyDescent="0.4">
      <c r="D230" s="156"/>
      <c r="E230" s="156"/>
      <c r="F230" s="156"/>
      <c r="G230" s="219"/>
      <c r="H230" s="219"/>
      <c r="I230" s="219"/>
      <c r="J230" s="219"/>
      <c r="K230" s="219"/>
      <c r="N230" s="420"/>
      <c r="O230" s="421"/>
      <c r="P230" s="421"/>
      <c r="Q230" s="422"/>
      <c r="T230" s="413"/>
      <c r="U230" s="414"/>
    </row>
    <row r="231" spans="2:21" ht="15" customHeight="1" thickBot="1" x14ac:dyDescent="0.4">
      <c r="N231" s="423"/>
      <c r="O231" s="424"/>
      <c r="P231" s="424"/>
      <c r="Q231" s="425"/>
    </row>
    <row r="232" spans="2:21" ht="15" customHeight="1" x14ac:dyDescent="0.35">
      <c r="D232" s="187"/>
    </row>
    <row r="233" spans="2:21" s="311" customFormat="1" ht="17.5" thickBot="1" x14ac:dyDescent="0.45">
      <c r="B233" s="310" t="s">
        <v>178</v>
      </c>
      <c r="D233" s="314" t="s">
        <v>179</v>
      </c>
      <c r="E233" s="312"/>
      <c r="F233" s="312"/>
      <c r="G233" s="313"/>
    </row>
    <row r="234" spans="2:21" x14ac:dyDescent="0.35">
      <c r="D234" s="309"/>
      <c r="E234" s="3"/>
      <c r="F234" s="3"/>
      <c r="G234" s="4"/>
    </row>
    <row r="235" spans="2:21" ht="3.9" customHeight="1" x14ac:dyDescent="0.35"/>
    <row r="236" spans="2:21" ht="15" thickBot="1" x14ac:dyDescent="0.4">
      <c r="D236" s="10" t="s">
        <v>179</v>
      </c>
      <c r="E236" s="10"/>
      <c r="F236" s="10"/>
      <c r="G236" s="10"/>
      <c r="H236" s="11"/>
      <c r="I236" s="12" t="s">
        <v>4</v>
      </c>
      <c r="J236" s="13"/>
      <c r="K236" s="13"/>
      <c r="L236" s="14"/>
      <c r="M236" s="15" t="s">
        <v>5</v>
      </c>
      <c r="N236" s="15"/>
      <c r="O236" s="15"/>
      <c r="P236" s="15"/>
      <c r="Q236" s="15"/>
    </row>
    <row r="237" spans="2:21" x14ac:dyDescent="0.35">
      <c r="D237" s="187"/>
      <c r="G237" s="18"/>
      <c r="H237" s="19" t="s">
        <v>8</v>
      </c>
      <c r="I237" s="20">
        <f>$I$10</f>
        <v>2019</v>
      </c>
      <c r="J237" s="21">
        <f>$J$10</f>
        <v>2020</v>
      </c>
      <c r="K237" s="21">
        <f>$K$10</f>
        <v>2021</v>
      </c>
      <c r="L237" s="22">
        <f>$L$10</f>
        <v>2022</v>
      </c>
      <c r="M237" s="23">
        <f>$M$10</f>
        <v>2023</v>
      </c>
      <c r="N237" s="24">
        <f>$N$10</f>
        <v>2024</v>
      </c>
      <c r="O237" s="24">
        <f>$O$10</f>
        <v>2025</v>
      </c>
      <c r="P237" s="24">
        <f>$P$10</f>
        <v>2026</v>
      </c>
      <c r="Q237" s="24">
        <f>$Q$10</f>
        <v>2027</v>
      </c>
      <c r="T237" s="409" t="s">
        <v>224</v>
      </c>
      <c r="U237" s="410"/>
    </row>
    <row r="238" spans="2:21" x14ac:dyDescent="0.35">
      <c r="D238" s="187"/>
      <c r="H238" s="26"/>
      <c r="T238" s="411"/>
      <c r="U238" s="412"/>
    </row>
    <row r="239" spans="2:21" ht="13.75" customHeight="1" x14ac:dyDescent="0.35">
      <c r="D239" s="187" t="s">
        <v>180</v>
      </c>
      <c r="E239" s="187"/>
      <c r="F239" s="179"/>
      <c r="T239" s="411"/>
      <c r="U239" s="412"/>
    </row>
    <row r="240" spans="2:21" ht="13.75" customHeight="1" x14ac:dyDescent="0.35">
      <c r="D240" s="29" t="s">
        <v>181</v>
      </c>
      <c r="H240" s="251" t="s">
        <v>28</v>
      </c>
      <c r="I240" s="252">
        <f t="shared" ref="I240:L240" si="57">I14 / I$12</f>
        <v>0.67730004623208506</v>
      </c>
      <c r="J240" s="252">
        <f t="shared" si="57"/>
        <v>0.72050457581004201</v>
      </c>
      <c r="K240" s="252">
        <f t="shared" si="57"/>
        <v>0.73679427467908665</v>
      </c>
      <c r="L240" s="253">
        <f t="shared" si="57"/>
        <v>0.54944599772185976</v>
      </c>
      <c r="M240" s="373">
        <f>(M12-M13)/M12</f>
        <v>0.68</v>
      </c>
      <c r="N240" s="373">
        <f t="shared" ref="N240:Q240" si="58">(N12-N13)/N12</f>
        <v>0.69</v>
      </c>
      <c r="O240" s="373">
        <f t="shared" si="58"/>
        <v>0.7</v>
      </c>
      <c r="P240" s="373">
        <f t="shared" si="58"/>
        <v>0.71</v>
      </c>
      <c r="Q240" s="373">
        <f t="shared" si="58"/>
        <v>0.72000000000000008</v>
      </c>
      <c r="T240" s="411"/>
      <c r="U240" s="412"/>
    </row>
    <row r="241" spans="4:23" ht="13.75" customHeight="1" x14ac:dyDescent="0.35">
      <c r="D241" s="29" t="s">
        <v>182</v>
      </c>
      <c r="H241" s="251" t="s">
        <v>28</v>
      </c>
      <c r="I241" s="252">
        <f t="shared" ref="I241:L241" si="59">I28 / I$12</f>
        <v>0.29819694868238555</v>
      </c>
      <c r="J241" s="252">
        <f t="shared" si="59"/>
        <v>0.36247835765520653</v>
      </c>
      <c r="K241" s="252">
        <f t="shared" si="59"/>
        <v>0.3833920254458707</v>
      </c>
      <c r="L241" s="253">
        <f t="shared" si="59"/>
        <v>0.18390804597701149</v>
      </c>
      <c r="M241" s="373">
        <f>M28/M12</f>
        <v>0.22500000000000001</v>
      </c>
      <c r="N241" s="373">
        <f t="shared" ref="N241:Q241" si="60">N28/N12</f>
        <v>0.257450930646279</v>
      </c>
      <c r="O241" s="373">
        <f t="shared" si="60"/>
        <v>0.28990186129255818</v>
      </c>
      <c r="P241" s="373">
        <f t="shared" si="60"/>
        <v>0.32235279193883726</v>
      </c>
      <c r="Q241" s="373">
        <f t="shared" si="60"/>
        <v>0.3548037225851165</v>
      </c>
      <c r="T241" s="411"/>
      <c r="U241" s="412"/>
    </row>
    <row r="242" spans="4:23" ht="13.75" customHeight="1" x14ac:dyDescent="0.35">
      <c r="D242" s="29" t="s">
        <v>183</v>
      </c>
      <c r="H242" s="251" t="s">
        <v>28</v>
      </c>
      <c r="I242" s="252">
        <f t="shared" ref="I242:L242" si="61">I18 / I$12</f>
        <v>0.2476498690090923</v>
      </c>
      <c r="J242" s="252">
        <f t="shared" si="61"/>
        <v>0.33811526094484295</v>
      </c>
      <c r="K242" s="252">
        <f t="shared" si="61"/>
        <v>0.37021469953424968</v>
      </c>
      <c r="L242" s="253">
        <f t="shared" si="61"/>
        <v>0.17293155224189707</v>
      </c>
      <c r="M242" s="373">
        <f>M18/M12</f>
        <v>0.20100000000000001</v>
      </c>
      <c r="N242" s="373">
        <f t="shared" ref="N242:Q242" si="62">N18/N12</f>
        <v>0.2339999999999999</v>
      </c>
      <c r="O242" s="373">
        <f t="shared" si="62"/>
        <v>0.26700000000000002</v>
      </c>
      <c r="P242" s="373">
        <f t="shared" si="62"/>
        <v>0.3</v>
      </c>
      <c r="Q242" s="373">
        <f t="shared" si="62"/>
        <v>0.33300000000000013</v>
      </c>
      <c r="T242" s="411"/>
      <c r="U242" s="412"/>
    </row>
    <row r="243" spans="4:23" ht="5.4" customHeight="1" x14ac:dyDescent="0.35">
      <c r="D243" s="29"/>
      <c r="H243" s="251"/>
      <c r="I243" s="252"/>
      <c r="J243" s="252"/>
      <c r="K243" s="252"/>
      <c r="L243" s="253"/>
      <c r="M243" s="288"/>
      <c r="N243" s="288"/>
      <c r="O243" s="288"/>
      <c r="P243" s="288"/>
      <c r="Q243" s="380"/>
      <c r="T243" s="411"/>
      <c r="U243" s="412"/>
    </row>
    <row r="244" spans="4:23" ht="13.75" customHeight="1" thickBot="1" x14ac:dyDescent="0.4">
      <c r="D244" s="34" t="s">
        <v>184</v>
      </c>
      <c r="H244" s="251"/>
      <c r="L244" s="250"/>
      <c r="Q244" s="381"/>
      <c r="T244" s="413"/>
      <c r="U244" s="414"/>
    </row>
    <row r="245" spans="4:23" ht="13.75" customHeight="1" x14ac:dyDescent="0.35">
      <c r="D245" s="29" t="s">
        <v>185</v>
      </c>
      <c r="H245" s="251" t="s">
        <v>24</v>
      </c>
      <c r="I245" s="194">
        <f t="shared" ref="I245:L245" si="63">I54 / I63</f>
        <v>2.4905660377358489</v>
      </c>
      <c r="J245" s="194">
        <f t="shared" si="63"/>
        <v>3.3945161290322585</v>
      </c>
      <c r="K245" s="194">
        <f t="shared" si="63"/>
        <v>5.1866445458316051</v>
      </c>
      <c r="L245" s="254">
        <f t="shared" si="63"/>
        <v>4.0505165495604976</v>
      </c>
      <c r="M245" s="360">
        <f>M54/M63</f>
        <v>4.4600010129992018</v>
      </c>
      <c r="N245" s="360">
        <f t="shared" ref="N245:Q245" si="64">N54/N63</f>
        <v>4.9816723216659247</v>
      </c>
      <c r="O245" s="360">
        <f t="shared" si="64"/>
        <v>5.6390100340839791</v>
      </c>
      <c r="P245" s="360">
        <f t="shared" si="64"/>
        <v>6.2912781514871758</v>
      </c>
      <c r="Q245" s="360">
        <f t="shared" si="64"/>
        <v>7.2271131785234806</v>
      </c>
    </row>
    <row r="246" spans="4:23" ht="13.75" customHeight="1" x14ac:dyDescent="0.35">
      <c r="D246" s="29" t="s">
        <v>186</v>
      </c>
      <c r="H246" s="251" t="s">
        <v>24</v>
      </c>
      <c r="I246" s="194">
        <f t="shared" ref="I246:Q246" si="65">(I49+I51) / I63</f>
        <v>2.2785591766723843</v>
      </c>
      <c r="J246" s="194">
        <f t="shared" si="65"/>
        <v>3.128709677419355</v>
      </c>
      <c r="K246" s="194">
        <f t="shared" si="65"/>
        <v>4.726254666113646</v>
      </c>
      <c r="L246" s="254">
        <f t="shared" si="65"/>
        <v>2.3246132208157526</v>
      </c>
      <c r="M246" s="254">
        <f t="shared" si="65"/>
        <v>2.6025500986107022</v>
      </c>
      <c r="N246" s="254">
        <f t="shared" si="65"/>
        <v>3.0768281437737719</v>
      </c>
      <c r="O246" s="254">
        <f t="shared" si="65"/>
        <v>3.6845905530643481</v>
      </c>
      <c r="P246" s="254">
        <f t="shared" si="65"/>
        <v>4.2858332396447896</v>
      </c>
      <c r="Q246" s="254">
        <f t="shared" si="65"/>
        <v>5.1700343128995758</v>
      </c>
    </row>
    <row r="247" spans="4:23" ht="5.4" customHeight="1" x14ac:dyDescent="0.35">
      <c r="D247" s="29"/>
      <c r="H247" s="251"/>
      <c r="I247" s="194"/>
      <c r="J247" s="194"/>
      <c r="K247" s="194"/>
      <c r="L247" s="254"/>
      <c r="M247" s="194"/>
      <c r="N247" s="194"/>
      <c r="O247" s="194"/>
      <c r="P247" s="194"/>
      <c r="Q247" s="382"/>
    </row>
    <row r="248" spans="4:23" ht="13.75" customHeight="1" x14ac:dyDescent="0.35">
      <c r="D248" s="34" t="s">
        <v>187</v>
      </c>
      <c r="L248" s="250"/>
      <c r="Q248" s="381"/>
    </row>
    <row r="249" spans="4:23" ht="13.75" customHeight="1" thickBot="1" x14ac:dyDescent="0.4">
      <c r="D249" s="29" t="s">
        <v>188</v>
      </c>
      <c r="H249" s="251" t="s">
        <v>123</v>
      </c>
      <c r="I249" s="255"/>
      <c r="J249" s="256">
        <f t="shared" ref="J249:L249" si="66">AVERAGE(I51:J51) / J12 * 365</f>
        <v>42.882760326490228</v>
      </c>
      <c r="K249" s="256">
        <f t="shared" si="66"/>
        <v>41.960695217539474</v>
      </c>
      <c r="L249" s="256">
        <f t="shared" si="66"/>
        <v>41.122501812156983</v>
      </c>
      <c r="M249" s="256">
        <f t="shared" ref="M249" si="67">AVERAGE(L51:M51) / M12 * 365</f>
        <v>45.335602694148427</v>
      </c>
      <c r="N249" s="256">
        <f t="shared" ref="N249" si="68">AVERAGE(M51:N51) / N12 * 365</f>
        <v>48.011538461538464</v>
      </c>
      <c r="O249" s="256">
        <f t="shared" ref="O249" si="69">AVERAGE(N51:O51) / O12 * 365</f>
        <v>48.26111111111112</v>
      </c>
      <c r="P249" s="256">
        <f t="shared" ref="P249" si="70">AVERAGE(O51:P51) / P12 * 365</f>
        <v>48.516292134831467</v>
      </c>
      <c r="Q249" s="256">
        <f t="shared" ref="Q249" si="71">AVERAGE(P51:Q51) / Q12 * 365</f>
        <v>48.777272727272738</v>
      </c>
    </row>
    <row r="250" spans="4:23" ht="13.75" customHeight="1" x14ac:dyDescent="0.35">
      <c r="D250" s="29" t="s">
        <v>189</v>
      </c>
      <c r="H250" s="251" t="s">
        <v>123</v>
      </c>
      <c r="I250" s="255"/>
      <c r="J250" s="256">
        <f t="shared" ref="J250:L250" si="72">AVERAGE(I61:J61) / J13 * 365</f>
        <v>47.401548672566371</v>
      </c>
      <c r="K250" s="256">
        <f t="shared" si="72"/>
        <v>45.684074233923177</v>
      </c>
      <c r="L250" s="256">
        <f t="shared" si="72"/>
        <v>50.019126912691277</v>
      </c>
      <c r="M250" s="256">
        <f t="shared" ref="M250" si="73">AVERAGE(L61:M61) / M13 * 365</f>
        <v>39.268640139389767</v>
      </c>
      <c r="N250" s="256">
        <f t="shared" ref="N250" si="74">AVERAGE(M61:N61) / N13 * 365</f>
        <v>43.166263736263737</v>
      </c>
      <c r="O250" s="256">
        <f t="shared" ref="O250" si="75">AVERAGE(N61:O61) / O13 * 365</f>
        <v>43.416074074074068</v>
      </c>
      <c r="P250" s="256">
        <f t="shared" ref="P250" si="76">AVERAGE(O61:P61) / P13 * 365</f>
        <v>43.673006586594347</v>
      </c>
      <c r="Q250" s="256">
        <f t="shared" ref="Q250" si="77">AVERAGE(P61:Q61) / Q13 * 365</f>
        <v>43.937467532467529</v>
      </c>
      <c r="V250" s="409" t="s">
        <v>233</v>
      </c>
      <c r="W250" s="410"/>
    </row>
    <row r="251" spans="4:23" ht="5.4" customHeight="1" x14ac:dyDescent="0.35">
      <c r="D251" s="29"/>
      <c r="L251" s="250"/>
      <c r="Q251" s="381"/>
      <c r="V251" s="411"/>
      <c r="W251" s="412"/>
    </row>
    <row r="252" spans="4:23" ht="13.75" customHeight="1" x14ac:dyDescent="0.35">
      <c r="D252" s="34" t="s">
        <v>190</v>
      </c>
      <c r="L252" s="250"/>
      <c r="Q252" s="381"/>
      <c r="V252" s="411"/>
      <c r="W252" s="412"/>
    </row>
    <row r="253" spans="4:23" ht="13.75" customHeight="1" x14ac:dyDescent="0.35">
      <c r="D253" s="29" t="s">
        <v>191</v>
      </c>
      <c r="H253" s="251" t="s">
        <v>28</v>
      </c>
      <c r="I253" s="167">
        <f t="shared" ref="I253:L253" si="78">I65 / I69</f>
        <v>0.20942613324982384</v>
      </c>
      <c r="J253" s="167">
        <f t="shared" si="78"/>
        <v>0.24041347115705236</v>
      </c>
      <c r="K253" s="167">
        <f t="shared" si="78"/>
        <v>0.19622772858790002</v>
      </c>
      <c r="L253" s="257">
        <f t="shared" si="78"/>
        <v>0.18833200722890076</v>
      </c>
      <c r="M253" s="257">
        <f t="shared" ref="M253:Q253" si="79">M65 / M69</f>
        <v>0.17263929978289816</v>
      </c>
      <c r="N253" s="257">
        <f t="shared" si="79"/>
        <v>0.14527700957934195</v>
      </c>
      <c r="O253" s="257">
        <f t="shared" si="79"/>
        <v>0.12014140588452775</v>
      </c>
      <c r="P253" s="257">
        <f t="shared" si="79"/>
        <v>7.7251847202028115E-2</v>
      </c>
      <c r="Q253" s="257">
        <f t="shared" si="79"/>
        <v>5.5887386341804186E-2</v>
      </c>
      <c r="V253" s="411"/>
      <c r="W253" s="412"/>
    </row>
    <row r="254" spans="4:23" ht="13.75" customHeight="1" x14ac:dyDescent="0.35">
      <c r="D254" s="29" t="s">
        <v>192</v>
      </c>
      <c r="H254" s="251" t="s">
        <v>28</v>
      </c>
      <c r="I254" s="167">
        <f t="shared" ref="I254:L254" si="80">I65 / (I65 + I69)</f>
        <v>0.17316157431382703</v>
      </c>
      <c r="J254" s="167">
        <f t="shared" si="80"/>
        <v>0.19381720430107527</v>
      </c>
      <c r="K254" s="167">
        <f t="shared" si="80"/>
        <v>0.16403877280084384</v>
      </c>
      <c r="L254" s="257">
        <f t="shared" si="80"/>
        <v>0.15848433441431622</v>
      </c>
      <c r="M254" s="257">
        <f t="shared" ref="M254:Q254" si="81">M65 / (M65 + M69)</f>
        <v>0.1472228500399573</v>
      </c>
      <c r="N254" s="257">
        <f t="shared" si="81"/>
        <v>0.1268487958495752</v>
      </c>
      <c r="O254" s="257">
        <f t="shared" si="81"/>
        <v>0.10725557081755871</v>
      </c>
      <c r="P254" s="257">
        <f t="shared" si="81"/>
        <v>7.1711965407788514E-2</v>
      </c>
      <c r="Q254" s="257">
        <f t="shared" si="81"/>
        <v>5.2929305780827586E-2</v>
      </c>
      <c r="V254" s="411"/>
      <c r="W254" s="412"/>
    </row>
    <row r="255" spans="4:23" ht="13.75" customHeight="1" x14ac:dyDescent="0.35">
      <c r="D255" s="29" t="s">
        <v>193</v>
      </c>
      <c r="H255" s="251" t="s">
        <v>24</v>
      </c>
      <c r="I255" s="194">
        <f t="shared" ref="I255:L255" si="82">I65 / I28</f>
        <v>1.3824289405684755</v>
      </c>
      <c r="J255" s="194">
        <f t="shared" si="82"/>
        <v>1.2299556465370181</v>
      </c>
      <c r="K255" s="194">
        <f t="shared" si="82"/>
        <v>1.069037037037037</v>
      </c>
      <c r="L255" s="254">
        <f t="shared" si="82"/>
        <v>2.0332207207207209</v>
      </c>
      <c r="M255" s="254">
        <f t="shared" ref="M255:Q255" si="83">M65 / M28</f>
        <v>1.445123284203744</v>
      </c>
      <c r="N255" s="254">
        <f t="shared" si="83"/>
        <v>1.0334335801587251</v>
      </c>
      <c r="O255" s="254">
        <f t="shared" si="83"/>
        <v>0.75510093469352502</v>
      </c>
      <c r="P255" s="254">
        <f t="shared" si="83"/>
        <v>0.44363429024963746</v>
      </c>
      <c r="Q255" s="254">
        <f t="shared" si="83"/>
        <v>0.30159316923608392</v>
      </c>
      <c r="V255" s="411"/>
      <c r="W255" s="412"/>
    </row>
    <row r="256" spans="4:23" ht="4.75" customHeight="1" x14ac:dyDescent="0.35">
      <c r="L256" s="250"/>
      <c r="Q256" s="381"/>
      <c r="V256" s="411"/>
      <c r="W256" s="412"/>
    </row>
    <row r="257" spans="4:23" ht="13.75" customHeight="1" thickBot="1" x14ac:dyDescent="0.4">
      <c r="D257" s="34" t="s">
        <v>194</v>
      </c>
      <c r="L257" s="250"/>
      <c r="Q257" s="381"/>
      <c r="V257" s="413"/>
      <c r="W257" s="414"/>
    </row>
    <row r="258" spans="4:23" ht="13.75" customHeight="1" x14ac:dyDescent="0.35">
      <c r="D258" s="29" t="s">
        <v>195</v>
      </c>
      <c r="H258" s="251" t="s">
        <v>24</v>
      </c>
      <c r="I258" s="194">
        <f t="shared" ref="I258:Q258" si="84">I28 / - I21</f>
        <v>21.5</v>
      </c>
      <c r="J258" s="194">
        <f t="shared" si="84"/>
        <v>29.606060606060606</v>
      </c>
      <c r="K258" s="194">
        <f t="shared" si="84"/>
        <v>31.25</v>
      </c>
      <c r="L258" s="254">
        <f t="shared" si="84"/>
        <v>16.444444444444443</v>
      </c>
      <c r="M258" s="360">
        <f>-M28/M21</f>
        <v>19.575766775040147</v>
      </c>
      <c r="N258" s="360">
        <f t="shared" ref="N258:Q258" si="85">-N28/N21</f>
        <v>27.374179546601908</v>
      </c>
      <c r="O258" s="360">
        <f t="shared" si="85"/>
        <v>37.464390617175511</v>
      </c>
      <c r="P258" s="360">
        <f t="shared" si="85"/>
        <v>63.767380012112739</v>
      </c>
      <c r="Q258" s="360">
        <f t="shared" si="85"/>
        <v>93.799857750120054</v>
      </c>
    </row>
    <row r="259" spans="4:23" ht="13.75" customHeight="1" x14ac:dyDescent="0.35">
      <c r="D259" s="29" t="s">
        <v>196</v>
      </c>
      <c r="H259" s="251" t="s">
        <v>24</v>
      </c>
      <c r="I259" s="194">
        <f t="shared" ref="I259:L259" si="86">(I28 - I79) / - I21</f>
        <v>20.211111111111112</v>
      </c>
      <c r="J259" s="194">
        <f t="shared" si="86"/>
        <v>28.818181818181817</v>
      </c>
      <c r="K259" s="194">
        <f t="shared" si="86"/>
        <v>30.50925925925926</v>
      </c>
      <c r="L259" s="254">
        <f t="shared" si="86"/>
        <v>15.601851851851851</v>
      </c>
      <c r="M259" s="360">
        <f>-(M28-M79)/M21</f>
        <v>18.400632613890085</v>
      </c>
      <c r="N259" s="360">
        <f t="shared" ref="N259:Q259" si="87">-(N28-N79)/N21</f>
        <v>25.938036060704583</v>
      </c>
      <c r="O259" s="360">
        <f t="shared" si="87"/>
        <v>35.718894622924942</v>
      </c>
      <c r="P259" s="360">
        <f t="shared" si="87"/>
        <v>61.095491547981254</v>
      </c>
      <c r="Q259" s="360">
        <f t="shared" si="87"/>
        <v>90.229060437308974</v>
      </c>
    </row>
    <row r="1000" spans="648:648" ht="15.5" x14ac:dyDescent="0.35">
      <c r="XX1000" s="397">
        <v>107642</v>
      </c>
    </row>
  </sheetData>
  <sheetProtection formatCells="0" formatColumns="0" formatRows="0" insertColumns="0" insertRows="0" insertHyperlinks="0" deleteColumns="0" deleteRows="0" selectLockedCells="1" sort="0" autoFilter="0" pivotTables="0"/>
  <mergeCells count="13">
    <mergeCell ref="V250:W257"/>
    <mergeCell ref="V13:W20"/>
    <mergeCell ref="T223:U230"/>
    <mergeCell ref="T237:U244"/>
    <mergeCell ref="H182:H186"/>
    <mergeCell ref="P194:Q201"/>
    <mergeCell ref="O222:P222"/>
    <mergeCell ref="N224:Q231"/>
    <mergeCell ref="U56:Z63"/>
    <mergeCell ref="U100:Z107"/>
    <mergeCell ref="U135:Z142"/>
    <mergeCell ref="U157:Z164"/>
    <mergeCell ref="U194:Z201"/>
  </mergeCells>
  <conditionalFormatting sqref="D150:D153 D158">
    <cfRule type="expression" dxfId="6" priority="841">
      <formula>$H$6=0</formula>
    </cfRule>
  </conditionalFormatting>
  <conditionalFormatting sqref="G138 G142">
    <cfRule type="expression" dxfId="5" priority="70">
      <formula>G138=""</formula>
    </cfRule>
  </conditionalFormatting>
  <conditionalFormatting sqref="G149 L181 F183 I184 M54:Q54 M63:Q63 M67:Q67 M69:Q69 M71:Q71 M119:Q121 I169:M169 I171:M171 M59:Q59 M240:Q242 M245:Q245 M258:Q259">
    <cfRule type="expression" dxfId="2" priority="55">
      <formula>F54=""</formula>
    </cfRule>
  </conditionalFormatting>
  <hyperlinks>
    <hyperlink ref="U65" r:id="rId1" display="https://youtu.be/H-vvDy0dX4c" xr:uid="{3BE97547-9122-4B5B-AE6A-300EF1AA37BF}"/>
    <hyperlink ref="U108" r:id="rId2" display="https://youtu.be/eHsQsGj3ofM" xr:uid="{FFCE208D-13D3-4E74-872E-CB12797D0F53}"/>
    <hyperlink ref="U144" r:id="rId3" display="https://youtu.be/WxoGiOQlQKk" xr:uid="{12A2281B-33C0-43FF-B780-81116FAF3DFB}"/>
    <hyperlink ref="U165" r:id="rId4" display="https://youtu.be/nU_HilBSWT8" xr:uid="{775FE7C2-6BB9-4375-98F3-18E2584263D4}"/>
  </hyperlinks>
  <pageMargins left="0.7" right="0.7" top="0.75" bottom="0.75" header="0.3" footer="0.3"/>
  <ignoredErrors>
    <ignoredError sqref="M47:Q48 N76:Q76 N78:Q78 M77:Q77 M80:Q80 M91:Q97 M55:Q55 M112:Q115 M116:Q116 M117:Q118 M125:Q126 G139:G141 L136:M140 K141:M141 I157:M168 J194:M195 G197:G201 F220:J220 I10:L11 M10:Q11 S10:S11 M39:Q39 S32:S36 M72:Q72 M174 Q215:Q218 I237:L239 M237:Q237 I251:K252 I249 K220:P220 I224:J227 K224:K227 I244:K244 I248:K248 I240:K242 I245:K246 I250 I256:K257 I253:K255 I258:K259 L256:L257 L248 L244 L251:L252 L240:L243 L253:L255 L245:L247 L258:L259 D175 I187 I182:I183 M30:Q31 G143:G144 J174 D220 F182 K197:M197 L196:M196 M60:Q60 M37 N32:P32 N33:Q33 N34:Q34 N35:Q35 N36:Q36 M38:Q38 M83 P83:Q83 N82:Q82 N81:Q81 I185:I186 M176:M177 I181:K181 M181:N181 M102:Q109 S13 M29:Q29 M19:Q20 M12:S12 M21:S28 R19:S20 R29:S29 M14:S18 M13:R13 M50:Q51 M56:Q56 M53:Q53 M65:Q66 M61:Q62 M98:Q101 F145:G148 F175:F181 N49:Q49" unlockedFormula="1"/>
    <ignoredError sqref="N79:Q79 M52:Q52" formula="1" unlockedFormula="1"/>
    <ignoredError sqref="J249:K249 J250:K250 L249:L250" formulaRange="1" unlockedFormula="1"/>
    <ignoredError sqref="N37:Q37" evalError="1" unlockedFormula="1"/>
  </ignoredErrors>
  <drawing r:id="rId5"/>
  <extLst>
    <ext xmlns:x14="http://schemas.microsoft.com/office/spreadsheetml/2009/9/main" uri="{78C0D931-6437-407d-A8EE-F0AAD7539E65}">
      <x14:conditionalFormattings>
        <x14:conditionalFormatting xmlns:xm="http://schemas.microsoft.com/office/excel/2006/main">
          <x14:cfRule type="expression" priority="71" id="{4DC15070-DA86-40B4-916E-D0C2927DB379}">
            <xm:f>G138=CONDFORM!G138</xm:f>
            <x14:dxf>
              <fill>
                <patternFill>
                  <bgColor theme="9" tint="0.79998168889431442"/>
                </patternFill>
              </fill>
            </x14:dxf>
          </x14:cfRule>
          <x14:cfRule type="expression" priority="72" id="{A33F4763-175E-44E2-9489-84740E87361F}">
            <xm:f>G138&lt;&gt;CONDFORM!$S$12</xm:f>
            <x14:dxf>
              <fill>
                <patternFill>
                  <bgColor rgb="FFF4DCDC"/>
                </patternFill>
              </fill>
            </x14:dxf>
          </x14:cfRule>
          <xm:sqref>G138 G142</xm:sqref>
        </x14:conditionalFormatting>
        <x14:conditionalFormatting xmlns:xm="http://schemas.microsoft.com/office/excel/2006/main">
          <x14:cfRule type="expression" priority="56" id="{168AE452-20F1-422B-8654-E79FF887810C}">
            <xm:f>F54=CONDFORM!F54</xm:f>
            <x14:dxf>
              <fill>
                <patternFill>
                  <bgColor theme="9" tint="0.79998168889431442"/>
                </patternFill>
              </fill>
            </x14:dxf>
          </x14:cfRule>
          <x14:cfRule type="expression" priority="57" id="{F2DC6788-5B22-4D94-95A4-EBAB08989755}">
            <xm:f>F54&lt;&gt;CONDFORM!F54</xm:f>
            <x14:dxf>
              <fill>
                <patternFill>
                  <bgColor rgb="FFF4DCDC"/>
                </patternFill>
              </fill>
            </x14:dxf>
          </x14:cfRule>
          <xm:sqref>G149 L181 F183 I184 M54:Q54 M63:Q63 M67:Q67 M69:Q69 M71:Q71 M119:Q121 I169:M169 I171:M171 M59:Q59 M240:Q242 M245:Q245 M258:Q259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A9DB772-173E-4F7B-9A3D-4125138DB1FA}">
          <x14:formula1>
            <xm:f>CONDFORM!$W$12:$W$14</xm:f>
          </x14:formula1>
          <xm:sqref>O222:P222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50BE-7803-4A8C-B61C-9F1D6BE703C0}">
  <dimension ref="B4:Z259"/>
  <sheetViews>
    <sheetView showGridLines="0" topLeftCell="A209" zoomScale="85" zoomScaleNormal="85" workbookViewId="0">
      <selection activeCell="AJ222" sqref="AJ222"/>
    </sheetView>
  </sheetViews>
  <sheetFormatPr defaultColWidth="9.08984375" defaultRowHeight="14.5" x14ac:dyDescent="0.35"/>
  <cols>
    <col min="1" max="1" width="9.08984375" style="1" customWidth="1"/>
    <col min="2" max="2" width="9.08984375" style="34" hidden="1" customWidth="1"/>
    <col min="3" max="3" width="3.6328125" style="1" hidden="1" customWidth="1"/>
    <col min="4" max="7" width="13.6328125" style="1" hidden="1" customWidth="1"/>
    <col min="8" max="8" width="5.6328125" style="1" hidden="1" customWidth="1"/>
    <col min="9" max="17" width="13.54296875" style="1" hidden="1" customWidth="1"/>
    <col min="18" max="18" width="1.6328125" style="1" hidden="1" customWidth="1"/>
    <col min="19" max="19" width="7.6328125" style="1" hidden="1" customWidth="1"/>
    <col min="20" max="20" width="16.90625" style="1" hidden="1" customWidth="1"/>
    <col min="21" max="26" width="9.08984375" style="1" hidden="1" customWidth="1"/>
    <col min="27" max="30" width="0" style="1" hidden="1" customWidth="1"/>
    <col min="31" max="16384" width="9.08984375" style="1"/>
  </cols>
  <sheetData>
    <row r="4" spans="2:23" ht="17.5" thickBot="1" x14ac:dyDescent="0.45">
      <c r="D4" s="2" t="s">
        <v>0</v>
      </c>
      <c r="E4" s="3"/>
      <c r="F4" s="3"/>
      <c r="G4" s="4"/>
      <c r="U4"/>
    </row>
    <row r="5" spans="2:23" ht="15" thickTop="1" x14ac:dyDescent="0.35">
      <c r="D5" s="5" t="s">
        <v>1</v>
      </c>
      <c r="E5" s="6"/>
      <c r="F5" s="6"/>
      <c r="G5" s="7"/>
      <c r="H5" s="8"/>
      <c r="I5" s="8"/>
      <c r="J5" s="8"/>
      <c r="K5" s="8"/>
      <c r="L5" s="8"/>
      <c r="M5" s="8"/>
      <c r="N5" s="8"/>
      <c r="O5" s="8"/>
      <c r="P5" s="8"/>
      <c r="Q5" s="8"/>
      <c r="R5" s="8"/>
      <c r="S5" s="8"/>
    </row>
    <row r="7" spans="2:23" s="311" customFormat="1" ht="17.5" thickBot="1" x14ac:dyDescent="0.45">
      <c r="B7" s="310" t="s">
        <v>2</v>
      </c>
      <c r="D7" s="314" t="s">
        <v>3</v>
      </c>
      <c r="E7" s="312"/>
      <c r="F7" s="312"/>
      <c r="G7" s="313"/>
    </row>
    <row r="9" spans="2:23" x14ac:dyDescent="0.35">
      <c r="B9" s="307"/>
      <c r="C9" s="9"/>
      <c r="D9" s="10" t="s">
        <v>3</v>
      </c>
      <c r="E9" s="10"/>
      <c r="F9" s="10"/>
      <c r="G9" s="10"/>
      <c r="H9" s="11"/>
      <c r="I9" s="12" t="s">
        <v>4</v>
      </c>
      <c r="J9" s="13"/>
      <c r="K9" s="13"/>
      <c r="L9" s="14"/>
      <c r="M9" s="15" t="s">
        <v>5</v>
      </c>
      <c r="N9" s="15"/>
      <c r="O9" s="15"/>
      <c r="P9" s="15"/>
      <c r="Q9" s="15"/>
      <c r="S9" s="16" t="s">
        <v>6</v>
      </c>
    </row>
    <row r="10" spans="2:23" x14ac:dyDescent="0.35">
      <c r="D10" s="17" t="s">
        <v>7</v>
      </c>
      <c r="E10" s="18"/>
      <c r="F10" s="18"/>
      <c r="G10" s="18"/>
      <c r="H10" s="19" t="s">
        <v>8</v>
      </c>
      <c r="I10" s="20">
        <f>J10-1</f>
        <v>2019</v>
      </c>
      <c r="J10" s="21">
        <f>K10-1</f>
        <v>2020</v>
      </c>
      <c r="K10" s="21">
        <f>L10-1</f>
        <v>2021</v>
      </c>
      <c r="L10" s="22">
        <v>2022</v>
      </c>
      <c r="M10" s="23">
        <f>L10+1</f>
        <v>2023</v>
      </c>
      <c r="N10" s="24">
        <f>M10+1</f>
        <v>2024</v>
      </c>
      <c r="O10" s="24">
        <f>N10+1</f>
        <v>2025</v>
      </c>
      <c r="P10" s="24">
        <f>O10+1</f>
        <v>2026</v>
      </c>
      <c r="Q10" s="24">
        <f>P10+1</f>
        <v>2027</v>
      </c>
      <c r="S10" s="25" t="str">
        <f>L10&amp;" - "&amp;Q10</f>
        <v>2022 - 2027</v>
      </c>
    </row>
    <row r="11" spans="2:23" ht="3.9" customHeight="1" x14ac:dyDescent="0.35">
      <c r="H11" s="26"/>
    </row>
    <row r="12" spans="2:23" x14ac:dyDescent="0.35">
      <c r="D12" s="1" t="s">
        <v>9</v>
      </c>
      <c r="H12" s="19" t="s">
        <v>10</v>
      </c>
      <c r="I12" s="27">
        <v>6489</v>
      </c>
      <c r="J12" s="27">
        <v>8086</v>
      </c>
      <c r="K12" s="27">
        <v>8803</v>
      </c>
      <c r="L12" s="338">
        <v>9657</v>
      </c>
      <c r="M12" s="323">
        <f>L12 * (1 + M32)</f>
        <v>11105.55</v>
      </c>
      <c r="N12" s="261">
        <f>M12 * (1 + N32)</f>
        <v>12632.563124999999</v>
      </c>
      <c r="O12" s="261">
        <f>N12 * (1 + O32)</f>
        <v>14211.633515624999</v>
      </c>
      <c r="P12" s="261">
        <f>O12 * (1 + P32)</f>
        <v>15810.442286132811</v>
      </c>
      <c r="Q12" s="261">
        <f>P12 * (1 + Q32)</f>
        <v>17391.486514746095</v>
      </c>
      <c r="S12" s="326">
        <f>RATE($Q$10-$L$10,,L12,-Q12)</f>
        <v>0.12486109052905012</v>
      </c>
      <c r="W12" s="1" t="s">
        <v>221</v>
      </c>
    </row>
    <row r="13" spans="2:23" x14ac:dyDescent="0.35">
      <c r="D13" s="29" t="s">
        <v>11</v>
      </c>
      <c r="E13" s="29"/>
      <c r="F13" s="29"/>
      <c r="G13" s="29"/>
      <c r="H13" s="19" t="s">
        <v>10</v>
      </c>
      <c r="I13" s="30">
        <v>2094</v>
      </c>
      <c r="J13" s="30">
        <v>2260</v>
      </c>
      <c r="K13" s="30">
        <v>2317</v>
      </c>
      <c r="L13" s="30">
        <v>2222</v>
      </c>
      <c r="M13" s="324">
        <f>M33 * M12</f>
        <v>3553.7759999999998</v>
      </c>
      <c r="N13" s="262">
        <f>N33 * N12</f>
        <v>3916.0945687499998</v>
      </c>
      <c r="O13" s="262">
        <f>O33 * O12</f>
        <v>4263.4900546874997</v>
      </c>
      <c r="P13" s="262">
        <f>P33 * P12</f>
        <v>4585.0282629785152</v>
      </c>
      <c r="Q13" s="262">
        <f>Q33 * Q12</f>
        <v>4869.6162241289057</v>
      </c>
      <c r="W13" s="1" t="s">
        <v>223</v>
      </c>
    </row>
    <row r="14" spans="2:23" x14ac:dyDescent="0.35">
      <c r="D14" s="31" t="s">
        <v>12</v>
      </c>
      <c r="E14" s="31"/>
      <c r="F14" s="31"/>
      <c r="G14" s="31"/>
      <c r="H14" s="32" t="s">
        <v>10</v>
      </c>
      <c r="I14" s="33">
        <v>4395</v>
      </c>
      <c r="J14" s="33">
        <v>5826</v>
      </c>
      <c r="K14" s="33">
        <v>6486</v>
      </c>
      <c r="L14" s="33">
        <v>5306</v>
      </c>
      <c r="M14" s="265">
        <f>M12 - M13</f>
        <v>7551.7739999999994</v>
      </c>
      <c r="N14" s="264">
        <f t="shared" ref="N14:Q14" si="0">N12 - N13</f>
        <v>8716.4685562499981</v>
      </c>
      <c r="O14" s="264">
        <f t="shared" si="0"/>
        <v>9948.1434609374992</v>
      </c>
      <c r="P14" s="264">
        <f t="shared" si="0"/>
        <v>11225.414023154295</v>
      </c>
      <c r="Q14" s="264">
        <f t="shared" si="0"/>
        <v>12521.870290617189</v>
      </c>
      <c r="R14" s="34"/>
      <c r="S14" s="34"/>
      <c r="T14" s="34"/>
      <c r="W14" s="1" t="s">
        <v>225</v>
      </c>
    </row>
    <row r="15" spans="2:23" ht="6.15" customHeight="1" x14ac:dyDescent="0.35">
      <c r="D15" s="34"/>
      <c r="E15" s="34"/>
      <c r="F15" s="34"/>
      <c r="G15" s="34"/>
      <c r="H15" s="19"/>
      <c r="I15" s="35"/>
      <c r="J15" s="35"/>
      <c r="K15" s="35"/>
      <c r="L15" s="36"/>
      <c r="M15" s="37"/>
      <c r="N15" s="37"/>
      <c r="O15" s="37"/>
      <c r="P15" s="37"/>
      <c r="Q15" s="37"/>
      <c r="S15" s="34"/>
      <c r="T15" s="34"/>
    </row>
    <row r="16" spans="2:23" x14ac:dyDescent="0.35">
      <c r="D16" s="29" t="s">
        <v>13</v>
      </c>
      <c r="E16" s="29"/>
      <c r="F16" s="29"/>
      <c r="G16" s="29"/>
      <c r="H16" s="19" t="s">
        <v>10</v>
      </c>
      <c r="I16" s="27">
        <v>998</v>
      </c>
      <c r="J16" s="27">
        <v>1150</v>
      </c>
      <c r="K16" s="27">
        <v>1337</v>
      </c>
      <c r="L16" s="30">
        <v>1421</v>
      </c>
      <c r="M16" s="323">
        <f>M34 * M$12</f>
        <v>2554.2764999999999</v>
      </c>
      <c r="N16" s="261">
        <f t="shared" ref="M16:Q17" si="1">N34 * N$12</f>
        <v>2741.2661981249998</v>
      </c>
      <c r="O16" s="261">
        <f t="shared" si="1"/>
        <v>2899.1732371874996</v>
      </c>
      <c r="P16" s="261">
        <f t="shared" si="1"/>
        <v>3019.7944766513665</v>
      </c>
      <c r="Q16" s="261">
        <f t="shared" si="1"/>
        <v>3095.6845996248044</v>
      </c>
      <c r="S16" s="34"/>
      <c r="T16" s="34"/>
    </row>
    <row r="17" spans="2:21" x14ac:dyDescent="0.35">
      <c r="D17" s="29" t="s">
        <v>14</v>
      </c>
      <c r="E17" s="29"/>
      <c r="F17" s="29"/>
      <c r="G17" s="29"/>
      <c r="H17" s="19" t="s">
        <v>10</v>
      </c>
      <c r="I17" s="27">
        <v>1790</v>
      </c>
      <c r="J17" s="27">
        <v>1942</v>
      </c>
      <c r="K17" s="27">
        <v>1890</v>
      </c>
      <c r="L17" s="30">
        <v>2215</v>
      </c>
      <c r="M17" s="324">
        <f t="shared" si="1"/>
        <v>2765.2819499999996</v>
      </c>
      <c r="N17" s="262">
        <f t="shared" si="1"/>
        <v>3019.1825868749997</v>
      </c>
      <c r="O17" s="262">
        <f t="shared" si="1"/>
        <v>3254.4640750781246</v>
      </c>
      <c r="P17" s="262">
        <f t="shared" si="1"/>
        <v>3462.4868606630853</v>
      </c>
      <c r="Q17" s="262">
        <f t="shared" si="1"/>
        <v>3634.8206815819331</v>
      </c>
      <c r="S17" s="34"/>
      <c r="T17" s="34"/>
    </row>
    <row r="18" spans="2:21" x14ac:dyDescent="0.35">
      <c r="D18" s="39" t="s">
        <v>15</v>
      </c>
      <c r="E18" s="39"/>
      <c r="F18" s="39"/>
      <c r="G18" s="39"/>
      <c r="H18" s="32" t="s">
        <v>10</v>
      </c>
      <c r="I18" s="33">
        <v>1607</v>
      </c>
      <c r="J18" s="33">
        <v>2734</v>
      </c>
      <c r="K18" s="33">
        <v>3259</v>
      </c>
      <c r="L18" s="33">
        <v>1670</v>
      </c>
      <c r="M18" s="265">
        <f t="shared" ref="M18:Q18" si="2">M14 - SUM(M16:M17)</f>
        <v>2232.2155499999999</v>
      </c>
      <c r="N18" s="264">
        <f t="shared" si="2"/>
        <v>2956.0197712499985</v>
      </c>
      <c r="O18" s="264">
        <f t="shared" si="2"/>
        <v>3794.5061486718751</v>
      </c>
      <c r="P18" s="264">
        <f t="shared" si="2"/>
        <v>4743.1326858398434</v>
      </c>
      <c r="Q18" s="264">
        <f t="shared" si="2"/>
        <v>5791.3650094104523</v>
      </c>
      <c r="S18" s="34"/>
      <c r="T18" s="34"/>
    </row>
    <row r="19" spans="2:21" ht="6.15" customHeight="1" x14ac:dyDescent="0.35">
      <c r="D19" s="34"/>
      <c r="E19" s="34"/>
      <c r="F19" s="34"/>
      <c r="G19" s="34"/>
      <c r="H19" s="19"/>
      <c r="I19" s="35"/>
      <c r="J19" s="35"/>
      <c r="K19" s="35"/>
      <c r="L19" s="36"/>
      <c r="M19" s="37"/>
      <c r="N19" s="37"/>
      <c r="O19" s="37"/>
      <c r="P19" s="37"/>
      <c r="Q19" s="37"/>
      <c r="S19" s="34"/>
      <c r="T19" s="34"/>
    </row>
    <row r="20" spans="2:21" x14ac:dyDescent="0.35">
      <c r="D20" s="29" t="s">
        <v>16</v>
      </c>
      <c r="E20" s="34"/>
      <c r="F20" s="34"/>
      <c r="G20" s="34"/>
      <c r="H20" s="19" t="s">
        <v>10</v>
      </c>
      <c r="I20" s="27">
        <v>116.00000000000014</v>
      </c>
      <c r="J20" s="27">
        <v>-19</v>
      </c>
      <c r="K20" s="27">
        <v>13</v>
      </c>
      <c r="L20" s="28">
        <v>182</v>
      </c>
      <c r="M20" s="38">
        <v>70</v>
      </c>
      <c r="N20" s="38">
        <v>70</v>
      </c>
      <c r="O20" s="38">
        <v>70</v>
      </c>
      <c r="P20" s="38">
        <v>70</v>
      </c>
      <c r="Q20" s="38">
        <v>70</v>
      </c>
      <c r="S20" s="34"/>
      <c r="T20" s="34"/>
    </row>
    <row r="21" spans="2:21" x14ac:dyDescent="0.35">
      <c r="D21" s="29" t="s">
        <v>17</v>
      </c>
      <c r="E21" s="29"/>
      <c r="F21" s="29"/>
      <c r="G21" s="29"/>
      <c r="H21" s="19" t="s">
        <v>10</v>
      </c>
      <c r="I21" s="27">
        <v>-90</v>
      </c>
      <c r="J21" s="27">
        <v>-99</v>
      </c>
      <c r="K21" s="27">
        <v>-108</v>
      </c>
      <c r="L21" s="30">
        <v>-108</v>
      </c>
      <c r="M21" s="324">
        <f>M38 *  - M65</f>
        <v>-127.645</v>
      </c>
      <c r="N21" s="262">
        <f>N38 *  - N65</f>
        <v>-118.80776654666298</v>
      </c>
      <c r="O21" s="262">
        <f>O38 *  - O65</f>
        <v>-109.97053309332595</v>
      </c>
      <c r="P21" s="262">
        <f>P38 *  - P65</f>
        <v>-79.923939351980067</v>
      </c>
      <c r="Q21" s="262">
        <f>Q38 *  - Q65</f>
        <v>-65.784365826640823</v>
      </c>
      <c r="S21" s="34"/>
      <c r="T21" s="34"/>
    </row>
    <row r="22" spans="2:21" x14ac:dyDescent="0.35">
      <c r="D22" s="40" t="s">
        <v>18</v>
      </c>
      <c r="E22" s="40"/>
      <c r="F22" s="40"/>
      <c r="G22" s="40"/>
      <c r="H22" s="32" t="s">
        <v>10</v>
      </c>
      <c r="I22" s="33">
        <v>1633.0000000000002</v>
      </c>
      <c r="J22" s="33">
        <v>2616</v>
      </c>
      <c r="K22" s="33">
        <v>3164</v>
      </c>
      <c r="L22" s="33">
        <v>1744</v>
      </c>
      <c r="M22" s="265">
        <f t="shared" ref="M22:Q22" si="3">M18 + M20 + M21</f>
        <v>2174.5705499999999</v>
      </c>
      <c r="N22" s="378">
        <v>2907.212004703335</v>
      </c>
      <c r="O22" s="264">
        <f t="shared" si="3"/>
        <v>3754.5356155785489</v>
      </c>
      <c r="P22" s="264">
        <f t="shared" si="3"/>
        <v>4733.2087464878632</v>
      </c>
      <c r="Q22" s="264">
        <f t="shared" si="3"/>
        <v>5795.5806435838113</v>
      </c>
      <c r="S22" s="34"/>
      <c r="T22" s="34"/>
    </row>
    <row r="23" spans="2:21" x14ac:dyDescent="0.35">
      <c r="D23" s="29" t="s">
        <v>19</v>
      </c>
      <c r="E23" s="29"/>
      <c r="F23" s="29"/>
      <c r="G23" s="29"/>
      <c r="H23" s="19" t="s">
        <v>10</v>
      </c>
      <c r="I23" s="30">
        <v>-130</v>
      </c>
      <c r="J23" s="30">
        <v>-419</v>
      </c>
      <c r="K23" s="30">
        <v>-465</v>
      </c>
      <c r="L23" s="30">
        <v>-231</v>
      </c>
      <c r="M23" s="324">
        <f>-M22*M39</f>
        <v>-456.65981549999998</v>
      </c>
      <c r="N23" s="262">
        <f>-N22*N39</f>
        <v>-610.51452098770028</v>
      </c>
      <c r="O23" s="262">
        <f>-O22*O39</f>
        <v>-788.45247927149524</v>
      </c>
      <c r="P23" s="262">
        <f>-P22*P39</f>
        <v>-993.97383676245124</v>
      </c>
      <c r="Q23" s="262">
        <f>-Q22*Q39</f>
        <v>-1217.0719351526004</v>
      </c>
      <c r="S23" s="34"/>
      <c r="T23" s="34"/>
    </row>
    <row r="24" spans="2:21" ht="15" thickBot="1" x14ac:dyDescent="0.4">
      <c r="D24" s="41" t="s">
        <v>20</v>
      </c>
      <c r="E24" s="41"/>
      <c r="F24" s="41"/>
      <c r="G24" s="41"/>
      <c r="H24" s="42" t="s">
        <v>10</v>
      </c>
      <c r="I24" s="43">
        <v>1503.0000000000002</v>
      </c>
      <c r="J24" s="43">
        <v>2197</v>
      </c>
      <c r="K24" s="43">
        <v>2699</v>
      </c>
      <c r="L24" s="43">
        <v>1513</v>
      </c>
      <c r="M24" s="318">
        <f t="shared" ref="M24:Q24" si="4">M22 + M23</f>
        <v>1717.9107345</v>
      </c>
      <c r="N24" s="260">
        <f t="shared" si="4"/>
        <v>2296.6974837156349</v>
      </c>
      <c r="O24" s="260">
        <f t="shared" si="4"/>
        <v>2966.0831363070538</v>
      </c>
      <c r="P24" s="260">
        <f t="shared" si="4"/>
        <v>3739.2349097254119</v>
      </c>
      <c r="Q24" s="260">
        <f t="shared" si="4"/>
        <v>4578.5087084312108</v>
      </c>
      <c r="S24" s="34"/>
      <c r="T24" s="34"/>
    </row>
    <row r="25" spans="2:21" ht="15.75" customHeight="1" thickTop="1" x14ac:dyDescent="0.35">
      <c r="L25" s="44"/>
      <c r="S25" s="34"/>
      <c r="T25" s="34"/>
    </row>
    <row r="26" spans="2:21" x14ac:dyDescent="0.35">
      <c r="D26" s="1" t="s">
        <v>21</v>
      </c>
      <c r="H26" s="19" t="s">
        <v>10</v>
      </c>
      <c r="I26" s="45">
        <v>1607</v>
      </c>
      <c r="J26" s="45">
        <v>2734</v>
      </c>
      <c r="K26" s="45">
        <v>3259</v>
      </c>
      <c r="L26" s="45">
        <v>1670</v>
      </c>
      <c r="M26" s="323">
        <f>M18</f>
        <v>2232.2155499999999</v>
      </c>
      <c r="N26" s="261">
        <f t="shared" ref="N26:Q26" si="5">N18</f>
        <v>2956.0197712499985</v>
      </c>
      <c r="O26" s="261">
        <f t="shared" si="5"/>
        <v>3794.5061486718751</v>
      </c>
      <c r="P26" s="261">
        <f t="shared" si="5"/>
        <v>4743.1326858398434</v>
      </c>
      <c r="Q26" s="261">
        <f t="shared" si="5"/>
        <v>5791.3650094104523</v>
      </c>
      <c r="S26" s="34"/>
      <c r="T26" s="34"/>
    </row>
    <row r="27" spans="2:21" x14ac:dyDescent="0.35">
      <c r="D27" s="29" t="s">
        <v>22</v>
      </c>
      <c r="H27" s="19" t="s">
        <v>10</v>
      </c>
      <c r="I27" s="46">
        <v>328</v>
      </c>
      <c r="J27" s="46">
        <v>197</v>
      </c>
      <c r="K27" s="46">
        <v>116</v>
      </c>
      <c r="L27" s="46">
        <v>106</v>
      </c>
      <c r="M27" s="323">
        <f>M36 * M$12</f>
        <v>266.53319999999997</v>
      </c>
      <c r="N27" s="261">
        <f>N36 * N$12</f>
        <v>296.24536172911752</v>
      </c>
      <c r="O27" s="261">
        <f>O36 * O$12</f>
        <v>325.47285951551441</v>
      </c>
      <c r="P27" s="261">
        <f>P36 * P$12</f>
        <v>353.40752688292093</v>
      </c>
      <c r="Q27" s="261">
        <f>Q36 * Q$12</f>
        <v>379.19914731031537</v>
      </c>
      <c r="S27" s="34"/>
      <c r="T27" s="34"/>
    </row>
    <row r="28" spans="2:21" x14ac:dyDescent="0.35">
      <c r="D28" s="47" t="s">
        <v>23</v>
      </c>
      <c r="E28" s="47"/>
      <c r="F28" s="47"/>
      <c r="G28" s="47"/>
      <c r="H28" s="48" t="s">
        <v>10</v>
      </c>
      <c r="I28" s="266">
        <v>1935</v>
      </c>
      <c r="J28" s="266">
        <v>2931</v>
      </c>
      <c r="K28" s="266">
        <v>3375</v>
      </c>
      <c r="L28" s="266">
        <v>1776</v>
      </c>
      <c r="M28" s="265">
        <f>SUM(M26:M27)</f>
        <v>2498.7487499999997</v>
      </c>
      <c r="N28" s="264">
        <f t="shared" ref="N28:Q28" si="6">SUM(N26:N27)</f>
        <v>3252.2651329791161</v>
      </c>
      <c r="O28" s="264">
        <f t="shared" si="6"/>
        <v>4119.9790081873898</v>
      </c>
      <c r="P28" s="264">
        <f t="shared" si="6"/>
        <v>5096.5402127227644</v>
      </c>
      <c r="Q28" s="264">
        <f t="shared" si="6"/>
        <v>6170.5641567207676</v>
      </c>
      <c r="R28" s="34"/>
      <c r="S28" s="34"/>
      <c r="T28" s="34"/>
    </row>
    <row r="29" spans="2:21" customFormat="1" x14ac:dyDescent="0.35">
      <c r="B29" s="308" t="s">
        <v>24</v>
      </c>
      <c r="C29" s="49"/>
      <c r="D29" s="1"/>
      <c r="E29" s="1"/>
      <c r="F29" s="1"/>
      <c r="G29" s="1"/>
      <c r="L29" s="50"/>
      <c r="T29" s="1"/>
      <c r="U29" s="1"/>
    </row>
    <row r="30" spans="2:21" customFormat="1" x14ac:dyDescent="0.35">
      <c r="B30" s="34"/>
      <c r="C30" s="1"/>
      <c r="D30" s="51" t="s">
        <v>25</v>
      </c>
      <c r="E30" s="51"/>
      <c r="F30" s="51"/>
      <c r="G30" s="51"/>
      <c r="H30" s="19" t="s">
        <v>8</v>
      </c>
      <c r="L30" s="50"/>
      <c r="T30" s="1"/>
      <c r="U30" s="1"/>
    </row>
    <row r="31" spans="2:21" ht="3.9" customHeight="1" x14ac:dyDescent="0.35">
      <c r="H31" s="26"/>
      <c r="L31" s="52">
        <v>0</v>
      </c>
      <c r="S31" s="16" t="s">
        <v>26</v>
      </c>
    </row>
    <row r="32" spans="2:21" x14ac:dyDescent="0.35">
      <c r="D32" s="53" t="s">
        <v>27</v>
      </c>
      <c r="E32" s="53"/>
      <c r="F32" s="53"/>
      <c r="G32" s="53"/>
      <c r="H32" s="54" t="s">
        <v>28</v>
      </c>
      <c r="I32" s="55"/>
      <c r="J32" s="56">
        <v>0.24610879950685782</v>
      </c>
      <c r="K32" s="56">
        <v>8.8671778382389377E-2</v>
      </c>
      <c r="L32" s="337">
        <v>9.7012382142451337E-2</v>
      </c>
      <c r="M32" s="339">
        <v>0.15</v>
      </c>
      <c r="N32" s="58">
        <f t="shared" ref="N32:Q36" si="7">M32 + $S32</f>
        <v>0.13750000000000001</v>
      </c>
      <c r="O32" s="58">
        <f t="shared" si="7"/>
        <v>0.125</v>
      </c>
      <c r="P32" s="58">
        <f t="shared" si="7"/>
        <v>0.1125</v>
      </c>
      <c r="Q32" s="339">
        <v>0.1</v>
      </c>
      <c r="R32" s="59"/>
      <c r="S32" s="60">
        <f xml:space="preserve"> (M32 - Q32) / - 4</f>
        <v>-1.2499999999999997E-2</v>
      </c>
    </row>
    <row r="33" spans="2:19" x14ac:dyDescent="0.35">
      <c r="D33" s="53" t="s">
        <v>29</v>
      </c>
      <c r="E33" s="53"/>
      <c r="F33" s="53"/>
      <c r="G33" s="53"/>
      <c r="H33" s="54" t="s">
        <v>28</v>
      </c>
      <c r="I33" s="56">
        <v>0.32269995376791494</v>
      </c>
      <c r="J33" s="56">
        <v>0.27949542418995793</v>
      </c>
      <c r="K33" s="56">
        <v>0.2632057253209133</v>
      </c>
      <c r="L33" s="57">
        <v>0.29516471838469716</v>
      </c>
      <c r="M33" s="339">
        <v>0.32</v>
      </c>
      <c r="N33" s="58">
        <f t="shared" si="7"/>
        <v>0.31</v>
      </c>
      <c r="O33" s="58">
        <f t="shared" si="7"/>
        <v>0.3</v>
      </c>
      <c r="P33" s="58">
        <f t="shared" si="7"/>
        <v>0.28999999999999998</v>
      </c>
      <c r="Q33" s="58">
        <f t="shared" si="7"/>
        <v>0.27999999999999997</v>
      </c>
      <c r="R33" s="59"/>
      <c r="S33" s="60">
        <v>-0.01</v>
      </c>
    </row>
    <row r="34" spans="2:19" x14ac:dyDescent="0.35">
      <c r="D34" s="53" t="s">
        <v>30</v>
      </c>
      <c r="E34" s="53"/>
      <c r="F34" s="53"/>
      <c r="G34" s="53"/>
      <c r="H34" s="54" t="s">
        <v>28</v>
      </c>
      <c r="I34" s="56">
        <v>0.15379873632300817</v>
      </c>
      <c r="J34" s="56">
        <v>0.14222112292851843</v>
      </c>
      <c r="K34" s="56">
        <v>0.15188004089514939</v>
      </c>
      <c r="L34" s="57">
        <v>0.18876195536663123</v>
      </c>
      <c r="M34" s="340">
        <v>0.23</v>
      </c>
      <c r="N34" s="61">
        <f>M34 + $S34</f>
        <v>0.217</v>
      </c>
      <c r="O34" s="61">
        <f t="shared" si="7"/>
        <v>0.20399999999999999</v>
      </c>
      <c r="P34" s="61">
        <f t="shared" si="7"/>
        <v>0.19099999999999998</v>
      </c>
      <c r="Q34" s="61">
        <f t="shared" si="7"/>
        <v>0.17799999999999996</v>
      </c>
      <c r="R34" s="59"/>
      <c r="S34" s="60">
        <v>-1.2999999999999999E-2</v>
      </c>
    </row>
    <row r="35" spans="2:19" x14ac:dyDescent="0.35">
      <c r="D35" s="53" t="s">
        <v>31</v>
      </c>
      <c r="E35" s="53"/>
      <c r="F35" s="53"/>
      <c r="G35" s="53"/>
      <c r="H35" s="54" t="s">
        <v>28</v>
      </c>
      <c r="I35" s="56">
        <v>0.27585144089998459</v>
      </c>
      <c r="J35" s="56">
        <v>0.24016819193668068</v>
      </c>
      <c r="K35" s="56">
        <v>0.2146995342496876</v>
      </c>
      <c r="L35" s="57">
        <v>0.29423485653560044</v>
      </c>
      <c r="M35" s="341">
        <v>0.249</v>
      </c>
      <c r="N35" s="63">
        <f>M35 + $S35</f>
        <v>0.23899999999999999</v>
      </c>
      <c r="O35" s="63">
        <f t="shared" si="7"/>
        <v>0.22899999999999998</v>
      </c>
      <c r="P35" s="63">
        <f t="shared" si="7"/>
        <v>0.21899999999999997</v>
      </c>
      <c r="Q35" s="63">
        <f t="shared" si="7"/>
        <v>0.20899999999999996</v>
      </c>
      <c r="R35" s="59"/>
      <c r="S35" s="60">
        <v>-0.01</v>
      </c>
    </row>
    <row r="36" spans="2:19" x14ac:dyDescent="0.35">
      <c r="D36" s="53" t="s">
        <v>32</v>
      </c>
      <c r="E36" s="53"/>
      <c r="F36" s="53"/>
      <c r="G36" s="53"/>
      <c r="H36" s="54" t="s">
        <v>28</v>
      </c>
      <c r="I36" s="56">
        <v>5.0547079673293263E-2</v>
      </c>
      <c r="J36" s="56">
        <v>2.4363096710363592E-2</v>
      </c>
      <c r="K36" s="56">
        <v>1.3177325911621037E-2</v>
      </c>
      <c r="L36" s="57">
        <v>1.40807651434644E-2</v>
      </c>
      <c r="M36" s="341">
        <v>2.4E-2</v>
      </c>
      <c r="N36" s="63">
        <f>M36 + $S36</f>
        <v>2.3450930646279081E-2</v>
      </c>
      <c r="O36" s="63">
        <f t="shared" si="7"/>
        <v>2.2901861292558161E-2</v>
      </c>
      <c r="P36" s="63">
        <f t="shared" si="7"/>
        <v>2.2352791938837241E-2</v>
      </c>
      <c r="Q36" s="63">
        <f t="shared" si="7"/>
        <v>2.1803722585116321E-2</v>
      </c>
      <c r="R36" s="59"/>
      <c r="S36" s="60">
        <v>-5.4906935372091899E-4</v>
      </c>
    </row>
    <row r="37" spans="2:19" x14ac:dyDescent="0.35">
      <c r="D37" s="53" t="s">
        <v>33</v>
      </c>
      <c r="E37" s="53"/>
      <c r="F37" s="53"/>
      <c r="G37" s="53"/>
      <c r="H37" s="54"/>
      <c r="I37" s="56">
        <v>2.8275862068965516</v>
      </c>
      <c r="J37" s="56">
        <v>2.5256410256410255</v>
      </c>
      <c r="K37" s="56">
        <v>1.45</v>
      </c>
      <c r="L37" s="57">
        <v>1.1648351648351649</v>
      </c>
      <c r="M37" s="64">
        <f t="shared" ref="M37:Q37" si="8">M27 / M79</f>
        <v>1.7768879999999998</v>
      </c>
      <c r="N37" s="63">
        <f t="shared" si="8"/>
        <v>1.7362365522585643</v>
      </c>
      <c r="O37" s="63">
        <f t="shared" si="8"/>
        <v>1.6955851045171284</v>
      </c>
      <c r="P37" s="63">
        <f t="shared" si="8"/>
        <v>1.6549336567756927</v>
      </c>
      <c r="Q37" s="63">
        <f t="shared" si="8"/>
        <v>1.6142822090342568</v>
      </c>
      <c r="R37" s="59"/>
      <c r="S37" s="65"/>
    </row>
    <row r="38" spans="2:19" x14ac:dyDescent="0.35">
      <c r="D38" s="53" t="s">
        <v>34</v>
      </c>
      <c r="E38" s="53"/>
      <c r="F38" s="53"/>
      <c r="G38" s="53"/>
      <c r="H38" s="54" t="s">
        <v>28</v>
      </c>
      <c r="I38" s="64">
        <v>3.3644859813084113E-2</v>
      </c>
      <c r="J38" s="64">
        <v>2.7461858529819694E-2</v>
      </c>
      <c r="K38" s="64">
        <v>2.9933481152993349E-2</v>
      </c>
      <c r="L38" s="66">
        <v>2.9908612572694546E-2</v>
      </c>
      <c r="M38" s="341">
        <f>M141</f>
        <v>3.5348933813348103E-2</v>
      </c>
      <c r="N38" s="63">
        <f>M38</f>
        <v>3.5348933813348103E-2</v>
      </c>
      <c r="O38" s="63">
        <f t="shared" ref="O38:Q38" si="9">N38</f>
        <v>3.5348933813348103E-2</v>
      </c>
      <c r="P38" s="63">
        <f t="shared" si="9"/>
        <v>3.5348933813348103E-2</v>
      </c>
      <c r="Q38" s="63">
        <f t="shared" si="9"/>
        <v>3.5348933813348103E-2</v>
      </c>
      <c r="R38" s="59"/>
      <c r="S38" s="59"/>
    </row>
    <row r="39" spans="2:19" x14ac:dyDescent="0.35">
      <c r="D39" s="53" t="s">
        <v>35</v>
      </c>
      <c r="E39" s="53"/>
      <c r="F39" s="53"/>
      <c r="G39" s="53"/>
      <c r="H39" s="54" t="s">
        <v>28</v>
      </c>
      <c r="I39" s="56">
        <v>7.9608083282302497E-2</v>
      </c>
      <c r="J39" s="56">
        <v>0.16016819571865443</v>
      </c>
      <c r="K39" s="56">
        <v>0.14696586599241465</v>
      </c>
      <c r="L39" s="57">
        <v>0.13245412844036697</v>
      </c>
      <c r="M39" s="62">
        <v>0.21</v>
      </c>
      <c r="N39" s="63">
        <f>M39</f>
        <v>0.21</v>
      </c>
      <c r="O39" s="63">
        <f>N39</f>
        <v>0.21</v>
      </c>
      <c r="P39" s="63">
        <f>O39</f>
        <v>0.21</v>
      </c>
      <c r="Q39" s="63">
        <f>P39</f>
        <v>0.21</v>
      </c>
      <c r="R39" s="59"/>
      <c r="S39" s="59"/>
    </row>
    <row r="40" spans="2:19" x14ac:dyDescent="0.35">
      <c r="D40" s="53"/>
      <c r="E40" s="53"/>
      <c r="F40" s="53"/>
      <c r="G40" s="53"/>
      <c r="H40" s="54"/>
      <c r="I40" s="56"/>
      <c r="J40" s="56"/>
      <c r="K40" s="56"/>
      <c r="L40" s="317"/>
      <c r="M40" s="62"/>
      <c r="N40" s="63"/>
      <c r="O40" s="63"/>
      <c r="P40" s="63"/>
      <c r="Q40" s="63"/>
      <c r="R40" s="59"/>
      <c r="S40" s="59"/>
    </row>
    <row r="41" spans="2:19" x14ac:dyDescent="0.35">
      <c r="D41" s="53"/>
      <c r="E41" s="53"/>
      <c r="F41" s="53"/>
      <c r="G41" s="53"/>
      <c r="H41" s="54"/>
      <c r="I41" s="56"/>
      <c r="J41" s="56"/>
      <c r="K41" s="56"/>
      <c r="L41" s="317"/>
      <c r="M41" s="62"/>
      <c r="N41" s="63"/>
      <c r="O41" s="63"/>
      <c r="P41" s="63"/>
      <c r="Q41" s="63"/>
      <c r="R41" s="59"/>
      <c r="S41" s="59"/>
    </row>
    <row r="42" spans="2:19" x14ac:dyDescent="0.35">
      <c r="D42" s="53"/>
      <c r="E42" s="53"/>
      <c r="F42" s="53"/>
      <c r="G42" s="53"/>
      <c r="H42" s="54"/>
      <c r="I42" s="56"/>
      <c r="J42" s="56"/>
      <c r="K42" s="56"/>
      <c r="L42" s="317"/>
      <c r="M42" s="62"/>
      <c r="N42" s="63"/>
      <c r="O42" s="63"/>
      <c r="P42" s="63"/>
      <c r="Q42" s="63"/>
      <c r="R42" s="59"/>
      <c r="S42" s="59"/>
    </row>
    <row r="44" spans="2:19" s="311" customFormat="1" ht="17.5" thickBot="1" x14ac:dyDescent="0.45">
      <c r="B44" s="310" t="s">
        <v>36</v>
      </c>
      <c r="D44" s="314" t="s">
        <v>37</v>
      </c>
      <c r="E44" s="312"/>
      <c r="F44" s="312"/>
      <c r="G44" s="313"/>
    </row>
    <row r="46" spans="2:19" x14ac:dyDescent="0.35">
      <c r="B46" s="307"/>
      <c r="C46" s="9"/>
      <c r="D46" s="10" t="s">
        <v>37</v>
      </c>
      <c r="E46" s="10"/>
      <c r="F46" s="10"/>
      <c r="G46" s="10"/>
      <c r="H46" s="11"/>
      <c r="I46" s="12" t="s">
        <v>4</v>
      </c>
      <c r="J46" s="13"/>
      <c r="K46" s="13"/>
      <c r="L46" s="14"/>
      <c r="M46" s="15" t="s">
        <v>5</v>
      </c>
      <c r="N46" s="15"/>
      <c r="O46" s="15"/>
      <c r="P46" s="15"/>
      <c r="Q46" s="15"/>
    </row>
    <row r="47" spans="2:19" x14ac:dyDescent="0.35">
      <c r="D47" s="17" t="s">
        <v>7</v>
      </c>
      <c r="E47" s="18"/>
      <c r="F47" s="18"/>
      <c r="G47" s="18"/>
      <c r="H47" s="67" t="s">
        <v>8</v>
      </c>
      <c r="I47" s="20">
        <v>2019</v>
      </c>
      <c r="J47" s="21">
        <v>2020</v>
      </c>
      <c r="K47" s="21">
        <v>2021</v>
      </c>
      <c r="L47" s="22">
        <v>2022</v>
      </c>
      <c r="M47" s="23">
        <f>$M$10</f>
        <v>2023</v>
      </c>
      <c r="N47" s="24">
        <f>$N$10</f>
        <v>2024</v>
      </c>
      <c r="O47" s="24">
        <f>$O$10</f>
        <v>2025</v>
      </c>
      <c r="P47" s="24">
        <f>$P$10</f>
        <v>2026</v>
      </c>
      <c r="Q47" s="24">
        <f>$Q$10</f>
        <v>2027</v>
      </c>
    </row>
    <row r="48" spans="2:19" ht="3.9" customHeight="1" x14ac:dyDescent="0.35">
      <c r="B48" s="307"/>
      <c r="C48" s="9"/>
      <c r="D48" s="18"/>
      <c r="E48" s="18"/>
      <c r="F48" s="18"/>
      <c r="G48" s="18"/>
      <c r="H48" s="67"/>
      <c r="I48" s="68"/>
      <c r="J48" s="68"/>
      <c r="K48" s="68"/>
      <c r="L48" s="69"/>
      <c r="M48" s="70"/>
      <c r="N48" s="70"/>
      <c r="O48" s="70"/>
      <c r="P48" s="70"/>
      <c r="Q48" s="70"/>
    </row>
    <row r="49" spans="4:17" x14ac:dyDescent="0.35">
      <c r="D49" s="71" t="s">
        <v>38</v>
      </c>
      <c r="E49" s="71"/>
      <c r="F49" s="71"/>
      <c r="G49" s="71"/>
      <c r="H49" s="19" t="s">
        <v>10</v>
      </c>
      <c r="I49" s="27">
        <v>5794</v>
      </c>
      <c r="J49" s="27">
        <v>8647</v>
      </c>
      <c r="K49" s="27">
        <v>10423</v>
      </c>
      <c r="L49" s="28">
        <v>7060</v>
      </c>
      <c r="M49" s="324">
        <f t="shared" ref="M49:Q49" si="10">M121</f>
        <v>8000.9234984369805</v>
      </c>
      <c r="N49" s="262">
        <f t="shared" si="10"/>
        <v>9666.7674929014483</v>
      </c>
      <c r="O49" s="262">
        <f t="shared" si="10"/>
        <v>11863.226066907995</v>
      </c>
      <c r="P49" s="262">
        <f t="shared" si="10"/>
        <v>14070.747927472552</v>
      </c>
      <c r="Q49" s="262">
        <f t="shared" si="10"/>
        <v>17391.407041119543</v>
      </c>
    </row>
    <row r="50" spans="4:17" x14ac:dyDescent="0.35">
      <c r="D50" s="71" t="s">
        <v>39</v>
      </c>
      <c r="E50" s="71"/>
      <c r="F50" s="71"/>
      <c r="G50" s="71"/>
      <c r="H50" s="19" t="s">
        <v>10</v>
      </c>
      <c r="I50" s="27">
        <v>0</v>
      </c>
      <c r="J50" s="27">
        <v>0</v>
      </c>
      <c r="K50" s="27">
        <v>0</v>
      </c>
      <c r="L50" s="28">
        <v>4932</v>
      </c>
      <c r="M50" s="72">
        <f>L50</f>
        <v>4932</v>
      </c>
      <c r="N50" s="72">
        <f t="shared" ref="N50:Q50" si="11">M50</f>
        <v>4932</v>
      </c>
      <c r="O50" s="72">
        <f t="shared" si="11"/>
        <v>4932</v>
      </c>
      <c r="P50" s="72">
        <f t="shared" si="11"/>
        <v>4932</v>
      </c>
      <c r="Q50" s="72">
        <f t="shared" si="11"/>
        <v>4932</v>
      </c>
    </row>
    <row r="51" spans="4:17" x14ac:dyDescent="0.35">
      <c r="D51" s="71" t="s">
        <v>40</v>
      </c>
      <c r="E51" s="71"/>
      <c r="F51" s="71"/>
      <c r="G51" s="71"/>
      <c r="H51" s="19" t="s">
        <v>10</v>
      </c>
      <c r="I51" s="27">
        <v>848</v>
      </c>
      <c r="J51" s="27">
        <v>1052</v>
      </c>
      <c r="K51" s="27">
        <v>972</v>
      </c>
      <c r="L51" s="28">
        <v>1204</v>
      </c>
      <c r="M51" s="324">
        <f>M76 * M$12</f>
        <v>1554.777</v>
      </c>
      <c r="N51" s="262">
        <f>N76 * N$12</f>
        <v>1768.5588375</v>
      </c>
      <c r="O51" s="262">
        <f>O76 * O$12</f>
        <v>1989.6286921875001</v>
      </c>
      <c r="P51" s="262">
        <f>P76 * P$12</f>
        <v>2213.4619200585939</v>
      </c>
      <c r="Q51" s="262">
        <f>Q76 * Q$12</f>
        <v>2434.8081120644533</v>
      </c>
    </row>
    <row r="52" spans="4:17" x14ac:dyDescent="0.35">
      <c r="D52" s="71" t="s">
        <v>41</v>
      </c>
      <c r="E52" s="71"/>
      <c r="F52" s="71"/>
      <c r="G52" s="71"/>
      <c r="H52" s="19" t="s">
        <v>10</v>
      </c>
      <c r="I52" s="27">
        <v>0</v>
      </c>
      <c r="J52" s="27">
        <v>0</v>
      </c>
      <c r="K52" s="27">
        <v>0</v>
      </c>
      <c r="L52" s="27">
        <v>0</v>
      </c>
      <c r="M52" s="267">
        <f>M77 * M$13</f>
        <v>0</v>
      </c>
      <c r="N52" s="72">
        <f>N77 * N$13</f>
        <v>0</v>
      </c>
      <c r="O52" s="72">
        <f>O77 * O$13</f>
        <v>0</v>
      </c>
      <c r="P52" s="72">
        <f>P77 * P$13</f>
        <v>0</v>
      </c>
      <c r="Q52" s="72">
        <f>Q77 * Q$13</f>
        <v>0</v>
      </c>
    </row>
    <row r="53" spans="4:17" x14ac:dyDescent="0.35">
      <c r="D53" s="71" t="s">
        <v>42</v>
      </c>
      <c r="E53" s="71"/>
      <c r="F53" s="71"/>
      <c r="G53" s="71"/>
      <c r="H53" s="19" t="s">
        <v>10</v>
      </c>
      <c r="I53" s="27">
        <v>618</v>
      </c>
      <c r="J53" s="27">
        <v>824.00000000000159</v>
      </c>
      <c r="K53" s="27">
        <v>1109.9999999999995</v>
      </c>
      <c r="L53" s="28">
        <v>1203.5863336875684</v>
      </c>
      <c r="M53" s="324">
        <f>M78 * M$12</f>
        <v>1887.9435000000001</v>
      </c>
      <c r="N53" s="262">
        <f>N78 * N$12</f>
        <v>2147.53573125</v>
      </c>
      <c r="O53" s="262">
        <f>O78 * O$12</f>
        <v>2415.9776976562498</v>
      </c>
      <c r="P53" s="262">
        <f>P78 * P$12</f>
        <v>2687.7751886425781</v>
      </c>
      <c r="Q53" s="262">
        <f>Q78 * Q$12</f>
        <v>2956.5527075068362</v>
      </c>
    </row>
    <row r="54" spans="4:17" x14ac:dyDescent="0.35">
      <c r="D54" s="73" t="s">
        <v>43</v>
      </c>
      <c r="E54" s="73"/>
      <c r="F54" s="73"/>
      <c r="G54" s="73"/>
      <c r="H54" s="32" t="s">
        <v>10</v>
      </c>
      <c r="I54" s="74">
        <v>7260</v>
      </c>
      <c r="J54" s="74">
        <v>10523.000000000002</v>
      </c>
      <c r="K54" s="74">
        <v>12505</v>
      </c>
      <c r="L54" s="75">
        <v>14399.586333687568</v>
      </c>
      <c r="M54" s="265">
        <f t="shared" ref="M54:Q54" si="12">SUM(M49:M53)</f>
        <v>16375.643998436979</v>
      </c>
      <c r="N54" s="264">
        <f t="shared" si="12"/>
        <v>18514.862061651449</v>
      </c>
      <c r="O54" s="264">
        <f t="shared" si="12"/>
        <v>21200.832456751745</v>
      </c>
      <c r="P54" s="264">
        <f t="shared" si="12"/>
        <v>23903.985036173726</v>
      </c>
      <c r="Q54" s="264">
        <f t="shared" si="12"/>
        <v>27714.76786069083</v>
      </c>
    </row>
    <row r="55" spans="4:17" ht="6.15" customHeight="1" x14ac:dyDescent="0.35">
      <c r="D55" s="76"/>
      <c r="E55" s="76"/>
      <c r="F55" s="76"/>
      <c r="G55" s="76"/>
      <c r="H55" s="19"/>
      <c r="I55" s="77"/>
      <c r="J55" s="77"/>
      <c r="K55" s="77"/>
      <c r="L55" s="78"/>
      <c r="M55" s="77"/>
      <c r="N55" s="77"/>
      <c r="O55" s="77"/>
      <c r="P55" s="77"/>
      <c r="Q55" s="77"/>
    </row>
    <row r="56" spans="4:17" x14ac:dyDescent="0.35">
      <c r="D56" s="71" t="s">
        <v>44</v>
      </c>
      <c r="E56" s="71"/>
      <c r="F56" s="71"/>
      <c r="G56" s="71"/>
      <c r="H56" s="19" t="s">
        <v>10</v>
      </c>
      <c r="I56" s="27">
        <v>253</v>
      </c>
      <c r="J56" s="27">
        <v>209</v>
      </c>
      <c r="K56" s="27">
        <v>169</v>
      </c>
      <c r="L56" s="28">
        <v>193</v>
      </c>
      <c r="M56" s="323">
        <f>L56 + M79 - M27</f>
        <v>76.466800000000035</v>
      </c>
      <c r="N56" s="261">
        <f>M56 + N79 - N27</f>
        <v>-49.153561729117484</v>
      </c>
      <c r="O56" s="261">
        <f>N56 + O79 - O27</f>
        <v>-182.6732962446319</v>
      </c>
      <c r="P56" s="261">
        <f>O56 + P79 - P27</f>
        <v>-322.53297156505283</v>
      </c>
      <c r="Q56" s="261">
        <f>P56 + Q79 - Q27</f>
        <v>-466.82948215661816</v>
      </c>
    </row>
    <row r="57" spans="4:17" x14ac:dyDescent="0.35">
      <c r="D57" s="71" t="s">
        <v>45</v>
      </c>
      <c r="E57" s="71"/>
      <c r="F57" s="71"/>
      <c r="G57" s="71"/>
      <c r="H57" s="19" t="s">
        <v>10</v>
      </c>
      <c r="I57" s="27">
        <v>2536</v>
      </c>
      <c r="J57" s="27">
        <v>2570</v>
      </c>
      <c r="K57" s="27">
        <v>2532</v>
      </c>
      <c r="L57" s="28">
        <v>2792</v>
      </c>
      <c r="M57" s="72">
        <v>2792</v>
      </c>
      <c r="N57" s="72">
        <v>2792</v>
      </c>
      <c r="O57" s="72">
        <v>2792</v>
      </c>
      <c r="P57" s="72">
        <v>2792</v>
      </c>
      <c r="Q57" s="72">
        <v>2792</v>
      </c>
    </row>
    <row r="58" spans="4:17" x14ac:dyDescent="0.35">
      <c r="D58" s="71" t="s">
        <v>46</v>
      </c>
      <c r="E58" s="71"/>
      <c r="F58" s="71"/>
      <c r="G58" s="71"/>
      <c r="H58" s="19" t="s">
        <v>10</v>
      </c>
      <c r="I58" s="27">
        <v>9764</v>
      </c>
      <c r="J58" s="27">
        <v>9765</v>
      </c>
      <c r="K58" s="27">
        <v>9799</v>
      </c>
      <c r="L58" s="28">
        <v>9929</v>
      </c>
      <c r="M58" s="72">
        <v>9929</v>
      </c>
      <c r="N58" s="72">
        <v>9929</v>
      </c>
      <c r="O58" s="72">
        <v>9929</v>
      </c>
      <c r="P58" s="72">
        <v>9929</v>
      </c>
      <c r="Q58" s="72">
        <v>9929</v>
      </c>
    </row>
    <row r="59" spans="4:17" ht="15" thickBot="1" x14ac:dyDescent="0.4">
      <c r="D59" s="79" t="s">
        <v>47</v>
      </c>
      <c r="E59" s="79"/>
      <c r="F59" s="79"/>
      <c r="G59" s="79"/>
      <c r="H59" s="80" t="s">
        <v>10</v>
      </c>
      <c r="I59" s="81">
        <v>19813</v>
      </c>
      <c r="J59" s="81">
        <v>23067</v>
      </c>
      <c r="K59" s="81">
        <v>25005</v>
      </c>
      <c r="L59" s="82">
        <v>27313.58633368757</v>
      </c>
      <c r="M59" s="318">
        <f>SUM(M54:M58)</f>
        <v>29173.110798436977</v>
      </c>
      <c r="N59" s="260">
        <f t="shared" ref="N59:Q59" si="13">SUM(N54:N58)</f>
        <v>31186.70849992233</v>
      </c>
      <c r="O59" s="260">
        <f t="shared" si="13"/>
        <v>33739.159160507115</v>
      </c>
      <c r="P59" s="260">
        <f t="shared" si="13"/>
        <v>36302.452064608675</v>
      </c>
      <c r="Q59" s="260">
        <f t="shared" si="13"/>
        <v>39968.938378534207</v>
      </c>
    </row>
    <row r="60" spans="4:17" ht="15" thickTop="1" x14ac:dyDescent="0.35">
      <c r="D60" s="83"/>
      <c r="E60" s="83"/>
      <c r="F60" s="83"/>
      <c r="G60" s="83"/>
      <c r="H60" s="19"/>
      <c r="I60" s="77"/>
      <c r="J60" s="77"/>
      <c r="K60" s="77"/>
      <c r="L60" s="78"/>
      <c r="M60" s="77"/>
      <c r="N60" s="77"/>
      <c r="O60" s="77"/>
      <c r="P60" s="77"/>
      <c r="Q60" s="77"/>
    </row>
    <row r="61" spans="4:17" x14ac:dyDescent="0.35">
      <c r="D61" s="84" t="s">
        <v>48</v>
      </c>
      <c r="E61" s="84"/>
      <c r="F61" s="84"/>
      <c r="G61" s="84"/>
      <c r="H61" s="19" t="s">
        <v>10</v>
      </c>
      <c r="I61" s="27">
        <v>292</v>
      </c>
      <c r="J61" s="27">
        <v>295</v>
      </c>
      <c r="K61" s="27">
        <v>285</v>
      </c>
      <c r="L61" s="28">
        <v>324</v>
      </c>
      <c r="M61" s="324">
        <f>M81 * M13</f>
        <v>440.66822399999995</v>
      </c>
      <c r="N61" s="262">
        <f>N81 * N13</f>
        <v>485.59572652499998</v>
      </c>
      <c r="O61" s="262">
        <f>O81 * O13</f>
        <v>528.67276678124995</v>
      </c>
      <c r="P61" s="262">
        <f>P81 * P13</f>
        <v>568.54350460933586</v>
      </c>
      <c r="Q61" s="262">
        <f>Q81 * Q13</f>
        <v>603.83241179198433</v>
      </c>
    </row>
    <row r="62" spans="4:17" x14ac:dyDescent="0.35">
      <c r="D62" s="84" t="s">
        <v>49</v>
      </c>
      <c r="E62" s="84"/>
      <c r="F62" s="84"/>
      <c r="G62" s="84"/>
      <c r="H62" s="19" t="s">
        <v>10</v>
      </c>
      <c r="I62" s="27">
        <v>2623</v>
      </c>
      <c r="J62" s="27">
        <v>2805</v>
      </c>
      <c r="K62" s="27">
        <v>2126</v>
      </c>
      <c r="L62" s="28">
        <v>3231</v>
      </c>
      <c r="M62" s="72">
        <f>L62</f>
        <v>3231</v>
      </c>
      <c r="N62" s="72">
        <f>M62</f>
        <v>3231</v>
      </c>
      <c r="O62" s="72">
        <f t="shared" ref="O62:Q62" si="14">N62</f>
        <v>3231</v>
      </c>
      <c r="P62" s="72">
        <f t="shared" si="14"/>
        <v>3231</v>
      </c>
      <c r="Q62" s="72">
        <f t="shared" si="14"/>
        <v>3231</v>
      </c>
    </row>
    <row r="63" spans="4:17" x14ac:dyDescent="0.35">
      <c r="D63" s="85" t="s">
        <v>50</v>
      </c>
      <c r="E63" s="85"/>
      <c r="F63" s="85"/>
      <c r="G63" s="85"/>
      <c r="H63" s="86" t="s">
        <v>10</v>
      </c>
      <c r="I63" s="74">
        <v>2915</v>
      </c>
      <c r="J63" s="74">
        <v>3100</v>
      </c>
      <c r="K63" s="74">
        <v>2411</v>
      </c>
      <c r="L63" s="75">
        <v>3555</v>
      </c>
      <c r="M63" s="265">
        <f t="shared" ref="M63" si="15">SUM(M61:M62)</f>
        <v>3671.668224</v>
      </c>
      <c r="N63" s="264">
        <f t="shared" ref="N63:Q63" si="16">SUM(N61:N62)</f>
        <v>3716.5957265249999</v>
      </c>
      <c r="O63" s="264">
        <f t="shared" si="16"/>
        <v>3759.6727667812502</v>
      </c>
      <c r="P63" s="264">
        <f t="shared" si="16"/>
        <v>3799.5435046093357</v>
      </c>
      <c r="Q63" s="264">
        <f t="shared" si="16"/>
        <v>3834.8324117919842</v>
      </c>
    </row>
    <row r="64" spans="4:17" ht="6.15" customHeight="1" x14ac:dyDescent="0.35">
      <c r="D64" s="87"/>
      <c r="E64" s="87"/>
      <c r="F64" s="87"/>
      <c r="G64" s="87"/>
      <c r="H64" s="19"/>
      <c r="I64" s="77"/>
      <c r="J64" s="77"/>
      <c r="K64" s="77"/>
      <c r="L64" s="78"/>
      <c r="M64" s="77"/>
      <c r="N64" s="77"/>
      <c r="O64" s="77"/>
      <c r="P64" s="77"/>
      <c r="Q64" s="77"/>
    </row>
    <row r="65" spans="4:19" x14ac:dyDescent="0.35">
      <c r="D65" s="84" t="s">
        <v>51</v>
      </c>
      <c r="E65" s="84"/>
      <c r="F65" s="84"/>
      <c r="G65" s="84"/>
      <c r="H65" s="19" t="s">
        <v>10</v>
      </c>
      <c r="I65" s="27">
        <v>2675</v>
      </c>
      <c r="J65" s="27">
        <v>3605</v>
      </c>
      <c r="K65" s="27">
        <v>3608</v>
      </c>
      <c r="L65" s="28">
        <v>3611</v>
      </c>
      <c r="M65" s="323">
        <f>L65-M83</f>
        <v>3611</v>
      </c>
      <c r="N65" s="261">
        <f>M65-N83</f>
        <v>3361</v>
      </c>
      <c r="O65" s="261">
        <f>N65-O83</f>
        <v>3111</v>
      </c>
      <c r="P65" s="261">
        <f>O65-P83</f>
        <v>2261</v>
      </c>
      <c r="Q65" s="261">
        <f>P65-Q83</f>
        <v>1861</v>
      </c>
    </row>
    <row r="66" spans="4:19" x14ac:dyDescent="0.35">
      <c r="D66" s="84" t="s">
        <v>52</v>
      </c>
      <c r="E66" s="84"/>
      <c r="F66" s="84"/>
      <c r="G66" s="84"/>
      <c r="H66" s="19"/>
      <c r="I66" s="27">
        <v>1450</v>
      </c>
      <c r="J66" s="27">
        <v>1367</v>
      </c>
      <c r="K66" s="27">
        <v>599.20000000000005</v>
      </c>
      <c r="L66" s="28">
        <v>974</v>
      </c>
      <c r="M66" s="72">
        <v>974</v>
      </c>
      <c r="N66" s="72">
        <v>974</v>
      </c>
      <c r="O66" s="72">
        <v>974</v>
      </c>
      <c r="P66" s="72">
        <v>974</v>
      </c>
      <c r="Q66" s="72">
        <v>974</v>
      </c>
    </row>
    <row r="67" spans="4:19" x14ac:dyDescent="0.35">
      <c r="D67" s="88" t="s">
        <v>53</v>
      </c>
      <c r="E67" s="88"/>
      <c r="F67" s="88"/>
      <c r="G67" s="88"/>
      <c r="H67" s="32" t="s">
        <v>10</v>
      </c>
      <c r="I67" s="74">
        <v>7040</v>
      </c>
      <c r="J67" s="74">
        <v>8072</v>
      </c>
      <c r="K67" s="74">
        <v>6618.2</v>
      </c>
      <c r="L67" s="75">
        <v>8140</v>
      </c>
      <c r="M67" s="265">
        <f>SUM(M63:M66)</f>
        <v>8256.6682240000009</v>
      </c>
      <c r="N67" s="264">
        <f t="shared" ref="N67:Q67" si="17">SUM(N63:N66)</f>
        <v>8051.5957265249999</v>
      </c>
      <c r="O67" s="264">
        <f t="shared" si="17"/>
        <v>7844.6727667812502</v>
      </c>
      <c r="P67" s="264">
        <f t="shared" si="17"/>
        <v>7034.5435046093353</v>
      </c>
      <c r="Q67" s="264">
        <f t="shared" si="17"/>
        <v>6669.8324117919838</v>
      </c>
    </row>
    <row r="68" spans="4:19" ht="6.15" customHeight="1" x14ac:dyDescent="0.35">
      <c r="D68" s="89"/>
      <c r="E68" s="89"/>
      <c r="F68" s="89"/>
      <c r="G68" s="89"/>
      <c r="H68" s="19"/>
      <c r="I68" s="90"/>
      <c r="J68" s="90"/>
      <c r="K68" s="90"/>
      <c r="L68" s="78"/>
      <c r="M68" s="91"/>
      <c r="N68" s="91"/>
      <c r="O68" s="91"/>
      <c r="P68" s="91"/>
      <c r="Q68" s="91"/>
    </row>
    <row r="69" spans="4:19" x14ac:dyDescent="0.35">
      <c r="D69" s="87" t="s">
        <v>54</v>
      </c>
      <c r="E69" s="87"/>
      <c r="F69" s="87"/>
      <c r="G69" s="87"/>
      <c r="H69" s="19" t="s">
        <v>10</v>
      </c>
      <c r="I69" s="90">
        <v>12773</v>
      </c>
      <c r="J69" s="90">
        <v>14995</v>
      </c>
      <c r="K69" s="90">
        <v>18386.8</v>
      </c>
      <c r="L69" s="77">
        <v>19173.58633368757</v>
      </c>
      <c r="M69" s="327">
        <f>L69 + M24  + M95 + M114</f>
        <v>20916.442574436984</v>
      </c>
      <c r="N69" s="259">
        <f>M69 + N24  + N95 + N114</f>
        <v>23135.112773397334</v>
      </c>
      <c r="O69" s="259">
        <f>N69 + O24  + O95 + O114</f>
        <v>25894.486393725863</v>
      </c>
      <c r="P69" s="259">
        <f>O69 + P24  + P95 + P114</f>
        <v>29267.908559999334</v>
      </c>
      <c r="Q69" s="259">
        <f>P69 + Q24  + Q95 + Q114</f>
        <v>33299.105966742223</v>
      </c>
    </row>
    <row r="70" spans="4:19" ht="6.15" customHeight="1" x14ac:dyDescent="0.35">
      <c r="D70" s="87"/>
      <c r="E70" s="87"/>
      <c r="F70" s="87"/>
      <c r="G70" s="87"/>
      <c r="H70" s="19"/>
      <c r="I70" s="90"/>
      <c r="J70" s="90"/>
      <c r="K70" s="90"/>
      <c r="L70" s="78"/>
      <c r="M70" s="90"/>
      <c r="N70" s="90"/>
      <c r="O70" s="90"/>
      <c r="P70" s="90"/>
      <c r="Q70" s="90"/>
    </row>
    <row r="71" spans="4:19" ht="15" thickBot="1" x14ac:dyDescent="0.4">
      <c r="D71" s="79" t="s">
        <v>55</v>
      </c>
      <c r="E71" s="79"/>
      <c r="F71" s="79"/>
      <c r="G71" s="79"/>
      <c r="H71" s="80" t="s">
        <v>10</v>
      </c>
      <c r="I71" s="81">
        <v>19813</v>
      </c>
      <c r="J71" s="81">
        <v>23067</v>
      </c>
      <c r="K71" s="81">
        <v>25005</v>
      </c>
      <c r="L71" s="82">
        <v>27313.58633368757</v>
      </c>
      <c r="M71" s="318">
        <f t="shared" ref="M71:Q71" si="18">M67 + M69</f>
        <v>29173.110798436985</v>
      </c>
      <c r="N71" s="260">
        <f t="shared" si="18"/>
        <v>31186.708499922333</v>
      </c>
      <c r="O71" s="260">
        <f t="shared" si="18"/>
        <v>33739.159160507115</v>
      </c>
      <c r="P71" s="260">
        <f t="shared" si="18"/>
        <v>36302.452064608668</v>
      </c>
      <c r="Q71" s="260">
        <f t="shared" si="18"/>
        <v>39968.938378534207</v>
      </c>
    </row>
    <row r="72" spans="4:19" ht="15" thickTop="1" x14ac:dyDescent="0.35">
      <c r="D72" s="92" t="s">
        <v>56</v>
      </c>
      <c r="E72" s="92"/>
      <c r="F72" s="92"/>
      <c r="G72" s="92"/>
      <c r="H72" s="54"/>
      <c r="I72" s="93" t="b">
        <v>1</v>
      </c>
      <c r="J72" s="93" t="b">
        <v>1</v>
      </c>
      <c r="K72" s="93" t="b">
        <v>1</v>
      </c>
      <c r="L72" s="93" t="b">
        <v>1</v>
      </c>
      <c r="M72" s="324" t="b">
        <f t="shared" ref="M72:Q72" si="19">M59=M71</f>
        <v>1</v>
      </c>
      <c r="N72" s="262" t="b">
        <f t="shared" si="19"/>
        <v>1</v>
      </c>
      <c r="O72" s="262" t="b">
        <f t="shared" si="19"/>
        <v>1</v>
      </c>
      <c r="P72" s="262" t="b">
        <f t="shared" si="19"/>
        <v>1</v>
      </c>
      <c r="Q72" s="262" t="b">
        <f t="shared" si="19"/>
        <v>1</v>
      </c>
      <c r="R72" s="201"/>
    </row>
    <row r="73" spans="4:19" x14ac:dyDescent="0.35">
      <c r="H73" s="26"/>
      <c r="I73" s="94"/>
      <c r="J73" s="94"/>
      <c r="K73" s="94"/>
      <c r="L73" s="95"/>
      <c r="M73" s="96"/>
      <c r="N73" s="94"/>
      <c r="O73" s="94"/>
      <c r="P73" s="94"/>
      <c r="Q73" s="94"/>
    </row>
    <row r="74" spans="4:19" x14ac:dyDescent="0.35">
      <c r="D74" s="51" t="s">
        <v>57</v>
      </c>
      <c r="E74" s="51"/>
      <c r="F74" s="51"/>
      <c r="G74" s="51"/>
      <c r="H74" s="67" t="s">
        <v>8</v>
      </c>
      <c r="I74"/>
      <c r="J74"/>
      <c r="K74"/>
      <c r="L74" s="50"/>
      <c r="M74"/>
      <c r="N74"/>
      <c r="O74"/>
      <c r="P74"/>
      <c r="Q74"/>
    </row>
    <row r="75" spans="4:19" ht="3.9" customHeight="1" x14ac:dyDescent="0.35">
      <c r="H75" s="26"/>
      <c r="L75" s="52">
        <v>0</v>
      </c>
      <c r="S75" s="16" t="s">
        <v>26</v>
      </c>
    </row>
    <row r="76" spans="4:19" x14ac:dyDescent="0.35">
      <c r="D76" s="97" t="s">
        <v>58</v>
      </c>
      <c r="E76" s="97"/>
      <c r="F76" s="97"/>
      <c r="G76" s="97"/>
      <c r="H76" s="98" t="s">
        <v>28</v>
      </c>
      <c r="I76" s="99">
        <v>0.13068269378948991</v>
      </c>
      <c r="J76" s="99">
        <v>0.13010140984417512</v>
      </c>
      <c r="K76" s="99">
        <v>0.11041690332841077</v>
      </c>
      <c r="L76" s="100">
        <v>0.15993623804463336</v>
      </c>
      <c r="M76" s="342">
        <v>0.14000000000000001</v>
      </c>
      <c r="N76" s="101">
        <f t="shared" ref="M76:Q82" si="20">M76</f>
        <v>0.14000000000000001</v>
      </c>
      <c r="O76" s="101">
        <f t="shared" si="20"/>
        <v>0.14000000000000001</v>
      </c>
      <c r="P76" s="101">
        <f t="shared" si="20"/>
        <v>0.14000000000000001</v>
      </c>
      <c r="Q76" s="101">
        <f t="shared" si="20"/>
        <v>0.14000000000000001</v>
      </c>
    </row>
    <row r="77" spans="4:19" x14ac:dyDescent="0.35">
      <c r="D77" s="97" t="s">
        <v>59</v>
      </c>
      <c r="E77" s="97"/>
      <c r="F77" s="97"/>
      <c r="G77" s="97"/>
      <c r="H77" s="98" t="s">
        <v>28</v>
      </c>
      <c r="I77" s="99">
        <v>0</v>
      </c>
      <c r="J77" s="99">
        <v>0</v>
      </c>
      <c r="K77" s="99">
        <v>0</v>
      </c>
      <c r="L77" s="100">
        <v>0</v>
      </c>
      <c r="M77" s="101">
        <f t="shared" si="20"/>
        <v>0</v>
      </c>
      <c r="N77" s="101">
        <f t="shared" si="20"/>
        <v>0</v>
      </c>
      <c r="O77" s="101">
        <f t="shared" si="20"/>
        <v>0</v>
      </c>
      <c r="P77" s="101">
        <f t="shared" si="20"/>
        <v>0</v>
      </c>
      <c r="Q77" s="101">
        <f t="shared" si="20"/>
        <v>0</v>
      </c>
    </row>
    <row r="78" spans="4:19" x14ac:dyDescent="0.35">
      <c r="D78" s="97" t="s">
        <v>60</v>
      </c>
      <c r="E78" s="97"/>
      <c r="F78" s="97"/>
      <c r="G78" s="97"/>
      <c r="H78" s="98" t="s">
        <v>28</v>
      </c>
      <c r="I78" s="99">
        <v>9.5238095238095233E-2</v>
      </c>
      <c r="J78" s="99">
        <v>0.10190452634182558</v>
      </c>
      <c r="K78" s="99">
        <v>0.12609337725775299</v>
      </c>
      <c r="L78" s="100">
        <v>0.159881287684321</v>
      </c>
      <c r="M78" s="342">
        <v>0.17</v>
      </c>
      <c r="N78" s="101">
        <f t="shared" si="20"/>
        <v>0.17</v>
      </c>
      <c r="O78" s="101">
        <f t="shared" si="20"/>
        <v>0.17</v>
      </c>
      <c r="P78" s="101">
        <f t="shared" si="20"/>
        <v>0.17</v>
      </c>
      <c r="Q78" s="101">
        <f t="shared" si="20"/>
        <v>0.17</v>
      </c>
    </row>
    <row r="79" spans="4:19" x14ac:dyDescent="0.35">
      <c r="D79" s="102" t="s">
        <v>61</v>
      </c>
      <c r="E79" s="102"/>
      <c r="F79" s="102"/>
      <c r="G79" s="102"/>
      <c r="H79" s="98" t="s">
        <v>10</v>
      </c>
      <c r="I79" s="103">
        <v>116</v>
      </c>
      <c r="J79" s="103">
        <v>78</v>
      </c>
      <c r="K79" s="103">
        <v>80</v>
      </c>
      <c r="L79" s="104">
        <v>91</v>
      </c>
      <c r="M79" s="343">
        <v>150</v>
      </c>
      <c r="N79" s="106">
        <f>N80 * N12</f>
        <v>170.625</v>
      </c>
      <c r="O79" s="106">
        <f>O80 * O12</f>
        <v>191.953125</v>
      </c>
      <c r="P79" s="106">
        <f>P80 * P12</f>
        <v>213.5478515625</v>
      </c>
      <c r="Q79" s="106">
        <f>Q80 * Q12</f>
        <v>234.90263671875005</v>
      </c>
    </row>
    <row r="80" spans="4:19" x14ac:dyDescent="0.35">
      <c r="D80" s="102" t="s">
        <v>62</v>
      </c>
      <c r="E80" s="102"/>
      <c r="F80" s="102"/>
      <c r="G80" s="102"/>
      <c r="H80" s="98"/>
      <c r="I80" s="107">
        <v>0.02</v>
      </c>
      <c r="J80" s="107">
        <v>2.7551659361302442E-2</v>
      </c>
      <c r="K80" s="107">
        <v>5.5788005578800558E-2</v>
      </c>
      <c r="L80" s="108">
        <v>2.2719527433829365E-2</v>
      </c>
      <c r="M80" s="109">
        <f>IFERROR(M79 /M12,0)</f>
        <v>1.3506760133446791E-2</v>
      </c>
      <c r="N80" s="109">
        <f>M80</f>
        <v>1.3506760133446791E-2</v>
      </c>
      <c r="O80" s="109">
        <f t="shared" ref="O80:Q80" si="21">N80</f>
        <v>1.3506760133446791E-2</v>
      </c>
      <c r="P80" s="109">
        <f t="shared" si="21"/>
        <v>1.3506760133446791E-2</v>
      </c>
      <c r="Q80" s="109">
        <f t="shared" si="21"/>
        <v>1.3506760133446791E-2</v>
      </c>
    </row>
    <row r="81" spans="2:17" x14ac:dyDescent="0.35">
      <c r="D81" s="110" t="s">
        <v>63</v>
      </c>
      <c r="E81" s="110"/>
      <c r="F81" s="110"/>
      <c r="G81" s="110"/>
      <c r="H81" s="98" t="s">
        <v>28</v>
      </c>
      <c r="I81" s="99">
        <v>0.13944603629417382</v>
      </c>
      <c r="J81" s="99">
        <v>0.13053097345132744</v>
      </c>
      <c r="K81" s="99">
        <v>0.12300388433318947</v>
      </c>
      <c r="L81" s="100">
        <v>0.14581458145814583</v>
      </c>
      <c r="M81" s="342">
        <v>0.124</v>
      </c>
      <c r="N81" s="101">
        <f t="shared" si="20"/>
        <v>0.124</v>
      </c>
      <c r="O81" s="101">
        <f t="shared" si="20"/>
        <v>0.124</v>
      </c>
      <c r="P81" s="101">
        <f t="shared" si="20"/>
        <v>0.124</v>
      </c>
      <c r="Q81" s="101">
        <f t="shared" si="20"/>
        <v>0.124</v>
      </c>
    </row>
    <row r="82" spans="2:17" x14ac:dyDescent="0.35">
      <c r="D82" s="97" t="s">
        <v>64</v>
      </c>
      <c r="E82" s="110"/>
      <c r="F82" s="110"/>
      <c r="G82" s="110"/>
      <c r="H82" s="98" t="s">
        <v>28</v>
      </c>
      <c r="I82" s="99">
        <v>0.40422253043612266</v>
      </c>
      <c r="J82" s="99">
        <v>0.34689586940390799</v>
      </c>
      <c r="K82" s="99">
        <v>0.24150857662160627</v>
      </c>
      <c r="L82" s="100">
        <v>0.42919766206163656</v>
      </c>
      <c r="M82" s="342">
        <v>0.39800000000000002</v>
      </c>
      <c r="N82" s="101">
        <f t="shared" si="20"/>
        <v>0.39800000000000002</v>
      </c>
      <c r="O82" s="101">
        <f t="shared" si="20"/>
        <v>0.39800000000000002</v>
      </c>
      <c r="P82" s="101">
        <f t="shared" si="20"/>
        <v>0.39800000000000002</v>
      </c>
      <c r="Q82" s="101">
        <f t="shared" si="20"/>
        <v>0.39800000000000002</v>
      </c>
    </row>
    <row r="83" spans="2:17" x14ac:dyDescent="0.35">
      <c r="D83" s="110" t="s">
        <v>65</v>
      </c>
      <c r="E83" s="110"/>
      <c r="F83" s="110"/>
      <c r="G83" s="110"/>
      <c r="H83" s="98" t="s">
        <v>10</v>
      </c>
      <c r="I83" s="111"/>
      <c r="J83" s="112"/>
      <c r="K83" s="112"/>
      <c r="L83" s="108"/>
      <c r="M83" s="105">
        <v>0</v>
      </c>
      <c r="N83" s="343">
        <v>250</v>
      </c>
      <c r="O83" s="343">
        <v>250</v>
      </c>
      <c r="P83" s="105">
        <v>850</v>
      </c>
      <c r="Q83" s="105">
        <v>400</v>
      </c>
    </row>
    <row r="84" spans="2:17" x14ac:dyDescent="0.35">
      <c r="D84" s="110"/>
      <c r="E84" s="110"/>
      <c r="F84" s="110"/>
      <c r="G84" s="110"/>
      <c r="H84" s="98"/>
      <c r="I84" s="111"/>
      <c r="J84" s="112"/>
      <c r="K84" s="112"/>
      <c r="L84" s="112"/>
      <c r="M84" s="105"/>
      <c r="N84" s="105"/>
      <c r="O84" s="105"/>
      <c r="P84" s="105"/>
      <c r="Q84" s="105"/>
    </row>
    <row r="85" spans="2:17" x14ac:dyDescent="0.35">
      <c r="D85" s="110"/>
      <c r="E85" s="110"/>
      <c r="F85" s="110"/>
      <c r="G85" s="110"/>
      <c r="H85" s="98"/>
      <c r="I85" s="111"/>
      <c r="J85" s="112"/>
      <c r="K85" s="112"/>
      <c r="L85" s="112"/>
      <c r="M85" s="105"/>
      <c r="N85" s="105"/>
      <c r="O85" s="105"/>
      <c r="P85" s="105"/>
      <c r="Q85" s="105"/>
    </row>
    <row r="86" spans="2:17" x14ac:dyDescent="0.35">
      <c r="D86" s="110"/>
      <c r="E86" s="110"/>
      <c r="F86" s="110"/>
      <c r="G86" s="110"/>
      <c r="H86" s="98"/>
      <c r="I86" s="111"/>
      <c r="J86" s="112"/>
      <c r="K86" s="112"/>
      <c r="L86" s="112"/>
      <c r="M86" s="105"/>
      <c r="N86" s="105"/>
      <c r="O86" s="105"/>
      <c r="P86" s="105"/>
      <c r="Q86" s="105"/>
    </row>
    <row r="87" spans="2:17" x14ac:dyDescent="0.35">
      <c r="H87" s="26"/>
    </row>
    <row r="88" spans="2:17" s="311" customFormat="1" ht="17.5" thickBot="1" x14ac:dyDescent="0.45">
      <c r="B88" s="310" t="s">
        <v>66</v>
      </c>
      <c r="D88" s="314" t="s">
        <v>67</v>
      </c>
      <c r="E88" s="312"/>
      <c r="F88" s="312"/>
      <c r="G88" s="313"/>
    </row>
    <row r="89" spans="2:17" x14ac:dyDescent="0.35">
      <c r="H89" s="26"/>
    </row>
    <row r="90" spans="2:17" x14ac:dyDescent="0.35">
      <c r="B90" s="307"/>
      <c r="C90" s="9"/>
      <c r="D90" s="10" t="s">
        <v>67</v>
      </c>
      <c r="E90" s="10"/>
      <c r="F90" s="10"/>
      <c r="G90" s="10"/>
      <c r="H90" s="11"/>
      <c r="I90" s="12" t="s">
        <v>4</v>
      </c>
      <c r="J90" s="13"/>
      <c r="K90" s="13"/>
      <c r="L90" s="14"/>
      <c r="M90" s="15" t="s">
        <v>5</v>
      </c>
      <c r="N90" s="15"/>
      <c r="O90" s="15"/>
      <c r="P90" s="15"/>
      <c r="Q90" s="15"/>
    </row>
    <row r="91" spans="2:17" x14ac:dyDescent="0.35">
      <c r="D91" s="17" t="s">
        <v>7</v>
      </c>
      <c r="E91" s="18"/>
      <c r="F91" s="18"/>
      <c r="G91" s="18"/>
      <c r="H91" s="19" t="s">
        <v>8</v>
      </c>
      <c r="I91" s="20">
        <v>2019</v>
      </c>
      <c r="J91" s="21">
        <v>2020</v>
      </c>
      <c r="K91" s="21">
        <v>2021</v>
      </c>
      <c r="L91" s="22">
        <v>2022</v>
      </c>
      <c r="M91" s="23">
        <f>$M$10</f>
        <v>2023</v>
      </c>
      <c r="N91" s="24">
        <f>$N$10</f>
        <v>2024</v>
      </c>
      <c r="O91" s="24">
        <f>$O$10</f>
        <v>2025</v>
      </c>
      <c r="P91" s="24">
        <f>$P$10</f>
        <v>2026</v>
      </c>
      <c r="Q91" s="24">
        <f>$Q$10</f>
        <v>2027</v>
      </c>
    </row>
    <row r="92" spans="2:17" ht="3.9" customHeight="1" x14ac:dyDescent="0.35">
      <c r="H92" s="26"/>
    </row>
    <row r="93" spans="2:17" x14ac:dyDescent="0.35">
      <c r="D93" s="113" t="s">
        <v>68</v>
      </c>
      <c r="E93" s="113"/>
      <c r="F93" s="113"/>
      <c r="G93" s="113"/>
      <c r="H93" s="19" t="s">
        <v>69</v>
      </c>
      <c r="I93" s="114">
        <v>1503.0000000000002</v>
      </c>
      <c r="J93" s="114">
        <v>2197</v>
      </c>
      <c r="K93" s="114">
        <v>2699</v>
      </c>
      <c r="L93" s="115">
        <v>1513</v>
      </c>
      <c r="M93" s="114">
        <f t="shared" ref="M93:Q93" si="22">M24</f>
        <v>1717.9107345</v>
      </c>
      <c r="N93" s="114">
        <f t="shared" si="22"/>
        <v>2296.6974837156349</v>
      </c>
      <c r="O93" s="114">
        <f t="shared" si="22"/>
        <v>2966.0831363070538</v>
      </c>
      <c r="P93" s="114">
        <f t="shared" si="22"/>
        <v>3739.2349097254119</v>
      </c>
      <c r="Q93" s="114">
        <f t="shared" si="22"/>
        <v>4578.5087084312108</v>
      </c>
    </row>
    <row r="94" spans="2:17" x14ac:dyDescent="0.35">
      <c r="D94" s="116" t="s">
        <v>22</v>
      </c>
      <c r="E94" s="116"/>
      <c r="F94" s="116"/>
      <c r="G94" s="116"/>
      <c r="H94" s="19" t="s">
        <v>69</v>
      </c>
      <c r="I94" s="91">
        <v>328</v>
      </c>
      <c r="J94" s="91">
        <v>197</v>
      </c>
      <c r="K94" s="91">
        <v>116</v>
      </c>
      <c r="L94" s="117">
        <v>106</v>
      </c>
      <c r="M94" s="114">
        <f t="shared" ref="M94:Q94" si="23">M27</f>
        <v>266.53319999999997</v>
      </c>
      <c r="N94" s="114">
        <f t="shared" si="23"/>
        <v>296.24536172911752</v>
      </c>
      <c r="O94" s="114">
        <f t="shared" si="23"/>
        <v>325.47285951551441</v>
      </c>
      <c r="P94" s="114">
        <f t="shared" si="23"/>
        <v>353.40752688292093</v>
      </c>
      <c r="Q94" s="114">
        <f t="shared" si="23"/>
        <v>379.19914731031537</v>
      </c>
    </row>
    <row r="95" spans="2:17" x14ac:dyDescent="0.35">
      <c r="D95" s="116" t="s">
        <v>70</v>
      </c>
      <c r="E95" s="116"/>
      <c r="F95" s="116"/>
      <c r="G95" s="116"/>
      <c r="H95" s="19" t="s">
        <v>69</v>
      </c>
      <c r="I95" s="27">
        <v>166</v>
      </c>
      <c r="J95" s="27">
        <v>218</v>
      </c>
      <c r="K95" s="27">
        <v>508</v>
      </c>
      <c r="L95" s="28">
        <v>462</v>
      </c>
      <c r="M95" s="114">
        <f>M125 * M17</f>
        <v>454.42318987441251</v>
      </c>
      <c r="N95" s="114">
        <f>N125 * N17</f>
        <v>496.14708617362442</v>
      </c>
      <c r="O95" s="114">
        <f>O125 * O17</f>
        <v>534.81126809824264</v>
      </c>
      <c r="P95" s="114">
        <f>P125 * P17</f>
        <v>568.99598397941293</v>
      </c>
      <c r="Q95" s="114">
        <f>Q125 * Q17</f>
        <v>597.3158754194842</v>
      </c>
    </row>
    <row r="96" spans="2:17" x14ac:dyDescent="0.35">
      <c r="D96" s="118" t="s">
        <v>71</v>
      </c>
      <c r="E96" s="118"/>
      <c r="F96" s="118"/>
      <c r="G96" s="118"/>
      <c r="H96" s="19" t="s">
        <v>69</v>
      </c>
      <c r="I96" s="27">
        <v>-59</v>
      </c>
      <c r="J96" s="27">
        <v>248</v>
      </c>
      <c r="K96" s="27">
        <v>366</v>
      </c>
      <c r="L96" s="28">
        <v>95</v>
      </c>
      <c r="M96" s="27">
        <v>0</v>
      </c>
      <c r="N96" s="114">
        <f t="shared" ref="N96:Q96" si="24">M96</f>
        <v>0</v>
      </c>
      <c r="O96" s="114">
        <f t="shared" si="24"/>
        <v>0</v>
      </c>
      <c r="P96" s="114">
        <f t="shared" si="24"/>
        <v>0</v>
      </c>
      <c r="Q96" s="114">
        <f t="shared" si="24"/>
        <v>0</v>
      </c>
    </row>
    <row r="97" spans="4:17" x14ac:dyDescent="0.35">
      <c r="D97" s="119" t="s">
        <v>72</v>
      </c>
      <c r="E97" s="119"/>
      <c r="F97" s="119"/>
      <c r="G97" s="119"/>
      <c r="H97" s="19"/>
      <c r="I97" s="114"/>
      <c r="J97" s="114"/>
      <c r="K97" s="114"/>
      <c r="L97" s="115"/>
      <c r="M97" s="114"/>
      <c r="N97" s="114"/>
      <c r="O97" s="114"/>
      <c r="P97" s="114"/>
      <c r="Q97" s="114"/>
    </row>
    <row r="98" spans="4:17" x14ac:dyDescent="0.35">
      <c r="D98" s="120" t="s">
        <v>73</v>
      </c>
      <c r="E98" s="120"/>
      <c r="F98" s="120"/>
      <c r="G98" s="120"/>
      <c r="H98" s="19" t="s">
        <v>69</v>
      </c>
      <c r="I98" s="27">
        <v>182</v>
      </c>
      <c r="J98" s="27">
        <v>-204</v>
      </c>
      <c r="K98" s="27">
        <v>80</v>
      </c>
      <c r="L98" s="28">
        <v>-232</v>
      </c>
      <c r="M98" s="323">
        <f>L51-M51</f>
        <v>-350.77700000000004</v>
      </c>
      <c r="N98" s="261">
        <f t="shared" ref="N98:Q98" si="25">M51-N51</f>
        <v>-213.78183749999994</v>
      </c>
      <c r="O98" s="261">
        <f t="shared" si="25"/>
        <v>-221.06985468750008</v>
      </c>
      <c r="P98" s="261">
        <f t="shared" si="25"/>
        <v>-223.83322787109387</v>
      </c>
      <c r="Q98" s="261">
        <f t="shared" si="25"/>
        <v>-221.34619200585939</v>
      </c>
    </row>
    <row r="99" spans="4:17" x14ac:dyDescent="0.35">
      <c r="D99" s="120" t="s">
        <v>41</v>
      </c>
      <c r="E99" s="120"/>
      <c r="F99" s="120"/>
      <c r="G99" s="120"/>
      <c r="H99" s="19" t="s">
        <v>69</v>
      </c>
      <c r="I99" s="27">
        <v>0</v>
      </c>
      <c r="J99" s="27">
        <v>0</v>
      </c>
      <c r="K99" s="27">
        <v>0</v>
      </c>
      <c r="L99" s="28">
        <v>0</v>
      </c>
      <c r="M99" s="91">
        <f t="shared" ref="M99:Q100" si="26">L52-M52</f>
        <v>0</v>
      </c>
      <c r="N99" s="114">
        <f t="shared" si="26"/>
        <v>0</v>
      </c>
      <c r="O99" s="114">
        <f t="shared" si="26"/>
        <v>0</v>
      </c>
      <c r="P99" s="114">
        <f t="shared" si="26"/>
        <v>0</v>
      </c>
      <c r="Q99" s="114">
        <f t="shared" si="26"/>
        <v>0</v>
      </c>
    </row>
    <row r="100" spans="4:17" x14ac:dyDescent="0.35">
      <c r="D100" s="120" t="s">
        <v>42</v>
      </c>
      <c r="E100" s="120"/>
      <c r="F100" s="120"/>
      <c r="G100" s="120"/>
      <c r="H100" s="19" t="s">
        <v>69</v>
      </c>
      <c r="I100" s="27">
        <v>186</v>
      </c>
      <c r="J100" s="27">
        <v>-206.00000000000159</v>
      </c>
      <c r="K100" s="27">
        <v>-285.99999999999795</v>
      </c>
      <c r="L100" s="28">
        <v>-93.586333687568867</v>
      </c>
      <c r="M100" s="114">
        <f t="shared" si="26"/>
        <v>-684.35716631243167</v>
      </c>
      <c r="N100" s="114">
        <f t="shared" si="26"/>
        <v>-259.59223124999994</v>
      </c>
      <c r="O100" s="114">
        <f t="shared" si="26"/>
        <v>-268.44196640624978</v>
      </c>
      <c r="P100" s="114">
        <f t="shared" si="26"/>
        <v>-271.79749098632828</v>
      </c>
      <c r="Q100" s="114">
        <f t="shared" si="26"/>
        <v>-268.77751886425813</v>
      </c>
    </row>
    <row r="101" spans="4:17" x14ac:dyDescent="0.35">
      <c r="D101" s="120" t="s">
        <v>48</v>
      </c>
      <c r="E101" s="120"/>
      <c r="F101" s="120"/>
      <c r="G101" s="120"/>
      <c r="H101" s="19" t="s">
        <v>69</v>
      </c>
      <c r="I101" s="27">
        <v>31</v>
      </c>
      <c r="J101" s="27">
        <v>3</v>
      </c>
      <c r="K101" s="27">
        <v>-10</v>
      </c>
      <c r="L101" s="28">
        <v>39</v>
      </c>
      <c r="M101" s="323">
        <f t="shared" ref="M101:Q102" si="27">M61-L61</f>
        <v>116.66822399999995</v>
      </c>
      <c r="N101" s="261">
        <f t="shared" si="27"/>
        <v>44.927502525000023</v>
      </c>
      <c r="O101" s="261">
        <f t="shared" si="27"/>
        <v>43.077040256249973</v>
      </c>
      <c r="P101" s="261">
        <f t="shared" si="27"/>
        <v>39.870737828085907</v>
      </c>
      <c r="Q101" s="261">
        <f t="shared" si="27"/>
        <v>35.288907182648472</v>
      </c>
    </row>
    <row r="102" spans="4:17" x14ac:dyDescent="0.35">
      <c r="D102" s="120" t="s">
        <v>49</v>
      </c>
      <c r="E102" s="120"/>
      <c r="F102" s="120"/>
      <c r="G102" s="120"/>
      <c r="H102" s="19" t="s">
        <v>69</v>
      </c>
      <c r="I102" s="27">
        <v>-77</v>
      </c>
      <c r="J102" s="27">
        <v>182</v>
      </c>
      <c r="K102" s="27">
        <v>-679</v>
      </c>
      <c r="L102" s="28">
        <v>1105</v>
      </c>
      <c r="M102" s="114">
        <f t="shared" si="27"/>
        <v>0</v>
      </c>
      <c r="N102" s="114">
        <f t="shared" si="27"/>
        <v>0</v>
      </c>
      <c r="O102" s="114">
        <f t="shared" si="27"/>
        <v>0</v>
      </c>
      <c r="P102" s="114">
        <f t="shared" si="27"/>
        <v>0</v>
      </c>
      <c r="Q102" s="114">
        <f t="shared" si="27"/>
        <v>0</v>
      </c>
    </row>
    <row r="103" spans="4:17" x14ac:dyDescent="0.35">
      <c r="D103" s="120" t="s">
        <v>74</v>
      </c>
      <c r="E103" s="120"/>
      <c r="F103" s="120"/>
      <c r="G103" s="120"/>
      <c r="H103" s="19"/>
      <c r="I103" s="27">
        <v>-419</v>
      </c>
      <c r="J103" s="27">
        <v>-372.99999999999795</v>
      </c>
      <c r="K103" s="27">
        <v>-371.0000000000025</v>
      </c>
      <c r="L103" s="28">
        <v>-755.99999999999682</v>
      </c>
      <c r="M103" s="114">
        <v>0</v>
      </c>
      <c r="N103" s="114">
        <v>0</v>
      </c>
      <c r="O103" s="114">
        <v>0</v>
      </c>
      <c r="P103" s="114">
        <v>0</v>
      </c>
      <c r="Q103" s="114">
        <v>0</v>
      </c>
    </row>
    <row r="104" spans="4:17" x14ac:dyDescent="0.35">
      <c r="D104" s="121" t="s">
        <v>75</v>
      </c>
      <c r="E104" s="122"/>
      <c r="F104" s="122"/>
      <c r="G104" s="122"/>
      <c r="H104" s="86" t="s">
        <v>69</v>
      </c>
      <c r="I104" s="123">
        <v>1841</v>
      </c>
      <c r="J104" s="123">
        <v>2262</v>
      </c>
      <c r="K104" s="123">
        <v>2422.9999999999991</v>
      </c>
      <c r="L104" s="124">
        <v>2238.4136663124341</v>
      </c>
      <c r="M104" s="123">
        <f t="shared" ref="M104:Q104" si="28">SUM(M93:M103)</f>
        <v>1520.4011820619808</v>
      </c>
      <c r="N104" s="123">
        <f t="shared" si="28"/>
        <v>2660.6433653933773</v>
      </c>
      <c r="O104" s="123">
        <f t="shared" si="28"/>
        <v>3379.9324830833107</v>
      </c>
      <c r="P104" s="123">
        <f t="shared" si="28"/>
        <v>4205.8784395584089</v>
      </c>
      <c r="Q104" s="123">
        <f t="shared" si="28"/>
        <v>5100.1889274735413</v>
      </c>
    </row>
    <row r="105" spans="4:17" x14ac:dyDescent="0.35">
      <c r="D105" s="125"/>
      <c r="E105" s="125"/>
      <c r="F105" s="125"/>
      <c r="G105" s="125"/>
      <c r="H105" s="19"/>
      <c r="I105" s="114"/>
      <c r="J105" s="114"/>
      <c r="K105" s="114"/>
      <c r="L105" s="115"/>
      <c r="M105" s="114"/>
      <c r="N105" s="114"/>
      <c r="O105" s="114"/>
      <c r="P105" s="114"/>
      <c r="Q105" s="114"/>
    </row>
    <row r="106" spans="4:17" x14ac:dyDescent="0.35">
      <c r="D106" s="118" t="s">
        <v>61</v>
      </c>
      <c r="E106" s="118"/>
      <c r="F106" s="118"/>
      <c r="G106" s="118"/>
      <c r="H106" s="19" t="s">
        <v>69</v>
      </c>
      <c r="I106" s="27">
        <v>-116</v>
      </c>
      <c r="J106" s="27">
        <v>-78</v>
      </c>
      <c r="K106" s="27">
        <v>-80</v>
      </c>
      <c r="L106" s="28">
        <v>-91</v>
      </c>
      <c r="M106" s="114">
        <f xml:space="preserve"> - M79</f>
        <v>-150</v>
      </c>
      <c r="N106" s="114">
        <f xml:space="preserve"> - N79</f>
        <v>-170.625</v>
      </c>
      <c r="O106" s="114">
        <f xml:space="preserve"> - O79</f>
        <v>-191.953125</v>
      </c>
      <c r="P106" s="114">
        <f xml:space="preserve"> - P79</f>
        <v>-213.5478515625</v>
      </c>
      <c r="Q106" s="114">
        <f xml:space="preserve"> - Q79</f>
        <v>-234.90263671875005</v>
      </c>
    </row>
    <row r="107" spans="4:17" x14ac:dyDescent="0.35">
      <c r="D107" s="118" t="s">
        <v>76</v>
      </c>
      <c r="E107" s="118"/>
      <c r="F107" s="118"/>
      <c r="G107" s="118"/>
      <c r="H107" s="19" t="s">
        <v>69</v>
      </c>
      <c r="I107" s="27">
        <v>-65</v>
      </c>
      <c r="J107" s="27">
        <v>-221</v>
      </c>
      <c r="K107" s="27">
        <v>-248</v>
      </c>
      <c r="L107" s="28">
        <v>-109</v>
      </c>
      <c r="M107" s="27">
        <v>0</v>
      </c>
      <c r="N107" s="114">
        <f>M107</f>
        <v>0</v>
      </c>
      <c r="O107" s="114">
        <f t="shared" ref="O107:Q107" si="29">N107</f>
        <v>0</v>
      </c>
      <c r="P107" s="114">
        <f t="shared" si="29"/>
        <v>0</v>
      </c>
      <c r="Q107" s="114">
        <f t="shared" si="29"/>
        <v>0</v>
      </c>
    </row>
    <row r="108" spans="4:17" x14ac:dyDescent="0.35">
      <c r="D108" s="118" t="s">
        <v>77</v>
      </c>
      <c r="E108" s="118"/>
      <c r="F108" s="118"/>
      <c r="G108" s="118"/>
      <c r="H108" s="19" t="s">
        <v>69</v>
      </c>
      <c r="I108" s="27">
        <v>159</v>
      </c>
      <c r="J108" s="27">
        <v>121</v>
      </c>
      <c r="K108" s="27">
        <v>269</v>
      </c>
      <c r="L108" s="28">
        <v>-4794</v>
      </c>
      <c r="M108" s="27">
        <f>L50-M50</f>
        <v>0</v>
      </c>
      <c r="N108" s="27">
        <f>M50-N50</f>
        <v>0</v>
      </c>
      <c r="O108" s="27">
        <f>N50-O50</f>
        <v>0</v>
      </c>
      <c r="P108" s="27">
        <f>O50-P50</f>
        <v>0</v>
      </c>
      <c r="Q108" s="27">
        <f>P50-Q50</f>
        <v>0</v>
      </c>
    </row>
    <row r="109" spans="4:17" x14ac:dyDescent="0.35">
      <c r="D109" s="126" t="s">
        <v>78</v>
      </c>
      <c r="E109" s="127"/>
      <c r="F109" s="127"/>
      <c r="G109" s="127"/>
      <c r="H109" s="86" t="s">
        <v>69</v>
      </c>
      <c r="I109" s="123">
        <v>-22</v>
      </c>
      <c r="J109" s="123">
        <v>-178</v>
      </c>
      <c r="K109" s="123">
        <v>-59</v>
      </c>
      <c r="L109" s="124">
        <v>-4994</v>
      </c>
      <c r="M109" s="123">
        <f t="shared" ref="M109:Q109" si="30">SUM(M106:M108)</f>
        <v>-150</v>
      </c>
      <c r="N109" s="123">
        <f t="shared" si="30"/>
        <v>-170.625</v>
      </c>
      <c r="O109" s="123">
        <f t="shared" si="30"/>
        <v>-191.953125</v>
      </c>
      <c r="P109" s="123">
        <f t="shared" si="30"/>
        <v>-213.5478515625</v>
      </c>
      <c r="Q109" s="123">
        <f t="shared" si="30"/>
        <v>-234.90263671875005</v>
      </c>
    </row>
    <row r="110" spans="4:17" x14ac:dyDescent="0.35">
      <c r="D110" s="125"/>
      <c r="E110" s="125"/>
      <c r="F110" s="125"/>
      <c r="G110" s="125"/>
      <c r="H110" s="19"/>
      <c r="I110" s="114"/>
      <c r="J110" s="114"/>
      <c r="K110" s="114"/>
      <c r="L110" s="115"/>
      <c r="M110" s="114"/>
      <c r="N110" s="114"/>
      <c r="O110" s="114"/>
      <c r="P110" s="114"/>
      <c r="Q110" s="114"/>
    </row>
    <row r="111" spans="4:17" x14ac:dyDescent="0.35">
      <c r="D111" s="118" t="s">
        <v>79</v>
      </c>
      <c r="E111" s="118"/>
      <c r="F111" s="118"/>
      <c r="G111" s="118"/>
      <c r="H111" s="19" t="s">
        <v>69</v>
      </c>
      <c r="I111" s="27">
        <v>0</v>
      </c>
      <c r="J111" s="27">
        <v>1997</v>
      </c>
      <c r="K111" s="27">
        <v>0</v>
      </c>
      <c r="L111" s="28">
        <v>0</v>
      </c>
      <c r="M111" s="27">
        <v>0</v>
      </c>
      <c r="N111" s="114">
        <v>0</v>
      </c>
      <c r="O111" s="114">
        <v>0</v>
      </c>
      <c r="P111" s="114">
        <v>0</v>
      </c>
      <c r="Q111" s="114">
        <v>0</v>
      </c>
    </row>
    <row r="112" spans="4:17" x14ac:dyDescent="0.35">
      <c r="D112" s="118" t="s">
        <v>80</v>
      </c>
      <c r="E112" s="118"/>
      <c r="F112" s="118"/>
      <c r="G112" s="118"/>
      <c r="H112" s="19" t="s">
        <v>69</v>
      </c>
      <c r="I112" s="27">
        <v>0</v>
      </c>
      <c r="J112" s="27">
        <v>-1050</v>
      </c>
      <c r="K112" s="27">
        <v>0</v>
      </c>
      <c r="L112" s="28">
        <v>0</v>
      </c>
      <c r="M112" s="114">
        <f xml:space="preserve"> - M83</f>
        <v>0</v>
      </c>
      <c r="N112" s="114">
        <f xml:space="preserve"> - N83</f>
        <v>-250</v>
      </c>
      <c r="O112" s="114">
        <f xml:space="preserve"> - O83</f>
        <v>-250</v>
      </c>
      <c r="P112" s="114">
        <f xml:space="preserve"> - P83</f>
        <v>-850</v>
      </c>
      <c r="Q112" s="114">
        <f xml:space="preserve"> - Q83</f>
        <v>-400</v>
      </c>
    </row>
    <row r="113" spans="4:19" x14ac:dyDescent="0.35">
      <c r="D113" s="118" t="s">
        <v>81</v>
      </c>
      <c r="E113" s="118"/>
      <c r="F113" s="118"/>
      <c r="G113" s="118"/>
      <c r="H113" s="19" t="s">
        <v>69</v>
      </c>
      <c r="I113" s="27">
        <v>105</v>
      </c>
      <c r="J113" s="27">
        <v>170</v>
      </c>
      <c r="K113" s="27">
        <v>90</v>
      </c>
      <c r="L113" s="28">
        <v>47</v>
      </c>
      <c r="M113" s="114">
        <v>0</v>
      </c>
      <c r="N113" s="114">
        <f>M113</f>
        <v>0</v>
      </c>
      <c r="O113" s="114">
        <f t="shared" ref="O113:Q113" si="31">N113</f>
        <v>0</v>
      </c>
      <c r="P113" s="114">
        <f t="shared" si="31"/>
        <v>0</v>
      </c>
      <c r="Q113" s="114">
        <f t="shared" si="31"/>
        <v>0</v>
      </c>
    </row>
    <row r="114" spans="4:19" x14ac:dyDescent="0.35">
      <c r="D114" s="118" t="s">
        <v>82</v>
      </c>
      <c r="E114" s="118"/>
      <c r="F114" s="118"/>
      <c r="G114" s="118"/>
      <c r="H114" s="19" t="s">
        <v>69</v>
      </c>
      <c r="I114" s="27">
        <v>-283</v>
      </c>
      <c r="J114" s="27">
        <v>-316</v>
      </c>
      <c r="K114" s="27">
        <v>-365</v>
      </c>
      <c r="L114" s="28">
        <v>-367</v>
      </c>
      <c r="M114" s="114">
        <f>M126 * -M24</f>
        <v>-429.477683625</v>
      </c>
      <c r="N114" s="114">
        <f>N126 * -N24</f>
        <v>-574.17437092890873</v>
      </c>
      <c r="O114" s="114">
        <f>O126 * -O24</f>
        <v>-741.52078407676345</v>
      </c>
      <c r="P114" s="114">
        <f>P126 * -P24</f>
        <v>-934.80872743135296</v>
      </c>
      <c r="Q114" s="114">
        <f>Q126 * -Q24</f>
        <v>-1144.6271771078027</v>
      </c>
    </row>
    <row r="115" spans="4:19" x14ac:dyDescent="0.35">
      <c r="D115" s="118" t="s">
        <v>71</v>
      </c>
      <c r="E115" s="118"/>
      <c r="F115" s="118"/>
      <c r="G115" s="118"/>
      <c r="H115" s="19"/>
      <c r="I115" s="27">
        <v>-59</v>
      </c>
      <c r="J115" s="27">
        <v>-89.999999999999943</v>
      </c>
      <c r="K115" s="27">
        <v>-246</v>
      </c>
      <c r="L115" s="28">
        <v>-214</v>
      </c>
      <c r="M115" s="114">
        <v>0</v>
      </c>
      <c r="N115" s="114">
        <v>0</v>
      </c>
      <c r="O115" s="114">
        <v>0</v>
      </c>
      <c r="P115" s="114">
        <v>0</v>
      </c>
      <c r="Q115" s="114">
        <v>0</v>
      </c>
    </row>
    <row r="116" spans="4:19" x14ac:dyDescent="0.35">
      <c r="D116" s="121" t="s">
        <v>83</v>
      </c>
      <c r="E116" s="122"/>
      <c r="F116" s="122"/>
      <c r="G116" s="122"/>
      <c r="H116" s="86" t="s">
        <v>69</v>
      </c>
      <c r="I116" s="123">
        <v>-237</v>
      </c>
      <c r="J116" s="123">
        <v>711</v>
      </c>
      <c r="K116" s="123">
        <v>-521</v>
      </c>
      <c r="L116" s="124">
        <v>-534</v>
      </c>
      <c r="M116" s="123">
        <f t="shared" ref="M116:Q116" si="32">SUM(M111:M115)</f>
        <v>-429.477683625</v>
      </c>
      <c r="N116" s="123">
        <f t="shared" si="32"/>
        <v>-824.17437092890873</v>
      </c>
      <c r="O116" s="123">
        <f t="shared" si="32"/>
        <v>-991.52078407676345</v>
      </c>
      <c r="P116" s="123">
        <f t="shared" si="32"/>
        <v>-1784.808727431353</v>
      </c>
      <c r="Q116" s="123">
        <f t="shared" si="32"/>
        <v>-1544.6271771078027</v>
      </c>
    </row>
    <row r="117" spans="4:19" x14ac:dyDescent="0.35">
      <c r="D117" s="125"/>
      <c r="E117" s="125"/>
      <c r="F117" s="125"/>
      <c r="G117" s="125"/>
      <c r="H117" s="19"/>
      <c r="I117" s="114"/>
      <c r="J117" s="114"/>
      <c r="K117" s="114"/>
      <c r="L117" s="115"/>
      <c r="M117" s="114"/>
      <c r="N117" s="114"/>
      <c r="O117" s="114"/>
      <c r="P117" s="114"/>
      <c r="Q117" s="114"/>
    </row>
    <row r="118" spans="4:19" x14ac:dyDescent="0.35">
      <c r="D118" s="128" t="s">
        <v>84</v>
      </c>
      <c r="E118" s="125"/>
      <c r="F118" s="125"/>
      <c r="G118" s="125"/>
      <c r="H118" s="19"/>
      <c r="I118" s="27">
        <v>-7.0000000000004441</v>
      </c>
      <c r="J118" s="27">
        <v>68</v>
      </c>
      <c r="K118" s="27">
        <v>-58</v>
      </c>
      <c r="L118" s="28">
        <v>-55</v>
      </c>
      <c r="M118" s="114">
        <v>0</v>
      </c>
      <c r="N118" s="114">
        <v>0</v>
      </c>
      <c r="O118" s="114">
        <v>0</v>
      </c>
      <c r="P118" s="114">
        <v>0</v>
      </c>
      <c r="Q118" s="114">
        <v>0</v>
      </c>
    </row>
    <row r="119" spans="4:19" x14ac:dyDescent="0.35">
      <c r="D119" s="129" t="s">
        <v>85</v>
      </c>
      <c r="E119" s="129"/>
      <c r="F119" s="129"/>
      <c r="G119" s="129"/>
      <c r="H119" s="130" t="s">
        <v>69</v>
      </c>
      <c r="I119" s="131">
        <v>1574.9999999999995</v>
      </c>
      <c r="J119" s="131">
        <v>2863</v>
      </c>
      <c r="K119" s="131">
        <v>1784.9999999999991</v>
      </c>
      <c r="L119" s="132">
        <v>-3344.5863336875659</v>
      </c>
      <c r="M119" s="325">
        <f t="shared" ref="M119:Q119" si="33">IFERROR(M104+M109+M118+M116,0)</f>
        <v>940.92349843698071</v>
      </c>
      <c r="N119" s="263">
        <f t="shared" si="33"/>
        <v>1665.8439944644686</v>
      </c>
      <c r="O119" s="263">
        <f t="shared" si="33"/>
        <v>2196.4585740065472</v>
      </c>
      <c r="P119" s="263">
        <f t="shared" si="33"/>
        <v>2207.5218605645559</v>
      </c>
      <c r="Q119" s="263">
        <f t="shared" si="33"/>
        <v>3320.6591136469888</v>
      </c>
    </row>
    <row r="120" spans="4:19" x14ac:dyDescent="0.35">
      <c r="D120" s="118" t="s">
        <v>86</v>
      </c>
      <c r="E120" s="118"/>
      <c r="F120" s="118"/>
      <c r="G120" s="118"/>
      <c r="H120" s="19" t="s">
        <v>69</v>
      </c>
      <c r="I120" s="27">
        <v>4229</v>
      </c>
      <c r="J120" s="114">
        <v>5794</v>
      </c>
      <c r="K120" s="114">
        <v>8647</v>
      </c>
      <c r="L120" s="115">
        <v>10423</v>
      </c>
      <c r="M120" s="325">
        <f>L121</f>
        <v>7060</v>
      </c>
      <c r="N120" s="263">
        <f t="shared" ref="N120:Q120" si="34">M49</f>
        <v>8000.9234984369805</v>
      </c>
      <c r="O120" s="263">
        <f t="shared" si="34"/>
        <v>9666.7674929014483</v>
      </c>
      <c r="P120" s="263">
        <f t="shared" si="34"/>
        <v>11863.226066907995</v>
      </c>
      <c r="Q120" s="263">
        <f t="shared" si="34"/>
        <v>14070.747927472552</v>
      </c>
    </row>
    <row r="121" spans="4:19" ht="15" thickBot="1" x14ac:dyDescent="0.4">
      <c r="D121" s="133" t="s">
        <v>87</v>
      </c>
      <c r="E121" s="134"/>
      <c r="F121" s="134"/>
      <c r="G121" s="134"/>
      <c r="H121" s="135" t="s">
        <v>69</v>
      </c>
      <c r="I121" s="136">
        <v>5804</v>
      </c>
      <c r="J121" s="136">
        <v>8657</v>
      </c>
      <c r="K121" s="136">
        <v>10432</v>
      </c>
      <c r="L121" s="137">
        <v>7060</v>
      </c>
      <c r="M121" s="318">
        <f t="shared" ref="M121:Q121" si="35">IFERROR(SUM(M119:M120),0)</f>
        <v>8000.9234984369805</v>
      </c>
      <c r="N121" s="260">
        <f t="shared" si="35"/>
        <v>9666.7674929014483</v>
      </c>
      <c r="O121" s="260">
        <f t="shared" si="35"/>
        <v>11863.226066907995</v>
      </c>
      <c r="P121" s="260">
        <f t="shared" si="35"/>
        <v>14070.747927472552</v>
      </c>
      <c r="Q121" s="260">
        <f t="shared" si="35"/>
        <v>17391.407041119543</v>
      </c>
    </row>
    <row r="122" spans="4:19" ht="15" thickTop="1" x14ac:dyDescent="0.35">
      <c r="L122" s="44"/>
    </row>
    <row r="123" spans="4:19" x14ac:dyDescent="0.35">
      <c r="D123" s="51" t="s">
        <v>88</v>
      </c>
      <c r="E123" s="51"/>
      <c r="F123" s="51"/>
      <c r="G123" s="51"/>
      <c r="H123" s="67" t="s">
        <v>8</v>
      </c>
      <c r="I123"/>
      <c r="J123"/>
      <c r="K123"/>
      <c r="L123" s="50"/>
      <c r="M123"/>
      <c r="N123"/>
      <c r="O123"/>
      <c r="P123"/>
      <c r="Q123"/>
    </row>
    <row r="124" spans="4:19" ht="3.9" customHeight="1" x14ac:dyDescent="0.35">
      <c r="H124" s="26"/>
      <c r="L124" s="52">
        <v>0</v>
      </c>
      <c r="S124" s="16" t="s">
        <v>26</v>
      </c>
    </row>
    <row r="125" spans="4:19" x14ac:dyDescent="0.35">
      <c r="D125" s="102" t="s">
        <v>89</v>
      </c>
      <c r="E125" s="102"/>
      <c r="F125" s="102"/>
      <c r="G125" s="102"/>
      <c r="H125" s="98" t="s">
        <v>28</v>
      </c>
      <c r="I125" s="138">
        <v>9.2737430167597765E-2</v>
      </c>
      <c r="J125" s="138">
        <v>0.11225540679711637</v>
      </c>
      <c r="K125" s="138">
        <v>0.26878306878306879</v>
      </c>
      <c r="L125" s="139">
        <v>0.20857787810383746</v>
      </c>
      <c r="M125" s="109">
        <v>0.16433159370038652</v>
      </c>
      <c r="N125" s="109">
        <v>0.16433159370038652</v>
      </c>
      <c r="O125" s="109">
        <v>0.16433159370038652</v>
      </c>
      <c r="P125" s="109">
        <v>0.16433159370038652</v>
      </c>
      <c r="Q125" s="109">
        <v>0.16433159370038652</v>
      </c>
    </row>
    <row r="126" spans="4:19" x14ac:dyDescent="0.35">
      <c r="D126" s="102" t="s">
        <v>90</v>
      </c>
      <c r="E126" s="102"/>
      <c r="F126" s="102"/>
      <c r="G126" s="102"/>
      <c r="H126" s="98" t="s">
        <v>28</v>
      </c>
      <c r="I126" s="138">
        <v>0.18829008649367929</v>
      </c>
      <c r="J126" s="138">
        <v>0.14383249886208466</v>
      </c>
      <c r="K126" s="138">
        <v>0.13523527232308263</v>
      </c>
      <c r="L126" s="139">
        <v>0.24256444150693984</v>
      </c>
      <c r="M126" s="140">
        <v>0.25</v>
      </c>
      <c r="N126" s="109">
        <f>M126</f>
        <v>0.25</v>
      </c>
      <c r="O126" s="109">
        <f t="shared" ref="O126:Q126" si="36">N126</f>
        <v>0.25</v>
      </c>
      <c r="P126" s="109">
        <f t="shared" si="36"/>
        <v>0.25</v>
      </c>
      <c r="Q126" s="109">
        <f t="shared" si="36"/>
        <v>0.25</v>
      </c>
    </row>
    <row r="127" spans="4:19" x14ac:dyDescent="0.35">
      <c r="D127" s="102"/>
      <c r="E127" s="102"/>
      <c r="F127" s="102"/>
      <c r="G127" s="102"/>
      <c r="H127" s="98"/>
      <c r="I127" s="138"/>
      <c r="J127" s="138"/>
      <c r="K127" s="138"/>
      <c r="L127" s="316"/>
      <c r="M127" s="140"/>
      <c r="N127" s="109"/>
      <c r="O127" s="109"/>
      <c r="P127" s="109"/>
      <c r="Q127" s="109"/>
    </row>
    <row r="128" spans="4:19" x14ac:dyDescent="0.35">
      <c r="D128" s="102"/>
      <c r="E128" s="102"/>
      <c r="F128" s="102"/>
      <c r="G128" s="102"/>
      <c r="H128" s="98"/>
      <c r="I128" s="138"/>
      <c r="J128" s="138"/>
      <c r="K128" s="138"/>
      <c r="L128" s="316"/>
      <c r="M128" s="140"/>
      <c r="N128" s="109"/>
      <c r="O128" s="109"/>
      <c r="P128" s="109"/>
      <c r="Q128" s="109"/>
    </row>
    <row r="129" spans="2:21" x14ac:dyDescent="0.35">
      <c r="D129" s="110"/>
      <c r="E129" s="141"/>
      <c r="F129" s="142"/>
      <c r="G129" s="143"/>
      <c r="H129" s="143"/>
      <c r="I129" s="143"/>
      <c r="J129" s="144"/>
      <c r="K129" s="144"/>
      <c r="L129" s="144"/>
      <c r="M129" s="144"/>
      <c r="N129" s="144"/>
    </row>
    <row r="130" spans="2:21" x14ac:dyDescent="0.35">
      <c r="D130" s="110"/>
      <c r="E130" s="141"/>
      <c r="F130" s="142"/>
      <c r="G130" s="143"/>
      <c r="H130" s="143"/>
      <c r="I130" s="143"/>
      <c r="J130" s="144"/>
      <c r="K130" s="144"/>
      <c r="L130" s="144"/>
      <c r="M130" s="144"/>
      <c r="N130" s="144"/>
    </row>
    <row r="131" spans="2:21" s="311" customFormat="1" ht="17.5" thickBot="1" x14ac:dyDescent="0.45">
      <c r="B131" s="310" t="s">
        <v>91</v>
      </c>
      <c r="D131" s="314" t="s">
        <v>92</v>
      </c>
      <c r="E131" s="312"/>
      <c r="F131" s="312"/>
      <c r="G131" s="313"/>
    </row>
    <row r="132" spans="2:21" ht="15" customHeight="1" x14ac:dyDescent="0.35">
      <c r="D132" s="309"/>
      <c r="E132" s="3"/>
      <c r="F132" s="3"/>
      <c r="G132" s="4"/>
    </row>
    <row r="133" spans="2:21" x14ac:dyDescent="0.35">
      <c r="D133" s="145" t="s">
        <v>93</v>
      </c>
      <c r="E133" s="145"/>
      <c r="F133" s="145"/>
      <c r="G133" s="145"/>
      <c r="H133" s="145"/>
      <c r="J133" s="146" t="s">
        <v>94</v>
      </c>
      <c r="K133" s="147"/>
      <c r="L133" s="147"/>
      <c r="M133" s="147"/>
    </row>
    <row r="134" spans="2:21" ht="3.9" customHeight="1" x14ac:dyDescent="0.35"/>
    <row r="135" spans="2:21" ht="15" x14ac:dyDescent="0.4">
      <c r="D135" s="1" t="s">
        <v>95</v>
      </c>
      <c r="G135" s="346">
        <v>2.7890999999999999E-2</v>
      </c>
      <c r="H135" s="149">
        <v>1</v>
      </c>
      <c r="J135" s="150" t="s">
        <v>96</v>
      </c>
      <c r="K135" s="150" t="s">
        <v>97</v>
      </c>
      <c r="L135" s="147" t="s">
        <v>98</v>
      </c>
      <c r="M135" s="1" t="s">
        <v>99</v>
      </c>
      <c r="Q135" s="151"/>
    </row>
    <row r="136" spans="2:21" x14ac:dyDescent="0.35">
      <c r="D136" s="1" t="s">
        <v>100</v>
      </c>
      <c r="G136" s="345">
        <v>1.1425000000000001</v>
      </c>
      <c r="H136" s="149">
        <v>2</v>
      </c>
      <c r="J136" s="152">
        <v>3.4000000000000002E-2</v>
      </c>
      <c r="K136" s="153">
        <v>850</v>
      </c>
      <c r="L136" s="154">
        <f>K136 / $K$141</f>
        <v>0.23539185821102188</v>
      </c>
      <c r="M136" s="155">
        <f>J136 * L136</f>
        <v>8.0033231791747442E-3</v>
      </c>
      <c r="Q136" s="156"/>
    </row>
    <row r="137" spans="2:21" ht="15" x14ac:dyDescent="0.4">
      <c r="D137" s="1" t="s">
        <v>101</v>
      </c>
      <c r="G137" s="346">
        <v>5.7500000000000002E-2</v>
      </c>
      <c r="H137" s="149">
        <v>3</v>
      </c>
      <c r="J137" s="344">
        <v>4.4999999999999998E-2</v>
      </c>
      <c r="K137" s="153">
        <f>400-39</f>
        <v>361</v>
      </c>
      <c r="L137" s="154">
        <f>K137 / $K$141</f>
        <v>9.9972306840210468E-2</v>
      </c>
      <c r="M137" s="155">
        <f>J137 * L137</f>
        <v>4.4987538078094707E-3</v>
      </c>
      <c r="Q137" s="156"/>
    </row>
    <row r="138" spans="2:21" x14ac:dyDescent="0.35">
      <c r="D138" s="157" t="s">
        <v>102</v>
      </c>
      <c r="E138" s="158"/>
      <c r="F138" s="159"/>
      <c r="G138" s="328">
        <f>G135 + G136 * G137</f>
        <v>9.3584750000000008E-2</v>
      </c>
      <c r="H138" s="160"/>
      <c r="J138" s="344">
        <v>5.3999999999999999E-2</v>
      </c>
      <c r="K138" s="153">
        <v>500</v>
      </c>
      <c r="L138" s="154">
        <f>K138 / $K$141</f>
        <v>0.13846579894765992</v>
      </c>
      <c r="M138" s="155">
        <f>J138 * L138</f>
        <v>7.4771531431736355E-3</v>
      </c>
      <c r="Q138" s="156"/>
    </row>
    <row r="139" spans="2:21" x14ac:dyDescent="0.35">
      <c r="H139" s="149"/>
      <c r="J139" s="152">
        <v>4.4999999999999998E-2</v>
      </c>
      <c r="K139" s="153">
        <v>400</v>
      </c>
      <c r="L139" s="154">
        <f>K139 / $K$141</f>
        <v>0.11077263915812795</v>
      </c>
      <c r="M139" s="155">
        <f>J139 * L139</f>
        <v>4.9847687621157573E-3</v>
      </c>
      <c r="Q139" s="156"/>
    </row>
    <row r="140" spans="2:21" x14ac:dyDescent="0.35">
      <c r="D140" s="1" t="s">
        <v>103</v>
      </c>
      <c r="G140" s="319">
        <f>M141</f>
        <v>3.5348933813348103E-2</v>
      </c>
      <c r="H140" s="149">
        <v>4</v>
      </c>
      <c r="J140" s="152">
        <v>2.5000000000000001E-2</v>
      </c>
      <c r="K140" s="153">
        <v>1500</v>
      </c>
      <c r="L140" s="154">
        <f>K140 / $K$141</f>
        <v>0.41539739684297977</v>
      </c>
      <c r="M140" s="155">
        <f>J140 * L140</f>
        <v>1.0384934921074495E-2</v>
      </c>
      <c r="Q140" s="156"/>
    </row>
    <row r="141" spans="2:21" x14ac:dyDescent="0.35">
      <c r="D141" s="1" t="s">
        <v>104</v>
      </c>
      <c r="G141" s="161">
        <f>M39</f>
        <v>0.21</v>
      </c>
      <c r="H141" s="162"/>
      <c r="K141" s="163">
        <f>SUM(K136:K140)</f>
        <v>3611</v>
      </c>
      <c r="L141" s="164">
        <f>SUM(L136:L140)</f>
        <v>1</v>
      </c>
      <c r="M141" s="165">
        <f>SUM(M136:M140)</f>
        <v>3.5348933813348103E-2</v>
      </c>
      <c r="Q141" s="156"/>
      <c r="R141" s="156"/>
      <c r="S141" s="156"/>
      <c r="T141" s="156"/>
      <c r="U141" s="156"/>
    </row>
    <row r="142" spans="2:21" x14ac:dyDescent="0.35">
      <c r="D142" s="157" t="s">
        <v>105</v>
      </c>
      <c r="E142" s="158"/>
      <c r="F142" s="158"/>
      <c r="G142" s="328">
        <f>G140*(1-G141)</f>
        <v>2.7925657712545002E-2</v>
      </c>
      <c r="H142" s="160"/>
      <c r="Q142" s="156"/>
      <c r="R142" s="156"/>
      <c r="S142" s="156"/>
      <c r="T142" s="156"/>
      <c r="U142" s="156"/>
    </row>
    <row r="143" spans="2:21" ht="6.15" customHeight="1" x14ac:dyDescent="0.35">
      <c r="H143" s="149"/>
      <c r="Q143" s="156"/>
      <c r="R143" s="156"/>
      <c r="S143" s="156"/>
      <c r="T143" s="156"/>
      <c r="U143" s="156"/>
    </row>
    <row r="144" spans="2:21" x14ac:dyDescent="0.35">
      <c r="D144" s="166" t="s">
        <v>106</v>
      </c>
      <c r="H144" s="149"/>
      <c r="Q144" s="156"/>
      <c r="R144" s="156"/>
      <c r="S144" s="156"/>
      <c r="T144" s="156"/>
      <c r="U144" s="156"/>
    </row>
    <row r="145" spans="2:21" x14ac:dyDescent="0.35">
      <c r="D145" s="29" t="s">
        <v>107</v>
      </c>
      <c r="F145" s="320">
        <f>K141</f>
        <v>3611</v>
      </c>
      <c r="G145" s="322">
        <f>F145/$F$147</f>
        <v>6.3286247636339041E-2</v>
      </c>
      <c r="H145" s="149"/>
      <c r="Q145" s="156"/>
      <c r="R145" s="156"/>
      <c r="S145" s="156"/>
      <c r="T145" s="156"/>
      <c r="U145" s="156"/>
    </row>
    <row r="146" spans="2:21" x14ac:dyDescent="0.35">
      <c r="D146" s="29" t="s">
        <v>108</v>
      </c>
      <c r="F146" s="320">
        <f>$G$198</f>
        <v>53447.209877600006</v>
      </c>
      <c r="G146" s="322">
        <f>F146/$F$147</f>
        <v>0.93671375236366095</v>
      </c>
      <c r="H146" s="149"/>
      <c r="Q146" s="156"/>
      <c r="R146" s="156"/>
      <c r="S146" s="156"/>
      <c r="T146" s="156"/>
      <c r="U146" s="156"/>
    </row>
    <row r="147" spans="2:21" x14ac:dyDescent="0.35">
      <c r="D147" s="168" t="s">
        <v>109</v>
      </c>
      <c r="E147" s="158"/>
      <c r="F147" s="329">
        <f>SUM(F145:F146)</f>
        <v>57058.209877600006</v>
      </c>
      <c r="G147" s="321">
        <f>SUM(G145:G146)</f>
        <v>1</v>
      </c>
      <c r="H147" s="149"/>
      <c r="Q147" s="156"/>
      <c r="R147" s="156"/>
      <c r="S147" s="156"/>
      <c r="T147" s="156"/>
      <c r="U147" s="156"/>
    </row>
    <row r="148" spans="2:21" ht="3.9" customHeight="1" x14ac:dyDescent="0.35">
      <c r="H148" s="169"/>
      <c r="Q148" s="156"/>
      <c r="R148" s="156"/>
      <c r="S148" s="156"/>
      <c r="T148" s="156"/>
      <c r="U148" s="156"/>
    </row>
    <row r="149" spans="2:21" ht="15" thickBot="1" x14ac:dyDescent="0.4">
      <c r="D149" s="258" t="s">
        <v>93</v>
      </c>
      <c r="E149" s="258"/>
      <c r="F149" s="258"/>
      <c r="G149" s="330">
        <f>G138*G146+G142*G145</f>
        <v>8.9429432425918901E-2</v>
      </c>
      <c r="H149" s="258"/>
      <c r="Q149" s="156"/>
      <c r="R149" s="156"/>
      <c r="S149" s="156"/>
      <c r="T149" s="156"/>
      <c r="U149" s="156"/>
    </row>
    <row r="150" spans="2:21" ht="15" thickTop="1" x14ac:dyDescent="0.35">
      <c r="D150" s="170" t="s">
        <v>110</v>
      </c>
      <c r="Q150" s="156"/>
      <c r="R150" s="156"/>
      <c r="S150" s="156"/>
      <c r="T150" s="156"/>
      <c r="U150" s="156"/>
    </row>
    <row r="151" spans="2:21" x14ac:dyDescent="0.35">
      <c r="D151" s="170" t="s">
        <v>111</v>
      </c>
    </row>
    <row r="152" spans="2:21" x14ac:dyDescent="0.35">
      <c r="D152" s="170" t="s">
        <v>112</v>
      </c>
    </row>
    <row r="153" spans="2:21" x14ac:dyDescent="0.35">
      <c r="D153" s="170" t="s">
        <v>113</v>
      </c>
    </row>
    <row r="156" spans="2:21" x14ac:dyDescent="0.35">
      <c r="B156" s="315" t="s">
        <v>217</v>
      </c>
      <c r="D156" s="10" t="s">
        <v>114</v>
      </c>
      <c r="E156" s="10"/>
      <c r="F156" s="10"/>
      <c r="G156" s="10"/>
      <c r="H156" s="171"/>
      <c r="I156" s="172" t="s">
        <v>5</v>
      </c>
      <c r="J156" s="172"/>
      <c r="K156" s="172"/>
      <c r="L156" s="172"/>
      <c r="M156" s="172"/>
    </row>
    <row r="157" spans="2:21" x14ac:dyDescent="0.35">
      <c r="D157" s="17" t="s">
        <v>115</v>
      </c>
      <c r="E157" s="18"/>
      <c r="F157" s="18"/>
      <c r="G157" s="18"/>
      <c r="H157" s="173" t="s">
        <v>8</v>
      </c>
      <c r="I157" s="24">
        <f>$M$10</f>
        <v>2023</v>
      </c>
      <c r="J157" s="24">
        <f>$N$10</f>
        <v>2024</v>
      </c>
      <c r="K157" s="24">
        <f>$O$10</f>
        <v>2025</v>
      </c>
      <c r="L157" s="24">
        <f>$P$10</f>
        <v>2026</v>
      </c>
      <c r="M157" s="24">
        <f>$Q$10</f>
        <v>2027</v>
      </c>
    </row>
    <row r="158" spans="2:21" ht="6.15" customHeight="1" x14ac:dyDescent="0.35">
      <c r="D158" s="170"/>
    </row>
    <row r="159" spans="2:21" x14ac:dyDescent="0.35">
      <c r="D159" s="174" t="s">
        <v>21</v>
      </c>
      <c r="H159" s="19" t="s">
        <v>69</v>
      </c>
      <c r="I159" s="114">
        <f>M26</f>
        <v>2232.2155499999999</v>
      </c>
      <c r="J159" s="114">
        <f>N26</f>
        <v>2956.0197712499985</v>
      </c>
      <c r="K159" s="114">
        <f>O26</f>
        <v>3794.5061486718751</v>
      </c>
      <c r="L159" s="114">
        <f>P26</f>
        <v>4743.1326858398434</v>
      </c>
      <c r="M159" s="114">
        <f>Q26</f>
        <v>5791.3650094104523</v>
      </c>
    </row>
    <row r="160" spans="2:21" x14ac:dyDescent="0.35">
      <c r="D160" s="175" t="str">
        <f>"Taxes @ "&amp;TEXT(M39,"0.0%")</f>
        <v>Taxes @ 21.0%</v>
      </c>
      <c r="G160" s="174"/>
      <c r="H160" s="19" t="s">
        <v>69</v>
      </c>
      <c r="I160" s="114">
        <f xml:space="preserve"> - I159 * $M$39</f>
        <v>-468.76526549999994</v>
      </c>
      <c r="J160" s="114">
        <f t="shared" ref="J160:M160" si="37" xml:space="preserve"> - J159 * $M$39</f>
        <v>-620.76415196249968</v>
      </c>
      <c r="K160" s="114">
        <f t="shared" si="37"/>
        <v>-796.84629122109368</v>
      </c>
      <c r="L160" s="114">
        <f t="shared" si="37"/>
        <v>-996.05786402636704</v>
      </c>
      <c r="M160" s="114">
        <f t="shared" si="37"/>
        <v>-1216.186651976195</v>
      </c>
    </row>
    <row r="161" spans="4:13" x14ac:dyDescent="0.35">
      <c r="D161" s="176" t="s">
        <v>116</v>
      </c>
      <c r="H161" s="19" t="s">
        <v>69</v>
      </c>
      <c r="I161" s="177">
        <f>SUM(I159:I160)</f>
        <v>1763.4502845</v>
      </c>
      <c r="J161" s="177">
        <f t="shared" ref="J161:M161" si="38">SUM(J159:J160)</f>
        <v>2335.255619287499</v>
      </c>
      <c r="K161" s="177">
        <f t="shared" si="38"/>
        <v>2997.6598574507816</v>
      </c>
      <c r="L161" s="177">
        <f t="shared" si="38"/>
        <v>3747.0748218134763</v>
      </c>
      <c r="M161" s="177">
        <f t="shared" si="38"/>
        <v>4575.1783574342571</v>
      </c>
    </row>
    <row r="162" spans="4:13" x14ac:dyDescent="0.35">
      <c r="D162" s="178" t="s">
        <v>117</v>
      </c>
      <c r="G162" s="179"/>
      <c r="H162" s="19" t="s">
        <v>69</v>
      </c>
      <c r="I162" s="114">
        <f>M27</f>
        <v>266.53319999999997</v>
      </c>
      <c r="J162" s="114">
        <f>N27</f>
        <v>296.24536172911752</v>
      </c>
      <c r="K162" s="114">
        <f>O27</f>
        <v>325.47285951551441</v>
      </c>
      <c r="L162" s="114">
        <f>P27</f>
        <v>353.40752688292093</v>
      </c>
      <c r="M162" s="114">
        <f>Q27</f>
        <v>379.19914731031537</v>
      </c>
    </row>
    <row r="163" spans="4:13" x14ac:dyDescent="0.35">
      <c r="D163" s="178" t="s">
        <v>118</v>
      </c>
      <c r="G163" s="174"/>
      <c r="H163" s="19" t="s">
        <v>69</v>
      </c>
      <c r="I163" s="114">
        <f>SUM(M98:M103)</f>
        <v>-918.46594231243171</v>
      </c>
      <c r="J163" s="114">
        <f>SUM(N98:N103)</f>
        <v>-428.44656622499986</v>
      </c>
      <c r="K163" s="114">
        <f>SUM(O98:O103)</f>
        <v>-446.43478083749989</v>
      </c>
      <c r="L163" s="114">
        <f>SUM(P98:P103)</f>
        <v>-455.75998102933625</v>
      </c>
      <c r="M163" s="114">
        <f>SUM(Q98:Q103)</f>
        <v>-454.83480368746905</v>
      </c>
    </row>
    <row r="164" spans="4:13" x14ac:dyDescent="0.35">
      <c r="D164" s="178" t="s">
        <v>119</v>
      </c>
      <c r="G164" s="174"/>
      <c r="H164" s="19" t="s">
        <v>69</v>
      </c>
      <c r="I164" s="114">
        <f xml:space="preserve"> M106</f>
        <v>-150</v>
      </c>
      <c r="J164" s="114">
        <f xml:space="preserve"> N106</f>
        <v>-170.625</v>
      </c>
      <c r="K164" s="114">
        <f xml:space="preserve"> O106</f>
        <v>-191.953125</v>
      </c>
      <c r="L164" s="114">
        <f xml:space="preserve"> P106</f>
        <v>-213.5478515625</v>
      </c>
      <c r="M164" s="114">
        <f xml:space="preserve"> Q106</f>
        <v>-234.90263671875005</v>
      </c>
    </row>
    <row r="165" spans="4:13" ht="15" thickBot="1" x14ac:dyDescent="0.4">
      <c r="D165" s="180" t="s">
        <v>120</v>
      </c>
      <c r="E165" s="180"/>
      <c r="F165" s="180"/>
      <c r="G165" s="180"/>
      <c r="H165" s="80" t="s">
        <v>69</v>
      </c>
      <c r="I165" s="136">
        <f>SUM(I161:I164)</f>
        <v>961.51754218756832</v>
      </c>
      <c r="J165" s="136">
        <f>SUM(J161:J164)</f>
        <v>2032.4294147916166</v>
      </c>
      <c r="K165" s="136">
        <f>SUM(K161:K164)</f>
        <v>2684.7448111287958</v>
      </c>
      <c r="L165" s="136">
        <f>SUM(L161:L164)</f>
        <v>3431.1745161045606</v>
      </c>
      <c r="M165" s="136">
        <f>SUM(M161:M164)</f>
        <v>4264.640064338354</v>
      </c>
    </row>
    <row r="166" spans="4:13" ht="6.15" customHeight="1" thickTop="1" x14ac:dyDescent="0.35">
      <c r="D166" s="179"/>
      <c r="G166" s="179"/>
    </row>
    <row r="167" spans="4:13" x14ac:dyDescent="0.35">
      <c r="D167" s="179" t="s">
        <v>121</v>
      </c>
      <c r="G167" s="179"/>
      <c r="H167" s="19" t="s">
        <v>28</v>
      </c>
      <c r="I167" s="181">
        <f>$G$149</f>
        <v>8.9429432425918901E-2</v>
      </c>
      <c r="J167" s="181">
        <f t="shared" ref="J167:M167" si="39">$G$149</f>
        <v>8.9429432425918901E-2</v>
      </c>
      <c r="K167" s="181">
        <f t="shared" si="39"/>
        <v>8.9429432425918901E-2</v>
      </c>
      <c r="L167" s="181">
        <f t="shared" si="39"/>
        <v>8.9429432425918901E-2</v>
      </c>
      <c r="M167" s="181">
        <f t="shared" si="39"/>
        <v>8.9429432425918901E-2</v>
      </c>
    </row>
    <row r="168" spans="4:13" x14ac:dyDescent="0.35">
      <c r="D168" s="179" t="s">
        <v>122</v>
      </c>
      <c r="G168" s="179"/>
      <c r="H168" s="19" t="s">
        <v>123</v>
      </c>
      <c r="I168" s="182">
        <v>1</v>
      </c>
      <c r="J168" s="182">
        <f>I168+1</f>
        <v>2</v>
      </c>
      <c r="K168" s="182">
        <f t="shared" ref="K168:M168" si="40">J168+1</f>
        <v>3</v>
      </c>
      <c r="L168" s="182">
        <f t="shared" si="40"/>
        <v>4</v>
      </c>
      <c r="M168" s="182">
        <f t="shared" si="40"/>
        <v>5</v>
      </c>
    </row>
    <row r="169" spans="4:13" x14ac:dyDescent="0.35">
      <c r="D169" s="179" t="s">
        <v>124</v>
      </c>
      <c r="G169" s="179"/>
      <c r="H169" s="19" t="s">
        <v>123</v>
      </c>
      <c r="I169" s="331">
        <f>1 / (1 + I167)^I168</f>
        <v>0.91791167948640862</v>
      </c>
      <c r="J169" s="331">
        <f t="shared" ref="J169:M169" si="41">1 / (1 + J167)^J168</f>
        <v>0.84256185133755923</v>
      </c>
      <c r="K169" s="331">
        <f t="shared" si="41"/>
        <v>0.77339736403243664</v>
      </c>
      <c r="L169" s="331">
        <f t="shared" si="41"/>
        <v>0.70991047332937529</v>
      </c>
      <c r="M169" s="331">
        <f t="shared" si="41"/>
        <v>0.65163511485875814</v>
      </c>
    </row>
    <row r="170" spans="4:13" ht="6.15" customHeight="1" x14ac:dyDescent="0.35">
      <c r="D170" s="179"/>
      <c r="E170" s="179"/>
      <c r="F170" s="179"/>
    </row>
    <row r="171" spans="4:13" ht="15" thickBot="1" x14ac:dyDescent="0.4">
      <c r="D171" s="183" t="s">
        <v>125</v>
      </c>
      <c r="E171" s="184"/>
      <c r="F171" s="180"/>
      <c r="G171" s="180"/>
      <c r="H171" s="80" t="s">
        <v>69</v>
      </c>
      <c r="I171" s="260">
        <f>I169*I165</f>
        <v>882.58818200503458</v>
      </c>
      <c r="J171" s="260">
        <f>J169*J165</f>
        <v>1712.4474904397366</v>
      </c>
      <c r="K171" s="260">
        <f>K169*K165</f>
        <v>2076.3745600267725</v>
      </c>
      <c r="L171" s="260">
        <f>L169*L165</f>
        <v>2435.826724803479</v>
      </c>
      <c r="M171" s="260">
        <f>M169*M165</f>
        <v>2778.989218156385</v>
      </c>
    </row>
    <row r="172" spans="4:13" ht="15" thickTop="1" x14ac:dyDescent="0.35">
      <c r="D172" s="179"/>
      <c r="E172" s="179"/>
      <c r="F172" s="179"/>
    </row>
    <row r="173" spans="4:13" x14ac:dyDescent="0.35">
      <c r="D173" s="185" t="s">
        <v>126</v>
      </c>
      <c r="E173" s="186"/>
      <c r="F173" s="186"/>
      <c r="J173" s="187" t="s">
        <v>127</v>
      </c>
    </row>
    <row r="174" spans="4:13" x14ac:dyDescent="0.35">
      <c r="D174" s="179"/>
      <c r="E174" s="179"/>
      <c r="F174" s="179"/>
      <c r="J174" s="188" t="str">
        <f>"FY"&amp;TEXT(M157,"0")&amp;"E Unlevered Free Cash Flow"</f>
        <v>FY2027E Unlevered Free Cash Flow</v>
      </c>
      <c r="K174" s="189"/>
      <c r="L174" s="189"/>
      <c r="M174" s="45">
        <f>M165</f>
        <v>4264.640064338354</v>
      </c>
    </row>
    <row r="175" spans="4:13" x14ac:dyDescent="0.35">
      <c r="D175" s="174" t="str">
        <f>"NPV of UFCF "&amp;TEXT(I157,"0")&amp;" - "&amp;TEXT(M157,"0")</f>
        <v>NPV of UFCF 2023 - 2027</v>
      </c>
      <c r="E175" s="179"/>
      <c r="F175" s="261">
        <f>SUM(I171:M171)</f>
        <v>9886.2261754314077</v>
      </c>
      <c r="J175" s="190" t="s">
        <v>128</v>
      </c>
      <c r="K175" s="191"/>
      <c r="L175" s="191"/>
      <c r="M175" s="148">
        <v>1.4999999999999999E-2</v>
      </c>
    </row>
    <row r="176" spans="4:13" x14ac:dyDescent="0.35">
      <c r="D176" s="174" t="s">
        <v>129</v>
      </c>
      <c r="E176" s="179"/>
      <c r="F176" s="261">
        <f>M176*M169</f>
        <v>37897.293644368496</v>
      </c>
      <c r="J176" s="190" t="s">
        <v>130</v>
      </c>
      <c r="K176" s="191"/>
      <c r="L176" s="191"/>
      <c r="M176" s="45">
        <f>(M174 * (1 + M175)) / (G149 - M175)</f>
        <v>58157.230603790791</v>
      </c>
    </row>
    <row r="177" spans="2:17" x14ac:dyDescent="0.35">
      <c r="D177" s="192" t="s">
        <v>131</v>
      </c>
      <c r="E177" s="193"/>
      <c r="F177" s="332">
        <f>SUM(F175:F176)</f>
        <v>47783.519819799905</v>
      </c>
      <c r="J177" s="190" t="s">
        <v>132</v>
      </c>
      <c r="K177" s="191"/>
      <c r="L177" s="191"/>
      <c r="M177" s="194">
        <f>IFERROR(F176/(Q28*M169),0)</f>
        <v>9.4249454550193636</v>
      </c>
    </row>
    <row r="178" spans="2:17" x14ac:dyDescent="0.35">
      <c r="D178" s="1" t="s">
        <v>133</v>
      </c>
      <c r="F178" s="261">
        <f xml:space="preserve"> - K141</f>
        <v>-3611</v>
      </c>
    </row>
    <row r="179" spans="2:17" x14ac:dyDescent="0.35">
      <c r="D179" s="1" t="s">
        <v>134</v>
      </c>
      <c r="F179" s="261">
        <f>L49</f>
        <v>7060</v>
      </c>
      <c r="H179" s="10" t="s">
        <v>135</v>
      </c>
      <c r="I179" s="10"/>
      <c r="J179" s="10"/>
      <c r="K179" s="10"/>
      <c r="L179" s="10"/>
      <c r="M179" s="10"/>
      <c r="N179" s="10"/>
      <c r="O179" s="195"/>
      <c r="Q179" s="196" t="s">
        <v>136</v>
      </c>
    </row>
    <row r="180" spans="2:17" x14ac:dyDescent="0.35">
      <c r="D180" s="1" t="s">
        <v>137</v>
      </c>
      <c r="F180" s="261">
        <f>L50</f>
        <v>4932</v>
      </c>
      <c r="H180" s="197"/>
      <c r="I180" s="198"/>
      <c r="J180" s="199" t="s">
        <v>138</v>
      </c>
      <c r="K180" s="200"/>
      <c r="L180" s="200"/>
      <c r="M180" s="200"/>
      <c r="N180" s="200"/>
      <c r="O180" s="195"/>
      <c r="P180" s="201" t="s">
        <v>139</v>
      </c>
      <c r="Q180" s="202">
        <v>2.5000000000000001E-3</v>
      </c>
    </row>
    <row r="181" spans="2:17" ht="15" thickBot="1" x14ac:dyDescent="0.4">
      <c r="D181" s="203" t="s">
        <v>140</v>
      </c>
      <c r="E181" s="39"/>
      <c r="F181" s="332">
        <f>SUM(F177:F180)</f>
        <v>56164.519819799905</v>
      </c>
      <c r="H181" s="197"/>
      <c r="I181" s="334">
        <f>F183</f>
        <v>71.383629568248068</v>
      </c>
      <c r="J181" s="204">
        <f>K181-$Q$180</f>
        <v>9.9999999999999985E-3</v>
      </c>
      <c r="K181" s="205">
        <f>L181-$Q$180</f>
        <v>1.2499999999999999E-2</v>
      </c>
      <c r="L181" s="335">
        <v>1.4999999999999999E-2</v>
      </c>
      <c r="M181" s="205">
        <f>L181+$Q$180</f>
        <v>1.7499999999999998E-2</v>
      </c>
      <c r="N181" s="205">
        <f>M181+$Q$180</f>
        <v>1.9999999999999997E-2</v>
      </c>
      <c r="O181" s="195"/>
      <c r="Q181" s="196"/>
    </row>
    <row r="182" spans="2:17" ht="14.4" customHeight="1" x14ac:dyDescent="0.35">
      <c r="D182" s="1" t="s">
        <v>141</v>
      </c>
      <c r="F182" s="206">
        <v>786.79831999999999</v>
      </c>
      <c r="H182" s="415" t="s">
        <v>142</v>
      </c>
      <c r="I182" s="204">
        <f t="shared" ref="I182:I183" si="42">I183-$Q$182</f>
        <v>8.4429432425918896E-2</v>
      </c>
      <c r="J182" s="207">
        <v>68.822144678063594</v>
      </c>
      <c r="K182" s="208">
        <v>70.43603526867642</v>
      </c>
      <c r="L182" s="211">
        <v>72.159587887808286</v>
      </c>
      <c r="M182" s="208">
        <v>74.004372741641106</v>
      </c>
      <c r="N182" s="208">
        <v>75.983647030357986</v>
      </c>
      <c r="O182" s="195"/>
      <c r="P182" s="201" t="s">
        <v>142</v>
      </c>
      <c r="Q182" s="202">
        <v>2.5000000000000001E-3</v>
      </c>
    </row>
    <row r="183" spans="2:17" x14ac:dyDescent="0.35">
      <c r="D183" s="203" t="s">
        <v>135</v>
      </c>
      <c r="E183" s="39"/>
      <c r="F183" s="333">
        <f>F181 / F182</f>
        <v>71.383629568248068</v>
      </c>
      <c r="H183" s="415"/>
      <c r="I183" s="205">
        <f t="shared" si="42"/>
        <v>8.6929432425918898E-2</v>
      </c>
      <c r="J183" s="209">
        <v>66.813927104697868</v>
      </c>
      <c r="K183" s="210">
        <v>68.314467068760365</v>
      </c>
      <c r="L183" s="210">
        <v>69.913616804430347</v>
      </c>
      <c r="M183" s="210">
        <v>71.621426944305696</v>
      </c>
      <c r="N183" s="211">
        <v>73.449362015328376</v>
      </c>
      <c r="O183" s="195"/>
      <c r="P183" s="195"/>
      <c r="Q183" s="195"/>
    </row>
    <row r="184" spans="2:17" x14ac:dyDescent="0.35">
      <c r="H184" s="415"/>
      <c r="I184" s="336">
        <v>8.9429432425918901E-2</v>
      </c>
      <c r="J184" s="211">
        <v>64.927680801098177</v>
      </c>
      <c r="K184" s="210">
        <v>66.325602853353644</v>
      </c>
      <c r="L184" s="210">
        <v>67.812468501679319</v>
      </c>
      <c r="M184" s="210">
        <v>69.397045297661109</v>
      </c>
      <c r="N184" s="211">
        <v>71.089292283184989</v>
      </c>
      <c r="O184" s="195"/>
      <c r="P184" s="212"/>
      <c r="Q184" s="195"/>
    </row>
    <row r="185" spans="2:17" x14ac:dyDescent="0.35">
      <c r="H185" s="415"/>
      <c r="I185" s="205">
        <f>I184+$Q$182</f>
        <v>9.1929432425918903E-2</v>
      </c>
      <c r="J185" s="209">
        <v>63.152758142439126</v>
      </c>
      <c r="K185" s="210">
        <v>64.457513700028812</v>
      </c>
      <c r="L185" s="210">
        <v>65.842725543022951</v>
      </c>
      <c r="M185" s="210">
        <v>67.316072287699299</v>
      </c>
      <c r="N185" s="211">
        <v>68.886241769170866</v>
      </c>
      <c r="O185" s="195"/>
      <c r="P185" s="195"/>
      <c r="Q185" s="195"/>
    </row>
    <row r="186" spans="2:17" x14ac:dyDescent="0.35">
      <c r="H186" s="415"/>
      <c r="I186" s="205">
        <f>I185+$Q$182</f>
        <v>9.4429432425918905E-2</v>
      </c>
      <c r="J186" s="209">
        <v>61.479713769833609</v>
      </c>
      <c r="K186" s="211">
        <v>62.699656705891947</v>
      </c>
      <c r="L186" s="211">
        <v>63.992576048295838</v>
      </c>
      <c r="M186" s="211">
        <v>65.365221809194196</v>
      </c>
      <c r="N186" s="211">
        <v>66.82520294756074</v>
      </c>
      <c r="O186" s="195"/>
      <c r="P186" s="195"/>
      <c r="Q186" s="195"/>
    </row>
    <row r="187" spans="2:17" x14ac:dyDescent="0.35">
      <c r="I187" s="195"/>
      <c r="J187" s="195"/>
      <c r="K187" s="195"/>
      <c r="L187" s="195"/>
      <c r="M187" s="195"/>
      <c r="N187" s="195"/>
    </row>
    <row r="188" spans="2:17" x14ac:dyDescent="0.35">
      <c r="I188" s="195"/>
      <c r="J188" s="195"/>
      <c r="K188" s="195"/>
      <c r="L188" s="195"/>
      <c r="M188" s="195"/>
      <c r="N188" s="195"/>
    </row>
    <row r="189" spans="2:17" x14ac:dyDescent="0.35">
      <c r="I189" s="195"/>
      <c r="J189" s="195"/>
      <c r="K189" s="195"/>
      <c r="L189" s="195"/>
      <c r="M189" s="195"/>
      <c r="N189" s="195"/>
    </row>
    <row r="190" spans="2:17" x14ac:dyDescent="0.35">
      <c r="I190" s="195"/>
      <c r="J190" s="195"/>
      <c r="K190" s="195"/>
      <c r="L190" s="195"/>
      <c r="M190" s="195"/>
      <c r="N190" s="195"/>
    </row>
    <row r="191" spans="2:17" s="311" customFormat="1" ht="17.5" thickBot="1" x14ac:dyDescent="0.45">
      <c r="B191" s="310" t="s">
        <v>218</v>
      </c>
      <c r="D191" s="314" t="s">
        <v>143</v>
      </c>
      <c r="E191" s="312"/>
      <c r="F191" s="312"/>
      <c r="G191" s="313"/>
    </row>
    <row r="192" spans="2:17" ht="15" customHeight="1" x14ac:dyDescent="0.35">
      <c r="D192" s="309"/>
      <c r="E192" s="3"/>
      <c r="F192" s="3"/>
      <c r="G192" s="4"/>
    </row>
    <row r="193" spans="4:20" x14ac:dyDescent="0.35">
      <c r="D193" s="213" t="s">
        <v>144</v>
      </c>
      <c r="E193" s="214"/>
      <c r="F193" s="214"/>
      <c r="G193" s="214"/>
      <c r="I193" s="213" t="s">
        <v>145</v>
      </c>
      <c r="J193" s="214"/>
      <c r="K193" s="214"/>
      <c r="L193" s="214"/>
      <c r="M193" s="214"/>
    </row>
    <row r="194" spans="4:20" x14ac:dyDescent="0.35">
      <c r="D194" s="17" t="s">
        <v>146</v>
      </c>
      <c r="I194" s="215"/>
      <c r="J194" s="216">
        <f>$L$10</f>
        <v>2022</v>
      </c>
      <c r="K194" s="217">
        <f>$M$10</f>
        <v>2023</v>
      </c>
      <c r="L194" s="218">
        <f>$N$10</f>
        <v>2024</v>
      </c>
      <c r="M194" s="218">
        <f>$O$10</f>
        <v>2025</v>
      </c>
    </row>
    <row r="195" spans="4:20" ht="6.15" customHeight="1" x14ac:dyDescent="0.35">
      <c r="D195" s="156"/>
      <c r="E195" s="219"/>
      <c r="F195" s="219"/>
      <c r="G195" s="219"/>
      <c r="H195" s="219"/>
      <c r="I195" s="219"/>
    </row>
    <row r="196" spans="4:20" x14ac:dyDescent="0.35">
      <c r="D196" s="156" t="s">
        <v>147</v>
      </c>
      <c r="G196" s="347">
        <v>67.930000000000007</v>
      </c>
      <c r="H196" s="219"/>
      <c r="I196" s="219" t="s">
        <v>148</v>
      </c>
      <c r="J196" s="348">
        <v>10381.275</v>
      </c>
      <c r="K196" s="221">
        <f>M12</f>
        <v>11105.55</v>
      </c>
      <c r="L196" s="221">
        <f>N12</f>
        <v>12632.563124999999</v>
      </c>
      <c r="M196" s="221">
        <f>O12</f>
        <v>14211.633515624999</v>
      </c>
    </row>
    <row r="197" spans="4:20" x14ac:dyDescent="0.35">
      <c r="D197" s="156" t="s">
        <v>149</v>
      </c>
      <c r="G197" s="206">
        <f>F182</f>
        <v>786.79831999999999</v>
      </c>
      <c r="H197" s="219"/>
      <c r="I197" s="219" t="s">
        <v>150</v>
      </c>
      <c r="J197" s="348">
        <v>2137.3743749999999</v>
      </c>
      <c r="K197" s="221">
        <f>M28</f>
        <v>2498.7487499999997</v>
      </c>
      <c r="L197" s="221">
        <f>N28</f>
        <v>3252.2651329791161</v>
      </c>
      <c r="M197" s="221">
        <f>O28</f>
        <v>4119.9790081873898</v>
      </c>
    </row>
    <row r="198" spans="4:20" x14ac:dyDescent="0.35">
      <c r="D198" s="156" t="s">
        <v>151</v>
      </c>
      <c r="E198" s="156"/>
      <c r="F198" s="156"/>
      <c r="G198" s="220">
        <f>G196 * G197</f>
        <v>53447.209877600006</v>
      </c>
      <c r="H198" s="219"/>
      <c r="I198" s="201" t="s">
        <v>152</v>
      </c>
      <c r="J198" s="269">
        <f t="shared" ref="J198:M199" si="43">$G$202 / J196</f>
        <v>4.3411054882565008</v>
      </c>
      <c r="K198" s="269">
        <f>$G$202 / K196</f>
        <v>4.0579899129354251</v>
      </c>
      <c r="L198" s="269">
        <f t="shared" si="43"/>
        <v>3.5674636597234506</v>
      </c>
      <c r="M198" s="269">
        <f t="shared" si="43"/>
        <v>3.1710788086430672</v>
      </c>
    </row>
    <row r="199" spans="4:20" x14ac:dyDescent="0.35">
      <c r="D199" s="156" t="s">
        <v>153</v>
      </c>
      <c r="E199" s="156"/>
      <c r="F199" s="156"/>
      <c r="G199" s="221">
        <f>K141</f>
        <v>3611</v>
      </c>
      <c r="H199" s="219"/>
      <c r="I199" s="219" t="s">
        <v>154</v>
      </c>
      <c r="J199" s="269">
        <f t="shared" si="43"/>
        <v>21.084846157379427</v>
      </c>
      <c r="K199" s="269">
        <f t="shared" si="43"/>
        <v>18.035510724157444</v>
      </c>
      <c r="L199" s="269">
        <f t="shared" si="43"/>
        <v>13.85686837786155</v>
      </c>
      <c r="M199" s="269">
        <f t="shared" si="43"/>
        <v>10.938456188257902</v>
      </c>
    </row>
    <row r="200" spans="4:20" x14ac:dyDescent="0.35">
      <c r="D200" s="156" t="s">
        <v>155</v>
      </c>
      <c r="E200" s="156"/>
      <c r="F200" s="156"/>
      <c r="G200" s="221">
        <f>L49</f>
        <v>7060</v>
      </c>
      <c r="H200" s="219"/>
      <c r="I200" s="219"/>
      <c r="J200" s="219"/>
      <c r="K200" s="219"/>
    </row>
    <row r="201" spans="4:20" x14ac:dyDescent="0.35">
      <c r="D201" s="156" t="s">
        <v>156</v>
      </c>
      <c r="E201" s="156"/>
      <c r="F201" s="156"/>
      <c r="G201" s="221">
        <f>F180</f>
        <v>4932</v>
      </c>
      <c r="H201" s="219"/>
      <c r="I201" s="219"/>
      <c r="J201" s="219"/>
      <c r="K201" s="219"/>
    </row>
    <row r="202" spans="4:20" x14ac:dyDescent="0.35">
      <c r="D202" s="222" t="s">
        <v>144</v>
      </c>
      <c r="E202" s="222"/>
      <c r="F202" s="222"/>
      <c r="G202" s="332">
        <f>G198+G199-G200-G201</f>
        <v>45066.209877600006</v>
      </c>
      <c r="H202" s="219"/>
      <c r="I202" s="219"/>
      <c r="J202" s="219"/>
      <c r="K202" s="219"/>
    </row>
    <row r="203" spans="4:20" x14ac:dyDescent="0.35">
      <c r="H203" s="219"/>
    </row>
    <row r="204" spans="4:20" x14ac:dyDescent="0.35">
      <c r="D204" s="156"/>
      <c r="E204" s="156"/>
      <c r="F204" s="156"/>
      <c r="G204" s="219"/>
      <c r="H204" s="219"/>
      <c r="I204" s="219"/>
      <c r="J204" s="219"/>
      <c r="K204" s="219"/>
    </row>
    <row r="205" spans="4:20" x14ac:dyDescent="0.35">
      <c r="D205" s="223"/>
      <c r="E205" s="223"/>
      <c r="F205" s="223"/>
      <c r="G205" s="223"/>
      <c r="H205" s="223"/>
      <c r="I205" s="223" t="s">
        <v>157</v>
      </c>
      <c r="J205" s="223" t="s">
        <v>158</v>
      </c>
      <c r="K205" s="224" t="s">
        <v>159</v>
      </c>
      <c r="L205" s="224"/>
      <c r="M205" s="225"/>
      <c r="N205" s="226" t="s">
        <v>160</v>
      </c>
      <c r="O205" s="227"/>
      <c r="P205" s="228"/>
    </row>
    <row r="206" spans="4:20" x14ac:dyDescent="0.35">
      <c r="D206" s="229" t="s">
        <v>161</v>
      </c>
      <c r="E206" s="230"/>
      <c r="F206" s="230"/>
      <c r="G206" s="230"/>
      <c r="H206" s="230"/>
      <c r="I206" s="230" t="s">
        <v>162</v>
      </c>
      <c r="J206" s="230" t="s">
        <v>162</v>
      </c>
      <c r="K206" s="231" t="s">
        <v>163</v>
      </c>
      <c r="L206" s="232">
        <f>$M$10</f>
        <v>2023</v>
      </c>
      <c r="M206" s="233">
        <f>$N$10</f>
        <v>2024</v>
      </c>
      <c r="N206" s="234" t="s">
        <v>163</v>
      </c>
      <c r="O206" s="232">
        <f>$M$10</f>
        <v>2023</v>
      </c>
      <c r="P206" s="235">
        <f>$N$10</f>
        <v>2024</v>
      </c>
    </row>
    <row r="207" spans="4:20" x14ac:dyDescent="0.35">
      <c r="D207" s="236" t="s">
        <v>164</v>
      </c>
      <c r="E207" s="236"/>
      <c r="F207" s="236"/>
      <c r="G207" s="237"/>
      <c r="H207" s="237"/>
      <c r="I207" s="238">
        <v>53504.913480000003</v>
      </c>
      <c r="J207" s="238">
        <v>40597.775690000002</v>
      </c>
      <c r="K207" s="239">
        <v>2.7912112884242957</v>
      </c>
      <c r="L207" s="351">
        <v>3.3851076144962997</v>
      </c>
      <c r="M207" s="240">
        <v>4.0764081074616438</v>
      </c>
      <c r="N207" s="241">
        <v>7.7414742177403308</v>
      </c>
      <c r="O207" s="352">
        <v>14.466674711290384</v>
      </c>
      <c r="P207" s="242">
        <v>12.926959327726898</v>
      </c>
      <c r="T207" s="349"/>
    </row>
    <row r="208" spans="4:20" x14ac:dyDescent="0.35">
      <c r="D208" s="236" t="s">
        <v>165</v>
      </c>
      <c r="E208" s="236"/>
      <c r="F208" s="236"/>
      <c r="G208" s="237"/>
      <c r="H208" s="237"/>
      <c r="I208" s="238">
        <v>36920.14718</v>
      </c>
      <c r="J208" s="238">
        <v>36778.14718</v>
      </c>
      <c r="K208" s="239">
        <v>5.6477498740786238</v>
      </c>
      <c r="L208" s="351">
        <v>5.0914758997335108</v>
      </c>
      <c r="M208" s="240">
        <v>4.6537366047755162</v>
      </c>
      <c r="N208" s="241">
        <v>27.446378492537313</v>
      </c>
      <c r="O208" s="352">
        <v>16.492801176566967</v>
      </c>
      <c r="P208" s="242">
        <v>12.15459760736028</v>
      </c>
      <c r="T208" s="349"/>
    </row>
    <row r="209" spans="4:20" x14ac:dyDescent="0.35">
      <c r="D209" s="236" t="s">
        <v>166</v>
      </c>
      <c r="E209" s="236"/>
      <c r="F209" s="236"/>
      <c r="G209" s="237"/>
      <c r="H209" s="237"/>
      <c r="I209" s="238">
        <v>17610.132389999999</v>
      </c>
      <c r="J209" s="238">
        <v>15307.873390000001</v>
      </c>
      <c r="K209" s="239">
        <v>4.4835494112729926</v>
      </c>
      <c r="L209" s="351">
        <v>2.502308718377086</v>
      </c>
      <c r="M209" s="240">
        <v>2.176539979465737</v>
      </c>
      <c r="N209" s="241">
        <v>19.137640617440301</v>
      </c>
      <c r="O209" s="352">
        <v>22.215838900445242</v>
      </c>
      <c r="P209" s="242">
        <v>9.438177416637016</v>
      </c>
      <c r="T209" s="349"/>
    </row>
    <row r="210" spans="4:20" x14ac:dyDescent="0.35">
      <c r="D210" s="236" t="s">
        <v>167</v>
      </c>
      <c r="E210" s="236"/>
      <c r="F210" s="236"/>
      <c r="G210" s="237"/>
      <c r="H210" s="237"/>
      <c r="I210" s="238">
        <v>51109.394189999999</v>
      </c>
      <c r="J210" s="238">
        <v>49193.897189999996</v>
      </c>
      <c r="K210" s="239" t="s">
        <v>168</v>
      </c>
      <c r="L210" s="351">
        <v>14.68085394632838</v>
      </c>
      <c r="M210" s="240">
        <v>12.480273853917</v>
      </c>
      <c r="N210" s="241" t="s">
        <v>168</v>
      </c>
      <c r="O210" s="352" t="s">
        <v>168</v>
      </c>
      <c r="P210" s="242" t="s">
        <v>168</v>
      </c>
      <c r="T210" s="349"/>
    </row>
    <row r="211" spans="4:20" x14ac:dyDescent="0.35">
      <c r="D211" s="236" t="s">
        <v>169</v>
      </c>
      <c r="E211" s="236"/>
      <c r="F211" s="236"/>
      <c r="G211" s="237"/>
      <c r="H211" s="237"/>
      <c r="I211" s="238">
        <v>7766.6647700000003</v>
      </c>
      <c r="J211" s="238">
        <v>9209.5647700000009</v>
      </c>
      <c r="K211" s="239">
        <v>3.5654528726287267</v>
      </c>
      <c r="L211" s="351">
        <v>3.2676099576180455</v>
      </c>
      <c r="M211" s="240">
        <v>3.4561852092735736</v>
      </c>
      <c r="N211" s="241">
        <v>13.53750517418786</v>
      </c>
      <c r="O211" s="352">
        <v>14.106632461124407</v>
      </c>
      <c r="P211" s="242">
        <v>10.625033912880758</v>
      </c>
      <c r="T211" s="349"/>
    </row>
    <row r="212" spans="4:20" x14ac:dyDescent="0.35">
      <c r="D212" s="236" t="s">
        <v>170</v>
      </c>
      <c r="E212" s="236"/>
      <c r="F212" s="236"/>
      <c r="G212" s="237"/>
      <c r="H212" s="237"/>
      <c r="I212" s="238">
        <v>304.25484</v>
      </c>
      <c r="J212" s="238">
        <v>389.15483999999998</v>
      </c>
      <c r="K212" s="239">
        <v>0.64206375185612929</v>
      </c>
      <c r="L212" s="351">
        <v>0.8183443051398962</v>
      </c>
      <c r="M212" s="240">
        <v>0.49955843896469876</v>
      </c>
      <c r="N212" s="241">
        <v>2.177699160604365</v>
      </c>
      <c r="O212" s="352">
        <v>4.8130242895644475</v>
      </c>
      <c r="P212" s="242">
        <v>1.7211783283985982</v>
      </c>
      <c r="T212" s="349"/>
    </row>
    <row r="213" spans="4:20" x14ac:dyDescent="0.35">
      <c r="D213" s="236" t="s">
        <v>171</v>
      </c>
      <c r="E213" s="236"/>
      <c r="F213" s="236"/>
      <c r="G213" s="237"/>
      <c r="H213" s="237"/>
      <c r="I213" s="238">
        <v>616.48829999999998</v>
      </c>
      <c r="J213" s="238">
        <v>390.51330000000002</v>
      </c>
      <c r="K213" s="239">
        <v>1.3586899265532204</v>
      </c>
      <c r="L213" s="351">
        <v>0.93390386936546954</v>
      </c>
      <c r="M213" s="240">
        <v>1.1706936406879558</v>
      </c>
      <c r="N213" s="241" t="s">
        <v>168</v>
      </c>
      <c r="O213" s="352">
        <v>9.6837528721615342</v>
      </c>
      <c r="P213" s="242">
        <v>6.0045057629760183</v>
      </c>
      <c r="T213" s="349"/>
    </row>
    <row r="214" spans="4:20" x14ac:dyDescent="0.35">
      <c r="D214" s="156"/>
      <c r="E214" s="156"/>
      <c r="F214" s="156"/>
      <c r="G214" s="219"/>
      <c r="H214" s="219"/>
      <c r="I214" s="219"/>
      <c r="J214" s="219"/>
      <c r="K214" s="243"/>
      <c r="L214" s="244"/>
      <c r="M214" s="244"/>
      <c r="N214" s="244"/>
      <c r="O214" s="244"/>
      <c r="P214" s="244"/>
      <c r="T214" s="350"/>
    </row>
    <row r="215" spans="4:20" x14ac:dyDescent="0.35">
      <c r="D215" s="245" t="s">
        <v>172</v>
      </c>
      <c r="E215" s="156"/>
      <c r="F215" s="156"/>
      <c r="J215" s="246" t="s">
        <v>173</v>
      </c>
      <c r="K215" s="269">
        <f>MAX(K207:K213)</f>
        <v>5.6477498740786238</v>
      </c>
      <c r="L215" s="269">
        <f t="shared" ref="L215:P215" si="44">MAX(L207:L213)</f>
        <v>14.68085394632838</v>
      </c>
      <c r="M215" s="269">
        <f t="shared" si="44"/>
        <v>12.480273853917</v>
      </c>
      <c r="N215" s="269">
        <f t="shared" si="44"/>
        <v>27.446378492537313</v>
      </c>
      <c r="O215" s="269">
        <f t="shared" si="44"/>
        <v>22.215838900445242</v>
      </c>
      <c r="P215" s="269">
        <f t="shared" si="44"/>
        <v>12.926959327726898</v>
      </c>
    </row>
    <row r="216" spans="4:20" x14ac:dyDescent="0.35">
      <c r="D216" s="245" t="s">
        <v>174</v>
      </c>
      <c r="E216" s="156"/>
      <c r="F216" s="156"/>
      <c r="J216" s="246" t="s">
        <v>175</v>
      </c>
      <c r="K216" s="269">
        <f>AVERAGE(K207:K213)</f>
        <v>3.0814528541356645</v>
      </c>
      <c r="L216" s="269">
        <f t="shared" ref="L216:P216" si="45">AVERAGE(L207:L213)</f>
        <v>4.3828006158655262</v>
      </c>
      <c r="M216" s="269">
        <f t="shared" si="45"/>
        <v>4.0733422620780173</v>
      </c>
      <c r="N216" s="269">
        <f t="shared" si="45"/>
        <v>14.008139532502033</v>
      </c>
      <c r="O216" s="269">
        <f t="shared" si="45"/>
        <v>13.629787401858833</v>
      </c>
      <c r="P216" s="269">
        <f t="shared" si="45"/>
        <v>8.8117420593299283</v>
      </c>
    </row>
    <row r="217" spans="4:20" x14ac:dyDescent="0.35">
      <c r="D217" s="245" t="s">
        <v>216</v>
      </c>
      <c r="E217" s="156"/>
      <c r="F217" s="156"/>
      <c r="J217" s="246" t="s">
        <v>176</v>
      </c>
      <c r="K217" s="269">
        <f>MEDIAN(K207:K213)</f>
        <v>3.1783320805265109</v>
      </c>
      <c r="L217" s="269">
        <f t="shared" ref="L217:P217" si="46">MEDIAN(L207:L213)</f>
        <v>3.2676099576180455</v>
      </c>
      <c r="M217" s="269">
        <f t="shared" si="46"/>
        <v>3.4561852092735736</v>
      </c>
      <c r="N217" s="269">
        <f t="shared" si="46"/>
        <v>13.53750517418786</v>
      </c>
      <c r="O217" s="269">
        <f t="shared" si="46"/>
        <v>14.286653586207397</v>
      </c>
      <c r="P217" s="269">
        <f t="shared" si="46"/>
        <v>10.031605664758887</v>
      </c>
    </row>
    <row r="218" spans="4:20" x14ac:dyDescent="0.35">
      <c r="D218" s="156"/>
      <c r="E218" s="156"/>
      <c r="F218" s="156"/>
      <c r="J218" s="246" t="s">
        <v>177</v>
      </c>
      <c r="K218" s="269">
        <f>MIN(K207:K213)</f>
        <v>0.64206375185612929</v>
      </c>
      <c r="L218" s="269">
        <f t="shared" ref="L218:P218" si="47">MIN(L207:L213)</f>
        <v>0.8183443051398962</v>
      </c>
      <c r="M218" s="269">
        <f t="shared" si="47"/>
        <v>0.49955843896469876</v>
      </c>
      <c r="N218" s="269">
        <f t="shared" si="47"/>
        <v>2.177699160604365</v>
      </c>
      <c r="O218" s="269">
        <f t="shared" si="47"/>
        <v>4.8130242895644475</v>
      </c>
      <c r="P218" s="269">
        <f t="shared" si="47"/>
        <v>1.7211783283985982</v>
      </c>
    </row>
    <row r="219" spans="4:20" x14ac:dyDescent="0.35">
      <c r="H219" s="219"/>
      <c r="I219" s="219"/>
      <c r="J219" s="219"/>
      <c r="K219" s="219"/>
    </row>
    <row r="220" spans="4:20" x14ac:dyDescent="0.35">
      <c r="D220" s="247" t="str">
        <f>D4&amp;" Implied Enterprise Value"</f>
        <v>Activsion Blizzard Inc. Implied Enterprise Value</v>
      </c>
      <c r="E220" s="247"/>
      <c r="F220" s="247"/>
      <c r="G220" s="247"/>
      <c r="H220" s="248"/>
      <c r="I220" s="249">
        <f>G198</f>
        <v>53447.209877600006</v>
      </c>
      <c r="J220" s="249">
        <f>G202</f>
        <v>45066.209877600006</v>
      </c>
      <c r="K220" s="249">
        <f>K216*J196</f>
        <v>31989.409478317219</v>
      </c>
      <c r="L220" s="249">
        <f>L216*K196</f>
        <v>48673.411379525394</v>
      </c>
      <c r="M220" s="249">
        <f>M216*L196</f>
        <v>51456.753255430842</v>
      </c>
      <c r="N220" s="249">
        <f>N216*J197</f>
        <v>29940.638478194323</v>
      </c>
      <c r="O220" s="249">
        <f>O216*K197</f>
        <v>34057.414233160503</v>
      </c>
      <c r="P220" s="249">
        <f>P216*L197</f>
        <v>28658.12146036432</v>
      </c>
    </row>
    <row r="221" spans="4:20" x14ac:dyDescent="0.35">
      <c r="H221" s="219"/>
      <c r="I221" s="219"/>
      <c r="J221" s="219"/>
      <c r="K221" s="219"/>
    </row>
    <row r="222" spans="4:20" ht="29" x14ac:dyDescent="0.35">
      <c r="D222" s="270" t="s">
        <v>202</v>
      </c>
      <c r="E222" s="271"/>
      <c r="F222" s="271"/>
      <c r="G222" s="271"/>
      <c r="H222" s="271"/>
      <c r="I222" s="271" t="s">
        <v>144</v>
      </c>
      <c r="J222" s="271" t="s">
        <v>203</v>
      </c>
      <c r="K222" s="272" t="s">
        <v>204</v>
      </c>
    </row>
    <row r="223" spans="4:20" x14ac:dyDescent="0.35">
      <c r="D223" s="273" t="s">
        <v>198</v>
      </c>
      <c r="H223" s="219"/>
      <c r="I223" s="274">
        <v>68700</v>
      </c>
      <c r="J223" s="287">
        <v>95</v>
      </c>
      <c r="K223" s="250"/>
    </row>
    <row r="224" spans="4:20" x14ac:dyDescent="0.35">
      <c r="D224" s="273" t="s">
        <v>197</v>
      </c>
      <c r="H224" s="219"/>
      <c r="I224" s="275">
        <f>G202</f>
        <v>45066.209877600006</v>
      </c>
      <c r="J224" s="276">
        <f>G196</f>
        <v>67.930000000000007</v>
      </c>
      <c r="K224" s="277">
        <f>$J$223/J224-1</f>
        <v>0.39849845429118202</v>
      </c>
    </row>
    <row r="225" spans="2:17" x14ac:dyDescent="0.35">
      <c r="D225" s="273" t="s">
        <v>199</v>
      </c>
      <c r="H225" s="219"/>
      <c r="I225" s="275">
        <f>F177</f>
        <v>47783.519819799905</v>
      </c>
      <c r="J225" s="278">
        <f>F183</f>
        <v>71.383629568248068</v>
      </c>
      <c r="K225" s="277">
        <f>$J$223/J225-1</f>
        <v>0.33083734428455935</v>
      </c>
    </row>
    <row r="226" spans="2:17" x14ac:dyDescent="0.35">
      <c r="D226" s="273" t="s">
        <v>200</v>
      </c>
      <c r="H226" s="219"/>
      <c r="I226" s="279">
        <f>K220</f>
        <v>31989.409478317219</v>
      </c>
      <c r="J226" s="280">
        <f>I226/G197</f>
        <v>40.657699266969992</v>
      </c>
      <c r="K226" s="277">
        <f>$J$223/J226-1</f>
        <v>1.3365808128050491</v>
      </c>
    </row>
    <row r="227" spans="2:17" x14ac:dyDescent="0.35">
      <c r="D227" s="281" t="s">
        <v>201</v>
      </c>
      <c r="E227" s="282"/>
      <c r="F227" s="282"/>
      <c r="G227" s="282"/>
      <c r="H227" s="283"/>
      <c r="I227" s="284">
        <f>N220</f>
        <v>29940.638478194323</v>
      </c>
      <c r="J227" s="285">
        <f>I227/G197</f>
        <v>38.053765135383514</v>
      </c>
      <c r="K227" s="286">
        <f>$J$223/J227-1</f>
        <v>1.4964678176264403</v>
      </c>
    </row>
    <row r="228" spans="2:17" x14ac:dyDescent="0.35">
      <c r="H228" s="219"/>
      <c r="I228" s="219"/>
      <c r="J228" s="219"/>
      <c r="K228" s="219"/>
    </row>
    <row r="229" spans="2:17" x14ac:dyDescent="0.35">
      <c r="H229" s="219"/>
      <c r="I229" s="219"/>
      <c r="J229" s="219"/>
      <c r="K229" s="219"/>
    </row>
    <row r="230" spans="2:17" x14ac:dyDescent="0.35">
      <c r="D230" s="156"/>
      <c r="E230" s="156"/>
      <c r="F230" s="156"/>
      <c r="G230" s="219"/>
      <c r="H230" s="219"/>
      <c r="I230" s="219"/>
      <c r="J230" s="219"/>
      <c r="K230" s="219"/>
    </row>
    <row r="232" spans="2:17" x14ac:dyDescent="0.35">
      <c r="D232" s="187"/>
    </row>
    <row r="233" spans="2:17" s="311" customFormat="1" ht="17.5" thickBot="1" x14ac:dyDescent="0.45">
      <c r="B233" s="310" t="s">
        <v>178</v>
      </c>
      <c r="D233" s="314" t="s">
        <v>179</v>
      </c>
      <c r="E233" s="312"/>
      <c r="F233" s="312"/>
      <c r="G233" s="313"/>
    </row>
    <row r="234" spans="2:17" x14ac:dyDescent="0.35">
      <c r="D234" s="309"/>
      <c r="E234" s="3"/>
      <c r="F234" s="3"/>
      <c r="G234" s="4"/>
    </row>
    <row r="235" spans="2:17" ht="3.9" customHeight="1" x14ac:dyDescent="0.35"/>
    <row r="236" spans="2:17" x14ac:dyDescent="0.35">
      <c r="D236" s="10" t="s">
        <v>179</v>
      </c>
      <c r="E236" s="10"/>
      <c r="F236" s="10"/>
      <c r="G236" s="10"/>
      <c r="H236" s="11"/>
      <c r="I236" s="12" t="s">
        <v>4</v>
      </c>
      <c r="J236" s="13"/>
      <c r="K236" s="13"/>
      <c r="L236" s="14"/>
      <c r="M236" s="15" t="s">
        <v>5</v>
      </c>
      <c r="N236" s="15"/>
      <c r="O236" s="15"/>
      <c r="P236" s="15"/>
      <c r="Q236" s="15"/>
    </row>
    <row r="237" spans="2:17" x14ac:dyDescent="0.35">
      <c r="D237" s="187"/>
      <c r="G237" s="18"/>
      <c r="H237" s="19" t="s">
        <v>8</v>
      </c>
      <c r="I237" s="20">
        <f>$I$10</f>
        <v>2019</v>
      </c>
      <c r="J237" s="21">
        <f>$J$10</f>
        <v>2020</v>
      </c>
      <c r="K237" s="21">
        <f>$K$10</f>
        <v>2021</v>
      </c>
      <c r="L237" s="22">
        <f>$L$10</f>
        <v>2022</v>
      </c>
      <c r="M237" s="23">
        <f>$M$10</f>
        <v>2023</v>
      </c>
      <c r="N237" s="24">
        <f>$N$10</f>
        <v>2024</v>
      </c>
      <c r="O237" s="24">
        <f>$O$10</f>
        <v>2025</v>
      </c>
      <c r="P237" s="24">
        <f>$P$10</f>
        <v>2026</v>
      </c>
      <c r="Q237" s="24">
        <f>$Q$10</f>
        <v>2027</v>
      </c>
    </row>
    <row r="238" spans="2:17" x14ac:dyDescent="0.35">
      <c r="D238" s="187"/>
      <c r="H238" s="26"/>
    </row>
    <row r="239" spans="2:17" ht="13.75" customHeight="1" x14ac:dyDescent="0.35">
      <c r="D239" s="187" t="s">
        <v>180</v>
      </c>
      <c r="E239" s="187"/>
      <c r="F239" s="179"/>
    </row>
    <row r="240" spans="2:17" ht="13.75" customHeight="1" x14ac:dyDescent="0.35">
      <c r="D240" s="29" t="s">
        <v>181</v>
      </c>
      <c r="H240" s="251" t="s">
        <v>28</v>
      </c>
      <c r="I240" s="252">
        <f t="shared" ref="I240:Q240" si="48">I14 / I$12</f>
        <v>0.67730004623208506</v>
      </c>
      <c r="J240" s="252">
        <f t="shared" si="48"/>
        <v>0.72050457581004201</v>
      </c>
      <c r="K240" s="252">
        <f t="shared" si="48"/>
        <v>0.73679427467908665</v>
      </c>
      <c r="L240" s="253">
        <f t="shared" si="48"/>
        <v>0.54944599772185976</v>
      </c>
      <c r="M240" s="322">
        <f t="shared" si="48"/>
        <v>0.68</v>
      </c>
      <c r="N240" s="322">
        <f t="shared" si="48"/>
        <v>0.69</v>
      </c>
      <c r="O240" s="322">
        <f t="shared" si="48"/>
        <v>0.7</v>
      </c>
      <c r="P240" s="322">
        <f t="shared" si="48"/>
        <v>0.71</v>
      </c>
      <c r="Q240" s="322">
        <f t="shared" si="48"/>
        <v>0.72000000000000008</v>
      </c>
    </row>
    <row r="241" spans="4:17" ht="13.75" customHeight="1" x14ac:dyDescent="0.35">
      <c r="D241" s="29" t="s">
        <v>182</v>
      </c>
      <c r="H241" s="251" t="s">
        <v>28</v>
      </c>
      <c r="I241" s="252">
        <f t="shared" ref="I241:Q241" si="49">I28 / I$12</f>
        <v>0.29819694868238555</v>
      </c>
      <c r="J241" s="252">
        <f t="shared" si="49"/>
        <v>0.36247835765520653</v>
      </c>
      <c r="K241" s="252">
        <f t="shared" si="49"/>
        <v>0.3833920254458707</v>
      </c>
      <c r="L241" s="253">
        <f t="shared" si="49"/>
        <v>0.18390804597701149</v>
      </c>
      <c r="M241" s="322">
        <f t="shared" si="49"/>
        <v>0.22500000000000001</v>
      </c>
      <c r="N241" s="322">
        <f t="shared" si="49"/>
        <v>0.257450930646279</v>
      </c>
      <c r="O241" s="322">
        <f t="shared" si="49"/>
        <v>0.28990186129255818</v>
      </c>
      <c r="P241" s="322">
        <f t="shared" si="49"/>
        <v>0.32235279193883726</v>
      </c>
      <c r="Q241" s="322">
        <f t="shared" si="49"/>
        <v>0.3548037225851165</v>
      </c>
    </row>
    <row r="242" spans="4:17" ht="13.75" customHeight="1" x14ac:dyDescent="0.35">
      <c r="D242" s="29" t="s">
        <v>183</v>
      </c>
      <c r="H242" s="251" t="s">
        <v>28</v>
      </c>
      <c r="I242" s="252">
        <f t="shared" ref="I242:Q242" si="50">I18 / I$12</f>
        <v>0.2476498690090923</v>
      </c>
      <c r="J242" s="252">
        <f t="shared" si="50"/>
        <v>0.33811526094484295</v>
      </c>
      <c r="K242" s="252">
        <f t="shared" si="50"/>
        <v>0.37021469953424968</v>
      </c>
      <c r="L242" s="253">
        <f t="shared" si="50"/>
        <v>0.17293155224189707</v>
      </c>
      <c r="M242" s="322">
        <f t="shared" si="50"/>
        <v>0.20100000000000001</v>
      </c>
      <c r="N242" s="322">
        <f t="shared" si="50"/>
        <v>0.2339999999999999</v>
      </c>
      <c r="O242" s="322">
        <f t="shared" si="50"/>
        <v>0.26700000000000002</v>
      </c>
      <c r="P242" s="322">
        <f t="shared" si="50"/>
        <v>0.3</v>
      </c>
      <c r="Q242" s="322">
        <f t="shared" si="50"/>
        <v>0.33300000000000013</v>
      </c>
    </row>
    <row r="243" spans="4:17" ht="5.4" customHeight="1" x14ac:dyDescent="0.35">
      <c r="D243" s="29"/>
      <c r="H243" s="251"/>
      <c r="I243" s="252"/>
      <c r="J243" s="252"/>
      <c r="K243" s="252"/>
      <c r="L243" s="253"/>
      <c r="M243" s="288"/>
      <c r="N243" s="288"/>
      <c r="O243" s="288"/>
      <c r="P243" s="288"/>
      <c r="Q243" s="288"/>
    </row>
    <row r="244" spans="4:17" ht="13.75" customHeight="1" x14ac:dyDescent="0.35">
      <c r="D244" s="34" t="s">
        <v>184</v>
      </c>
      <c r="H244" s="251"/>
      <c r="L244" s="250"/>
    </row>
    <row r="245" spans="4:17" ht="13.75" customHeight="1" x14ac:dyDescent="0.35">
      <c r="D245" s="29" t="s">
        <v>185</v>
      </c>
      <c r="H245" s="251" t="s">
        <v>24</v>
      </c>
      <c r="I245" s="194">
        <f t="shared" ref="I245:Q245" si="51">I54 / I63</f>
        <v>2.4905660377358489</v>
      </c>
      <c r="J245" s="194">
        <f t="shared" si="51"/>
        <v>3.3945161290322585</v>
      </c>
      <c r="K245" s="194">
        <f t="shared" si="51"/>
        <v>5.1866445458316051</v>
      </c>
      <c r="L245" s="254">
        <f t="shared" si="51"/>
        <v>4.0505165495604976</v>
      </c>
      <c r="M245" s="269">
        <f t="shared" si="51"/>
        <v>4.4600010129992018</v>
      </c>
      <c r="N245" s="269">
        <f t="shared" si="51"/>
        <v>4.9816723216659247</v>
      </c>
      <c r="O245" s="269">
        <f t="shared" si="51"/>
        <v>5.6390100340839791</v>
      </c>
      <c r="P245" s="269">
        <f t="shared" si="51"/>
        <v>6.2912781514871758</v>
      </c>
      <c r="Q245" s="269">
        <f t="shared" si="51"/>
        <v>7.2271131785234806</v>
      </c>
    </row>
    <row r="246" spans="4:17" ht="13.75" customHeight="1" x14ac:dyDescent="0.35">
      <c r="D246" s="29" t="s">
        <v>186</v>
      </c>
      <c r="H246" s="251" t="s">
        <v>24</v>
      </c>
      <c r="I246" s="194">
        <f t="shared" ref="I246:P246" si="52">(I49+I51) / I63</f>
        <v>2.2785591766723843</v>
      </c>
      <c r="J246" s="194">
        <f t="shared" si="52"/>
        <v>3.128709677419355</v>
      </c>
      <c r="K246" s="194">
        <f t="shared" si="52"/>
        <v>4.726254666113646</v>
      </c>
      <c r="L246" s="254">
        <f t="shared" si="52"/>
        <v>2.3246132208157526</v>
      </c>
      <c r="M246" s="269">
        <f t="shared" si="52"/>
        <v>2.6025500986107022</v>
      </c>
      <c r="N246" s="269">
        <f t="shared" si="52"/>
        <v>3.0768281437737719</v>
      </c>
      <c r="O246" s="269">
        <f t="shared" si="52"/>
        <v>3.6845905530643481</v>
      </c>
      <c r="P246" s="269">
        <f t="shared" si="52"/>
        <v>4.2858332396447896</v>
      </c>
      <c r="Q246" s="379">
        <v>5.1700343128995749</v>
      </c>
    </row>
    <row r="247" spans="4:17" ht="5.4" customHeight="1" x14ac:dyDescent="0.35">
      <c r="D247" s="29"/>
      <c r="H247" s="251"/>
      <c r="I247" s="194"/>
      <c r="J247" s="194"/>
      <c r="K247" s="194"/>
      <c r="L247" s="254"/>
      <c r="M247" s="194"/>
      <c r="N247" s="194"/>
      <c r="O247" s="194"/>
      <c r="P247" s="194"/>
      <c r="Q247" s="194"/>
    </row>
    <row r="248" spans="4:17" ht="13.75" customHeight="1" x14ac:dyDescent="0.35">
      <c r="D248" s="34" t="s">
        <v>187</v>
      </c>
      <c r="L248" s="250"/>
    </row>
    <row r="249" spans="4:17" ht="13.75" customHeight="1" x14ac:dyDescent="0.35">
      <c r="D249" s="29" t="s">
        <v>188</v>
      </c>
      <c r="H249" s="251" t="s">
        <v>123</v>
      </c>
      <c r="I249" s="255"/>
      <c r="J249" s="256">
        <f t="shared" ref="J249:Q249" si="53">AVERAGE(I51:J51) / J12 * 365</f>
        <v>42.882760326490228</v>
      </c>
      <c r="K249" s="256">
        <f t="shared" si="53"/>
        <v>41.960695217539474</v>
      </c>
      <c r="L249" s="256">
        <f t="shared" si="53"/>
        <v>41.122501812156983</v>
      </c>
      <c r="M249" s="268">
        <f t="shared" si="53"/>
        <v>45.335602694148427</v>
      </c>
      <c r="N249" s="268">
        <f t="shared" si="53"/>
        <v>48.011538461538464</v>
      </c>
      <c r="O249" s="268">
        <f t="shared" si="53"/>
        <v>48.26111111111112</v>
      </c>
      <c r="P249" s="268">
        <f t="shared" si="53"/>
        <v>48.516292134831467</v>
      </c>
      <c r="Q249" s="268">
        <f t="shared" si="53"/>
        <v>48.777272727272738</v>
      </c>
    </row>
    <row r="250" spans="4:17" ht="13.75" customHeight="1" x14ac:dyDescent="0.35">
      <c r="D250" s="29" t="s">
        <v>189</v>
      </c>
      <c r="H250" s="251" t="s">
        <v>123</v>
      </c>
      <c r="I250" s="255"/>
      <c r="J250" s="256">
        <f t="shared" ref="J250:Q250" si="54">AVERAGE(I61:J61) / J13 * 365</f>
        <v>47.401548672566371</v>
      </c>
      <c r="K250" s="256">
        <f t="shared" si="54"/>
        <v>45.684074233923177</v>
      </c>
      <c r="L250" s="256">
        <f t="shared" si="54"/>
        <v>50.019126912691277</v>
      </c>
      <c r="M250" s="268">
        <f t="shared" si="54"/>
        <v>39.268640139389767</v>
      </c>
      <c r="N250" s="268">
        <f t="shared" si="54"/>
        <v>43.166263736263737</v>
      </c>
      <c r="O250" s="268">
        <f t="shared" si="54"/>
        <v>43.416074074074068</v>
      </c>
      <c r="P250" s="268">
        <f t="shared" si="54"/>
        <v>43.673006586594347</v>
      </c>
      <c r="Q250" s="268">
        <f t="shared" si="54"/>
        <v>43.937467532467529</v>
      </c>
    </row>
    <row r="251" spans="4:17" ht="5.4" customHeight="1" x14ac:dyDescent="0.35">
      <c r="D251" s="29"/>
      <c r="L251" s="250"/>
    </row>
    <row r="252" spans="4:17" ht="13.75" customHeight="1" x14ac:dyDescent="0.35">
      <c r="D252" s="34" t="s">
        <v>190</v>
      </c>
      <c r="L252" s="250"/>
    </row>
    <row r="253" spans="4:17" ht="13.75" customHeight="1" x14ac:dyDescent="0.35">
      <c r="D253" s="29" t="s">
        <v>191</v>
      </c>
      <c r="H253" s="251" t="s">
        <v>28</v>
      </c>
      <c r="I253" s="167">
        <f t="shared" ref="I253:Q253" si="55">I65 / I69</f>
        <v>0.20942613324982384</v>
      </c>
      <c r="J253" s="167">
        <f t="shared" si="55"/>
        <v>0.24041347115705236</v>
      </c>
      <c r="K253" s="167">
        <f t="shared" si="55"/>
        <v>0.19622772858790002</v>
      </c>
      <c r="L253" s="257">
        <f t="shared" si="55"/>
        <v>0.18833200722890076</v>
      </c>
      <c r="M253" s="322">
        <f t="shared" si="55"/>
        <v>0.17263929978289813</v>
      </c>
      <c r="N253" s="322">
        <f t="shared" si="55"/>
        <v>0.14527700957934192</v>
      </c>
      <c r="O253" s="322">
        <f t="shared" si="55"/>
        <v>0.12014140588452775</v>
      </c>
      <c r="P253" s="322">
        <f t="shared" si="55"/>
        <v>7.7251847202028143E-2</v>
      </c>
      <c r="Q253" s="322">
        <f t="shared" si="55"/>
        <v>5.58873863418042E-2</v>
      </c>
    </row>
    <row r="254" spans="4:17" ht="13.75" customHeight="1" x14ac:dyDescent="0.35">
      <c r="D254" s="29" t="s">
        <v>192</v>
      </c>
      <c r="H254" s="251" t="s">
        <v>28</v>
      </c>
      <c r="I254" s="167">
        <f t="shared" ref="I254:Q254" si="56">I65 / (I65 + I69)</f>
        <v>0.17316157431382703</v>
      </c>
      <c r="J254" s="167">
        <f t="shared" si="56"/>
        <v>0.19381720430107527</v>
      </c>
      <c r="K254" s="167">
        <f t="shared" si="56"/>
        <v>0.16403877280084384</v>
      </c>
      <c r="L254" s="257">
        <f t="shared" si="56"/>
        <v>0.15848433441431622</v>
      </c>
      <c r="M254" s="322">
        <f t="shared" si="56"/>
        <v>0.14722285003995728</v>
      </c>
      <c r="N254" s="322">
        <f t="shared" si="56"/>
        <v>0.1268487958495752</v>
      </c>
      <c r="O254" s="322">
        <f t="shared" si="56"/>
        <v>0.10725557081755871</v>
      </c>
      <c r="P254" s="322">
        <f t="shared" si="56"/>
        <v>7.1711965407788528E-2</v>
      </c>
      <c r="Q254" s="322">
        <f t="shared" si="56"/>
        <v>5.2929305780827593E-2</v>
      </c>
    </row>
    <row r="255" spans="4:17" ht="13.75" customHeight="1" x14ac:dyDescent="0.35">
      <c r="D255" s="29" t="s">
        <v>193</v>
      </c>
      <c r="H255" s="251" t="s">
        <v>24</v>
      </c>
      <c r="I255" s="194">
        <f t="shared" ref="I255:Q255" si="57">I65 / I28</f>
        <v>1.3824289405684755</v>
      </c>
      <c r="J255" s="194">
        <f t="shared" si="57"/>
        <v>1.2299556465370181</v>
      </c>
      <c r="K255" s="194">
        <f t="shared" si="57"/>
        <v>1.069037037037037</v>
      </c>
      <c r="L255" s="254">
        <f t="shared" si="57"/>
        <v>2.0332207207207209</v>
      </c>
      <c r="M255" s="269">
        <f t="shared" si="57"/>
        <v>1.445123284203744</v>
      </c>
      <c r="N255" s="269">
        <f t="shared" si="57"/>
        <v>1.0334335801587251</v>
      </c>
      <c r="O255" s="269">
        <f t="shared" si="57"/>
        <v>0.75510093469352502</v>
      </c>
      <c r="P255" s="269">
        <f t="shared" si="57"/>
        <v>0.44363429024963746</v>
      </c>
      <c r="Q255" s="269">
        <f t="shared" si="57"/>
        <v>0.30159316923608392</v>
      </c>
    </row>
    <row r="256" spans="4:17" ht="4.75" customHeight="1" x14ac:dyDescent="0.35">
      <c r="L256" s="250"/>
    </row>
    <row r="257" spans="4:17" ht="13.75" customHeight="1" x14ac:dyDescent="0.35">
      <c r="D257" s="34" t="s">
        <v>194</v>
      </c>
      <c r="L257" s="250"/>
    </row>
    <row r="258" spans="4:17" ht="13.75" customHeight="1" x14ac:dyDescent="0.35">
      <c r="D258" s="29" t="s">
        <v>195</v>
      </c>
      <c r="H258" s="251" t="s">
        <v>24</v>
      </c>
      <c r="I258" s="194">
        <f t="shared" ref="I258:P258" si="58">I28 / - I21</f>
        <v>21.5</v>
      </c>
      <c r="J258" s="194">
        <f t="shared" si="58"/>
        <v>29.606060606060606</v>
      </c>
      <c r="K258" s="194">
        <f t="shared" si="58"/>
        <v>31.25</v>
      </c>
      <c r="L258" s="254">
        <f t="shared" si="58"/>
        <v>16.444444444444443</v>
      </c>
      <c r="M258" s="269">
        <f t="shared" si="58"/>
        <v>19.575766775040147</v>
      </c>
      <c r="N258" s="269">
        <f t="shared" si="58"/>
        <v>27.374179546601908</v>
      </c>
      <c r="O258" s="269">
        <f t="shared" si="58"/>
        <v>37.464390617175511</v>
      </c>
      <c r="P258" s="269">
        <f t="shared" si="58"/>
        <v>63.767380012112739</v>
      </c>
      <c r="Q258" s="379">
        <v>93.79985775012004</v>
      </c>
    </row>
    <row r="259" spans="4:17" ht="13.75" customHeight="1" x14ac:dyDescent="0.35">
      <c r="D259" s="29" t="s">
        <v>196</v>
      </c>
      <c r="H259" s="251" t="s">
        <v>24</v>
      </c>
      <c r="I259" s="194">
        <f t="shared" ref="I259:Q259" si="59">(I28 - I79) / - I21</f>
        <v>20.211111111111112</v>
      </c>
      <c r="J259" s="194">
        <f t="shared" si="59"/>
        <v>28.818181818181817</v>
      </c>
      <c r="K259" s="194">
        <f t="shared" si="59"/>
        <v>30.50925925925926</v>
      </c>
      <c r="L259" s="254">
        <f t="shared" si="59"/>
        <v>15.601851851851851</v>
      </c>
      <c r="M259" s="269">
        <f t="shared" si="59"/>
        <v>18.400632613890085</v>
      </c>
      <c r="N259" s="269">
        <f t="shared" si="59"/>
        <v>25.938036060704583</v>
      </c>
      <c r="O259" s="269">
        <f t="shared" si="59"/>
        <v>35.718894622924942</v>
      </c>
      <c r="P259" s="269">
        <f t="shared" si="59"/>
        <v>61.095491547981254</v>
      </c>
      <c r="Q259" s="269">
        <f t="shared" si="59"/>
        <v>90.229060437308974</v>
      </c>
    </row>
  </sheetData>
  <sheetProtection algorithmName="SHA-512" hashValue="OReSEXF4sEblUxUedxidDh5nnARrvJF9TXCyYGi6XzCu2URgHjvym5YyqB+DYohZBngr/3HMLmBgnCRg6J+ffQ==" saltValue="qWygfVu2HBnmp99R1DLdPQ==" spinCount="100000" sheet="1" formatCells="0" formatColumns="0" formatRows="0" insertColumns="0" insertRows="0" insertHyperlinks="0" deleteColumns="0" deleteRows="0" selectLockedCells="1" sort="0" autoFilter="0" pivotTables="0"/>
  <mergeCells count="1">
    <mergeCell ref="H182:H1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Simple Operating Model</vt:lpstr>
      <vt:lpstr>CONDFORM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Barnett</dc:creator>
  <cp:lastModifiedBy>Charlie Collis</cp:lastModifiedBy>
  <dcterms:created xsi:type="dcterms:W3CDTF">2023-10-17T10:04:52Z</dcterms:created>
  <dcterms:modified xsi:type="dcterms:W3CDTF">2024-04-18T21:42:26Z</dcterms:modified>
</cp:coreProperties>
</file>