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cburk\Google Drive (cburk@burkengineeringllc.com)\Techonomics\Burk Engineering\01 - Modeling video series\02 - Video 2 - Manufacturing\"/>
    </mc:Choice>
  </mc:AlternateContent>
  <bookViews>
    <workbookView xWindow="0" yWindow="0" windowWidth="19170" windowHeight="8670"/>
  </bookViews>
  <sheets>
    <sheet name="Documentation" sheetId="8" r:id="rId1"/>
    <sheet name="Manufacturing cost model" sheetId="7" r:id="rId2"/>
    <sheet name="Superpolymer cost calculations" sheetId="6" r:id="rId3"/>
  </sheets>
  <definedNames>
    <definedName name="cm_per_in">'Superpolymer cost calculations'!$I$22</definedName>
    <definedName name="Cost_Factory_Overhead" localSheetId="1">'Manufacturing cost model'!$C$14</definedName>
    <definedName name="Cost_Labor" localSheetId="1">'Manufacturing cost model'!$C$10</definedName>
    <definedName name="Cost_Power" localSheetId="1">'Manufacturing cost model'!$C$11</definedName>
    <definedName name="Equ_Depreciation_Period" localSheetId="1">'Manufacturing cost model'!$C$13</definedName>
    <definedName name="Frisbee_Core_Cost" localSheetId="1">'Manufacturing cost model'!$C$7</definedName>
    <definedName name="g_per_t">'Superpolymer cost calculations'!$I$23</definedName>
    <definedName name="Maintenance_Factor" localSheetId="1">'Manufacturing cost model'!$C$12</definedName>
    <definedName name="Operator_count">'Manufacturing cost model'!$C$9</definedName>
    <definedName name="Production_rate" localSheetId="1">'Manufacturing cost model'!$C$5</definedName>
    <definedName name="Superpolymer_Cost" localSheetId="1">'Manufacturing cost model'!$C$8</definedName>
    <definedName name="Superpolymer_Cost_per_Frisbee">'Superpolymer cost calculations'!$I$5</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6" l="1"/>
  <c r="F80" i="7" l="1"/>
  <c r="F81" i="7" s="1"/>
  <c r="F82" i="7" s="1"/>
  <c r="F43" i="7" s="1"/>
  <c r="E80" i="7"/>
  <c r="E81" i="7" s="1"/>
  <c r="E82" i="7" s="1"/>
  <c r="E43" i="7" s="1"/>
  <c r="D80" i="7"/>
  <c r="D17" i="6"/>
  <c r="D15" i="6"/>
  <c r="D14" i="6"/>
  <c r="G80" i="7" l="1"/>
  <c r="D81" i="7"/>
  <c r="D82" i="7" s="1"/>
  <c r="G82" i="7" s="1"/>
  <c r="F68" i="7"/>
  <c r="F69" i="7" s="1"/>
  <c r="F41" i="7" s="1"/>
  <c r="D68" i="7"/>
  <c r="E63" i="7"/>
  <c r="F63" i="7"/>
  <c r="F88" i="7"/>
  <c r="F91" i="7" s="1"/>
  <c r="E88" i="7"/>
  <c r="E91" i="7" s="1"/>
  <c r="D88" i="7"/>
  <c r="D91" i="7" s="1"/>
  <c r="F87" i="7"/>
  <c r="F90" i="7" s="1"/>
  <c r="E87" i="7"/>
  <c r="E90" i="7" s="1"/>
  <c r="D87" i="7"/>
  <c r="D90" i="7" s="1"/>
  <c r="F71" i="7"/>
  <c r="F72" i="7" s="1"/>
  <c r="F73" i="7" s="1"/>
  <c r="F74" i="7" s="1"/>
  <c r="F42" i="7" s="1"/>
  <c r="E71" i="7"/>
  <c r="E72" i="7" s="1"/>
  <c r="E73" i="7" s="1"/>
  <c r="E74" i="7" s="1"/>
  <c r="E42" i="7" s="1"/>
  <c r="D71" i="7"/>
  <c r="F67" i="7"/>
  <c r="E67" i="7"/>
  <c r="E68" i="7" s="1"/>
  <c r="E69" i="7" s="1"/>
  <c r="E41" i="7" s="1"/>
  <c r="D67" i="7"/>
  <c r="G61" i="7"/>
  <c r="F61" i="7" s="1"/>
  <c r="G6" i="7"/>
  <c r="F64" i="7" l="1"/>
  <c r="F65" i="7" s="1"/>
  <c r="F40" i="7" s="1"/>
  <c r="G71" i="7"/>
  <c r="F93" i="7"/>
  <c r="F94" i="7" s="1"/>
  <c r="F44" i="7" s="1"/>
  <c r="E93" i="7"/>
  <c r="E94" i="7" s="1"/>
  <c r="E44" i="7" s="1"/>
  <c r="D93" i="7"/>
  <c r="D94" i="7" s="1"/>
  <c r="D43" i="7"/>
  <c r="G43" i="7" s="1"/>
  <c r="G88" i="7"/>
  <c r="G87" i="7"/>
  <c r="G68" i="7"/>
  <c r="G67" i="7"/>
  <c r="G81" i="7"/>
  <c r="G90" i="7"/>
  <c r="E61" i="7"/>
  <c r="E64" i="7" s="1"/>
  <c r="D69" i="7"/>
  <c r="D72" i="7"/>
  <c r="G91" i="7"/>
  <c r="G94" i="7" l="1"/>
  <c r="G93" i="7"/>
  <c r="D18" i="6"/>
  <c r="D21" i="6" s="1"/>
  <c r="I5" i="6" s="1"/>
  <c r="E65" i="7"/>
  <c r="E40" i="7" s="1"/>
  <c r="E45" i="7" s="1"/>
  <c r="D61" i="7"/>
  <c r="G72" i="7"/>
  <c r="D73" i="7"/>
  <c r="F45" i="7"/>
  <c r="G69" i="7"/>
  <c r="D41" i="7"/>
  <c r="G41" i="7" s="1"/>
  <c r="D28" i="7" l="1"/>
  <c r="D63" i="7" s="1"/>
  <c r="D64" i="7" s="1"/>
  <c r="G73" i="7"/>
  <c r="D74" i="7"/>
  <c r="D44" i="7" l="1"/>
  <c r="G44" i="7" s="1"/>
  <c r="G74" i="7"/>
  <c r="D42" i="7"/>
  <c r="G42" i="7" s="1"/>
  <c r="G64" i="7"/>
  <c r="D65" i="7"/>
  <c r="G65" i="7" l="1"/>
  <c r="D40" i="7"/>
  <c r="D45" i="7" l="1"/>
  <c r="G40" i="7"/>
  <c r="G45" i="7" s="1"/>
  <c r="G5" i="7" s="1"/>
  <c r="G4" i="7" s="1"/>
</calcChain>
</file>

<file path=xl/sharedStrings.xml><?xml version="1.0" encoding="utf-8"?>
<sst xmlns="http://schemas.openxmlformats.org/spreadsheetml/2006/main" count="155" uniqueCount="98">
  <si>
    <t>Total</t>
  </si>
  <si>
    <t>-</t>
  </si>
  <si>
    <t>frisbees/year</t>
  </si>
  <si>
    <t>$/yr</t>
  </si>
  <si>
    <t>Production rate</t>
  </si>
  <si>
    <t>Yield</t>
  </si>
  <si>
    <t>Packaging</t>
  </si>
  <si>
    <t>Labor</t>
  </si>
  <si>
    <t>Footprint</t>
  </si>
  <si>
    <t>Installed cost</t>
  </si>
  <si>
    <t>Overhead</t>
  </si>
  <si>
    <t>Raw materials</t>
  </si>
  <si>
    <t>yr</t>
  </si>
  <si>
    <t>frisbees/yr</t>
  </si>
  <si>
    <t>m2</t>
  </si>
  <si>
    <t>Factory overhead</t>
  </si>
  <si>
    <t>$/yr/m2</t>
  </si>
  <si>
    <t>$/frisbee</t>
  </si>
  <si>
    <t>kW</t>
  </si>
  <si>
    <t>kW-h/yr</t>
  </si>
  <si>
    <t>Maintenance</t>
  </si>
  <si>
    <t>Average power</t>
  </si>
  <si>
    <t>Total overhead</t>
  </si>
  <si>
    <t>Throughput</t>
  </si>
  <si>
    <t>Finishing</t>
  </si>
  <si>
    <t>Calculations</t>
  </si>
  <si>
    <t>Depreciation</t>
  </si>
  <si>
    <t>Process step input</t>
  </si>
  <si>
    <t>$/kWh</t>
  </si>
  <si>
    <t>$/throughput</t>
  </si>
  <si>
    <t>Material cost</t>
  </si>
  <si>
    <t>General user input</t>
  </si>
  <si>
    <t>Maintenance cost</t>
  </si>
  <si>
    <t>Frisbee core cost</t>
  </si>
  <si>
    <t>Overall yield</t>
  </si>
  <si>
    <t>Energy cost</t>
  </si>
  <si>
    <t>Energy</t>
  </si>
  <si>
    <t>Overhead calculations</t>
  </si>
  <si>
    <t>Direct cost calculations</t>
  </si>
  <si>
    <t>cm</t>
  </si>
  <si>
    <t>g/cm3</t>
  </si>
  <si>
    <t>cm3</t>
  </si>
  <si>
    <t>g</t>
  </si>
  <si>
    <t>Frisbee diameter</t>
  </si>
  <si>
    <t>Core volume</t>
  </si>
  <si>
    <t>Frisbee volume</t>
  </si>
  <si>
    <t>Superpolymer volume</t>
  </si>
  <si>
    <t>Superpolymer density</t>
  </si>
  <si>
    <t>Superpolymer mass</t>
  </si>
  <si>
    <t>Superpolymer cost</t>
  </si>
  <si>
    <t>/kg</t>
  </si>
  <si>
    <t>/frisbee</t>
  </si>
  <si>
    <t xml:space="preserve">/frisbee </t>
  </si>
  <si>
    <t>User input</t>
  </si>
  <si>
    <t>Frisbee height</t>
  </si>
  <si>
    <t>Superpolymer cost calculations</t>
  </si>
  <si>
    <t>Depreciation period</t>
  </si>
  <si>
    <t>Detailed results</t>
  </si>
  <si>
    <r>
      <rPr>
        <sz val="11"/>
        <color theme="1" tint="0.499984740745262"/>
        <rFont val="Wingdings"/>
        <charset val="2"/>
      </rPr>
      <t>ß</t>
    </r>
    <r>
      <rPr>
        <sz val="11"/>
        <color theme="1" tint="0.499984740745262"/>
        <rFont val="Calibri"/>
        <family val="2"/>
        <scheme val="minor"/>
      </rPr>
      <t xml:space="preserve"> Total includes cost for frisbee core.</t>
    </r>
  </si>
  <si>
    <t>Would it be feasible to outsource manufacturing of the frisbee core, and perform the superpolymer winding, finishing, and packaging in-house?</t>
  </si>
  <si>
    <r>
      <rPr>
        <sz val="11"/>
        <color theme="1" tint="0.499984740745262"/>
        <rFont val="Wingdings"/>
        <charset val="2"/>
      </rPr>
      <t>ß</t>
    </r>
    <r>
      <rPr>
        <sz val="11"/>
        <color theme="1" tint="0.499984740745262"/>
        <rFont val="Calibri"/>
        <family val="2"/>
        <scheme val="minor"/>
      </rPr>
      <t xml:space="preserve"> Grand total includes cost for frisbee core.</t>
    </r>
  </si>
  <si>
    <t>Super-frisbee manufacturing cost model</t>
  </si>
  <si>
    <t>Materials</t>
  </si>
  <si>
    <t>This sheet estimates the superpolymer material cost for each frisbee.</t>
  </si>
  <si>
    <t>Equipment cost</t>
  </si>
  <si>
    <t>Full-time operators</t>
  </si>
  <si>
    <t>Labor rate</t>
  </si>
  <si>
    <t>Labor distribution</t>
  </si>
  <si>
    <t>Winding</t>
  </si>
  <si>
    <t>Depreciation calculations</t>
  </si>
  <si>
    <t>Frisbee selling price</t>
  </si>
  <si>
    <t>/ frisbee</t>
  </si>
  <si>
    <t>All-in frisbee cost</t>
  </si>
  <si>
    <t>Margin</t>
  </si>
  <si>
    <t>Note from Cyclotron Road</t>
  </si>
  <si>
    <t>This model accompanies the screencast series 'Techonomics - Introduction to Cost Modeling in Excel'. The purpose of the series is to (1) educate innovators about cost modeling and (2) provide templates to help innovators start developing their own models. The best practices and techniques demonstrated are realistic, however, the exact numbers and example chemical/manufacturing processes may not be.</t>
  </si>
  <si>
    <t xml:space="preserve">This model was developed by Chris Burk of Burk Engineering LLC. Chris is a chemical engineer and an independent consultant. He works with companies that are developing or investing in new process-related technologies - helping them connect science, engineering, and business through techno-economic modeling.
</t>
  </si>
  <si>
    <r>
      <rPr>
        <sz val="10"/>
        <color theme="1" tint="0.34998626667073579"/>
        <rFont val="Calibri Light"/>
        <family val="2"/>
        <scheme val="major"/>
      </rPr>
      <t xml:space="preserve">Chris Burk PE  |  cburk@BurkEngineeringLLC.com  |  </t>
    </r>
    <r>
      <rPr>
        <u/>
        <sz val="10"/>
        <color theme="1" tint="0.34998626667073579"/>
        <rFont val="Calibri Light"/>
        <family val="2"/>
        <scheme val="major"/>
      </rPr>
      <t>www.BurkEngineeringLLC.com</t>
    </r>
  </si>
  <si>
    <t>Documentation</t>
  </si>
  <si>
    <t>1. Model info</t>
  </si>
  <si>
    <t>Name</t>
  </si>
  <si>
    <t>Purpose</t>
  </si>
  <si>
    <t>Version</t>
  </si>
  <si>
    <t>1.0</t>
  </si>
  <si>
    <t>Date</t>
  </si>
  <si>
    <t>Developed by</t>
  </si>
  <si>
    <t>J. Doe / SuperFrisbee LLC / jdoe@superfrisbee.com</t>
  </si>
  <si>
    <t>User input modification</t>
  </si>
  <si>
    <t xml:space="preserve">All user input cells are shaded grey. Users should feel free to modify these values, however, entering certain values or combinations of values may result in unrealistic results. The user should contact the developer if they have concerns about the validity of input values or results. </t>
  </si>
  <si>
    <t>2. Modeling approach</t>
  </si>
  <si>
    <t>Modeling approach</t>
  </si>
  <si>
    <t>Important assumptions</t>
  </si>
  <si>
    <t>SuperFrisbee Manufacturing Model</t>
  </si>
  <si>
    <t>To evaluate feasibility of partial in-house manufacturing of a higher-performance frisbee.</t>
  </si>
  <si>
    <t>This model pertains to the scenario in which SuperFrisbee outsources the production of the two-layer frisbee core, and then performs the outer-ring winding, finishing, and packaging steps in-house. It calculates all-in cost for a  frisbee, including factory overhead, depreciation, labor, utilities, and raw materials.</t>
  </si>
  <si>
    <t>User-input values are preliminary and need to be confirmed.</t>
  </si>
  <si>
    <t>Core diameter</t>
  </si>
  <si>
    <t>of installed cost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</si>
</sst>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8" formatCode="&quot;$&quot;#,##0.00_);[Red]\(&quot;$&quot;#,##0.00\)"/>
    <numFmt numFmtId="164" formatCode="#,##0.0"/>
    <numFmt numFmtId="165" formatCode="0.0%"/>
    <numFmt numFmtId="166" formatCode="&quot;$&quot;#,##0.00"/>
    <numFmt numFmtId="167" formatCode="&quot;$&quot;#,##0"/>
    <numFmt numFmtId="168" formatCode="0.0"/>
    <numFmt numFmtId="169" formatCode="0.000"/>
  </numFmts>
  <fonts count="32">
    <font>
      <sz val="11"/>
      <color theme="1"/>
      <name val="Calibri"/>
      <family val="2"/>
      <scheme val="minor"/>
    </font>
    <font>
      <i/>
      <sz val="14"/>
      <color theme="9"/>
      <name val="Calibri"/>
      <family val="2"/>
      <scheme val="minor"/>
    </font>
    <font>
      <b/>
      <sz val="11"/>
      <color theme="4"/>
      <name val="Calibri"/>
      <family val="2"/>
      <scheme val="minor"/>
    </font>
    <font>
      <b/>
      <sz val="13"/>
      <color theme="0"/>
      <name val="Calibri"/>
      <family val="2"/>
    </font>
    <font>
      <sz val="20"/>
      <color theme="1" tint="0.249977111117893"/>
      <name val="Calibri Light"/>
      <family val="2"/>
      <scheme val="major"/>
    </font>
    <font>
      <sz val="14"/>
      <color theme="4"/>
      <name val="Calibri"/>
      <family val="2"/>
      <scheme val="minor"/>
    </font>
    <font>
      <sz val="14"/>
      <color theme="1"/>
      <name val="Calibri"/>
      <family val="2"/>
      <scheme val="minor"/>
    </font>
    <font>
      <sz val="14"/>
      <color theme="5" tint="-0.249977111117893"/>
      <name val="Calibri"/>
      <family val="2"/>
      <scheme val="minor"/>
    </font>
    <font>
      <sz val="14"/>
      <color theme="1" tint="0.499984740745262"/>
      <name val="Calibri"/>
      <family val="2"/>
      <scheme val="minor"/>
    </font>
    <font>
      <sz val="14"/>
      <color theme="5"/>
      <name val="Calibri"/>
      <family val="2"/>
      <scheme val="minor"/>
    </font>
    <font>
      <sz val="12"/>
      <color theme="2" tint="-0.499984740745262"/>
      <name val="Calibri"/>
      <family val="2"/>
      <scheme val="minor"/>
    </font>
    <font>
      <sz val="11"/>
      <name val="Calibri"/>
      <family val="2"/>
      <scheme val="minor"/>
    </font>
    <font>
      <sz val="11"/>
      <color theme="1" tint="0.249977111117893"/>
      <name val="Calibri"/>
      <family val="2"/>
      <scheme val="minor"/>
    </font>
    <font>
      <sz val="11"/>
      <color theme="5" tint="-0.249977111117893"/>
      <name val="Calibri"/>
      <family val="2"/>
      <scheme val="minor"/>
    </font>
    <font>
      <u/>
      <sz val="11"/>
      <color theme="1"/>
      <name val="Calibri"/>
      <family val="2"/>
      <scheme val="minor"/>
    </font>
    <font>
      <b/>
      <sz val="11"/>
      <color rgb="FFFF0000"/>
      <name val="Calibri"/>
      <family val="2"/>
      <scheme val="minor"/>
    </font>
    <font>
      <sz val="11"/>
      <color theme="1" tint="0.499984740745262"/>
      <name val="Calibri"/>
      <family val="2"/>
      <charset val="2"/>
      <scheme val="minor"/>
    </font>
    <font>
      <sz val="11"/>
      <color theme="1" tint="0.499984740745262"/>
      <name val="Wingdings"/>
      <charset val="2"/>
    </font>
    <font>
      <sz val="11"/>
      <color theme="1" tint="0.499984740745262"/>
      <name val="Calibri"/>
      <family val="2"/>
      <scheme val="minor"/>
    </font>
    <font>
      <sz val="11"/>
      <color rgb="FF434343"/>
      <name val="Arial"/>
      <family val="2"/>
    </font>
    <font>
      <sz val="12"/>
      <color theme="5" tint="-0.249977111117893"/>
      <name val="Calibri"/>
      <family val="2"/>
      <scheme val="minor"/>
    </font>
    <font>
      <sz val="11"/>
      <color theme="1"/>
      <name val="Calibri"/>
      <family val="2"/>
      <scheme val="minor"/>
    </font>
    <font>
      <b/>
      <sz val="11"/>
      <color theme="1" tint="0.24994659260841701"/>
      <name val="Calibri"/>
      <family val="2"/>
    </font>
    <font>
      <sz val="13"/>
      <color theme="3"/>
      <name val="Calibri"/>
      <family val="2"/>
    </font>
    <font>
      <sz val="11"/>
      <color theme="3"/>
      <name val="Calibri"/>
      <family val="2"/>
    </font>
    <font>
      <sz val="10"/>
      <name val="Arial"/>
      <family val="2"/>
    </font>
    <font>
      <u/>
      <sz val="11"/>
      <color theme="10"/>
      <name val="Calibri"/>
      <family val="2"/>
      <scheme val="minor"/>
    </font>
    <font>
      <u/>
      <sz val="14"/>
      <color theme="1" tint="0.499984740745262"/>
      <name val="Calibri Light"/>
      <family val="2"/>
      <scheme val="major"/>
    </font>
    <font>
      <sz val="10"/>
      <color theme="1" tint="0.34998626667073579"/>
      <name val="Calibri Light"/>
      <family val="2"/>
      <scheme val="major"/>
    </font>
    <font>
      <i/>
      <sz val="11"/>
      <color theme="1"/>
      <name val="Calibri"/>
      <family val="2"/>
      <scheme val="minor"/>
    </font>
    <font>
      <u/>
      <sz val="10"/>
      <color theme="1" tint="0.34998626667073579"/>
      <name val="Calibri Light"/>
      <family val="2"/>
      <scheme val="major"/>
    </font>
    <font>
      <sz val="16"/>
      <color rgb="FF0070C0"/>
      <name val="Calibri Light"/>
      <family val="2"/>
      <scheme val="major"/>
    </font>
  </fonts>
  <fills count="6">
    <fill>
      <patternFill patternType="none"/>
    </fill>
    <fill>
      <patternFill patternType="gray125"/>
    </fill>
    <fill>
      <gradientFill degree="90">
        <stop position="0">
          <color theme="4" tint="0.40000610370189521"/>
        </stop>
        <stop position="0.5">
          <color theme="3"/>
        </stop>
        <stop position="1">
          <color theme="4" tint="0.40000610370189521"/>
        </stop>
      </gradientFill>
    </fill>
    <fill>
      <patternFill patternType="solid">
        <fgColor theme="0" tint="-4.9989318521683403E-2"/>
        <bgColor indexed="64"/>
      </patternFill>
    </fill>
    <fill>
      <patternFill patternType="solid">
        <fgColor indexed="8"/>
        <bgColor indexed="64"/>
      </patternFill>
    </fill>
    <fill>
      <patternFill patternType="solid">
        <fgColor theme="6" tint="0.79998168889431442"/>
        <bgColor indexed="64"/>
      </patternFill>
    </fill>
  </fills>
  <borders count="29">
    <border>
      <left/>
      <right/>
      <top/>
      <bottom/>
      <diagonal/>
    </border>
    <border>
      <left/>
      <right/>
      <top/>
      <bottom style="thin">
        <color theme="3"/>
      </bottom>
      <diagonal/>
    </border>
    <border>
      <left/>
      <right/>
      <top/>
      <bottom style="thin">
        <color theme="4"/>
      </bottom>
      <diagonal/>
    </border>
    <border>
      <left/>
      <right/>
      <top/>
      <bottom style="thin">
        <color theme="5"/>
      </bottom>
      <diagonal/>
    </border>
    <border>
      <left/>
      <right/>
      <top/>
      <bottom style="thin">
        <color theme="1" tint="0.499984740745262"/>
      </bottom>
      <diagonal/>
    </border>
    <border>
      <left/>
      <right/>
      <top/>
      <bottom style="dotted">
        <color theme="5"/>
      </bottom>
      <diagonal/>
    </border>
    <border>
      <left/>
      <right style="hair">
        <color theme="5"/>
      </right>
      <top/>
      <bottom/>
      <diagonal/>
    </border>
    <border>
      <left/>
      <right style="hair">
        <color theme="5"/>
      </right>
      <top/>
      <bottom style="thin">
        <color theme="5"/>
      </bottom>
      <diagonal/>
    </border>
    <border>
      <left/>
      <right style="hair">
        <color theme="5"/>
      </right>
      <top/>
      <bottom style="dotted">
        <color theme="5"/>
      </bottom>
      <diagonal/>
    </border>
    <border>
      <left/>
      <right style="hair">
        <color theme="1" tint="0.499984740745262"/>
      </right>
      <top/>
      <bottom/>
      <diagonal/>
    </border>
    <border>
      <left/>
      <right style="hair">
        <color theme="1" tint="0.499984740745262"/>
      </right>
      <top/>
      <bottom style="thin">
        <color theme="1" tint="0.499984740745262"/>
      </bottom>
      <diagonal/>
    </border>
    <border>
      <left/>
      <right/>
      <top/>
      <bottom style="dotted">
        <color theme="1" tint="0.499984740745262"/>
      </bottom>
      <diagonal/>
    </border>
    <border>
      <left/>
      <right style="hair">
        <color theme="1" tint="0.499984740745262"/>
      </right>
      <top/>
      <bottom style="dotted">
        <color theme="1" tint="0.499984740745262"/>
      </bottom>
      <diagonal/>
    </border>
    <border>
      <left/>
      <right/>
      <top/>
      <bottom style="dotted">
        <color theme="0" tint="-0.499984740745262"/>
      </bottom>
      <diagonal/>
    </border>
    <border>
      <left/>
      <right style="hair">
        <color theme="1" tint="0.499984740745262"/>
      </right>
      <top/>
      <bottom style="dotted">
        <color theme="0" tint="-0.499984740745262"/>
      </bottom>
      <diagonal/>
    </border>
    <border>
      <left/>
      <right style="hair">
        <color theme="0" tint="-0.499984740745262"/>
      </right>
      <top/>
      <bottom style="dotted">
        <color theme="0" tint="-0.499984740745262"/>
      </bottom>
      <diagonal/>
    </border>
    <border>
      <left/>
      <right style="hair">
        <color theme="1" tint="0.499984740745262"/>
      </right>
      <top style="thin">
        <color theme="1" tint="0.499984740745262"/>
      </top>
      <bottom/>
      <diagonal/>
    </border>
    <border>
      <left/>
      <right style="hair">
        <color theme="1" tint="0.499984740745262"/>
      </right>
      <top style="dotted">
        <color theme="0" tint="-0.499984740745262"/>
      </top>
      <bottom/>
      <diagonal/>
    </border>
    <border>
      <left/>
      <right style="hair">
        <color theme="5" tint="-0.249977111117893"/>
      </right>
      <top/>
      <bottom/>
      <diagonal/>
    </border>
    <border>
      <left/>
      <right/>
      <top style="thin">
        <color theme="4"/>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bottom style="medium">
        <color theme="3"/>
      </bottom>
      <diagonal/>
    </border>
    <border>
      <left/>
      <right/>
      <top/>
      <bottom style="hair">
        <color theme="3"/>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3"/>
      </bottom>
      <diagonal/>
    </border>
    <border>
      <left/>
      <right/>
      <top/>
      <bottom style="thin">
        <color theme="0" tint="-0.249977111117893"/>
      </bottom>
      <diagonal/>
    </border>
    <border>
      <left/>
      <right/>
      <top style="thin">
        <color theme="0" tint="-0.249977111117893"/>
      </top>
      <bottom/>
      <diagonal/>
    </border>
    <border>
      <left/>
      <right/>
      <top style="thin">
        <color theme="0" tint="-0.499984740745262"/>
      </top>
      <bottom style="hair">
        <color theme="0" tint="-0.249977111117893"/>
      </bottom>
      <diagonal/>
    </border>
    <border>
      <left/>
      <right/>
      <top style="hair">
        <color theme="0" tint="-0.249977111117893"/>
      </top>
      <bottom style="hair">
        <color theme="0" tint="-0.249977111117893"/>
      </bottom>
      <diagonal/>
    </border>
  </borders>
  <cellStyleXfs count="11">
    <xf numFmtId="0" fontId="0" fillId="0" borderId="0"/>
    <xf numFmtId="49" fontId="3" fillId="2" borderId="1" applyNumberFormat="0" applyProtection="0">
      <alignment horizontal="left" vertical="center"/>
    </xf>
    <xf numFmtId="0" fontId="22" fillId="3" borderId="20" applyNumberFormat="0" applyAlignment="0">
      <protection locked="0"/>
    </xf>
    <xf numFmtId="49" fontId="23" fillId="4" borderId="21" applyFill="0" applyProtection="0">
      <alignment horizontal="left"/>
    </xf>
    <xf numFmtId="49" fontId="24" fillId="4" borderId="1" applyNumberFormat="0" applyFill="0" applyAlignment="0" applyProtection="0">
      <alignment horizontal="left"/>
    </xf>
    <xf numFmtId="0" fontId="22" fillId="5" borderId="20" applyNumberFormat="0" applyAlignment="0" applyProtection="0">
      <protection locked="0"/>
    </xf>
    <xf numFmtId="49" fontId="24" fillId="4" borderId="1" applyNumberFormat="0" applyFill="0" applyAlignment="0" applyProtection="0">
      <alignment horizontal="left"/>
    </xf>
    <xf numFmtId="49" fontId="24" fillId="4" borderId="1" applyNumberFormat="0" applyFill="0" applyAlignment="0" applyProtection="0">
      <alignment horizontal="left"/>
    </xf>
    <xf numFmtId="0" fontId="25" fillId="0" borderId="0">
      <alignment horizontal="left" wrapText="1"/>
    </xf>
    <xf numFmtId="0" fontId="21" fillId="0" borderId="0"/>
    <xf numFmtId="0" fontId="26" fillId="0" borderId="0" applyNumberFormat="0" applyFill="0" applyBorder="0" applyAlignment="0" applyProtection="0"/>
  </cellStyleXfs>
  <cellXfs count="107">
    <xf numFmtId="0" fontId="0" fillId="0" borderId="0" xfId="0"/>
    <xf numFmtId="0" fontId="1" fillId="0" borderId="0" xfId="0" applyFont="1"/>
    <xf numFmtId="0" fontId="4" fillId="0" borderId="0" xfId="0" applyFont="1"/>
    <xf numFmtId="3" fontId="0" fillId="0" borderId="0" xfId="0" applyNumberFormat="1"/>
    <xf numFmtId="164" fontId="0" fillId="0" borderId="0" xfId="0" applyNumberFormat="1"/>
    <xf numFmtId="0" fontId="0" fillId="0" borderId="0" xfId="0" quotePrefix="1"/>
    <xf numFmtId="0" fontId="0" fillId="0" borderId="0" xfId="0" applyAlignment="1">
      <alignment horizontal="right"/>
    </xf>
    <xf numFmtId="3" fontId="0" fillId="0" borderId="0" xfId="0" applyNumberFormat="1" applyAlignment="1">
      <alignment horizontal="right"/>
    </xf>
    <xf numFmtId="166" fontId="0" fillId="0" borderId="0" xfId="0" applyNumberFormat="1"/>
    <xf numFmtId="0" fontId="0" fillId="0" borderId="0" xfId="0" applyAlignment="1">
      <alignment horizontal="left" indent="1"/>
    </xf>
    <xf numFmtId="0" fontId="5" fillId="0" borderId="2" xfId="0" applyFont="1" applyBorder="1"/>
    <xf numFmtId="0" fontId="6" fillId="0" borderId="2" xfId="0" applyFont="1" applyBorder="1"/>
    <xf numFmtId="0" fontId="7" fillId="0" borderId="3" xfId="0" applyFont="1" applyBorder="1" applyAlignment="1">
      <alignment horizontal="left"/>
    </xf>
    <xf numFmtId="0" fontId="7" fillId="0" borderId="3" xfId="0" applyFont="1" applyBorder="1"/>
    <xf numFmtId="0" fontId="8" fillId="0" borderId="4" xfId="0" applyFont="1" applyBorder="1"/>
    <xf numFmtId="167" fontId="0" fillId="0" borderId="0" xfId="0" applyNumberFormat="1"/>
    <xf numFmtId="3" fontId="5" fillId="0" borderId="2" xfId="0" applyNumberFormat="1" applyFont="1" applyBorder="1" applyAlignment="1">
      <alignment horizontal="right"/>
    </xf>
    <xf numFmtId="0" fontId="7" fillId="0" borderId="3" xfId="0" applyFont="1" applyBorder="1" applyAlignment="1">
      <alignment horizontal="right"/>
    </xf>
    <xf numFmtId="0" fontId="8" fillId="0" borderId="4" xfId="0" applyFont="1" applyBorder="1" applyAlignment="1">
      <alignment horizontal="right"/>
    </xf>
    <xf numFmtId="167" fontId="0" fillId="0" borderId="0" xfId="0" applyNumberFormat="1" applyAlignment="1">
      <alignment horizontal="right"/>
    </xf>
    <xf numFmtId="166" fontId="0" fillId="0" borderId="0" xfId="0" applyNumberFormat="1" applyAlignment="1">
      <alignment horizontal="right"/>
    </xf>
    <xf numFmtId="0" fontId="0" fillId="0" borderId="5" xfId="0" applyBorder="1" applyAlignment="1">
      <alignment horizontal="left" indent="1"/>
    </xf>
    <xf numFmtId="0" fontId="0" fillId="0" borderId="5" xfId="0" applyBorder="1"/>
    <xf numFmtId="166" fontId="0" fillId="0" borderId="5" xfId="0" applyNumberFormat="1" applyBorder="1"/>
    <xf numFmtId="0" fontId="9" fillId="0" borderId="3" xfId="0" applyFont="1" applyBorder="1"/>
    <xf numFmtId="166" fontId="9" fillId="0" borderId="3" xfId="0" applyNumberFormat="1" applyFont="1" applyBorder="1"/>
    <xf numFmtId="0" fontId="0" fillId="0" borderId="0" xfId="0" applyBorder="1"/>
    <xf numFmtId="0" fontId="7" fillId="0" borderId="7" xfId="0" applyFont="1" applyBorder="1" applyAlignment="1">
      <alignment horizontal="right"/>
    </xf>
    <xf numFmtId="166" fontId="0" fillId="0" borderId="6" xfId="0" applyNumberFormat="1" applyBorder="1"/>
    <xf numFmtId="166" fontId="0" fillId="0" borderId="8" xfId="0" applyNumberFormat="1" applyBorder="1"/>
    <xf numFmtId="0" fontId="8" fillId="0" borderId="10" xfId="0" applyFont="1" applyBorder="1" applyAlignment="1">
      <alignment horizontal="right"/>
    </xf>
    <xf numFmtId="3" fontId="0" fillId="0" borderId="9" xfId="0" applyNumberFormat="1" applyBorder="1" applyAlignment="1">
      <alignment horizontal="right"/>
    </xf>
    <xf numFmtId="166" fontId="0" fillId="0" borderId="9" xfId="0" applyNumberFormat="1" applyBorder="1"/>
    <xf numFmtId="167" fontId="0" fillId="0" borderId="9" xfId="0" applyNumberFormat="1" applyBorder="1"/>
    <xf numFmtId="164" fontId="0" fillId="0" borderId="9" xfId="0" applyNumberFormat="1" applyBorder="1"/>
    <xf numFmtId="3" fontId="0" fillId="0" borderId="9" xfId="0" applyNumberFormat="1" applyBorder="1"/>
    <xf numFmtId="0" fontId="0" fillId="0" borderId="9" xfId="0" applyBorder="1"/>
    <xf numFmtId="0" fontId="0" fillId="0" borderId="11" xfId="0" applyBorder="1" applyAlignment="1">
      <alignment horizontal="left" indent="1"/>
    </xf>
    <xf numFmtId="0" fontId="0" fillId="0" borderId="11" xfId="0" applyBorder="1"/>
    <xf numFmtId="0" fontId="0" fillId="0" borderId="12" xfId="0" applyBorder="1"/>
    <xf numFmtId="0" fontId="0" fillId="0" borderId="11" xfId="0" applyBorder="1" applyAlignment="1">
      <alignment horizontal="right"/>
    </xf>
    <xf numFmtId="3" fontId="5" fillId="0" borderId="2" xfId="0" applyNumberFormat="1" applyFont="1" applyBorder="1" applyAlignment="1">
      <alignment horizontal="right" wrapText="1"/>
    </xf>
    <xf numFmtId="0" fontId="0" fillId="0" borderId="13" xfId="0" applyBorder="1"/>
    <xf numFmtId="0" fontId="0" fillId="0" borderId="13" xfId="0" applyBorder="1" applyAlignment="1">
      <alignment horizontal="left" indent="1"/>
    </xf>
    <xf numFmtId="0" fontId="0" fillId="0" borderId="14" xfId="0" applyBorder="1"/>
    <xf numFmtId="6" fontId="0" fillId="0" borderId="13" xfId="0" applyNumberFormat="1" applyBorder="1" applyAlignment="1">
      <alignment horizontal="right"/>
    </xf>
    <xf numFmtId="0" fontId="0" fillId="0" borderId="15" xfId="0" applyBorder="1"/>
    <xf numFmtId="8" fontId="10" fillId="0" borderId="0" xfId="0" applyNumberFormat="1" applyFont="1" applyAlignment="1">
      <alignment horizontal="left"/>
    </xf>
    <xf numFmtId="168" fontId="0" fillId="0" borderId="0" xfId="0" applyNumberFormat="1"/>
    <xf numFmtId="166" fontId="11" fillId="0" borderId="0" xfId="0" applyNumberFormat="1" applyFont="1"/>
    <xf numFmtId="0" fontId="12" fillId="0" borderId="0" xfId="0" applyFont="1"/>
    <xf numFmtId="0" fontId="13" fillId="0" borderId="0" xfId="0" applyFont="1" applyAlignment="1">
      <alignment horizontal="left" indent="1"/>
    </xf>
    <xf numFmtId="9" fontId="13" fillId="0" borderId="0" xfId="0" applyNumberFormat="1" applyFont="1"/>
    <xf numFmtId="0" fontId="14" fillId="0" borderId="0" xfId="0" applyFont="1"/>
    <xf numFmtId="0" fontId="15" fillId="0" borderId="0" xfId="0" applyFont="1"/>
    <xf numFmtId="0" fontId="16" fillId="0" borderId="0" xfId="0" applyFont="1"/>
    <xf numFmtId="9" fontId="0" fillId="0" borderId="0" xfId="0" applyNumberFormat="1"/>
    <xf numFmtId="9" fontId="0" fillId="0" borderId="9" xfId="0" applyNumberFormat="1" applyBorder="1"/>
    <xf numFmtId="9" fontId="0" fillId="0" borderId="0" xfId="0" applyNumberFormat="1" applyAlignment="1">
      <alignment horizontal="right"/>
    </xf>
    <xf numFmtId="0" fontId="19" fillId="0" borderId="0" xfId="0" applyFont="1"/>
    <xf numFmtId="167" fontId="0" fillId="0" borderId="16" xfId="0" applyNumberFormat="1" applyBorder="1"/>
    <xf numFmtId="167" fontId="0" fillId="0" borderId="17" xfId="0" applyNumberFormat="1" applyBorder="1"/>
    <xf numFmtId="166" fontId="0" fillId="0" borderId="18" xfId="0" applyNumberFormat="1" applyBorder="1"/>
    <xf numFmtId="4" fontId="2" fillId="0" borderId="0" xfId="0" applyNumberFormat="1" applyFont="1"/>
    <xf numFmtId="3" fontId="2" fillId="0" borderId="0" xfId="0" applyNumberFormat="1" applyFont="1"/>
    <xf numFmtId="169" fontId="0" fillId="0" borderId="0" xfId="0" applyNumberFormat="1"/>
    <xf numFmtId="0" fontId="20" fillId="0" borderId="0" xfId="0" applyFont="1"/>
    <xf numFmtId="0" fontId="0" fillId="0" borderId="19" xfId="0" applyBorder="1" applyAlignment="1">
      <alignment horizontal="left" indent="1"/>
    </xf>
    <xf numFmtId="0" fontId="0" fillId="0" borderId="19" xfId="0" applyBorder="1"/>
    <xf numFmtId="8" fontId="13" fillId="0" borderId="0" xfId="0" applyNumberFormat="1" applyFont="1"/>
    <xf numFmtId="165" fontId="7" fillId="0" borderId="3" xfId="0" applyNumberFormat="1" applyFont="1" applyBorder="1"/>
    <xf numFmtId="3" fontId="22" fillId="3" borderId="20" xfId="2" applyNumberFormat="1">
      <protection locked="0"/>
    </xf>
    <xf numFmtId="166" fontId="22" fillId="3" borderId="20" xfId="2" applyNumberFormat="1">
      <protection locked="0"/>
    </xf>
    <xf numFmtId="0" fontId="22" fillId="3" borderId="20" xfId="2">
      <protection locked="0"/>
    </xf>
    <xf numFmtId="167" fontId="22" fillId="3" borderId="20" xfId="2" applyNumberFormat="1">
      <protection locked="0"/>
    </xf>
    <xf numFmtId="9" fontId="22" fillId="3" borderId="20" xfId="2" applyNumberFormat="1" applyAlignment="1">
      <alignment horizontal="right"/>
      <protection locked="0"/>
    </xf>
    <xf numFmtId="9" fontId="22" fillId="3" borderId="20" xfId="2" applyNumberFormat="1">
      <protection locked="0"/>
    </xf>
    <xf numFmtId="168" fontId="22" fillId="3" borderId="20" xfId="2" applyNumberFormat="1">
      <protection locked="0"/>
    </xf>
    <xf numFmtId="166" fontId="22" fillId="3" borderId="23" xfId="2" applyNumberFormat="1" applyBorder="1">
      <protection locked="0"/>
    </xf>
    <xf numFmtId="0" fontId="0" fillId="0" borderId="22" xfId="0" applyBorder="1" applyAlignment="1">
      <alignment horizontal="left" indent="1"/>
    </xf>
    <xf numFmtId="166" fontId="22" fillId="3" borderId="24" xfId="2" applyNumberFormat="1" applyBorder="1">
      <protection locked="0"/>
    </xf>
    <xf numFmtId="0" fontId="0" fillId="0" borderId="22" xfId="0" quotePrefix="1" applyBorder="1"/>
    <xf numFmtId="165" fontId="22" fillId="3" borderId="23" xfId="2" applyNumberFormat="1" applyBorder="1">
      <protection locked="0"/>
    </xf>
    <xf numFmtId="0" fontId="0" fillId="0" borderId="22" xfId="0" applyBorder="1"/>
    <xf numFmtId="2" fontId="22" fillId="3" borderId="20" xfId="2" applyNumberFormat="1">
      <protection locked="0"/>
    </xf>
    <xf numFmtId="169" fontId="22" fillId="3" borderId="20" xfId="2" applyNumberFormat="1">
      <protection locked="0"/>
    </xf>
    <xf numFmtId="0" fontId="0" fillId="3" borderId="0" xfId="0" applyFill="1"/>
    <xf numFmtId="0" fontId="27" fillId="3" borderId="0" xfId="0" applyFont="1" applyFill="1" applyBorder="1" applyAlignment="1">
      <alignment horizontal="center" vertical="center"/>
    </xf>
    <xf numFmtId="0" fontId="0" fillId="3" borderId="0" xfId="0" applyFill="1" applyBorder="1"/>
    <xf numFmtId="0" fontId="28" fillId="3" borderId="0" xfId="0" applyFont="1" applyFill="1" applyBorder="1" applyAlignment="1">
      <alignment vertical="top" wrapText="1"/>
    </xf>
    <xf numFmtId="0" fontId="29" fillId="3" borderId="0" xfId="0" applyFont="1" applyFill="1" applyAlignment="1">
      <alignment vertical="top" wrapText="1"/>
    </xf>
    <xf numFmtId="0" fontId="0" fillId="3" borderId="0" xfId="0" applyFill="1" applyAlignment="1">
      <alignment vertical="center"/>
    </xf>
    <xf numFmtId="0" fontId="30" fillId="3" borderId="25" xfId="10" applyFont="1" applyFill="1" applyBorder="1" applyAlignment="1">
      <alignment horizontal="center" vertical="center" wrapText="1"/>
    </xf>
    <xf numFmtId="0" fontId="0" fillId="3" borderId="25" xfId="0" applyFill="1" applyBorder="1" applyAlignment="1">
      <alignment vertical="center"/>
    </xf>
    <xf numFmtId="0" fontId="0" fillId="0" borderId="0" xfId="0" applyAlignment="1">
      <alignment vertical="center"/>
    </xf>
    <xf numFmtId="0" fontId="4" fillId="0" borderId="26" xfId="0" applyFont="1" applyBorder="1"/>
    <xf numFmtId="0" fontId="26" fillId="0" borderId="0" xfId="10"/>
    <xf numFmtId="0" fontId="31" fillId="0" borderId="2" xfId="0" applyFont="1" applyBorder="1" applyAlignment="1">
      <alignment horizontal="left"/>
    </xf>
    <xf numFmtId="0" fontId="0" fillId="0" borderId="27" xfId="0" applyBorder="1" applyAlignment="1">
      <alignment horizontal="left" vertical="top" indent="1"/>
    </xf>
    <xf numFmtId="0" fontId="0" fillId="0" borderId="27" xfId="0" applyBorder="1" applyAlignment="1">
      <alignment horizontal="left" vertical="top" wrapText="1"/>
    </xf>
    <xf numFmtId="0" fontId="0" fillId="0" borderId="28" xfId="0" applyBorder="1" applyAlignment="1">
      <alignment horizontal="left" vertical="top" indent="1"/>
    </xf>
    <xf numFmtId="0" fontId="0" fillId="0" borderId="28" xfId="0" applyBorder="1" applyAlignment="1">
      <alignment horizontal="left" vertical="top" wrapText="1"/>
    </xf>
    <xf numFmtId="49" fontId="0" fillId="0" borderId="28" xfId="0" applyNumberFormat="1" applyBorder="1" applyAlignment="1">
      <alignment horizontal="left" vertical="top" wrapText="1"/>
    </xf>
    <xf numFmtId="14" fontId="0" fillId="0" borderId="28" xfId="0" applyNumberForma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cellXfs>
  <cellStyles count="11">
    <cellStyle name="1.  Input" xfId="2"/>
    <cellStyle name="2.  Heading" xfId="3"/>
    <cellStyle name="2.  Heading 2" xfId="4"/>
    <cellStyle name="2.  Input 2" xfId="5"/>
    <cellStyle name="3.  Heading 2" xfId="6"/>
    <cellStyle name="4.  Heading 2" xfId="7"/>
    <cellStyle name="5.  Title" xfId="1"/>
    <cellStyle name="Hyperlink" xfId="10" builtinId="8"/>
    <cellStyle name="Normal" xfId="0" builtinId="0"/>
    <cellStyle name="Normal 2" xfId="8"/>
    <cellStyle name="Normal 2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853416598787219"/>
          <c:y val="0.11991605072722213"/>
          <c:w val="0.35296974085135907"/>
          <c:h val="0.7346495700563513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DF-45CF-8B57-1F7584A8A3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DF-45CF-8B57-1F7584A8A3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DF-45CF-8B57-1F7584A8A3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DF-45CF-8B57-1F7584A8A3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9C-438F-A9CE-9FDC4BF82D30}"/>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'Manufacturing cost model'!$B$40:$B$44</c:f>
              <c:strCache>
                <c:ptCount val="5"/>
                <c:pt idx="0">
                  <c:v>Raw materials</c:v>
                </c:pt>
                <c:pt idx="1">
                  <c:v>Labor</c:v>
                </c:pt>
                <c:pt idx="2">
                  <c:v>Energy</c:v>
                </c:pt>
                <c:pt idx="3">
                  <c:v>Depreciation</c:v>
                </c:pt>
                <c:pt idx="4">
                  <c:v>Overhead</c:v>
                </c:pt>
              </c:strCache>
            </c:strRef>
          </c:cat>
          <c:val>
            <c:numRef>
              <c:f>'Manufacturing cost model'!$G$40:$G$44</c:f>
              <c:numCache>
                <c:formatCode>"$"#,##0.00</c:formatCode>
                <c:ptCount val="5"/>
                <c:pt idx="0">
                  <c:v>6.3093243079222212</c:v>
                </c:pt>
                <c:pt idx="1">
                  <c:v>2.6</c:v>
                </c:pt>
                <c:pt idx="2">
                  <c:v>0.53523599999999993</c:v>
                </c:pt>
                <c:pt idx="3">
                  <c:v>0.17200000000000001</c:v>
                </c:pt>
                <c:pt idx="4">
                  <c:v>1.5429999999999999</c:v>
                </c:pt>
              </c:numCache>
            </c:numRef>
          </c:val>
          <c:extLst>
            <c:ext xmlns:c16="http://schemas.microsoft.com/office/drawing/2014/chart" uri="{C3380CC4-5D6E-409C-BE32-E72D297353CC}">
              <c16:uniqueId val="{00000008-70DF-45CF-8B57-1F7584A8A3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66675</xdr:colOff>
      <xdr:row>3</xdr:row>
      <xdr:rowOff>180975</xdr:rowOff>
    </xdr:from>
    <xdr:to>
      <xdr:col>7</xdr:col>
      <xdr:colOff>781050</xdr:colOff>
      <xdr:row>21</xdr:row>
      <xdr:rowOff>114300</xdr:rowOff>
    </xdr:to>
    <xdr:graphicFrame macro="">
      <xdr:nvGraphicFramePr>
        <xdr:cNvPr id="2" name="Chart 1">
          <a:extLst>
            <a:ext uri="{FF2B5EF4-FFF2-40B4-BE49-F238E27FC236}">
              <a16:creationId xmlns:a16="http://schemas.microsoft.com/office/drawing/2014/main" id="{B6686854-DA24-4AF8-A21A-441F53B5F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914401</xdr:colOff>
      <xdr:row>18</xdr:row>
      <xdr:rowOff>152399</xdr:rowOff>
    </xdr:from>
    <xdr:to>
      <xdr:col>6</xdr:col>
      <xdr:colOff>1152525</xdr:colOff>
      <xdr:row>22</xdr:row>
      <xdr:rowOff>76200</xdr:rowOff>
    </xdr:to>
    <xdr:sp macro="" textlink="">
      <xdr:nvSpPr>
        <xdr:cNvPr id="3" name="Arrow: Down 2">
          <a:extLst>
            <a:ext uri="{FF2B5EF4-FFF2-40B4-BE49-F238E27FC236}">
              <a16:creationId xmlns:a16="http://schemas.microsoft.com/office/drawing/2014/main" id="{0AA79084-B7C3-41C4-B36C-63E46DFBA3C3}"/>
            </a:ext>
          </a:extLst>
        </xdr:cNvPr>
        <xdr:cNvSpPr/>
      </xdr:nvSpPr>
      <xdr:spPr>
        <a:xfrm>
          <a:off x="7543801" y="3771899"/>
          <a:ext cx="238124" cy="685801"/>
        </a:xfrm>
        <a:prstGeom prst="downArrow">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561975</xdr:colOff>
      <xdr:row>16</xdr:row>
      <xdr:rowOff>76200</xdr:rowOff>
    </xdr:from>
    <xdr:to>
      <xdr:col>7</xdr:col>
      <xdr:colOff>421005</xdr:colOff>
      <xdr:row>19</xdr:row>
      <xdr:rowOff>53340</xdr:rowOff>
    </xdr:to>
    <xdr:sp macro="" textlink="">
      <xdr:nvSpPr>
        <xdr:cNvPr id="4" name="TextBox 3">
          <a:extLst>
            <a:ext uri="{FF2B5EF4-FFF2-40B4-BE49-F238E27FC236}">
              <a16:creationId xmlns:a16="http://schemas.microsoft.com/office/drawing/2014/main" id="{DAFCC9CB-4641-4B4B-ADB8-BEA48A580F8E}"/>
            </a:ext>
          </a:extLst>
        </xdr:cNvPr>
        <xdr:cNvSpPr txBox="1"/>
      </xdr:nvSpPr>
      <xdr:spPr>
        <a:xfrm>
          <a:off x="7086600" y="3314700"/>
          <a:ext cx="109728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tx1">
                  <a:lumMod val="50000"/>
                  <a:lumOff val="50000"/>
                </a:schemeClr>
              </a:solidFill>
            </a:rPr>
            <a:t>More content </a:t>
          </a:r>
        </a:p>
        <a:p>
          <a:pPr algn="ctr"/>
          <a:r>
            <a:rPr lang="en-US" sz="1000" baseline="0">
              <a:solidFill>
                <a:schemeClr val="tx1">
                  <a:lumMod val="50000"/>
                  <a:lumOff val="50000"/>
                </a:schemeClr>
              </a:solidFill>
            </a:rPr>
            <a:t>below</a:t>
          </a:r>
        </a:p>
      </xdr:txBody>
    </xdr:sp>
    <xdr:clientData/>
  </xdr:twoCellAnchor>
  <xdr:twoCellAnchor editAs="oneCell">
    <xdr:from>
      <xdr:col>1</xdr:col>
      <xdr:colOff>238126</xdr:colOff>
      <xdr:row>16</xdr:row>
      <xdr:rowOff>133350</xdr:rowOff>
    </xdr:from>
    <xdr:to>
      <xdr:col>6</xdr:col>
      <xdr:colOff>28575</xdr:colOff>
      <xdr:row>21</xdr:row>
      <xdr:rowOff>158003</xdr:rowOff>
    </xdr:to>
    <xdr:pic>
      <xdr:nvPicPr>
        <xdr:cNvPr id="5" name="Picture 4">
          <a:extLst>
            <a:ext uri="{FF2B5EF4-FFF2-40B4-BE49-F238E27FC236}">
              <a16:creationId xmlns:a16="http://schemas.microsoft.com/office/drawing/2014/main" id="{1B678FA1-70F8-44F2-94CB-6EF4B86D55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6" y="3371850"/>
          <a:ext cx="6229349" cy="977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9</xdr:row>
      <xdr:rowOff>76200</xdr:rowOff>
    </xdr:from>
    <xdr:to>
      <xdr:col>9</xdr:col>
      <xdr:colOff>752475</xdr:colOff>
      <xdr:row>19</xdr:row>
      <xdr:rowOff>174419</xdr:rowOff>
    </xdr:to>
    <xdr:pic>
      <xdr:nvPicPr>
        <xdr:cNvPr id="5" name="Picture 4">
          <a:extLst>
            <a:ext uri="{FF2B5EF4-FFF2-40B4-BE49-F238E27FC236}">
              <a16:creationId xmlns:a16="http://schemas.microsoft.com/office/drawing/2014/main" id="{05742054-0D79-4349-9F4D-CE0AD9D61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1981200"/>
          <a:ext cx="2809875" cy="2050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urkengineeringllc.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zoomScaleNormal="100" workbookViewId="0">
      <selection activeCell="A30" sqref="A30"/>
    </sheetView>
  </sheetViews>
  <sheetFormatPr defaultColWidth="0" defaultRowHeight="15"/>
  <cols>
    <col min="1" max="1" width="2.85546875" customWidth="1"/>
    <col min="2" max="2" width="25.7109375" customWidth="1"/>
    <col min="3" max="3" width="102.85546875" customWidth="1"/>
    <col min="4" max="4" width="2.85546875" customWidth="1"/>
    <col min="5" max="10" width="0" hidden="1" customWidth="1"/>
    <col min="11" max="16384" width="11.42578125" hidden="1"/>
  </cols>
  <sheetData>
    <row r="1" spans="1:4" ht="21.75" customHeight="1">
      <c r="A1" s="86"/>
      <c r="B1" s="87" t="s">
        <v>74</v>
      </c>
      <c r="C1" s="87"/>
      <c r="D1" s="86"/>
    </row>
    <row r="2" spans="1:4" ht="46.5" customHeight="1">
      <c r="A2" s="88"/>
      <c r="B2" s="89" t="s">
        <v>75</v>
      </c>
      <c r="C2" s="89"/>
      <c r="D2" s="90"/>
    </row>
    <row r="3" spans="1:4" ht="25.5" customHeight="1">
      <c r="A3" s="86"/>
      <c r="B3" s="89" t="s">
        <v>76</v>
      </c>
      <c r="C3" s="89"/>
      <c r="D3" s="86"/>
    </row>
    <row r="4" spans="1:4" s="94" customFormat="1" ht="21" customHeight="1">
      <c r="A4" s="91"/>
      <c r="B4" s="92" t="s">
        <v>77</v>
      </c>
      <c r="C4" s="92"/>
      <c r="D4" s="93"/>
    </row>
    <row r="5" spans="1:4" ht="26.25">
      <c r="A5" s="95" t="s">
        <v>78</v>
      </c>
    </row>
    <row r="6" spans="1:4" ht="9" customHeight="1">
      <c r="C6" s="96"/>
    </row>
    <row r="7" spans="1:4" ht="21">
      <c r="B7" s="97" t="s">
        <v>79</v>
      </c>
      <c r="C7" s="97"/>
    </row>
    <row r="8" spans="1:4">
      <c r="B8" s="98" t="s">
        <v>80</v>
      </c>
      <c r="C8" s="99" t="s">
        <v>92</v>
      </c>
    </row>
    <row r="9" spans="1:4" ht="15" customHeight="1">
      <c r="B9" s="100" t="s">
        <v>81</v>
      </c>
      <c r="C9" s="101" t="s">
        <v>93</v>
      </c>
    </row>
    <row r="10" spans="1:4">
      <c r="B10" s="100" t="s">
        <v>82</v>
      </c>
      <c r="C10" s="102" t="s">
        <v>83</v>
      </c>
    </row>
    <row r="11" spans="1:4">
      <c r="B11" s="100" t="s">
        <v>84</v>
      </c>
      <c r="C11" s="103">
        <v>43174</v>
      </c>
    </row>
    <row r="12" spans="1:4">
      <c r="B12" s="100" t="s">
        <v>85</v>
      </c>
      <c r="C12" s="101" t="s">
        <v>86</v>
      </c>
    </row>
    <row r="13" spans="1:4" ht="45">
      <c r="B13" s="100" t="s">
        <v>87</v>
      </c>
      <c r="C13" s="101" t="s">
        <v>88</v>
      </c>
    </row>
    <row r="14" spans="1:4">
      <c r="B14" s="104"/>
      <c r="C14" s="105"/>
    </row>
    <row r="15" spans="1:4">
      <c r="B15" s="104"/>
      <c r="C15" s="106"/>
    </row>
    <row r="16" spans="1:4" ht="21">
      <c r="B16" s="97" t="s">
        <v>89</v>
      </c>
      <c r="C16" s="97"/>
    </row>
    <row r="17" spans="2:3" ht="45">
      <c r="B17" s="100" t="s">
        <v>90</v>
      </c>
      <c r="C17" s="101" t="s">
        <v>94</v>
      </c>
    </row>
    <row r="18" spans="2:3">
      <c r="B18" s="100" t="s">
        <v>91</v>
      </c>
      <c r="C18" s="101" t="s">
        <v>95</v>
      </c>
    </row>
    <row r="19" spans="2:3">
      <c r="B19" s="104"/>
      <c r="C19" s="105"/>
    </row>
    <row r="20" spans="2:3">
      <c r="B20" s="104"/>
      <c r="C20" s="105"/>
    </row>
    <row r="21" spans="2:3">
      <c r="B21" s="104"/>
      <c r="C21" s="106"/>
    </row>
    <row r="22" spans="2:3">
      <c r="B22" s="104"/>
      <c r="C22" s="106"/>
    </row>
  </sheetData>
  <mergeCells count="4">
    <mergeCell ref="B1:C1"/>
    <mergeCell ref="B2:C2"/>
    <mergeCell ref="B3:C3"/>
    <mergeCell ref="B4:C4"/>
  </mergeCells>
  <hyperlinks>
    <hyperlink ref="B4:C4" r:id="rId1" display="Chris Burk PE  |  cburk@BurkEngineeringLLC.com  |  www.BurkEngineeringLLC.com"/>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4"/>
  <sheetViews>
    <sheetView showGridLines="0" zoomScale="85" zoomScaleNormal="85" workbookViewId="0">
      <selection activeCell="A30" sqref="A30"/>
    </sheetView>
  </sheetViews>
  <sheetFormatPr defaultColWidth="17.140625" defaultRowHeight="15"/>
  <cols>
    <col min="1" max="1" width="2.85546875" customWidth="1"/>
    <col min="2" max="2" width="21" customWidth="1"/>
    <col min="3" max="5" width="18.5703125" customWidth="1"/>
    <col min="6" max="6" width="19.85546875" customWidth="1"/>
    <col min="7" max="8" width="18.5703125" customWidth="1"/>
  </cols>
  <sheetData>
    <row r="1" spans="1:10" ht="26.25">
      <c r="A1" s="2" t="s">
        <v>61</v>
      </c>
      <c r="H1" s="1"/>
    </row>
    <row r="2" spans="1:10" ht="15" customHeight="1">
      <c r="B2" s="66" t="s">
        <v>59</v>
      </c>
    </row>
    <row r="3" spans="1:10" ht="15" customHeight="1"/>
    <row r="4" spans="1:10" ht="18.75">
      <c r="B4" s="10" t="s">
        <v>31</v>
      </c>
      <c r="C4" s="11"/>
      <c r="D4" s="16"/>
      <c r="F4" s="13" t="s">
        <v>73</v>
      </c>
      <c r="G4" s="70">
        <f>(C6-G5)/C6</f>
        <v>7.0036641006481659E-2</v>
      </c>
    </row>
    <row r="5" spans="1:10">
      <c r="A5" s="26"/>
      <c r="B5" s="67" t="s">
        <v>4</v>
      </c>
      <c r="C5" s="71">
        <v>50000</v>
      </c>
      <c r="D5" s="68" t="s">
        <v>2</v>
      </c>
      <c r="F5" s="51" t="s">
        <v>72</v>
      </c>
      <c r="G5" s="69">
        <f>G45</f>
        <v>11.15956030792222</v>
      </c>
    </row>
    <row r="6" spans="1:10">
      <c r="B6" s="79" t="s">
        <v>70</v>
      </c>
      <c r="C6" s="80">
        <v>12</v>
      </c>
      <c r="D6" s="81" t="s">
        <v>71</v>
      </c>
      <c r="F6" s="51" t="s">
        <v>34</v>
      </c>
      <c r="G6" s="52">
        <f>PRODUCT(D27:F27)</f>
        <v>0.87466499999999991</v>
      </c>
      <c r="J6" s="53"/>
    </row>
    <row r="7" spans="1:10">
      <c r="B7" s="9" t="s">
        <v>33</v>
      </c>
      <c r="C7" s="78">
        <v>1.95</v>
      </c>
      <c r="D7" s="5" t="s">
        <v>52</v>
      </c>
      <c r="I7" s="6"/>
    </row>
    <row r="8" spans="1:10">
      <c r="B8" s="9" t="s">
        <v>49</v>
      </c>
      <c r="C8" s="72">
        <v>14.1</v>
      </c>
      <c r="D8" s="5" t="s">
        <v>50</v>
      </c>
      <c r="I8" s="6"/>
    </row>
    <row r="9" spans="1:10">
      <c r="B9" s="9" t="s">
        <v>65</v>
      </c>
      <c r="C9" s="73">
        <v>2</v>
      </c>
      <c r="D9" t="s">
        <v>1</v>
      </c>
      <c r="I9" s="6"/>
    </row>
    <row r="10" spans="1:10">
      <c r="B10" s="9" t="s">
        <v>66</v>
      </c>
      <c r="C10" s="74">
        <v>65000</v>
      </c>
      <c r="D10" t="s">
        <v>3</v>
      </c>
      <c r="I10" s="6"/>
    </row>
    <row r="11" spans="1:10">
      <c r="B11" s="79" t="s">
        <v>35</v>
      </c>
      <c r="C11" s="80">
        <v>0.13</v>
      </c>
      <c r="D11" s="83" t="s">
        <v>28</v>
      </c>
      <c r="I11" s="6"/>
    </row>
    <row r="12" spans="1:10">
      <c r="B12" s="9" t="s">
        <v>32</v>
      </c>
      <c r="C12" s="82">
        <v>0.05</v>
      </c>
      <c r="D12" t="s">
        <v>97</v>
      </c>
      <c r="I12" s="6"/>
    </row>
    <row r="13" spans="1:10">
      <c r="B13" s="9" t="s">
        <v>56</v>
      </c>
      <c r="C13" s="73">
        <v>5</v>
      </c>
      <c r="D13" t="s">
        <v>12</v>
      </c>
      <c r="I13" s="6"/>
    </row>
    <row r="14" spans="1:10">
      <c r="B14" s="9" t="s">
        <v>15</v>
      </c>
      <c r="C14" s="74">
        <v>1500</v>
      </c>
      <c r="D14" t="s">
        <v>16</v>
      </c>
      <c r="I14" s="6"/>
    </row>
    <row r="15" spans="1:10">
      <c r="I15" s="6"/>
    </row>
    <row r="16" spans="1:10">
      <c r="I16" s="6"/>
    </row>
    <row r="17" spans="2:10">
      <c r="I17" s="6"/>
    </row>
    <row r="18" spans="2:10">
      <c r="I18" s="6"/>
    </row>
    <row r="19" spans="2:10">
      <c r="I19" s="6"/>
    </row>
    <row r="20" spans="2:10">
      <c r="I20" s="6"/>
    </row>
    <row r="21" spans="2:10">
      <c r="I21" s="6"/>
    </row>
    <row r="22" spans="2:10">
      <c r="I22" s="6"/>
    </row>
    <row r="23" spans="2:10">
      <c r="I23" s="6"/>
    </row>
    <row r="24" spans="2:10">
      <c r="I24" s="6"/>
    </row>
    <row r="25" spans="2:10">
      <c r="I25" s="6"/>
    </row>
    <row r="26" spans="2:10" ht="18.75">
      <c r="B26" s="10" t="s">
        <v>27</v>
      </c>
      <c r="C26" s="11"/>
      <c r="D26" s="41" t="s">
        <v>68</v>
      </c>
      <c r="E26" s="16" t="s">
        <v>24</v>
      </c>
      <c r="F26" s="16" t="s">
        <v>6</v>
      </c>
      <c r="I26" s="6"/>
    </row>
    <row r="27" spans="2:10">
      <c r="B27" s="9" t="s">
        <v>5</v>
      </c>
      <c r="C27" t="s">
        <v>1</v>
      </c>
      <c r="D27" s="75">
        <v>0.93</v>
      </c>
      <c r="E27" s="75">
        <v>0.95</v>
      </c>
      <c r="F27" s="75">
        <v>0.99</v>
      </c>
    </row>
    <row r="28" spans="2:10">
      <c r="B28" s="9" t="s">
        <v>30</v>
      </c>
      <c r="C28" t="s">
        <v>17</v>
      </c>
      <c r="D28" s="49">
        <f>Superpolymer_Cost_per_Frisbee</f>
        <v>3.2386733957887892</v>
      </c>
      <c r="E28" s="72">
        <v>0</v>
      </c>
      <c r="F28" s="72">
        <v>0.65</v>
      </c>
    </row>
    <row r="29" spans="2:10">
      <c r="B29" s="9" t="s">
        <v>67</v>
      </c>
      <c r="C29" t="s">
        <v>1</v>
      </c>
      <c r="D29" s="76">
        <v>0.4</v>
      </c>
      <c r="E29" s="76">
        <v>0.2</v>
      </c>
      <c r="F29" s="76">
        <v>0.4</v>
      </c>
      <c r="I29" s="63"/>
    </row>
    <row r="30" spans="2:10">
      <c r="B30" s="9" t="s">
        <v>21</v>
      </c>
      <c r="C30" t="s">
        <v>18</v>
      </c>
      <c r="D30" s="77">
        <v>10</v>
      </c>
      <c r="E30" s="77">
        <v>3.5</v>
      </c>
      <c r="F30" s="77">
        <v>10</v>
      </c>
    </row>
    <row r="31" spans="2:10">
      <c r="B31" s="9" t="s">
        <v>8</v>
      </c>
      <c r="C31" t="s">
        <v>14</v>
      </c>
      <c r="D31" s="73">
        <v>15</v>
      </c>
      <c r="E31" s="73">
        <v>15</v>
      </c>
      <c r="F31" s="73">
        <v>20</v>
      </c>
    </row>
    <row r="32" spans="2:10">
      <c r="B32" s="9" t="s">
        <v>64</v>
      </c>
      <c r="C32" t="s">
        <v>1</v>
      </c>
      <c r="D32" s="74">
        <v>28000</v>
      </c>
      <c r="E32" s="74">
        <v>6000</v>
      </c>
      <c r="F32" s="74">
        <v>9000</v>
      </c>
      <c r="H32" s="48"/>
      <c r="I32" s="64"/>
      <c r="J32" s="5"/>
    </row>
    <row r="33" spans="2:10">
      <c r="G33" s="6"/>
      <c r="H33" s="59"/>
      <c r="I33" s="65"/>
      <c r="J33" s="5"/>
    </row>
    <row r="39" spans="2:10" ht="18.75">
      <c r="B39" s="12" t="s">
        <v>57</v>
      </c>
      <c r="C39" s="13"/>
      <c r="D39" s="17" t="s">
        <v>68</v>
      </c>
      <c r="E39" s="17" t="s">
        <v>24</v>
      </c>
      <c r="F39" s="27" t="s">
        <v>6</v>
      </c>
      <c r="G39" s="17" t="s">
        <v>0</v>
      </c>
    </row>
    <row r="40" spans="2:10">
      <c r="B40" s="9" t="s">
        <v>11</v>
      </c>
      <c r="C40" t="s">
        <v>17</v>
      </c>
      <c r="D40" s="8">
        <f>D65</f>
        <v>3.7027586513565645</v>
      </c>
      <c r="E40" s="8">
        <f>E65</f>
        <v>0</v>
      </c>
      <c r="F40" s="28">
        <f>F65</f>
        <v>0.65656565656565669</v>
      </c>
      <c r="G40" s="8">
        <f>SUM(D40:F40)+Frisbee_Core_Cost</f>
        <v>6.3093243079222212</v>
      </c>
      <c r="H40" s="55" t="s">
        <v>58</v>
      </c>
    </row>
    <row r="41" spans="2:10">
      <c r="B41" s="9" t="s">
        <v>7</v>
      </c>
      <c r="C41" t="s">
        <v>17</v>
      </c>
      <c r="D41" s="8">
        <f>D69</f>
        <v>1.04</v>
      </c>
      <c r="E41" s="8">
        <f>E69</f>
        <v>0.52</v>
      </c>
      <c r="F41" s="28">
        <f>F69</f>
        <v>1.04</v>
      </c>
      <c r="G41" s="8">
        <f>SUM(D41:F41)</f>
        <v>2.6</v>
      </c>
    </row>
    <row r="42" spans="2:10">
      <c r="B42" s="9" t="s">
        <v>36</v>
      </c>
      <c r="C42" t="s">
        <v>17</v>
      </c>
      <c r="D42" s="8">
        <f>D74</f>
        <v>0.22775999999999999</v>
      </c>
      <c r="E42" s="8">
        <f>E74</f>
        <v>7.9716000000000009E-2</v>
      </c>
      <c r="F42" s="28">
        <f>F74</f>
        <v>0.22775999999999999</v>
      </c>
      <c r="G42" s="8">
        <f>SUM(D42:F42)</f>
        <v>0.53523599999999993</v>
      </c>
    </row>
    <row r="43" spans="2:10">
      <c r="B43" s="9" t="s">
        <v>26</v>
      </c>
      <c r="C43" t="s">
        <v>17</v>
      </c>
      <c r="D43" s="8">
        <f>D82</f>
        <v>0.112</v>
      </c>
      <c r="E43" s="8">
        <f>E82</f>
        <v>2.4E-2</v>
      </c>
      <c r="F43" s="62">
        <f>F82</f>
        <v>3.5999999999999997E-2</v>
      </c>
      <c r="G43" s="8">
        <f>SUM(D43:F43)</f>
        <v>0.17200000000000001</v>
      </c>
    </row>
    <row r="44" spans="2:10">
      <c r="B44" s="21" t="s">
        <v>10</v>
      </c>
      <c r="C44" s="22" t="s">
        <v>17</v>
      </c>
      <c r="D44" s="23">
        <f>D94</f>
        <v>0.47799999999999998</v>
      </c>
      <c r="E44" s="23">
        <f>E94</f>
        <v>0.45600000000000002</v>
      </c>
      <c r="F44" s="29">
        <f>F94</f>
        <v>0.60899999999999999</v>
      </c>
      <c r="G44" s="23">
        <f>SUM(D44:F44)</f>
        <v>1.5429999999999999</v>
      </c>
    </row>
    <row r="45" spans="2:10">
      <c r="B45" s="9" t="s">
        <v>0</v>
      </c>
      <c r="C45" t="s">
        <v>17</v>
      </c>
      <c r="D45" s="8">
        <f>SUM(D40:D44)</f>
        <v>5.5605186513565643</v>
      </c>
      <c r="E45" s="8">
        <f>SUM(E40:E44)</f>
        <v>1.0797160000000001</v>
      </c>
      <c r="F45" s="28">
        <f>SUM(F40:F44)</f>
        <v>2.5693256565656566</v>
      </c>
      <c r="G45" s="8">
        <f>SUM(G40:G44)</f>
        <v>11.15956030792222</v>
      </c>
      <c r="H45" s="55" t="s">
        <v>60</v>
      </c>
    </row>
    <row r="60" spans="2:7" ht="18.75">
      <c r="B60" s="14" t="s">
        <v>38</v>
      </c>
      <c r="C60" s="14"/>
      <c r="D60" s="18" t="s">
        <v>68</v>
      </c>
      <c r="E60" s="18" t="s">
        <v>24</v>
      </c>
      <c r="F60" s="30" t="s">
        <v>6</v>
      </c>
      <c r="G60" s="18" t="s">
        <v>0</v>
      </c>
    </row>
    <row r="61" spans="2:7">
      <c r="B61" s="9" t="s">
        <v>23</v>
      </c>
      <c r="C61" t="s">
        <v>13</v>
      </c>
      <c r="D61" s="7">
        <f>E61/D27</f>
        <v>57164.743073062258</v>
      </c>
      <c r="E61" s="7">
        <f>F61/E27</f>
        <v>53163.211057947905</v>
      </c>
      <c r="F61" s="31">
        <f>G61/F27</f>
        <v>50505.050505050509</v>
      </c>
      <c r="G61" s="7">
        <f>Production_rate</f>
        <v>50000</v>
      </c>
    </row>
    <row r="62" spans="2:7">
      <c r="B62" s="37"/>
      <c r="C62" s="38"/>
      <c r="D62" s="38"/>
      <c r="E62" s="38"/>
      <c r="F62" s="39"/>
      <c r="G62" s="40"/>
    </row>
    <row r="63" spans="2:7">
      <c r="B63" s="9" t="s">
        <v>62</v>
      </c>
      <c r="C63" t="s">
        <v>29</v>
      </c>
      <c r="D63" s="8">
        <f>D28</f>
        <v>3.2386733957887892</v>
      </c>
      <c r="E63" s="8">
        <f>E28</f>
        <v>0</v>
      </c>
      <c r="F63" s="32">
        <f>F28</f>
        <v>0.65</v>
      </c>
      <c r="G63" s="6" t="s">
        <v>1</v>
      </c>
    </row>
    <row r="64" spans="2:7">
      <c r="B64" s="9"/>
      <c r="C64" t="s">
        <v>3</v>
      </c>
      <c r="D64" s="15">
        <f>D63*D61</f>
        <v>185137.93256782822</v>
      </c>
      <c r="E64" s="15">
        <f>E63*E61</f>
        <v>0</v>
      </c>
      <c r="F64" s="33">
        <f>F63*F61</f>
        <v>32828.282828282834</v>
      </c>
      <c r="G64" s="19">
        <f>SUM(D64:F64)</f>
        <v>217966.21539611105</v>
      </c>
    </row>
    <row r="65" spans="2:7">
      <c r="B65" s="9"/>
      <c r="C65" t="s">
        <v>17</v>
      </c>
      <c r="D65" s="8">
        <f>D64/Production_rate</f>
        <v>3.7027586513565645</v>
      </c>
      <c r="E65" s="8">
        <f>E64/Production_rate</f>
        <v>0</v>
      </c>
      <c r="F65" s="32">
        <f>F64/Production_rate</f>
        <v>0.65656565656565669</v>
      </c>
      <c r="G65" s="20">
        <f>SUM(D65:F65)</f>
        <v>4.359324307922221</v>
      </c>
    </row>
    <row r="66" spans="2:7">
      <c r="B66" s="37"/>
      <c r="C66" s="38"/>
      <c r="D66" s="38"/>
      <c r="E66" s="38"/>
      <c r="F66" s="39"/>
      <c r="G66" s="40"/>
    </row>
    <row r="67" spans="2:7">
      <c r="B67" s="9" t="s">
        <v>7</v>
      </c>
      <c r="C67" t="s">
        <v>67</v>
      </c>
      <c r="D67" s="56">
        <f>D29</f>
        <v>0.4</v>
      </c>
      <c r="E67" s="56">
        <f>E29</f>
        <v>0.2</v>
      </c>
      <c r="F67" s="57">
        <f>F29</f>
        <v>0.4</v>
      </c>
      <c r="G67" s="58">
        <f>SUM(D67:F67)</f>
        <v>1</v>
      </c>
    </row>
    <row r="68" spans="2:7">
      <c r="B68" s="9"/>
      <c r="C68" t="s">
        <v>3</v>
      </c>
      <c r="D68" s="15">
        <f>D67*Operator_count*'Manufacturing cost model'!Cost_Labor</f>
        <v>52000</v>
      </c>
      <c r="E68" s="15">
        <f>E67*Operator_count*'Manufacturing cost model'!Cost_Labor</f>
        <v>26000</v>
      </c>
      <c r="F68" s="33">
        <f>F67*Operator_count*'Manufacturing cost model'!Cost_Labor</f>
        <v>52000</v>
      </c>
      <c r="G68" s="19">
        <f>SUM(D68:F68)</f>
        <v>130000</v>
      </c>
    </row>
    <row r="69" spans="2:7">
      <c r="B69" s="9"/>
      <c r="C69" t="s">
        <v>17</v>
      </c>
      <c r="D69" s="8">
        <f>D68/Production_rate</f>
        <v>1.04</v>
      </c>
      <c r="E69" s="8">
        <f>E68/Production_rate</f>
        <v>0.52</v>
      </c>
      <c r="F69" s="32">
        <f>F68/Production_rate</f>
        <v>1.04</v>
      </c>
      <c r="G69" s="20">
        <f>SUM(D69:F69)</f>
        <v>2.6</v>
      </c>
    </row>
    <row r="70" spans="2:7">
      <c r="B70" s="37"/>
      <c r="C70" s="38"/>
      <c r="D70" s="38"/>
      <c r="E70" s="38"/>
      <c r="F70" s="39"/>
      <c r="G70" s="40"/>
    </row>
    <row r="71" spans="2:7">
      <c r="B71" s="9" t="s">
        <v>36</v>
      </c>
      <c r="C71" t="s">
        <v>18</v>
      </c>
      <c r="D71" s="4">
        <f>D30</f>
        <v>10</v>
      </c>
      <c r="E71" s="4">
        <f>E30</f>
        <v>3.5</v>
      </c>
      <c r="F71" s="34">
        <f>F30</f>
        <v>10</v>
      </c>
      <c r="G71" s="4">
        <f>SUM(D71:F71)</f>
        <v>23.5</v>
      </c>
    </row>
    <row r="72" spans="2:7">
      <c r="B72" s="9"/>
      <c r="C72" t="s">
        <v>19</v>
      </c>
      <c r="D72" s="3">
        <f>D71*24*365</f>
        <v>87600</v>
      </c>
      <c r="E72" s="3">
        <f t="shared" ref="E72:F72" si="0">E71*24*365</f>
        <v>30660</v>
      </c>
      <c r="F72" s="35">
        <f t="shared" si="0"/>
        <v>87600</v>
      </c>
      <c r="G72" s="7">
        <f>SUM(D72:F72)</f>
        <v>205860</v>
      </c>
    </row>
    <row r="73" spans="2:7">
      <c r="B73" s="9"/>
      <c r="C73" s="5" t="s">
        <v>3</v>
      </c>
      <c r="D73" s="15">
        <f>D72*Cost_Power</f>
        <v>11388</v>
      </c>
      <c r="E73" s="15">
        <f>E72*Cost_Power</f>
        <v>3985.8</v>
      </c>
      <c r="F73" s="33">
        <f>F72*Cost_Power</f>
        <v>11388</v>
      </c>
      <c r="G73" s="19">
        <f>SUM(D73:F73)</f>
        <v>26761.8</v>
      </c>
    </row>
    <row r="74" spans="2:7">
      <c r="B74" s="9"/>
      <c r="C74" t="s">
        <v>17</v>
      </c>
      <c r="D74" s="8">
        <f>D73/Production_rate</f>
        <v>0.22775999999999999</v>
      </c>
      <c r="E74" s="8">
        <f>E73/Production_rate</f>
        <v>7.9716000000000009E-2</v>
      </c>
      <c r="F74" s="32">
        <f>F73/Production_rate</f>
        <v>0.22775999999999999</v>
      </c>
      <c r="G74" s="20">
        <f>SUM(D74:F74)</f>
        <v>0.53523599999999993</v>
      </c>
    </row>
    <row r="79" spans="2:7" ht="18.75">
      <c r="B79" s="14" t="s">
        <v>69</v>
      </c>
      <c r="C79" s="14"/>
      <c r="D79" s="18" t="s">
        <v>68</v>
      </c>
      <c r="E79" s="18" t="s">
        <v>24</v>
      </c>
      <c r="F79" s="30" t="s">
        <v>6</v>
      </c>
      <c r="G79" s="18" t="s">
        <v>0</v>
      </c>
    </row>
    <row r="80" spans="2:7">
      <c r="B80" s="9" t="s">
        <v>9</v>
      </c>
      <c r="C80" t="s">
        <v>1</v>
      </c>
      <c r="D80" s="15">
        <f>D32</f>
        <v>28000</v>
      </c>
      <c r="E80" s="15">
        <f>E32</f>
        <v>6000</v>
      </c>
      <c r="F80" s="60">
        <f>F32</f>
        <v>9000</v>
      </c>
      <c r="G80" s="19">
        <f>SUM(D80:F80)</f>
        <v>43000</v>
      </c>
    </row>
    <row r="81" spans="1:7">
      <c r="B81" s="9" t="s">
        <v>26</v>
      </c>
      <c r="C81" t="s">
        <v>3</v>
      </c>
      <c r="D81" s="15">
        <f>D80/Equ_Depreciation_Period</f>
        <v>5600</v>
      </c>
      <c r="E81" s="15">
        <f>E80/Equ_Depreciation_Period</f>
        <v>1200</v>
      </c>
      <c r="F81" s="33">
        <f>F80/Equ_Depreciation_Period</f>
        <v>1800</v>
      </c>
      <c r="G81" s="19">
        <f>SUM(D81:F81)</f>
        <v>8600</v>
      </c>
    </row>
    <row r="82" spans="1:7">
      <c r="C82" t="s">
        <v>17</v>
      </c>
      <c r="D82" s="8">
        <f>D81/Production_rate</f>
        <v>0.112</v>
      </c>
      <c r="E82" s="8">
        <f>E81/Production_rate</f>
        <v>2.4E-2</v>
      </c>
      <c r="F82" s="32">
        <f>F81/Production_rate</f>
        <v>3.5999999999999997E-2</v>
      </c>
      <c r="G82" s="20">
        <f>SUM(D82:F82)</f>
        <v>0.17200000000000001</v>
      </c>
    </row>
    <row r="86" spans="1:7" ht="18.75">
      <c r="B86" s="14" t="s">
        <v>37</v>
      </c>
      <c r="C86" s="14"/>
      <c r="D86" s="18" t="s">
        <v>68</v>
      </c>
      <c r="E86" s="18" t="s">
        <v>24</v>
      </c>
      <c r="F86" s="30" t="s">
        <v>6</v>
      </c>
      <c r="G86" s="18" t="s">
        <v>0</v>
      </c>
    </row>
    <row r="87" spans="1:7">
      <c r="B87" s="9" t="s">
        <v>9</v>
      </c>
      <c r="C87" t="s">
        <v>1</v>
      </c>
      <c r="D87" s="15">
        <f>D32</f>
        <v>28000</v>
      </c>
      <c r="E87" s="15">
        <f>E32</f>
        <v>6000</v>
      </c>
      <c r="F87" s="33">
        <f>F32</f>
        <v>9000</v>
      </c>
      <c r="G87" s="19">
        <f>SUM(D87:F87)</f>
        <v>43000</v>
      </c>
    </row>
    <row r="88" spans="1:7">
      <c r="B88" s="9" t="s">
        <v>8</v>
      </c>
      <c r="C88" t="s">
        <v>14</v>
      </c>
      <c r="D88">
        <f>D31</f>
        <v>15</v>
      </c>
      <c r="E88">
        <f>E31</f>
        <v>15</v>
      </c>
      <c r="F88" s="36">
        <f>F31</f>
        <v>20</v>
      </c>
      <c r="G88" s="6">
        <f>SUM(D88:F88)</f>
        <v>50</v>
      </c>
    </row>
    <row r="89" spans="1:7">
      <c r="B89" s="42"/>
      <c r="C89" s="42"/>
      <c r="D89" s="42"/>
      <c r="E89" s="42"/>
      <c r="F89" s="46"/>
      <c r="G89" s="42"/>
    </row>
    <row r="90" spans="1:7">
      <c r="A90" s="26"/>
      <c r="B90" s="9" t="s">
        <v>20</v>
      </c>
      <c r="C90" s="5" t="s">
        <v>3</v>
      </c>
      <c r="D90" s="15">
        <f>D87*Maintenance_Factor</f>
        <v>1400</v>
      </c>
      <c r="E90" s="15">
        <f>E87*Maintenance_Factor</f>
        <v>300</v>
      </c>
      <c r="F90" s="61">
        <f>F87*Maintenance_Factor</f>
        <v>450</v>
      </c>
      <c r="G90" s="19">
        <f>SUM(D90:F90)</f>
        <v>2150</v>
      </c>
    </row>
    <row r="91" spans="1:7">
      <c r="B91" s="9" t="s">
        <v>15</v>
      </c>
      <c r="C91" s="5" t="s">
        <v>3</v>
      </c>
      <c r="D91" s="15">
        <f>D88*Cost_Factory_Overhead</f>
        <v>22500</v>
      </c>
      <c r="E91" s="15">
        <f>E88*Cost_Factory_Overhead</f>
        <v>22500</v>
      </c>
      <c r="F91" s="33">
        <f>F88*Cost_Factory_Overhead</f>
        <v>30000</v>
      </c>
      <c r="G91" s="19">
        <f>SUM(D91:F91)</f>
        <v>75000</v>
      </c>
    </row>
    <row r="92" spans="1:7">
      <c r="B92" s="43"/>
      <c r="C92" s="42"/>
      <c r="D92" s="42"/>
      <c r="E92" s="42"/>
      <c r="F92" s="44"/>
      <c r="G92" s="45"/>
    </row>
    <row r="93" spans="1:7">
      <c r="B93" s="9" t="s">
        <v>22</v>
      </c>
      <c r="C93" t="s">
        <v>3</v>
      </c>
      <c r="D93" s="15">
        <f>SUM(D90:D91)</f>
        <v>23900</v>
      </c>
      <c r="E93" s="15">
        <f>SUM(E90:E91)</f>
        <v>22800</v>
      </c>
      <c r="F93" s="61">
        <f>SUM(F90:F91)</f>
        <v>30450</v>
      </c>
      <c r="G93" s="19">
        <f>SUM(D93:F93)</f>
        <v>77150</v>
      </c>
    </row>
    <row r="94" spans="1:7">
      <c r="B94" s="9"/>
      <c r="C94" t="s">
        <v>17</v>
      </c>
      <c r="D94" s="8">
        <f>D93/Production_rate</f>
        <v>0.47799999999999998</v>
      </c>
      <c r="E94" s="8">
        <f>E93/Production_rate</f>
        <v>0.45600000000000002</v>
      </c>
      <c r="F94" s="32">
        <f>F93/Production_rate</f>
        <v>0.60899999999999999</v>
      </c>
      <c r="G94" s="20">
        <f>SUM(D94:F94)</f>
        <v>1.5429999999999999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1"/>
  <sheetViews>
    <sheetView showGridLines="0" zoomScale="85" zoomScaleNormal="85" workbookViewId="0">
      <selection activeCell="A30" sqref="A30"/>
    </sheetView>
  </sheetViews>
  <sheetFormatPr defaultColWidth="11.42578125" defaultRowHeight="15"/>
  <cols>
    <col min="1" max="1" width="2.85546875" customWidth="1"/>
    <col min="2" max="11" width="11.42578125" customWidth="1"/>
  </cols>
  <sheetData>
    <row r="1" spans="1:12" ht="26.25">
      <c r="A1" s="2" t="s">
        <v>55</v>
      </c>
      <c r="G1" s="47"/>
      <c r="H1" s="1"/>
    </row>
    <row r="2" spans="1:12" ht="15" customHeight="1">
      <c r="B2" s="50" t="s">
        <v>63</v>
      </c>
    </row>
    <row r="3" spans="1:12" ht="15" customHeight="1">
      <c r="B3" s="50"/>
    </row>
    <row r="4" spans="1:12" ht="15" customHeight="1"/>
    <row r="5" spans="1:12" ht="18.75">
      <c r="B5" s="10" t="s">
        <v>53</v>
      </c>
      <c r="C5" s="11"/>
      <c r="D5" s="16"/>
      <c r="E5" s="16"/>
      <c r="G5" s="24" t="s">
        <v>49</v>
      </c>
      <c r="H5" s="25"/>
      <c r="I5" s="25">
        <f>D21</f>
        <v>3.2386733957887892</v>
      </c>
      <c r="J5" s="24" t="s">
        <v>51</v>
      </c>
    </row>
    <row r="6" spans="1:12">
      <c r="B6" s="9" t="s">
        <v>96</v>
      </c>
      <c r="D6" s="77">
        <v>24.4</v>
      </c>
      <c r="E6" t="s">
        <v>39</v>
      </c>
    </row>
    <row r="7" spans="1:12">
      <c r="B7" s="9" t="s">
        <v>43</v>
      </c>
      <c r="D7" s="77">
        <v>30</v>
      </c>
      <c r="E7" t="s">
        <v>39</v>
      </c>
    </row>
    <row r="8" spans="1:12">
      <c r="B8" s="9" t="s">
        <v>54</v>
      </c>
      <c r="D8" s="84">
        <v>1.2</v>
      </c>
      <c r="E8" s="48" t="s">
        <v>39</v>
      </c>
    </row>
    <row r="9" spans="1:12">
      <c r="B9" s="9" t="s">
        <v>47</v>
      </c>
      <c r="D9" s="85">
        <v>0.8</v>
      </c>
      <c r="E9" t="s">
        <v>40</v>
      </c>
    </row>
    <row r="11" spans="1:12">
      <c r="L11" s="5"/>
    </row>
    <row r="12" spans="1:12">
      <c r="K12" s="8"/>
      <c r="L12" s="5"/>
    </row>
    <row r="13" spans="1:12" ht="18.75">
      <c r="B13" s="14" t="s">
        <v>25</v>
      </c>
      <c r="C13" s="14"/>
      <c r="D13" s="18"/>
      <c r="E13" s="18"/>
      <c r="K13" s="8"/>
      <c r="L13" s="5"/>
    </row>
    <row r="14" spans="1:12">
      <c r="B14" s="9" t="s">
        <v>44</v>
      </c>
      <c r="D14" s="48">
        <f>D8*PI()*D6^2/4</f>
        <v>561.11358067236563</v>
      </c>
      <c r="E14" t="s">
        <v>41</v>
      </c>
    </row>
    <row r="15" spans="1:12">
      <c r="B15" s="9" t="s">
        <v>45</v>
      </c>
      <c r="D15" s="48">
        <f>D8*PI()*D7^2/4</f>
        <v>848.23001646924411</v>
      </c>
      <c r="E15" t="s">
        <v>41</v>
      </c>
    </row>
    <row r="16" spans="1:12">
      <c r="B16" s="9"/>
      <c r="K16" s="54"/>
    </row>
    <row r="17" spans="2:5">
      <c r="B17" s="9" t="s">
        <v>46</v>
      </c>
      <c r="D17" s="48">
        <f>D15-D14</f>
        <v>287.11643579687848</v>
      </c>
      <c r="E17" t="s">
        <v>41</v>
      </c>
    </row>
    <row r="18" spans="2:5">
      <c r="B18" s="9" t="s">
        <v>48</v>
      </c>
      <c r="D18" s="48">
        <f>D17*D9</f>
        <v>229.69314863750279</v>
      </c>
      <c r="E18" t="s">
        <v>42</v>
      </c>
    </row>
    <row r="19" spans="2:5">
      <c r="B19" s="9"/>
    </row>
    <row r="20" spans="2:5">
      <c r="B20" s="9" t="s">
        <v>49</v>
      </c>
      <c r="D20" s="49">
        <f>'Manufacturing cost model'!Superpolymer_Cost</f>
        <v>14.1</v>
      </c>
      <c r="E20" s="5" t="s">
        <v>50</v>
      </c>
    </row>
    <row r="21" spans="2:5">
      <c r="D21" s="8">
        <f>D18*D20/1000</f>
        <v>3.2386733957887892</v>
      </c>
      <c r="E21" s="5" t="s">
        <v>51</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Documentation</vt:lpstr>
      <vt:lpstr>Manufacturing cost model</vt:lpstr>
      <vt:lpstr>Superpolymer cost calculations</vt:lpstr>
      <vt:lpstr>cm_per_in</vt:lpstr>
      <vt:lpstr>'Manufacturing cost model'!Cost_Factory_Overhead</vt:lpstr>
      <vt:lpstr>'Manufacturing cost model'!Cost_Labor</vt:lpstr>
      <vt:lpstr>'Manufacturing cost model'!Cost_Power</vt:lpstr>
      <vt:lpstr>'Manufacturing cost model'!Equ_Depreciation_Period</vt:lpstr>
      <vt:lpstr>'Manufacturing cost model'!Frisbee_Core_Cost</vt:lpstr>
      <vt:lpstr>g_per_t</vt:lpstr>
      <vt:lpstr>'Manufacturing cost model'!Maintenance_Factor</vt:lpstr>
      <vt:lpstr>Operator_count</vt:lpstr>
      <vt:lpstr>'Manufacturing cost model'!Production_rate</vt:lpstr>
      <vt:lpstr>'Manufacturing cost model'!Superpolymer_Cost</vt:lpstr>
      <vt:lpstr>Superpolymer_Cost_per_Frisbee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Burk</dc:creator>
  <cp:lastModifiedBy>Chris Burk</cp:lastModifiedBy>
  <dcterms:created xsi:type="dcterms:W3CDTF">2018-01-09T23:10:12Z</dcterms:created>
  <dcterms:modified xsi:type="dcterms:W3CDTF">2018-06-07T23:18:09Z</dcterms:modified>
</cp:coreProperties>
</file>