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charts/colors1.xml" ContentType="application/vnd.ms-office.chartcolorstyle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Default Extension="jpeg" ContentType="image/jpeg"/>
  <Override PartName="/xl/worksheets/sheet3.xml" ContentType="application/vnd.openxmlformats-officedocument.spreadsheetml.worksheet+xml"/>
  <Override PartName="/xl/drawings/drawing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7.xml" ContentType="application/vnd.openxmlformats-officedocument.drawing+xml"/>
  <Override PartName="/xl/charts/style1.xml" ContentType="application/vnd.ms-office.chart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4000" windowHeight="9740"/>
  </bookViews>
  <sheets>
    <sheet name="Cover" sheetId="14" r:id="rId1"/>
    <sheet name="Pre-Investment Cap Table" sheetId="17" r:id="rId2"/>
    <sheet name="Convertible Notes" sheetId="20" r:id="rId3"/>
    <sheet name="Series A Cap Table" sheetId="18" r:id="rId4"/>
    <sheet name="Series B Cap Table" sheetId="19" r:id="rId5"/>
    <sheet name="Value Growth" sheetId="23" r:id="rId6"/>
    <sheet name="Series A_Print Version" sheetId="21" r:id="rId7"/>
    <sheet name="Series B_Print Version" sheetId="22" r:id="rId8"/>
  </sheets>
  <definedNames>
    <definedName name="_xlnm.Print_Area" localSheetId="0">Cover!$B$1:$B$23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4" i="20"/>
  <c r="D24"/>
  <c r="E24"/>
  <c r="F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B19"/>
  <c r="B24"/>
  <c r="B25"/>
  <c r="F13"/>
  <c r="F14"/>
  <c r="F15"/>
  <c r="F16"/>
  <c r="F17"/>
  <c r="F18"/>
  <c r="E13"/>
  <c r="E14"/>
  <c r="E15"/>
  <c r="E16"/>
  <c r="E17"/>
  <c r="E18"/>
  <c r="D13"/>
  <c r="D14"/>
  <c r="D15"/>
  <c r="D16"/>
  <c r="D17"/>
  <c r="D18"/>
  <c r="H9"/>
  <c r="H12"/>
  <c r="H24"/>
  <c r="H13"/>
  <c r="I13"/>
  <c r="H14"/>
  <c r="I14"/>
  <c r="H15"/>
  <c r="I15"/>
  <c r="H16"/>
  <c r="I16"/>
  <c r="H17"/>
  <c r="I17"/>
  <c r="H18"/>
  <c r="I18"/>
  <c r="I12"/>
  <c r="I24"/>
  <c r="I9"/>
  <c r="I21"/>
  <c r="H21"/>
  <c r="J13"/>
  <c r="K13"/>
  <c r="J18"/>
  <c r="K18"/>
  <c r="J15"/>
  <c r="K15"/>
  <c r="J17"/>
  <c r="K17"/>
  <c r="J14"/>
  <c r="K14"/>
  <c r="J16"/>
  <c r="K16"/>
  <c r="J12"/>
  <c r="J24"/>
  <c r="J9"/>
  <c r="J21"/>
  <c r="K12"/>
  <c r="K24"/>
  <c r="K9"/>
  <c r="K21"/>
  <c r="H11"/>
  <c r="H10"/>
  <c r="I10"/>
  <c r="H22"/>
  <c r="I11"/>
  <c r="H23"/>
  <c r="J11"/>
  <c r="I23"/>
  <c r="J10"/>
  <c r="I22"/>
  <c r="J23"/>
  <c r="K11"/>
  <c r="K23"/>
  <c r="J22"/>
  <c r="J19"/>
  <c r="K10"/>
  <c r="K22"/>
  <c r="J25"/>
  <c r="K25"/>
  <c r="K19"/>
  <c r="C18" i="17"/>
  <c r="D17"/>
  <c r="D13"/>
  <c r="D16"/>
  <c r="D15"/>
  <c r="D14"/>
  <c r="D12"/>
  <c r="D11"/>
  <c r="D10"/>
  <c r="B23"/>
  <c r="B22"/>
  <c r="B24"/>
  <c r="D18"/>
  <c r="B18"/>
  <c r="B25"/>
  <c r="C24"/>
  <c r="E17"/>
  <c r="E14"/>
  <c r="E12"/>
  <c r="E11"/>
  <c r="E10"/>
  <c r="E15"/>
  <c r="E13"/>
  <c r="E16"/>
  <c r="E18"/>
  <c r="C23"/>
  <c r="C22"/>
  <c r="C25"/>
  <c r="J22" i="18"/>
  <c r="I22"/>
  <c r="G22"/>
  <c r="A27"/>
  <c r="A48"/>
  <c r="J21"/>
  <c r="I21"/>
  <c r="G21"/>
  <c r="A17"/>
  <c r="J20"/>
  <c r="I20"/>
  <c r="G20"/>
  <c r="A16"/>
  <c r="J19"/>
  <c r="I19"/>
  <c r="G19"/>
  <c r="A15"/>
  <c r="C18"/>
  <c r="A18"/>
  <c r="A26"/>
  <c r="A25"/>
  <c r="A24"/>
  <c r="D18"/>
  <c r="E18"/>
  <c r="F48"/>
  <c r="D48"/>
  <c r="D47"/>
  <c r="D19"/>
  <c r="D17"/>
  <c r="A50"/>
  <c r="A49"/>
  <c r="A47"/>
  <c r="A46"/>
  <c r="C17"/>
  <c r="E17"/>
  <c r="C16"/>
  <c r="C15"/>
  <c r="H22"/>
  <c r="H19"/>
  <c r="A45"/>
  <c r="H21"/>
  <c r="H20"/>
  <c r="E29"/>
  <c r="G50"/>
  <c r="E28"/>
  <c r="G49"/>
  <c r="D30"/>
  <c r="D46"/>
  <c r="D45"/>
  <c r="D20"/>
  <c r="E20"/>
  <c r="E19"/>
  <c r="D16"/>
  <c r="D15"/>
  <c r="A20"/>
  <c r="A19"/>
  <c r="F50"/>
  <c r="F49"/>
  <c r="E15"/>
  <c r="F47"/>
  <c r="E16"/>
  <c r="D21"/>
  <c r="C21"/>
  <c r="A43"/>
  <c r="A39"/>
  <c r="A42"/>
  <c r="A41"/>
  <c r="A40"/>
  <c r="A38"/>
  <c r="A37"/>
  <c r="A36"/>
  <c r="F46"/>
  <c r="F45"/>
  <c r="E21"/>
  <c r="C43"/>
  <c r="C39"/>
  <c r="C42"/>
  <c r="C41"/>
  <c r="C40"/>
  <c r="C38"/>
  <c r="C37"/>
  <c r="C36"/>
  <c r="B43"/>
  <c r="B39"/>
  <c r="B42"/>
  <c r="B41"/>
  <c r="B40"/>
  <c r="B38"/>
  <c r="B37"/>
  <c r="B36"/>
  <c r="D50"/>
  <c r="D49"/>
  <c r="C44"/>
  <c r="F51"/>
  <c r="D39"/>
  <c r="D37"/>
  <c r="D40"/>
  <c r="D41"/>
  <c r="D42"/>
  <c r="D36"/>
  <c r="D38"/>
  <c r="D43"/>
  <c r="H11"/>
  <c r="B51"/>
  <c r="C51"/>
  <c r="D44"/>
  <c r="H9"/>
  <c r="H10"/>
  <c r="D51"/>
  <c r="M19"/>
  <c r="M21"/>
  <c r="M20"/>
  <c r="M22"/>
  <c r="E48"/>
  <c r="E47"/>
  <c r="H14"/>
  <c r="I11"/>
  <c r="E46"/>
  <c r="E45"/>
  <c r="E39"/>
  <c r="E43"/>
  <c r="E40"/>
  <c r="E38"/>
  <c r="E36"/>
  <c r="E44"/>
  <c r="E50"/>
  <c r="E42"/>
  <c r="E49"/>
  <c r="E11"/>
  <c r="E12"/>
  <c r="E41"/>
  <c r="E37"/>
  <c r="E51"/>
  <c r="I9"/>
  <c r="H44"/>
  <c r="H36"/>
  <c r="J36"/>
  <c r="H43"/>
  <c r="H41"/>
  <c r="H39"/>
  <c r="H42"/>
  <c r="H40"/>
  <c r="H37"/>
  <c r="H38"/>
  <c r="H50"/>
  <c r="H49"/>
  <c r="K21"/>
  <c r="L21"/>
  <c r="N21"/>
  <c r="O21"/>
  <c r="Q21"/>
  <c r="K22"/>
  <c r="K19"/>
  <c r="L19"/>
  <c r="K20"/>
  <c r="I10"/>
  <c r="P21"/>
  <c r="P19"/>
  <c r="J43"/>
  <c r="J42"/>
  <c r="J37"/>
  <c r="J40"/>
  <c r="J41"/>
  <c r="J39"/>
  <c r="J38"/>
  <c r="J44"/>
  <c r="L22"/>
  <c r="P22"/>
  <c r="L20"/>
  <c r="N20"/>
  <c r="I14"/>
  <c r="J50"/>
  <c r="J49"/>
  <c r="P20"/>
  <c r="J10"/>
  <c r="J11"/>
  <c r="J13"/>
  <c r="J9"/>
  <c r="N22"/>
  <c r="O22"/>
  <c r="Q22"/>
  <c r="O20"/>
  <c r="Q20"/>
  <c r="N19"/>
  <c r="O19"/>
  <c r="Q19"/>
  <c r="C26"/>
  <c r="C27"/>
  <c r="E27"/>
  <c r="G48"/>
  <c r="H48"/>
  <c r="C25"/>
  <c r="E25"/>
  <c r="G46"/>
  <c r="H46"/>
  <c r="C24"/>
  <c r="E26"/>
  <c r="G47"/>
  <c r="H47"/>
  <c r="J47"/>
  <c r="E24"/>
  <c r="C30"/>
  <c r="G45"/>
  <c r="G51"/>
  <c r="J48"/>
  <c r="J46"/>
  <c r="E30"/>
  <c r="H45"/>
  <c r="H51"/>
  <c r="J45"/>
  <c r="I46"/>
  <c r="I36"/>
  <c r="I39"/>
  <c r="I40"/>
  <c r="I38"/>
  <c r="I48"/>
  <c r="I50"/>
  <c r="I47"/>
  <c r="I44"/>
  <c r="I45"/>
  <c r="I37"/>
  <c r="I49"/>
  <c r="I41"/>
  <c r="I43"/>
  <c r="I42"/>
  <c r="J12"/>
  <c r="J51"/>
  <c r="J14"/>
  <c r="I51"/>
  <c r="K48"/>
  <c r="K47"/>
  <c r="E31"/>
  <c r="K43"/>
  <c r="K46"/>
  <c r="K45"/>
  <c r="K41"/>
  <c r="K49"/>
  <c r="K44"/>
  <c r="K36"/>
  <c r="K40"/>
  <c r="K39"/>
  <c r="K50"/>
  <c r="K38"/>
  <c r="K42"/>
  <c r="K37"/>
  <c r="K12"/>
  <c r="E10"/>
  <c r="K51"/>
  <c r="K13"/>
  <c r="K9"/>
  <c r="K11"/>
  <c r="K10"/>
  <c r="K14"/>
  <c r="C21" i="21"/>
  <c r="B21"/>
  <c r="A21"/>
  <c r="C23"/>
  <c r="B23"/>
  <c r="A23"/>
  <c r="C22"/>
  <c r="B22"/>
  <c r="A22"/>
  <c r="C20"/>
  <c r="B20"/>
  <c r="A20"/>
  <c r="C19"/>
  <c r="B19"/>
  <c r="A19"/>
  <c r="C18"/>
  <c r="B18"/>
  <c r="A18"/>
  <c r="B17"/>
  <c r="A17"/>
  <c r="A24"/>
  <c r="A16"/>
  <c r="A14"/>
  <c r="A11"/>
  <c r="A9"/>
  <c r="A10"/>
  <c r="A12"/>
  <c r="A13"/>
  <c r="A15"/>
  <c r="B16"/>
  <c r="C17"/>
  <c r="C16"/>
  <c r="B11"/>
  <c r="C11"/>
  <c r="B12"/>
  <c r="C12"/>
  <c r="B13"/>
  <c r="C13"/>
  <c r="B14"/>
  <c r="C14"/>
  <c r="B15"/>
  <c r="C15"/>
  <c r="B9"/>
  <c r="C9"/>
  <c r="B10"/>
  <c r="C10"/>
  <c r="C24"/>
  <c r="B24"/>
  <c r="D16"/>
  <c r="F16"/>
  <c r="D14"/>
  <c r="F14"/>
  <c r="D9"/>
  <c r="F9"/>
  <c r="D10"/>
  <c r="F10"/>
  <c r="D12"/>
  <c r="F12"/>
  <c r="D13"/>
  <c r="F13"/>
  <c r="D15"/>
  <c r="F15"/>
  <c r="D11"/>
  <c r="F11"/>
  <c r="D17"/>
  <c r="F17"/>
  <c r="D23"/>
  <c r="F23"/>
  <c r="D22"/>
  <c r="F22"/>
  <c r="D19"/>
  <c r="F19"/>
  <c r="D21"/>
  <c r="F21"/>
  <c r="D20"/>
  <c r="F20"/>
  <c r="D18"/>
  <c r="D24"/>
  <c r="F18"/>
  <c r="F24"/>
  <c r="G18"/>
  <c r="E11"/>
  <c r="E22"/>
  <c r="E18"/>
  <c r="E14"/>
  <c r="E21"/>
  <c r="E16"/>
  <c r="E13"/>
  <c r="E9"/>
  <c r="E23"/>
  <c r="E20"/>
  <c r="E10"/>
  <c r="E17"/>
  <c r="E12"/>
  <c r="E15"/>
  <c r="E19"/>
  <c r="E24"/>
  <c r="G16"/>
  <c r="G13"/>
  <c r="G11"/>
  <c r="G12"/>
  <c r="G20"/>
  <c r="G14"/>
  <c r="G9"/>
  <c r="G19"/>
  <c r="G23"/>
  <c r="G22"/>
  <c r="G21"/>
  <c r="G15"/>
  <c r="G17"/>
  <c r="G10"/>
  <c r="G24"/>
  <c r="D7" i="19"/>
  <c r="D8"/>
  <c r="H47"/>
  <c r="H46"/>
  <c r="H45"/>
  <c r="H44"/>
  <c r="H43"/>
  <c r="H42"/>
  <c r="H41"/>
  <c r="H40"/>
  <c r="B38"/>
  <c r="B45"/>
  <c r="A43"/>
  <c r="A19"/>
  <c r="C43"/>
  <c r="C42"/>
  <c r="B43"/>
  <c r="B42"/>
  <c r="D24"/>
  <c r="D43"/>
  <c r="D42"/>
  <c r="A47"/>
  <c r="A46"/>
  <c r="A38"/>
  <c r="C45"/>
  <c r="C44"/>
  <c r="B44"/>
  <c r="C41"/>
  <c r="B41"/>
  <c r="C40"/>
  <c r="B40"/>
  <c r="A45"/>
  <c r="A44"/>
  <c r="A42"/>
  <c r="A41"/>
  <c r="A18"/>
  <c r="A17"/>
  <c r="A20"/>
  <c r="A21"/>
  <c r="D45"/>
  <c r="D41"/>
  <c r="D40"/>
  <c r="D44"/>
  <c r="A40"/>
  <c r="C39"/>
  <c r="A16"/>
  <c r="A31"/>
  <c r="A34"/>
  <c r="A35"/>
  <c r="D39"/>
  <c r="A33"/>
  <c r="A37"/>
  <c r="A36"/>
  <c r="A30"/>
  <c r="A32"/>
  <c r="D47"/>
  <c r="C38"/>
  <c r="C37"/>
  <c r="B32"/>
  <c r="C32"/>
  <c r="B34"/>
  <c r="C34"/>
  <c r="B35"/>
  <c r="C35"/>
  <c r="B36"/>
  <c r="C36"/>
  <c r="B33"/>
  <c r="C33"/>
  <c r="B30"/>
  <c r="C30"/>
  <c r="B31"/>
  <c r="C31"/>
  <c r="B37"/>
  <c r="D46"/>
  <c r="D38"/>
  <c r="H48"/>
  <c r="D36"/>
  <c r="D33"/>
  <c r="D35"/>
  <c r="D34"/>
  <c r="D37"/>
  <c r="G11"/>
  <c r="D32"/>
  <c r="C48"/>
  <c r="D30"/>
  <c r="D31"/>
  <c r="B48"/>
  <c r="G10"/>
  <c r="G9"/>
  <c r="G15"/>
  <c r="H11"/>
  <c r="F37"/>
  <c r="F36"/>
  <c r="F30"/>
  <c r="F31"/>
  <c r="F34"/>
  <c r="F35"/>
  <c r="F33"/>
  <c r="F32"/>
  <c r="F38"/>
  <c r="F45"/>
  <c r="F44"/>
  <c r="H10"/>
  <c r="H9"/>
  <c r="I10"/>
  <c r="I11"/>
  <c r="I13"/>
  <c r="I9"/>
  <c r="H15"/>
  <c r="F43"/>
  <c r="F42"/>
  <c r="F41"/>
  <c r="F40"/>
  <c r="F48"/>
  <c r="G46"/>
  <c r="I12"/>
  <c r="D48"/>
  <c r="D12"/>
  <c r="G34"/>
  <c r="G31"/>
  <c r="G37"/>
  <c r="G35"/>
  <c r="G42"/>
  <c r="G30"/>
  <c r="G44"/>
  <c r="G36"/>
  <c r="G41"/>
  <c r="G40"/>
  <c r="G32"/>
  <c r="G47"/>
  <c r="G43"/>
  <c r="G38"/>
  <c r="G33"/>
  <c r="G45"/>
  <c r="G39"/>
  <c r="E43"/>
  <c r="E42"/>
  <c r="E38"/>
  <c r="E45"/>
  <c r="E41"/>
  <c r="E46"/>
  <c r="E44"/>
  <c r="E47"/>
  <c r="E30"/>
  <c r="E40"/>
  <c r="E32"/>
  <c r="E34"/>
  <c r="E39"/>
  <c r="E35"/>
  <c r="E37"/>
  <c r="E31"/>
  <c r="E33"/>
  <c r="E36"/>
  <c r="E48"/>
  <c r="G48"/>
  <c r="D13"/>
  <c r="I15"/>
  <c r="I39"/>
  <c r="I31"/>
  <c r="I38"/>
  <c r="I30"/>
  <c r="I36"/>
  <c r="I37"/>
  <c r="I35"/>
  <c r="I34"/>
  <c r="I32"/>
  <c r="I33"/>
  <c r="I40"/>
  <c r="K40"/>
  <c r="I45"/>
  <c r="K45"/>
  <c r="I43"/>
  <c r="K43"/>
  <c r="I44"/>
  <c r="K44"/>
  <c r="I47"/>
  <c r="K47"/>
  <c r="I41"/>
  <c r="K41"/>
  <c r="I42"/>
  <c r="K42"/>
  <c r="I46"/>
  <c r="K46"/>
  <c r="J12"/>
  <c r="J14"/>
  <c r="J11"/>
  <c r="J10"/>
  <c r="J9"/>
  <c r="J13"/>
  <c r="K34"/>
  <c r="K35"/>
  <c r="K38"/>
  <c r="K37"/>
  <c r="K33"/>
  <c r="K31"/>
  <c r="K36"/>
  <c r="K30"/>
  <c r="K32"/>
  <c r="K39"/>
  <c r="J15"/>
  <c r="K9"/>
  <c r="K11"/>
  <c r="K48"/>
  <c r="K10"/>
  <c r="I48"/>
  <c r="J35"/>
  <c r="K12"/>
  <c r="J45"/>
  <c r="J43"/>
  <c r="J42"/>
  <c r="K14"/>
  <c r="J40"/>
  <c r="J31"/>
  <c r="J30"/>
  <c r="J32"/>
  <c r="J38"/>
  <c r="J33"/>
  <c r="J39"/>
  <c r="J36"/>
  <c r="J34"/>
  <c r="J37"/>
  <c r="J46"/>
  <c r="K13"/>
  <c r="J47"/>
  <c r="J41"/>
  <c r="J44"/>
  <c r="L42"/>
  <c r="L43"/>
  <c r="J48"/>
  <c r="L47"/>
  <c r="L41"/>
  <c r="L44"/>
  <c r="K15"/>
  <c r="L34"/>
  <c r="L30"/>
  <c r="L32"/>
  <c r="L36"/>
  <c r="D25"/>
  <c r="L39"/>
  <c r="L38"/>
  <c r="L37"/>
  <c r="L31"/>
  <c r="L35"/>
  <c r="L33"/>
  <c r="L46"/>
  <c r="L40"/>
  <c r="L45"/>
  <c r="L12"/>
  <c r="L11"/>
  <c r="L10"/>
  <c r="L9"/>
  <c r="L14"/>
  <c r="L48"/>
  <c r="L13"/>
  <c r="D11"/>
  <c r="L15"/>
  <c r="A22" i="22"/>
  <c r="C22"/>
  <c r="B22"/>
  <c r="D26"/>
  <c r="D25"/>
  <c r="D18"/>
  <c r="C26"/>
  <c r="B26"/>
  <c r="C25"/>
  <c r="B18"/>
  <c r="B17"/>
  <c r="A26"/>
  <c r="A25"/>
  <c r="A18"/>
  <c r="A17"/>
  <c r="C24"/>
  <c r="B24"/>
  <c r="C23"/>
  <c r="B23"/>
  <c r="C21"/>
  <c r="B21"/>
  <c r="C20"/>
  <c r="B20"/>
  <c r="C19"/>
  <c r="B19"/>
  <c r="A20"/>
  <c r="A21"/>
  <c r="A23"/>
  <c r="A24"/>
  <c r="A27"/>
  <c r="A19"/>
  <c r="C18"/>
  <c r="A14"/>
  <c r="A16"/>
  <c r="A13"/>
  <c r="A12"/>
  <c r="A11"/>
  <c r="A9"/>
  <c r="A15"/>
  <c r="A10"/>
  <c r="C16"/>
  <c r="B11"/>
  <c r="C11"/>
  <c r="B12"/>
  <c r="C12"/>
  <c r="B13"/>
  <c r="C13"/>
  <c r="B14"/>
  <c r="C14"/>
  <c r="B15"/>
  <c r="C15"/>
  <c r="B9"/>
  <c r="C9"/>
  <c r="B10"/>
  <c r="C10"/>
  <c r="B16"/>
  <c r="B25"/>
  <c r="C17"/>
  <c r="B27"/>
  <c r="D11"/>
  <c r="D12"/>
  <c r="D14"/>
  <c r="D9"/>
  <c r="D15"/>
  <c r="D10"/>
  <c r="D17"/>
  <c r="D16"/>
  <c r="D13"/>
  <c r="D23"/>
  <c r="D24"/>
  <c r="D22"/>
  <c r="D20"/>
  <c r="D21"/>
  <c r="D19"/>
  <c r="D27"/>
  <c r="E19"/>
  <c r="E22"/>
  <c r="E20"/>
  <c r="E24"/>
  <c r="E10"/>
  <c r="E12"/>
  <c r="E16"/>
  <c r="E9"/>
  <c r="E26"/>
  <c r="E18"/>
  <c r="E17"/>
  <c r="E13"/>
  <c r="E11"/>
  <c r="E14"/>
  <c r="E15"/>
  <c r="E23"/>
  <c r="E25"/>
  <c r="E21"/>
  <c r="E27"/>
  <c r="C27"/>
  <c r="F12"/>
  <c r="I12"/>
  <c r="F13"/>
  <c r="I13"/>
  <c r="F17"/>
  <c r="I17"/>
  <c r="F16"/>
  <c r="I16"/>
  <c r="F15"/>
  <c r="I15"/>
  <c r="F10"/>
  <c r="I10"/>
  <c r="F14"/>
  <c r="I14"/>
  <c r="F9"/>
  <c r="I9"/>
  <c r="F11"/>
  <c r="I11"/>
  <c r="F18"/>
  <c r="I18"/>
  <c r="F22"/>
  <c r="I22"/>
  <c r="F25"/>
  <c r="F21"/>
  <c r="F24"/>
  <c r="F23"/>
  <c r="F26"/>
  <c r="F20"/>
  <c r="F19"/>
  <c r="I25"/>
  <c r="I20"/>
  <c r="I23"/>
  <c r="I24"/>
  <c r="I19"/>
  <c r="F27"/>
  <c r="I26"/>
  <c r="I21"/>
  <c r="H20"/>
  <c r="H22"/>
  <c r="G22"/>
  <c r="H24"/>
  <c r="H19"/>
  <c r="G23"/>
  <c r="G19"/>
  <c r="G26"/>
  <c r="G20"/>
  <c r="H21"/>
  <c r="G24"/>
  <c r="G21"/>
  <c r="H11"/>
  <c r="H17"/>
  <c r="G13"/>
  <c r="H14"/>
  <c r="G18"/>
  <c r="G15"/>
  <c r="G10"/>
  <c r="H16"/>
  <c r="H13"/>
  <c r="H10"/>
  <c r="H9"/>
  <c r="G9"/>
  <c r="G16"/>
  <c r="H12"/>
  <c r="H18"/>
  <c r="G17"/>
  <c r="G14"/>
  <c r="G11"/>
  <c r="G12"/>
  <c r="H15"/>
  <c r="H25"/>
  <c r="G25"/>
  <c r="H23"/>
  <c r="I27"/>
  <c r="H26"/>
  <c r="J26"/>
  <c r="J22"/>
  <c r="G27"/>
  <c r="J20"/>
  <c r="J21"/>
  <c r="J24"/>
  <c r="J19"/>
  <c r="H27"/>
  <c r="J23"/>
  <c r="J17"/>
  <c r="J11"/>
  <c r="J12"/>
  <c r="J15"/>
  <c r="J18"/>
  <c r="J9"/>
  <c r="J16"/>
  <c r="J10"/>
  <c r="J13"/>
  <c r="J14"/>
  <c r="J25"/>
  <c r="J27"/>
  <c r="B49" i="23"/>
  <c r="B50"/>
  <c r="B51"/>
  <c r="B52"/>
  <c r="B53"/>
  <c r="B48"/>
  <c r="C49"/>
  <c r="C50"/>
  <c r="C48"/>
  <c r="C52"/>
  <c r="E49"/>
  <c r="E48"/>
  <c r="E50"/>
  <c r="E52"/>
  <c r="C51"/>
  <c r="E51"/>
  <c r="C53"/>
  <c r="E53"/>
  <c r="E54"/>
  <c r="C54"/>
  <c r="D52"/>
  <c r="D49"/>
  <c r="D50"/>
  <c r="D48"/>
  <c r="D51"/>
  <c r="D53"/>
  <c r="D54"/>
  <c r="F48"/>
  <c r="F50"/>
  <c r="F49"/>
  <c r="H48"/>
  <c r="H49"/>
  <c r="H50"/>
  <c r="F51"/>
  <c r="H51"/>
  <c r="F53"/>
  <c r="F52"/>
  <c r="H52"/>
  <c r="H53"/>
  <c r="F54"/>
  <c r="H54"/>
  <c r="G50"/>
  <c r="G48"/>
  <c r="G49"/>
  <c r="G51"/>
  <c r="G53"/>
  <c r="G52"/>
  <c r="G54"/>
</calcChain>
</file>

<file path=xl/sharedStrings.xml><?xml version="1.0" encoding="utf-8"?>
<sst xmlns="http://schemas.openxmlformats.org/spreadsheetml/2006/main" count="239" uniqueCount="139">
  <si>
    <t>Series A Other Investors</t>
  </si>
  <si>
    <t>Series B Lead Investor</t>
  </si>
  <si>
    <t>Series B Other Investors</t>
  </si>
  <si>
    <t>Pre-Investment Option Pool</t>
  </si>
  <si>
    <t>Angel #1</t>
  </si>
  <si>
    <t>Angel #2</t>
  </si>
  <si>
    <t>Angel #3</t>
  </si>
  <si>
    <t>Angel #4</t>
  </si>
  <si>
    <t>Angel #5</t>
  </si>
  <si>
    <t>Angel #6</t>
  </si>
  <si>
    <t>Angel #7</t>
  </si>
  <si>
    <t>Angel #8</t>
  </si>
  <si>
    <t>Angel #9</t>
  </si>
  <si>
    <t>Angel #10</t>
  </si>
  <si>
    <t>Principal &amp;</t>
  </si>
  <si>
    <t>Interest</t>
  </si>
  <si>
    <t>Conversion</t>
  </si>
  <si>
    <t>Price</t>
  </si>
  <si>
    <t>at Discount</t>
  </si>
  <si>
    <t>at Cap</t>
  </si>
  <si>
    <t>Effective</t>
  </si>
  <si>
    <t xml:space="preserve">Discount </t>
  </si>
  <si>
    <t>Note Conversion</t>
  </si>
  <si>
    <t>Value</t>
  </si>
  <si>
    <t>Series A Issue</t>
  </si>
  <si>
    <t>Conv. Price</t>
  </si>
  <si>
    <t>Angels #4-10</t>
  </si>
  <si>
    <t>Security Definitions</t>
  </si>
  <si>
    <r>
      <rPr>
        <u/>
        <sz val="11"/>
        <rFont val="Times New Roman"/>
        <family val="1"/>
      </rPr>
      <t>Common Options:</t>
    </r>
    <r>
      <rPr>
        <sz val="11"/>
        <rFont val="Times New Roman"/>
        <family val="1"/>
      </rPr>
      <t xml:space="preserve"> Frequently issued to employees, board members, and advisors. Common options provide the holder with the right to purchase a share of the company's common stock for a fixed price in the future (strike price).</t>
    </r>
  </si>
  <si>
    <r>
      <rPr>
        <u/>
        <sz val="11"/>
        <rFont val="Times New Roman"/>
        <family val="1"/>
      </rPr>
      <t>Preferred Stock:</t>
    </r>
    <r>
      <rPr>
        <sz val="11"/>
        <rFont val="Times New Roman"/>
        <family val="1"/>
      </rPr>
      <t xml:space="preserve"> Preferred stock is commonly issued to investors, for example in Series A and B rounds.</t>
    </r>
  </si>
  <si>
    <r>
      <rPr>
        <u/>
        <sz val="11"/>
        <rFont val="Times New Roman"/>
        <family val="1"/>
      </rPr>
      <t>Common Stock:</t>
    </r>
    <r>
      <rPr>
        <sz val="11"/>
        <rFont val="Times New Roman"/>
        <family val="1"/>
      </rPr>
      <t xml:space="preserve"> Frequently held by employees who have exercised their vested options or by founders.</t>
    </r>
  </si>
  <si>
    <t>Series A Value</t>
  </si>
  <si>
    <t>to Cash Invested</t>
  </si>
  <si>
    <t>Other Employees</t>
  </si>
  <si>
    <t>Advisors</t>
  </si>
  <si>
    <t>Issue</t>
  </si>
  <si>
    <t>Securities</t>
  </si>
  <si>
    <t>Total Common</t>
  </si>
  <si>
    <t>Series B</t>
  </si>
  <si>
    <t xml:space="preserve">Series A </t>
  </si>
  <si>
    <t xml:space="preserve">Cap Table </t>
  </si>
  <si>
    <t>After</t>
  </si>
  <si>
    <t>If your company is not receiving angel investment, enter zero for each angel investment in cells B9 through B18</t>
  </si>
  <si>
    <t>Capitalization Table Prior to Investment</t>
  </si>
  <si>
    <t>Total Securities</t>
  </si>
  <si>
    <t>Option Pool % of Fully Diluted after Financing</t>
  </si>
  <si>
    <t>Series A Cap Table</t>
  </si>
  <si>
    <t>Series B Cap Table</t>
  </si>
  <si>
    <t>If your notes do not have discount or cap, enter zero for each in cells E9 through F12 (some notes do not have a discount or a cap)</t>
  </si>
  <si>
    <t>If you are using a SAFE, enter zero for interest rate in cell D9 through D12</t>
  </si>
  <si>
    <t>Investors of notes 5 through 10 are assumed to have the same interest rate, discount rate and cap as the investor of note 4; do not edit cells D13 through F18</t>
  </si>
  <si>
    <t>Cells in BLACK are formulas, and should not be altered</t>
  </si>
  <si>
    <t>Total</t>
  </si>
  <si>
    <t>Post Money Valuation</t>
  </si>
  <si>
    <t>Shareholder</t>
  </si>
  <si>
    <t>Common</t>
  </si>
  <si>
    <t>Series A</t>
  </si>
  <si>
    <t>Stock</t>
  </si>
  <si>
    <t>Shares</t>
  </si>
  <si>
    <t>Capitalization Table Template</t>
  </si>
  <si>
    <t>Employee #1</t>
  </si>
  <si>
    <t>Employee #2</t>
  </si>
  <si>
    <t>Employee #3</t>
  </si>
  <si>
    <t>Options</t>
  </si>
  <si>
    <t>% Fully</t>
  </si>
  <si>
    <t>Diluted</t>
  </si>
  <si>
    <t>Employees</t>
  </si>
  <si>
    <t>Option Pool</t>
  </si>
  <si>
    <t>FD %</t>
  </si>
  <si>
    <t>TOTAL</t>
  </si>
  <si>
    <t>Share Price</t>
  </si>
  <si>
    <t>Investment $</t>
  </si>
  <si>
    <t>Series A INPUTS</t>
  </si>
  <si>
    <t xml:space="preserve">Series B  </t>
  </si>
  <si>
    <t>Series B INPUTS</t>
  </si>
  <si>
    <t>Total Series A Value</t>
  </si>
  <si>
    <t>Common 
Shares</t>
  </si>
  <si>
    <t>Common
Options</t>
  </si>
  <si>
    <t>Series A
Shares</t>
  </si>
  <si>
    <t>Series A
%</t>
  </si>
  <si>
    <t>Fully Diluted
Shares</t>
  </si>
  <si>
    <t>Series B
Shares</t>
  </si>
  <si>
    <t>Series B
%</t>
  </si>
  <si>
    <t>% Fully
Diluted</t>
  </si>
  <si>
    <t>Cells in BLUE are inputs - only enter number into these cells</t>
  </si>
  <si>
    <t>Total Series A Cash</t>
  </si>
  <si>
    <t>New $</t>
  </si>
  <si>
    <t>Investor</t>
  </si>
  <si>
    <t xml:space="preserve">Total </t>
  </si>
  <si>
    <t>Shares Prior to A Round</t>
  </si>
  <si>
    <t>Pre-Money Valuation</t>
  </si>
  <si>
    <t>Actual $</t>
  </si>
  <si>
    <t>Invested</t>
  </si>
  <si>
    <t>Angel Investors</t>
  </si>
  <si>
    <t>% of</t>
  </si>
  <si>
    <t>% Common</t>
  </si>
  <si>
    <t>Fully Diluted</t>
  </si>
  <si>
    <t>Shares Prior to B Round</t>
  </si>
  <si>
    <t>Total Series B Value &amp; Cash</t>
  </si>
  <si>
    <t>Post-Series A</t>
  </si>
  <si>
    <t>Srs A Investors</t>
  </si>
  <si>
    <t>Summary</t>
  </si>
  <si>
    <t>Cap Table</t>
  </si>
  <si>
    <t>Srs B Investors</t>
  </si>
  <si>
    <t>Post-Series B</t>
  </si>
  <si>
    <t>Srs A Option Pool Expansion</t>
  </si>
  <si>
    <t>Srs B Option Pool Expansion</t>
  </si>
  <si>
    <t>Total
Preferred %</t>
  </si>
  <si>
    <t>Fully
Diluted %</t>
  </si>
  <si>
    <t>Conv. Note</t>
  </si>
  <si>
    <t>Series A Post-Money Valuation</t>
  </si>
  <si>
    <t>Valuation Step-Up</t>
  </si>
  <si>
    <t>Series B Pre-Money Valuation</t>
  </si>
  <si>
    <t>Cap Table Summary</t>
  </si>
  <si>
    <t>% FD</t>
  </si>
  <si>
    <t>Date of Funding</t>
  </si>
  <si>
    <t>Option Pool Expansion</t>
  </si>
  <si>
    <t xml:space="preserve"> </t>
  </si>
  <si>
    <t>Pre-Investment &amp;</t>
  </si>
  <si>
    <t>Post-Series A, Pre-Series</t>
  </si>
  <si>
    <t>B Option Pool Expansion</t>
  </si>
  <si>
    <t xml:space="preserve">Pre-Investment &amp; </t>
  </si>
  <si>
    <t>Option Pool Expansion (added prior to Series A share price calculation)</t>
  </si>
  <si>
    <t>Option Pool Expansion (prior to Series B share price calculation)</t>
  </si>
  <si>
    <t>Principal</t>
  </si>
  <si>
    <t>Interest Rate</t>
  </si>
  <si>
    <t>Discount</t>
  </si>
  <si>
    <t>Interest 
Accured</t>
  </si>
  <si>
    <t>Date of 
Series A</t>
  </si>
  <si>
    <t>Principal Plus Interest</t>
  </si>
  <si>
    <t>Date of Issuance</t>
  </si>
  <si>
    <t>Cap</t>
  </si>
  <si>
    <t>Note Inputs</t>
  </si>
  <si>
    <t>Days 
Note Held</t>
  </si>
  <si>
    <t>Note Calculations</t>
  </si>
  <si>
    <t>Advisor #1</t>
  </si>
  <si>
    <t>Advisor #2</t>
  </si>
  <si>
    <t>Consultant #1</t>
  </si>
  <si>
    <t>Series A Lead Investor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</si>
</sst>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&quot;$&quot;* #,##0.0000_);_(&quot;$&quot;* \(#,##0.0000\);_(&quot;$&quot;* &quot;-&quot;??_);_(@_)"/>
    <numFmt numFmtId="168" formatCode="_(&quot;$&quot;* #,##0.000_);_(&quot;$&quot;* \(#,##0.000\);_(&quot;$&quot;* &quot;-&quot;???_);_(@_)"/>
    <numFmt numFmtId="169" formatCode="&quot;$&quot;#,##0"/>
    <numFmt numFmtId="170" formatCode="&quot;$&quot;#,##0.0"/>
    <numFmt numFmtId="171" formatCode="&quot;$&quot;#,##0.00"/>
    <numFmt numFmtId="172" formatCode="_(&quot;$&quot;* #,##0.00_);_(&quot;$&quot;* \(#,##0.00\);_(&quot;$&quot;* &quot;-&quot;_);_(@_)"/>
    <numFmt numFmtId="173" formatCode="0.00\x"/>
  </numFmts>
  <fonts count="26">
    <font>
      <sz val="10"/>
      <name val="Verdana"/>
    </font>
    <font>
      <sz val="10"/>
      <name val="Verdana"/>
    </font>
    <font>
      <sz val="10"/>
      <color indexed="8"/>
      <name val="Arial"/>
      <family val="2"/>
    </font>
    <font>
      <sz val="24"/>
      <name val="Verdana"/>
      <family val="2"/>
    </font>
    <font>
      <sz val="10"/>
      <color indexed="12"/>
      <name val="Verdana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i/>
      <sz val="11"/>
      <color indexed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sz val="10"/>
      <color indexed="9"/>
      <name val="Times New Roman"/>
      <family val="1"/>
    </font>
    <font>
      <sz val="11"/>
      <color indexed="9"/>
      <name val="Times New Roman"/>
      <family val="1"/>
    </font>
    <font>
      <b/>
      <sz val="11"/>
      <color indexed="12"/>
      <name val="Times New Roman"/>
      <family val="1"/>
    </font>
    <font>
      <u/>
      <sz val="11"/>
      <name val="Times New Roman"/>
      <family val="1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theme="1" tint="4.9989318521683403E-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/>
    <xf numFmtId="0" fontId="7" fillId="0" borderId="0" xfId="0" applyFont="1" applyFill="1"/>
    <xf numFmtId="0" fontId="8" fillId="0" borderId="0" xfId="0" applyFont="1" applyFill="1" applyBorder="1"/>
    <xf numFmtId="0" fontId="9" fillId="0" borderId="0" xfId="0" applyFont="1" applyFill="1" applyBorder="1"/>
    <xf numFmtId="166" fontId="9" fillId="0" borderId="0" xfId="8" applyNumberFormat="1" applyFont="1" applyFill="1" applyBorder="1"/>
    <xf numFmtId="167" fontId="9" fillId="0" borderId="0" xfId="8" applyNumberFormat="1" applyFont="1" applyFill="1" applyBorder="1"/>
    <xf numFmtId="0" fontId="9" fillId="0" borderId="0" xfId="0" applyFont="1"/>
    <xf numFmtId="164" fontId="9" fillId="0" borderId="0" xfId="1" applyNumberFormat="1" applyFont="1" applyFill="1" applyBorder="1"/>
    <xf numFmtId="0" fontId="8" fillId="2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64" fontId="11" fillId="0" borderId="7" xfId="1" applyNumberFormat="1" applyFont="1" applyFill="1" applyBorder="1" applyAlignment="1">
      <alignment horizontal="left" wrapText="1" readingOrder="1"/>
    </xf>
    <xf numFmtId="164" fontId="12" fillId="0" borderId="8" xfId="1" applyNumberFormat="1" applyFont="1" applyFill="1" applyBorder="1" applyAlignment="1">
      <alignment horizontal="left" wrapText="1" readingOrder="1"/>
    </xf>
    <xf numFmtId="164" fontId="12" fillId="0" borderId="0" xfId="1" applyNumberFormat="1" applyFont="1" applyFill="1" applyBorder="1" applyAlignment="1">
      <alignment horizontal="left" wrapText="1" readingOrder="1"/>
    </xf>
    <xf numFmtId="164" fontId="13" fillId="0" borderId="0" xfId="1" applyNumberFormat="1" applyFont="1" applyFill="1" applyBorder="1" applyAlignment="1">
      <alignment horizontal="left" wrapText="1" readingOrder="1"/>
    </xf>
    <xf numFmtId="0" fontId="6" fillId="0" borderId="0" xfId="0" applyFont="1" applyBorder="1"/>
    <xf numFmtId="0" fontId="9" fillId="0" borderId="0" xfId="0" applyFont="1" applyFill="1"/>
    <xf numFmtId="0" fontId="9" fillId="0" borderId="11" xfId="0" applyFont="1" applyFill="1" applyBorder="1"/>
    <xf numFmtId="164" fontId="9" fillId="0" borderId="7" xfId="0" applyNumberFormat="1" applyFont="1" applyFill="1" applyBorder="1"/>
    <xf numFmtId="44" fontId="9" fillId="0" borderId="7" xfId="0" applyNumberFormat="1" applyFont="1" applyFill="1" applyBorder="1"/>
    <xf numFmtId="42" fontId="9" fillId="0" borderId="7" xfId="0" applyNumberFormat="1" applyFont="1" applyFill="1" applyBorder="1"/>
    <xf numFmtId="42" fontId="11" fillId="0" borderId="7" xfId="0" applyNumberFormat="1" applyFont="1" applyFill="1" applyBorder="1"/>
    <xf numFmtId="0" fontId="10" fillId="0" borderId="2" xfId="0" applyFont="1" applyFill="1" applyBorder="1" applyAlignment="1">
      <alignment horizontal="left" indent="1"/>
    </xf>
    <xf numFmtId="42" fontId="9" fillId="0" borderId="7" xfId="0" applyNumberFormat="1" applyFont="1" applyBorder="1"/>
    <xf numFmtId="0" fontId="10" fillId="0" borderId="9" xfId="0" applyFont="1" applyFill="1" applyBorder="1" applyAlignment="1">
      <alignment horizontal="left" indent="1"/>
    </xf>
    <xf numFmtId="0" fontId="16" fillId="0" borderId="0" xfId="0" applyFont="1"/>
    <xf numFmtId="0" fontId="8" fillId="3" borderId="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left" wrapText="1" readingOrder="1"/>
    </xf>
    <xf numFmtId="41" fontId="9" fillId="0" borderId="7" xfId="0" applyNumberFormat="1" applyFont="1" applyFill="1" applyBorder="1" applyAlignment="1"/>
    <xf numFmtId="41" fontId="9" fillId="0" borderId="8" xfId="0" applyNumberFormat="1" applyFont="1" applyFill="1" applyBorder="1" applyAlignment="1"/>
    <xf numFmtId="164" fontId="12" fillId="0" borderId="7" xfId="1" applyNumberFormat="1" applyFont="1" applyFill="1" applyBorder="1" applyAlignment="1">
      <alignment horizontal="left" wrapText="1" readingOrder="1"/>
    </xf>
    <xf numFmtId="42" fontId="9" fillId="0" borderId="0" xfId="0" applyNumberFormat="1" applyFont="1"/>
    <xf numFmtId="41" fontId="6" fillId="0" borderId="0" xfId="0" applyNumberFormat="1" applyFont="1"/>
    <xf numFmtId="41" fontId="9" fillId="0" borderId="0" xfId="0" applyNumberFormat="1" applyFont="1"/>
    <xf numFmtId="170" fontId="6" fillId="0" borderId="0" xfId="0" applyNumberFormat="1" applyFont="1"/>
    <xf numFmtId="42" fontId="9" fillId="0" borderId="0" xfId="0" applyNumberFormat="1" applyFont="1" applyFill="1" applyBorder="1"/>
    <xf numFmtId="0" fontId="10" fillId="0" borderId="0" xfId="0" applyFont="1" applyFill="1" applyBorder="1" applyAlignment="1">
      <alignment horizontal="left" indent="1"/>
    </xf>
    <xf numFmtId="41" fontId="9" fillId="0" borderId="0" xfId="0" applyNumberFormat="1" applyFont="1" applyFill="1" applyBorder="1"/>
    <xf numFmtId="0" fontId="8" fillId="4" borderId="0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4" fontId="9" fillId="0" borderId="7" xfId="1" applyNumberFormat="1" applyFont="1" applyFill="1" applyBorder="1" applyAlignment="1">
      <alignment horizontal="left" wrapText="1" readingOrder="1"/>
    </xf>
    <xf numFmtId="0" fontId="15" fillId="6" borderId="14" xfId="0" applyFont="1" applyFill="1" applyBorder="1"/>
    <xf numFmtId="0" fontId="15" fillId="6" borderId="15" xfId="0" applyFont="1" applyFill="1" applyBorder="1" applyAlignment="1">
      <alignment horizontal="center" wrapText="1"/>
    </xf>
    <xf numFmtId="0" fontId="15" fillId="6" borderId="16" xfId="0" applyFont="1" applyFill="1" applyBorder="1" applyAlignment="1">
      <alignment horizontal="center" wrapText="1"/>
    </xf>
    <xf numFmtId="41" fontId="6" fillId="0" borderId="17" xfId="0" applyNumberFormat="1" applyFont="1" applyBorder="1"/>
    <xf numFmtId="41" fontId="6" fillId="0" borderId="8" xfId="0" applyNumberFormat="1" applyFont="1" applyBorder="1"/>
    <xf numFmtId="165" fontId="6" fillId="0" borderId="17" xfId="0" applyNumberFormat="1" applyFont="1" applyBorder="1"/>
    <xf numFmtId="41" fontId="6" fillId="0" borderId="7" xfId="0" applyNumberFormat="1" applyFont="1" applyBorder="1"/>
    <xf numFmtId="0" fontId="15" fillId="6" borderId="13" xfId="0" applyFont="1" applyFill="1" applyBorder="1" applyAlignment="1">
      <alignment horizontal="center" wrapText="1"/>
    </xf>
    <xf numFmtId="165" fontId="6" fillId="0" borderId="18" xfId="0" applyNumberFormat="1" applyFont="1" applyBorder="1"/>
    <xf numFmtId="165" fontId="6" fillId="0" borderId="20" xfId="0" applyNumberFormat="1" applyFont="1" applyBorder="1"/>
    <xf numFmtId="0" fontId="17" fillId="0" borderId="0" xfId="0" applyFont="1" applyBorder="1"/>
    <xf numFmtId="0" fontId="17" fillId="0" borderId="0" xfId="0" applyFont="1"/>
    <xf numFmtId="42" fontId="6" fillId="0" borderId="0" xfId="0" applyNumberFormat="1" applyFont="1" applyFill="1" applyBorder="1"/>
    <xf numFmtId="0" fontId="10" fillId="0" borderId="21" xfId="0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Continuous"/>
    </xf>
    <xf numFmtId="0" fontId="8" fillId="3" borderId="21" xfId="0" applyFont="1" applyFill="1" applyBorder="1" applyAlignment="1">
      <alignment horizontal="centerContinuous"/>
    </xf>
    <xf numFmtId="0" fontId="8" fillId="3" borderId="10" xfId="0" applyFont="1" applyFill="1" applyBorder="1" applyAlignment="1">
      <alignment horizontal="centerContinuous"/>
    </xf>
    <xf numFmtId="42" fontId="11" fillId="0" borderId="0" xfId="0" applyNumberFormat="1" applyFont="1" applyFill="1" applyBorder="1"/>
    <xf numFmtId="42" fontId="9" fillId="0" borderId="0" xfId="0" applyNumberFormat="1" applyFont="1" applyBorder="1"/>
    <xf numFmtId="0" fontId="10" fillId="0" borderId="4" xfId="0" applyFont="1" applyFill="1" applyBorder="1"/>
    <xf numFmtId="0" fontId="10" fillId="0" borderId="5" xfId="0" applyFont="1" applyFill="1" applyBorder="1"/>
    <xf numFmtId="168" fontId="10" fillId="0" borderId="5" xfId="0" applyNumberFormat="1" applyFont="1" applyFill="1" applyBorder="1" applyAlignment="1">
      <alignment horizontal="center"/>
    </xf>
    <xf numFmtId="41" fontId="11" fillId="0" borderId="0" xfId="0" applyNumberFormat="1" applyFont="1" applyFill="1" applyBorder="1"/>
    <xf numFmtId="41" fontId="11" fillId="0" borderId="7" xfId="0" applyNumberFormat="1" applyFont="1" applyFill="1" applyBorder="1"/>
    <xf numFmtId="164" fontId="9" fillId="0" borderId="0" xfId="0" applyNumberFormat="1" applyFont="1" applyBorder="1"/>
    <xf numFmtId="165" fontId="9" fillId="0" borderId="7" xfId="0" applyNumberFormat="1" applyFont="1" applyBorder="1"/>
    <xf numFmtId="41" fontId="9" fillId="0" borderId="0" xfId="0" applyNumberFormat="1" applyFont="1" applyBorder="1"/>
    <xf numFmtId="164" fontId="10" fillId="0" borderId="21" xfId="0" applyNumberFormat="1" applyFont="1" applyBorder="1"/>
    <xf numFmtId="0" fontId="19" fillId="0" borderId="0" xfId="0" applyFont="1"/>
    <xf numFmtId="42" fontId="6" fillId="0" borderId="5" xfId="0" applyNumberFormat="1" applyFont="1" applyFill="1" applyBorder="1"/>
    <xf numFmtId="0" fontId="8" fillId="4" borderId="9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centerContinuous"/>
    </xf>
    <xf numFmtId="42" fontId="11" fillId="0" borderId="6" xfId="0" applyNumberFormat="1" applyFont="1" applyFill="1" applyBorder="1"/>
    <xf numFmtId="0" fontId="9" fillId="0" borderId="12" xfId="0" applyFont="1" applyBorder="1"/>
    <xf numFmtId="0" fontId="9" fillId="0" borderId="8" xfId="0" applyFont="1" applyBorder="1"/>
    <xf numFmtId="0" fontId="10" fillId="0" borderId="22" xfId="0" applyFont="1" applyBorder="1" applyAlignment="1">
      <alignment horizontal="left" indent="1"/>
    </xf>
    <xf numFmtId="0" fontId="8" fillId="5" borderId="2" xfId="0" applyFont="1" applyFill="1" applyBorder="1" applyAlignment="1">
      <alignment horizontal="centerContinuous"/>
    </xf>
    <xf numFmtId="0" fontId="8" fillId="5" borderId="4" xfId="0" applyFont="1" applyFill="1" applyBorder="1" applyAlignment="1">
      <alignment horizontal="center"/>
    </xf>
    <xf numFmtId="0" fontId="9" fillId="0" borderId="0" xfId="0" applyFont="1" applyBorder="1"/>
    <xf numFmtId="41" fontId="14" fillId="0" borderId="16" xfId="0" applyNumberFormat="1" applyFont="1" applyBorder="1"/>
    <xf numFmtId="41" fontId="14" fillId="0" borderId="25" xfId="0" applyNumberFormat="1" applyFont="1" applyBorder="1"/>
    <xf numFmtId="165" fontId="14" fillId="0" borderId="16" xfId="0" applyNumberFormat="1" applyFont="1" applyBorder="1"/>
    <xf numFmtId="41" fontId="14" fillId="0" borderId="24" xfId="0" applyNumberFormat="1" applyFont="1" applyBorder="1"/>
    <xf numFmtId="0" fontId="19" fillId="0" borderId="0" xfId="0" applyFont="1" applyFill="1" applyBorder="1"/>
    <xf numFmtId="167" fontId="19" fillId="0" borderId="0" xfId="8" applyNumberFormat="1" applyFont="1" applyFill="1" applyBorder="1"/>
    <xf numFmtId="165" fontId="14" fillId="0" borderId="26" xfId="0" applyNumberFormat="1" applyFont="1" applyBorder="1"/>
    <xf numFmtId="165" fontId="14" fillId="0" borderId="13" xfId="0" applyNumberFormat="1" applyFont="1" applyBorder="1"/>
    <xf numFmtId="42" fontId="10" fillId="0" borderId="10" xfId="0" applyNumberFormat="1" applyFont="1" applyBorder="1"/>
    <xf numFmtId="42" fontId="10" fillId="0" borderId="7" xfId="0" applyNumberFormat="1" applyFont="1" applyBorder="1"/>
    <xf numFmtId="164" fontId="10" fillId="0" borderId="5" xfId="0" applyNumberFormat="1" applyFont="1" applyBorder="1"/>
    <xf numFmtId="164" fontId="9" fillId="0" borderId="4" xfId="0" applyNumberFormat="1" applyFont="1" applyBorder="1"/>
    <xf numFmtId="0" fontId="8" fillId="2" borderId="17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165" fontId="12" fillId="0" borderId="17" xfId="1" applyNumberFormat="1" applyFont="1" applyFill="1" applyBorder="1" applyAlignment="1">
      <alignment horizontal="center" wrapText="1" readingOrder="1"/>
    </xf>
    <xf numFmtId="164" fontId="9" fillId="0" borderId="3" xfId="1" applyNumberFormat="1" applyFont="1" applyFill="1" applyBorder="1" applyAlignment="1">
      <alignment horizontal="left" wrapText="1" readingOrder="1"/>
    </xf>
    <xf numFmtId="0" fontId="8" fillId="3" borderId="23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42" fontId="12" fillId="0" borderId="33" xfId="1" applyNumberFormat="1" applyFont="1" applyFill="1" applyBorder="1" applyAlignment="1">
      <alignment horizontal="left" wrapText="1" readingOrder="1"/>
    </xf>
    <xf numFmtId="42" fontId="13" fillId="0" borderId="34" xfId="1" applyNumberFormat="1" applyFont="1" applyFill="1" applyBorder="1" applyAlignment="1">
      <alignment horizontal="left" wrapText="1" readingOrder="1"/>
    </xf>
    <xf numFmtId="41" fontId="10" fillId="0" borderId="24" xfId="1" applyNumberFormat="1" applyFont="1" applyFill="1" applyBorder="1" applyAlignment="1"/>
    <xf numFmtId="164" fontId="13" fillId="0" borderId="24" xfId="1" applyNumberFormat="1" applyFont="1" applyFill="1" applyBorder="1" applyAlignment="1">
      <alignment horizontal="left" wrapText="1" readingOrder="1"/>
    </xf>
    <xf numFmtId="9" fontId="13" fillId="0" borderId="16" xfId="1" applyNumberFormat="1" applyFont="1" applyFill="1" applyBorder="1" applyAlignment="1">
      <alignment horizontal="center" wrapText="1" readingOrder="1"/>
    </xf>
    <xf numFmtId="0" fontId="12" fillId="0" borderId="32" xfId="0" applyFont="1" applyFill="1" applyBorder="1" applyAlignment="1">
      <alignment horizontal="left" vertical="top" wrapText="1" readingOrder="1"/>
    </xf>
    <xf numFmtId="0" fontId="12" fillId="0" borderId="33" xfId="0" applyFont="1" applyFill="1" applyBorder="1" applyAlignment="1">
      <alignment horizontal="left" vertical="top" wrapText="1" readingOrder="1"/>
    </xf>
    <xf numFmtId="0" fontId="11" fillId="0" borderId="33" xfId="0" applyFont="1" applyFill="1" applyBorder="1" applyAlignment="1">
      <alignment horizontal="left" vertical="top" wrapText="1" readingOrder="1"/>
    </xf>
    <xf numFmtId="0" fontId="13" fillId="0" borderId="34" xfId="0" applyFont="1" applyFill="1" applyBorder="1" applyAlignment="1">
      <alignment horizontal="left" vertical="top" wrapText="1" readingOrder="1"/>
    </xf>
    <xf numFmtId="164" fontId="12" fillId="0" borderId="3" xfId="1" applyNumberFormat="1" applyFont="1" applyFill="1" applyBorder="1" applyAlignment="1">
      <alignment horizontal="left" wrapText="1" readingOrder="1"/>
    </xf>
    <xf numFmtId="165" fontId="12" fillId="0" borderId="19" xfId="1" applyNumberFormat="1" applyFont="1" applyFill="1" applyBorder="1" applyAlignment="1">
      <alignment horizontal="center" wrapText="1" readingOrder="1"/>
    </xf>
    <xf numFmtId="0" fontId="12" fillId="0" borderId="33" xfId="0" applyFont="1" applyFill="1" applyBorder="1" applyAlignment="1">
      <alignment horizontal="left" vertical="top" readingOrder="1"/>
    </xf>
    <xf numFmtId="0" fontId="8" fillId="4" borderId="23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164" fontId="11" fillId="0" borderId="3" xfId="1" applyNumberFormat="1" applyFont="1" applyFill="1" applyBorder="1" applyAlignment="1">
      <alignment horizontal="left" wrapText="1" readingOrder="1"/>
    </xf>
    <xf numFmtId="165" fontId="9" fillId="0" borderId="17" xfId="0" applyNumberFormat="1" applyFont="1" applyBorder="1"/>
    <xf numFmtId="0" fontId="9" fillId="0" borderId="33" xfId="0" applyFont="1" applyBorder="1"/>
    <xf numFmtId="164" fontId="9" fillId="0" borderId="3" xfId="0" applyNumberFormat="1" applyFont="1" applyBorder="1"/>
    <xf numFmtId="164" fontId="9" fillId="0" borderId="7" xfId="0" applyNumberFormat="1" applyFont="1" applyBorder="1"/>
    <xf numFmtId="0" fontId="10" fillId="0" borderId="34" xfId="0" applyFont="1" applyBorder="1" applyAlignment="1">
      <alignment horizontal="left" indent="1"/>
    </xf>
    <xf numFmtId="164" fontId="10" fillId="0" borderId="24" xfId="0" applyNumberFormat="1" applyFont="1" applyBorder="1"/>
    <xf numFmtId="165" fontId="10" fillId="0" borderId="16" xfId="0" applyNumberFormat="1" applyFont="1" applyBorder="1"/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wrapText="1"/>
    </xf>
    <xf numFmtId="0" fontId="8" fillId="7" borderId="31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Continuous"/>
    </xf>
    <xf numFmtId="14" fontId="11" fillId="0" borderId="7" xfId="0" applyNumberFormat="1" applyFont="1" applyFill="1" applyBorder="1" applyAlignment="1">
      <alignment horizontal="right"/>
    </xf>
    <xf numFmtId="41" fontId="6" fillId="0" borderId="35" xfId="0" applyNumberFormat="1" applyFont="1" applyBorder="1"/>
    <xf numFmtId="0" fontId="6" fillId="0" borderId="36" xfId="0" applyFont="1" applyBorder="1"/>
    <xf numFmtId="0" fontId="6" fillId="0" borderId="33" xfId="0" applyFont="1" applyBorder="1"/>
    <xf numFmtId="0" fontId="14" fillId="0" borderId="34" xfId="0" applyFont="1" applyBorder="1" applyAlignment="1">
      <alignment horizontal="left" inden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5" xfId="0" applyFont="1" applyBorder="1"/>
    <xf numFmtId="0" fontId="8" fillId="7" borderId="0" xfId="0" applyFont="1" applyFill="1" applyBorder="1" applyAlignment="1">
      <alignment horizontal="centerContinuous"/>
    </xf>
    <xf numFmtId="0" fontId="8" fillId="7" borderId="7" xfId="0" applyFont="1" applyFill="1" applyBorder="1" applyAlignment="1">
      <alignment horizontal="centerContinuous"/>
    </xf>
    <xf numFmtId="0" fontId="8" fillId="3" borderId="0" xfId="0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8" fillId="4" borderId="7" xfId="0" applyFont="1" applyFill="1" applyBorder="1" applyAlignment="1">
      <alignment horizontal="centerContinuous"/>
    </xf>
    <xf numFmtId="0" fontId="8" fillId="3" borderId="7" xfId="0" applyFont="1" applyFill="1" applyBorder="1" applyAlignment="1">
      <alignment horizontal="centerContinuous"/>
    </xf>
    <xf numFmtId="0" fontId="8" fillId="5" borderId="8" xfId="0" applyFont="1" applyFill="1" applyBorder="1" applyAlignment="1">
      <alignment horizontal="centerContinuous"/>
    </xf>
    <xf numFmtId="0" fontId="8" fillId="5" borderId="37" xfId="0" applyFont="1" applyFill="1" applyBorder="1" applyAlignment="1">
      <alignment horizontal="center"/>
    </xf>
    <xf numFmtId="0" fontId="11" fillId="0" borderId="11" xfId="0" applyFont="1" applyFill="1" applyBorder="1"/>
    <xf numFmtId="0" fontId="9" fillId="0" borderId="33" xfId="0" applyFont="1" applyFill="1" applyBorder="1" applyAlignment="1">
      <alignment horizontal="left" vertical="top" wrapText="1" readingOrder="1"/>
    </xf>
    <xf numFmtId="0" fontId="18" fillId="0" borderId="0" xfId="0" applyFont="1" applyFill="1" applyBorder="1"/>
    <xf numFmtId="0" fontId="17" fillId="0" borderId="0" xfId="0" applyFont="1" applyBorder="1" applyAlignment="1"/>
    <xf numFmtId="0" fontId="17" fillId="0" borderId="0" xfId="0" applyFont="1" applyFill="1"/>
    <xf numFmtId="9" fontId="17" fillId="0" borderId="0" xfId="2" applyFont="1" applyFill="1" applyAlignment="1">
      <alignment horizontal="center"/>
    </xf>
    <xf numFmtId="165" fontId="6" fillId="0" borderId="0" xfId="0" applyNumberFormat="1" applyFont="1" applyFill="1" applyBorder="1"/>
    <xf numFmtId="0" fontId="20" fillId="0" borderId="0" xfId="0" applyFont="1" applyFill="1" applyBorder="1"/>
    <xf numFmtId="0" fontId="10" fillId="0" borderId="9" xfId="0" applyFont="1" applyFill="1" applyBorder="1"/>
    <xf numFmtId="0" fontId="10" fillId="0" borderId="21" xfId="0" applyFont="1" applyFill="1" applyBorder="1"/>
    <xf numFmtId="0" fontId="10" fillId="0" borderId="21" xfId="0" applyFont="1" applyBorder="1"/>
    <xf numFmtId="42" fontId="10" fillId="0" borderId="10" xfId="0" applyNumberFormat="1" applyFont="1" applyFill="1" applyBorder="1"/>
    <xf numFmtId="0" fontId="21" fillId="0" borderId="0" xfId="0" applyFont="1" applyFill="1" applyAlignment="1">
      <alignment horizontal="centerContinuous"/>
    </xf>
    <xf numFmtId="0" fontId="9" fillId="0" borderId="0" xfId="8" applyNumberFormat="1" applyFont="1" applyFill="1" applyBorder="1"/>
    <xf numFmtId="166" fontId="11" fillId="0" borderId="7" xfId="0" applyNumberFormat="1" applyFont="1" applyFill="1" applyBorder="1"/>
    <xf numFmtId="165" fontId="9" fillId="0" borderId="7" xfId="2" applyNumberFormat="1" applyFont="1" applyFill="1" applyBorder="1"/>
    <xf numFmtId="0" fontId="9" fillId="0" borderId="23" xfId="0" applyFont="1" applyFill="1" applyBorder="1"/>
    <xf numFmtId="169" fontId="9" fillId="0" borderId="0" xfId="0" applyNumberFormat="1" applyFont="1" applyBorder="1"/>
    <xf numFmtId="0" fontId="9" fillId="0" borderId="38" xfId="0" applyFont="1" applyFill="1" applyBorder="1"/>
    <xf numFmtId="0" fontId="22" fillId="2" borderId="28" xfId="0" applyFont="1" applyFill="1" applyBorder="1" applyAlignment="1">
      <alignment horizontal="centerContinuous" vertical="center"/>
    </xf>
    <xf numFmtId="0" fontId="22" fillId="2" borderId="29" xfId="0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horizontal="center" vertical="center" wrapText="1"/>
    </xf>
    <xf numFmtId="169" fontId="9" fillId="0" borderId="0" xfId="0" applyNumberFormat="1" applyFont="1" applyFill="1" applyBorder="1" applyAlignment="1">
      <alignment horizontal="right"/>
    </xf>
    <xf numFmtId="169" fontId="9" fillId="0" borderId="0" xfId="0" applyNumberFormat="1" applyFont="1" applyBorder="1" applyAlignment="1">
      <alignment horizontal="right"/>
    </xf>
    <xf numFmtId="165" fontId="9" fillId="0" borderId="0" xfId="2" applyNumberFormat="1" applyFont="1" applyBorder="1" applyAlignment="1">
      <alignment horizontal="center"/>
    </xf>
    <xf numFmtId="172" fontId="9" fillId="0" borderId="0" xfId="0" applyNumberFormat="1" applyFont="1" applyBorder="1"/>
    <xf numFmtId="0" fontId="11" fillId="0" borderId="23" xfId="0" applyFont="1" applyFill="1" applyBorder="1"/>
    <xf numFmtId="169" fontId="11" fillId="0" borderId="0" xfId="0" applyNumberFormat="1" applyFont="1" applyBorder="1" applyAlignment="1">
      <alignment horizontal="right"/>
    </xf>
    <xf numFmtId="14" fontId="11" fillId="0" borderId="0" xfId="0" applyNumberFormat="1" applyFont="1" applyBorder="1" applyAlignment="1">
      <alignment horizontal="right" vertical="center"/>
    </xf>
    <xf numFmtId="165" fontId="11" fillId="0" borderId="0" xfId="0" applyNumberFormat="1" applyFont="1" applyBorder="1" applyAlignment="1">
      <alignment horizontal="right" vertical="center"/>
    </xf>
    <xf numFmtId="165" fontId="11" fillId="0" borderId="0" xfId="2" applyNumberFormat="1" applyFont="1" applyFill="1" applyBorder="1" applyAlignment="1">
      <alignment horizontal="right"/>
    </xf>
    <xf numFmtId="14" fontId="9" fillId="0" borderId="23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9" fontId="9" fillId="0" borderId="0" xfId="0" applyNumberFormat="1" applyFont="1"/>
    <xf numFmtId="171" fontId="9" fillId="0" borderId="0" xfId="0" applyNumberFormat="1" applyFont="1"/>
    <xf numFmtId="0" fontId="11" fillId="0" borderId="0" xfId="0" applyFont="1" applyFill="1" applyBorder="1"/>
    <xf numFmtId="169" fontId="11" fillId="0" borderId="0" xfId="0" applyNumberFormat="1" applyFont="1" applyFill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14" fontId="10" fillId="0" borderId="0" xfId="0" applyNumberFormat="1" applyFont="1" applyBorder="1"/>
    <xf numFmtId="14" fontId="23" fillId="0" borderId="0" xfId="0" applyNumberFormat="1" applyFont="1" applyBorder="1"/>
    <xf numFmtId="0" fontId="19" fillId="0" borderId="0" xfId="0" applyFont="1" applyFill="1"/>
    <xf numFmtId="0" fontId="9" fillId="0" borderId="0" xfId="0" applyFont="1" applyBorder="1" applyAlignment="1"/>
    <xf numFmtId="42" fontId="11" fillId="0" borderId="0" xfId="0" applyNumberFormat="1" applyFont="1" applyBorder="1" applyAlignment="1">
      <alignment horizontal="right"/>
    </xf>
    <xf numFmtId="42" fontId="11" fillId="0" borderId="17" xfId="0" applyNumberFormat="1" applyFont="1" applyFill="1" applyBorder="1" applyAlignment="1">
      <alignment horizontal="right"/>
    </xf>
    <xf numFmtId="42" fontId="9" fillId="0" borderId="17" xfId="0" applyNumberFormat="1" applyFont="1" applyFill="1" applyBorder="1" applyAlignment="1">
      <alignment horizontal="right"/>
    </xf>
    <xf numFmtId="42" fontId="9" fillId="0" borderId="39" xfId="0" applyNumberFormat="1" applyFont="1" applyFill="1" applyBorder="1" applyAlignment="1">
      <alignment horizontal="right"/>
    </xf>
    <xf numFmtId="42" fontId="9" fillId="0" borderId="0" xfId="0" applyNumberFormat="1" applyFont="1" applyBorder="1" applyAlignment="1">
      <alignment horizontal="right"/>
    </xf>
    <xf numFmtId="42" fontId="9" fillId="0" borderId="17" xfId="0" applyNumberFormat="1" applyFont="1" applyBorder="1" applyAlignment="1">
      <alignment horizontal="right"/>
    </xf>
    <xf numFmtId="42" fontId="10" fillId="0" borderId="21" xfId="0" applyNumberFormat="1" applyFont="1" applyBorder="1"/>
    <xf numFmtId="0" fontId="6" fillId="0" borderId="11" xfId="0" applyFont="1" applyBorder="1"/>
    <xf numFmtId="0" fontId="6" fillId="0" borderId="7" xfId="0" applyFont="1" applyBorder="1"/>
    <xf numFmtId="14" fontId="11" fillId="0" borderId="0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6" fillId="0" borderId="5" xfId="0" applyFont="1" applyBorder="1"/>
    <xf numFmtId="165" fontId="11" fillId="0" borderId="0" xfId="0" applyNumberFormat="1" applyFont="1" applyBorder="1" applyAlignment="1">
      <alignment horizontal="center" vertical="center"/>
    </xf>
    <xf numFmtId="165" fontId="11" fillId="0" borderId="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0" fontId="11" fillId="0" borderId="30" xfId="0" applyFont="1" applyFill="1" applyBorder="1"/>
    <xf numFmtId="42" fontId="11" fillId="0" borderId="5" xfId="0" applyNumberFormat="1" applyFont="1" applyBorder="1" applyAlignment="1">
      <alignment horizontal="right"/>
    </xf>
    <xf numFmtId="14" fontId="11" fillId="0" borderId="5" xfId="0" applyNumberFormat="1" applyFont="1" applyBorder="1" applyAlignment="1">
      <alignment horizontal="center" vertical="center"/>
    </xf>
    <xf numFmtId="165" fontId="9" fillId="0" borderId="5" xfId="2" applyNumberFormat="1" applyFont="1" applyFill="1" applyBorder="1" applyAlignment="1">
      <alignment horizontal="center"/>
    </xf>
    <xf numFmtId="42" fontId="9" fillId="0" borderId="31" xfId="0" applyNumberFormat="1" applyFont="1" applyFill="1" applyBorder="1" applyAlignment="1">
      <alignment horizontal="right"/>
    </xf>
    <xf numFmtId="14" fontId="9" fillId="0" borderId="30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42" fontId="9" fillId="0" borderId="5" xfId="0" applyNumberFormat="1" applyFont="1" applyBorder="1" applyAlignment="1">
      <alignment horizontal="right"/>
    </xf>
    <xf numFmtId="42" fontId="9" fillId="0" borderId="31" xfId="0" applyNumberFormat="1" applyFont="1" applyBorder="1" applyAlignment="1">
      <alignment horizontal="right"/>
    </xf>
    <xf numFmtId="42" fontId="10" fillId="0" borderId="15" xfId="0" applyNumberFormat="1" applyFont="1" applyBorder="1" applyAlignment="1">
      <alignment horizontal="right"/>
    </xf>
    <xf numFmtId="1" fontId="9" fillId="0" borderId="15" xfId="0" applyNumberFormat="1" applyFont="1" applyBorder="1" applyAlignment="1">
      <alignment horizontal="center"/>
    </xf>
    <xf numFmtId="42" fontId="10" fillId="0" borderId="16" xfId="0" applyNumberFormat="1" applyFont="1" applyBorder="1" applyAlignment="1">
      <alignment horizontal="right"/>
    </xf>
    <xf numFmtId="0" fontId="10" fillId="0" borderId="38" xfId="0" applyFont="1" applyFill="1" applyBorder="1"/>
    <xf numFmtId="42" fontId="10" fillId="0" borderId="1" xfId="0" applyNumberFormat="1" applyFont="1" applyBorder="1" applyAlignment="1">
      <alignment horizontal="right"/>
    </xf>
    <xf numFmtId="14" fontId="9" fillId="0" borderId="14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  <xf numFmtId="169" fontId="10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18" fillId="0" borderId="0" xfId="0" applyFont="1"/>
    <xf numFmtId="14" fontId="9" fillId="0" borderId="27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42" fontId="9" fillId="0" borderId="28" xfId="0" applyNumberFormat="1" applyFont="1" applyBorder="1" applyAlignment="1">
      <alignment horizontal="right"/>
    </xf>
    <xf numFmtId="42" fontId="9" fillId="0" borderId="29" xfId="0" applyNumberFormat="1" applyFont="1" applyBorder="1" applyAlignment="1">
      <alignment horizontal="right"/>
    </xf>
    <xf numFmtId="14" fontId="10" fillId="0" borderId="38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42" fontId="10" fillId="0" borderId="39" xfId="0" applyNumberFormat="1" applyFont="1" applyBorder="1" applyAlignment="1">
      <alignment horizontal="right"/>
    </xf>
    <xf numFmtId="0" fontId="9" fillId="0" borderId="27" xfId="0" applyFont="1" applyFill="1" applyBorder="1"/>
    <xf numFmtId="14" fontId="9" fillId="0" borderId="28" xfId="0" applyNumberFormat="1" applyFont="1" applyBorder="1" applyAlignment="1">
      <alignment horizontal="center" vertical="center"/>
    </xf>
    <xf numFmtId="165" fontId="9" fillId="0" borderId="28" xfId="2" applyNumberFormat="1" applyFont="1" applyFill="1" applyBorder="1" applyAlignment="1">
      <alignment horizontal="center"/>
    </xf>
    <xf numFmtId="42" fontId="9" fillId="0" borderId="29" xfId="0" applyNumberFormat="1" applyFont="1" applyFill="1" applyBorder="1" applyAlignment="1">
      <alignment horizontal="right"/>
    </xf>
    <xf numFmtId="14" fontId="10" fillId="0" borderId="1" xfId="0" applyNumberFormat="1" applyFont="1" applyBorder="1" applyAlignment="1">
      <alignment horizontal="center" vertical="center"/>
    </xf>
    <xf numFmtId="165" fontId="10" fillId="0" borderId="1" xfId="2" applyNumberFormat="1" applyFont="1" applyFill="1" applyBorder="1" applyAlignment="1">
      <alignment horizontal="center"/>
    </xf>
    <xf numFmtId="42" fontId="10" fillId="0" borderId="39" xfId="0" applyNumberFormat="1" applyFont="1" applyFill="1" applyBorder="1" applyAlignment="1">
      <alignment horizontal="right"/>
    </xf>
    <xf numFmtId="167" fontId="9" fillId="0" borderId="7" xfId="0" applyNumberFormat="1" applyFont="1" applyFill="1" applyBorder="1"/>
    <xf numFmtId="0" fontId="8" fillId="2" borderId="40" xfId="0" applyFont="1" applyFill="1" applyBorder="1" applyAlignment="1">
      <alignment horizontal="centerContinuous"/>
    </xf>
    <xf numFmtId="0" fontId="8" fillId="2" borderId="41" xfId="0" applyFont="1" applyFill="1" applyBorder="1" applyAlignment="1">
      <alignment horizontal="centerContinuous"/>
    </xf>
    <xf numFmtId="0" fontId="8" fillId="2" borderId="42" xfId="0" applyFont="1" applyFill="1" applyBorder="1" applyAlignment="1">
      <alignment horizontal="centerContinuous"/>
    </xf>
    <xf numFmtId="0" fontId="9" fillId="0" borderId="23" xfId="0" applyFont="1" applyBorder="1"/>
    <xf numFmtId="0" fontId="6" fillId="0" borderId="17" xfId="0" applyFont="1" applyBorder="1"/>
    <xf numFmtId="0" fontId="9" fillId="0" borderId="1" xfId="0" applyFont="1" applyFill="1" applyBorder="1"/>
    <xf numFmtId="0" fontId="8" fillId="7" borderId="43" xfId="0" applyFont="1" applyFill="1" applyBorder="1" applyAlignment="1">
      <alignment horizontal="centerContinuous"/>
    </xf>
    <xf numFmtId="0" fontId="8" fillId="7" borderId="3" xfId="0" applyFont="1" applyFill="1" applyBorder="1" applyAlignment="1">
      <alignment horizontal="centerContinuous"/>
    </xf>
    <xf numFmtId="0" fontId="8" fillId="3" borderId="43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Continuous"/>
    </xf>
    <xf numFmtId="0" fontId="8" fillId="5" borderId="12" xfId="0" applyFont="1" applyFill="1" applyBorder="1" applyAlignment="1">
      <alignment horizontal="centerContinuous"/>
    </xf>
    <xf numFmtId="164" fontId="10" fillId="0" borderId="9" xfId="0" applyNumberFormat="1" applyFont="1" applyBorder="1"/>
    <xf numFmtId="0" fontId="8" fillId="4" borderId="2" xfId="0" applyFont="1" applyFill="1" applyBorder="1" applyAlignment="1">
      <alignment horizontal="centerContinuous"/>
    </xf>
    <xf numFmtId="0" fontId="8" fillId="4" borderId="3" xfId="0" applyFont="1" applyFill="1" applyBorder="1" applyAlignment="1">
      <alignment horizontal="centerContinuous"/>
    </xf>
    <xf numFmtId="0" fontId="8" fillId="4" borderId="4" xfId="0" applyFont="1" applyFill="1" applyBorder="1" applyAlignment="1">
      <alignment horizontal="center"/>
    </xf>
    <xf numFmtId="166" fontId="9" fillId="0" borderId="7" xfId="0" applyNumberFormat="1" applyFont="1" applyBorder="1"/>
    <xf numFmtId="14" fontId="9" fillId="0" borderId="5" xfId="0" applyNumberFormat="1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39" xfId="0" applyFont="1" applyFill="1" applyBorder="1"/>
    <xf numFmtId="0" fontId="8" fillId="3" borderId="27" xfId="0" applyFont="1" applyFill="1" applyBorder="1" applyAlignment="1">
      <alignment horizontal="centerContinuous" vertical="center"/>
    </xf>
    <xf numFmtId="0" fontId="8" fillId="3" borderId="28" xfId="0" applyFont="1" applyFill="1" applyBorder="1" applyAlignment="1">
      <alignment horizontal="centerContinuous" vertical="center"/>
    </xf>
    <xf numFmtId="0" fontId="8" fillId="7" borderId="27" xfId="0" applyFont="1" applyFill="1" applyBorder="1" applyAlignment="1">
      <alignment horizontal="centerContinuous" vertical="center"/>
    </xf>
    <xf numFmtId="0" fontId="8" fillId="7" borderId="28" xfId="0" applyFont="1" applyFill="1" applyBorder="1" applyAlignment="1">
      <alignment horizontal="centerContinuous" vertical="center"/>
    </xf>
    <xf numFmtId="0" fontId="8" fillId="7" borderId="29" xfId="0" applyFont="1" applyFill="1" applyBorder="1" applyAlignment="1">
      <alignment horizontal="centerContinuous" vertical="center"/>
    </xf>
    <xf numFmtId="0" fontId="8" fillId="4" borderId="27" xfId="0" applyFont="1" applyFill="1" applyBorder="1" applyAlignment="1">
      <alignment horizontal="centerContinuous" vertical="center"/>
    </xf>
    <xf numFmtId="0" fontId="8" fillId="4" borderId="28" xfId="0" applyFont="1" applyFill="1" applyBorder="1" applyAlignment="1">
      <alignment horizontal="centerContinuous" vertical="center"/>
    </xf>
    <xf numFmtId="164" fontId="9" fillId="0" borderId="11" xfId="0" applyNumberFormat="1" applyFont="1" applyBorder="1"/>
    <xf numFmtId="164" fontId="10" fillId="0" borderId="4" xfId="0" applyNumberFormat="1" applyFont="1" applyBorder="1"/>
    <xf numFmtId="0" fontId="8" fillId="8" borderId="29" xfId="0" applyFont="1" applyFill="1" applyBorder="1" applyAlignment="1">
      <alignment horizontal="centerContinuous" vertical="center"/>
    </xf>
    <xf numFmtId="0" fontId="8" fillId="8" borderId="17" xfId="0" applyFont="1" applyFill="1" applyBorder="1" applyAlignment="1">
      <alignment horizontal="center"/>
    </xf>
    <xf numFmtId="0" fontId="8" fillId="8" borderId="31" xfId="0" applyFont="1" applyFill="1" applyBorder="1" applyAlignment="1">
      <alignment horizontal="center"/>
    </xf>
    <xf numFmtId="0" fontId="8" fillId="8" borderId="27" xfId="0" applyFont="1" applyFill="1" applyBorder="1" applyAlignment="1">
      <alignment horizontal="centerContinuous" vertical="center"/>
    </xf>
    <xf numFmtId="0" fontId="8" fillId="8" borderId="23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41" fontId="9" fillId="0" borderId="33" xfId="0" applyNumberFormat="1" applyFont="1" applyFill="1" applyBorder="1" applyAlignment="1"/>
    <xf numFmtId="41" fontId="10" fillId="0" borderId="34" xfId="2" applyNumberFormat="1" applyFont="1" applyFill="1" applyBorder="1" applyAlignment="1"/>
    <xf numFmtId="41" fontId="10" fillId="0" borderId="25" xfId="2" applyNumberFormat="1" applyFont="1" applyFill="1" applyBorder="1" applyAlignment="1"/>
    <xf numFmtId="165" fontId="9" fillId="0" borderId="3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9" fontId="10" fillId="0" borderId="5" xfId="0" applyNumberFormat="1" applyFont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9" fontId="10" fillId="0" borderId="10" xfId="0" applyNumberFormat="1" applyFont="1" applyBorder="1" applyAlignment="1">
      <alignment horizontal="center"/>
    </xf>
    <xf numFmtId="165" fontId="9" fillId="0" borderId="17" xfId="0" applyNumberFormat="1" applyFont="1" applyFill="1" applyBorder="1" applyAlignment="1">
      <alignment horizontal="center"/>
    </xf>
    <xf numFmtId="9" fontId="10" fillId="0" borderId="16" xfId="2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9" fontId="10" fillId="0" borderId="15" xfId="2" applyNumberFormat="1" applyFont="1" applyFill="1" applyBorder="1" applyAlignment="1">
      <alignment horizontal="center"/>
    </xf>
    <xf numFmtId="165" fontId="9" fillId="0" borderId="19" xfId="0" applyNumberFormat="1" applyFont="1" applyFill="1" applyBorder="1" applyAlignment="1">
      <alignment horizontal="center"/>
    </xf>
    <xf numFmtId="165" fontId="9" fillId="0" borderId="43" xfId="0" applyNumberFormat="1" applyFont="1" applyFill="1" applyBorder="1" applyAlignment="1">
      <alignment horizontal="center"/>
    </xf>
    <xf numFmtId="165" fontId="9" fillId="0" borderId="7" xfId="0" applyNumberFormat="1" applyFont="1" applyFill="1" applyBorder="1" applyAlignment="1">
      <alignment horizontal="center"/>
    </xf>
    <xf numFmtId="9" fontId="10" fillId="0" borderId="24" xfId="2" applyNumberFormat="1" applyFont="1" applyFill="1" applyBorder="1" applyAlignment="1">
      <alignment horizontal="center"/>
    </xf>
    <xf numFmtId="164" fontId="10" fillId="0" borderId="44" xfId="0" applyNumberFormat="1" applyFont="1" applyBorder="1"/>
    <xf numFmtId="166" fontId="10" fillId="0" borderId="24" xfId="0" applyNumberFormat="1" applyFont="1" applyBorder="1"/>
    <xf numFmtId="164" fontId="10" fillId="0" borderId="15" xfId="0" applyNumberFormat="1" applyFont="1" applyBorder="1"/>
    <xf numFmtId="166" fontId="10" fillId="0" borderId="16" xfId="0" applyNumberFormat="1" applyFont="1" applyBorder="1"/>
    <xf numFmtId="0" fontId="8" fillId="5" borderId="27" xfId="0" applyFont="1" applyFill="1" applyBorder="1" applyAlignment="1">
      <alignment horizontal="centerContinuous"/>
    </xf>
    <xf numFmtId="0" fontId="8" fillId="5" borderId="23" xfId="0" applyFont="1" applyFill="1" applyBorder="1" applyAlignment="1">
      <alignment horizontal="center"/>
    </xf>
    <xf numFmtId="166" fontId="9" fillId="0" borderId="17" xfId="0" applyNumberFormat="1" applyFont="1" applyBorder="1"/>
    <xf numFmtId="165" fontId="9" fillId="0" borderId="43" xfId="2" applyNumberFormat="1" applyFont="1" applyBorder="1" applyAlignment="1">
      <alignment horizontal="center"/>
    </xf>
    <xf numFmtId="9" fontId="10" fillId="0" borderId="15" xfId="0" applyNumberFormat="1" applyFont="1" applyBorder="1" applyAlignment="1">
      <alignment horizontal="center"/>
    </xf>
    <xf numFmtId="173" fontId="9" fillId="0" borderId="7" xfId="0" applyNumberFormat="1" applyFont="1" applyBorder="1" applyAlignment="1">
      <alignment horizontal="center"/>
    </xf>
    <xf numFmtId="0" fontId="9" fillId="0" borderId="4" xfId="0" applyFont="1" applyFill="1" applyBorder="1"/>
    <xf numFmtId="169" fontId="9" fillId="0" borderId="5" xfId="0" applyNumberFormat="1" applyFont="1" applyBorder="1"/>
    <xf numFmtId="165" fontId="9" fillId="0" borderId="5" xfId="2" applyNumberFormat="1" applyFont="1" applyBorder="1" applyAlignment="1">
      <alignment horizontal="center"/>
    </xf>
    <xf numFmtId="42" fontId="9" fillId="0" borderId="5" xfId="0" applyNumberFormat="1" applyFont="1" applyBorder="1"/>
    <xf numFmtId="172" fontId="9" fillId="0" borderId="5" xfId="0" applyNumberFormat="1" applyFont="1" applyBorder="1"/>
    <xf numFmtId="164" fontId="12" fillId="0" borderId="5" xfId="1" applyNumberFormat="1" applyFont="1" applyFill="1" applyBorder="1" applyAlignment="1">
      <alignment horizontal="left" wrapText="1" readingOrder="1"/>
    </xf>
    <xf numFmtId="173" fontId="9" fillId="0" borderId="6" xfId="0" applyNumberFormat="1" applyFont="1" applyBorder="1" applyAlignment="1">
      <alignment horizontal="center"/>
    </xf>
    <xf numFmtId="0" fontId="8" fillId="2" borderId="27" xfId="0" applyFont="1" applyFill="1" applyBorder="1" applyAlignment="1">
      <alignment horizontal="centerContinuous" vertical="center"/>
    </xf>
    <xf numFmtId="0" fontId="8" fillId="2" borderId="46" xfId="0" applyFont="1" applyFill="1" applyBorder="1" applyAlignment="1">
      <alignment horizontal="centerContinuous" vertical="center"/>
    </xf>
    <xf numFmtId="0" fontId="8" fillId="7" borderId="27" xfId="0" applyFont="1" applyFill="1" applyBorder="1" applyAlignment="1">
      <alignment horizontal="centerContinuous"/>
    </xf>
    <xf numFmtId="0" fontId="8" fillId="7" borderId="28" xfId="0" applyFont="1" applyFill="1" applyBorder="1" applyAlignment="1">
      <alignment horizontal="centerContinuous"/>
    </xf>
    <xf numFmtId="0" fontId="8" fillId="7" borderId="29" xfId="0" applyFont="1" applyFill="1" applyBorder="1" applyAlignment="1">
      <alignment horizontal="centerContinuous"/>
    </xf>
    <xf numFmtId="0" fontId="8" fillId="2" borderId="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9" fontId="8" fillId="2" borderId="30" xfId="2" applyFont="1" applyFill="1" applyBorder="1" applyAlignment="1">
      <alignment horizontal="center" vertical="center" wrapText="1"/>
    </xf>
    <xf numFmtId="9" fontId="8" fillId="2" borderId="5" xfId="2" applyFont="1" applyFill="1" applyBorder="1" applyAlignment="1">
      <alignment horizontal="center" vertical="center" wrapText="1"/>
    </xf>
    <xf numFmtId="9" fontId="8" fillId="2" borderId="31" xfId="2" applyFont="1" applyFill="1" applyBorder="1" applyAlignment="1">
      <alignment horizontal="center" vertical="center" wrapText="1"/>
    </xf>
    <xf numFmtId="172" fontId="9" fillId="0" borderId="0" xfId="0" applyNumberFormat="1" applyFont="1" applyBorder="1" applyAlignment="1">
      <alignment horizontal="center"/>
    </xf>
    <xf numFmtId="172" fontId="9" fillId="0" borderId="5" xfId="0" applyNumberFormat="1" applyFont="1" applyBorder="1" applyAlignment="1">
      <alignment horizontal="center"/>
    </xf>
    <xf numFmtId="0" fontId="8" fillId="7" borderId="2" xfId="0" applyFont="1" applyFill="1" applyBorder="1" applyAlignment="1">
      <alignment horizontal="centerContinuous"/>
    </xf>
    <xf numFmtId="0" fontId="8" fillId="7" borderId="19" xfId="0" applyFont="1" applyFill="1" applyBorder="1" applyAlignment="1">
      <alignment horizontal="centerContinuous"/>
    </xf>
    <xf numFmtId="0" fontId="8" fillId="2" borderId="11" xfId="0" applyFont="1" applyFill="1" applyBorder="1" applyAlignment="1">
      <alignment horizontal="centerContinuous" vertical="center" wrapText="1"/>
    </xf>
    <xf numFmtId="0" fontId="8" fillId="2" borderId="7" xfId="0" applyFont="1" applyFill="1" applyBorder="1" applyAlignment="1">
      <alignment horizontal="center" vertical="center" wrapText="1"/>
    </xf>
    <xf numFmtId="42" fontId="12" fillId="0" borderId="7" xfId="1" applyNumberFormat="1" applyFont="1" applyFill="1" applyBorder="1" applyAlignment="1">
      <alignment horizontal="left" wrapText="1" readingOrder="1"/>
    </xf>
    <xf numFmtId="42" fontId="13" fillId="0" borderId="24" xfId="1" applyNumberFormat="1" applyFont="1" applyFill="1" applyBorder="1" applyAlignment="1">
      <alignment horizontal="left" wrapText="1" readingOrder="1"/>
    </xf>
    <xf numFmtId="42" fontId="12" fillId="0" borderId="32" xfId="1" applyNumberFormat="1" applyFont="1" applyFill="1" applyBorder="1" applyAlignment="1">
      <alignment horizontal="left" wrapText="1" readingOrder="1"/>
    </xf>
    <xf numFmtId="165" fontId="0" fillId="0" borderId="0" xfId="2" applyNumberFormat="1" applyFont="1"/>
    <xf numFmtId="0" fontId="15" fillId="6" borderId="27" xfId="0" applyFont="1" applyFill="1" applyBorder="1" applyAlignment="1">
      <alignment horizontal="centerContinuous" wrapText="1"/>
    </xf>
    <xf numFmtId="0" fontId="15" fillId="6" borderId="28" xfId="0" applyFont="1" applyFill="1" applyBorder="1" applyAlignment="1">
      <alignment horizontal="centerContinuous" wrapText="1"/>
    </xf>
    <xf numFmtId="0" fontId="15" fillId="6" borderId="29" xfId="0" applyFont="1" applyFill="1" applyBorder="1" applyAlignment="1">
      <alignment horizontal="centerContinuous" wrapText="1"/>
    </xf>
    <xf numFmtId="0" fontId="15" fillId="6" borderId="14" xfId="0" applyFont="1" applyFill="1" applyBorder="1" applyAlignment="1">
      <alignment horizontal="centerContinuous"/>
    </xf>
    <xf numFmtId="0" fontId="15" fillId="6" borderId="13" xfId="0" applyFont="1" applyFill="1" applyBorder="1" applyAlignment="1">
      <alignment horizontal="centerContinuous"/>
    </xf>
    <xf numFmtId="0" fontId="8" fillId="2" borderId="23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</cellXfs>
  <cellStyles count="9">
    <cellStyle name="Comma" xfId="1" builtinId="3"/>
    <cellStyle name="Comma 2" xfId="3"/>
    <cellStyle name="Currency" xfId="8" builtinId="4"/>
    <cellStyle name="Currency 2" xfId="4"/>
    <cellStyle name="Normal" xfId="0" builtinId="0"/>
    <cellStyle name="Normal 3" xfId="5"/>
    <cellStyle name="Normal 8" xfId="6"/>
    <cellStyle name="Percent" xfId="2" builtinId="5"/>
    <cellStyle name="Percent 2" xfId="7"/>
  </cellStyles>
  <dxfs count="0"/>
  <tableStyles count="0" defaultTableStyle="TableStyleMedium9"/>
  <colors>
    <mruColors>
      <color rgb="FF0000FF"/>
      <color rgb="FF244062"/>
      <color rgb="FFFFFFCC"/>
      <color rgb="FFFFFFEF"/>
      <color rgb="FFFFFFFF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Growth in Company and Stakeholder Value Over Time</a:t>
            </a:r>
          </a:p>
        </c:rich>
      </c:tx>
      <c:layout>
        <c:manualLayout>
          <c:xMode val="edge"/>
          <c:yMode val="edge"/>
          <c:x val="0.282108122468383"/>
          <c:y val="0.0334377540249688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0913280843535306"/>
          <c:y val="0.123847387096917"/>
          <c:w val="0.896943274262231"/>
          <c:h val="0.768635215014367"/>
        </c:manualLayout>
      </c:layout>
      <c:barChart>
        <c:barDir val="col"/>
        <c:grouping val="stacked"/>
        <c:ser>
          <c:idx val="0"/>
          <c:order val="0"/>
          <c:tx>
            <c:strRef>
              <c:f>'Value Growth'!$B$48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Growth'!$E$48,'Value Growth'!$H$48)</c:f>
              <c:numCache>
                <c:formatCode>_(\$* #,##0_);_(\$* \(#,##0\);_(\$* "-"??_);_(@_)</c:formatCode>
                <c:ptCount val="2"/>
                <c:pt idx="0">
                  <c:v>4.89E6</c:v>
                </c:pt>
                <c:pt idx="1">
                  <c:v>7.82996016219677E6</c:v>
                </c:pt>
              </c:numCache>
            </c:numRef>
          </c:val>
        </c:ser>
        <c:ser>
          <c:idx val="1"/>
          <c:order val="1"/>
          <c:tx>
            <c:strRef>
              <c:f>'Value Growth'!$B$49</c:f>
              <c:strCache>
                <c:ptCount val="1"/>
                <c:pt idx="0">
                  <c:v>Advisors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Growth'!$E$49,'Value Growth'!$H$49)</c:f>
              <c:numCache>
                <c:formatCode>_(\$* #,##0_);_(\$* \(#,##0\);_(\$* "-"??_);_(@_)</c:formatCode>
                <c:ptCount val="2"/>
                <c:pt idx="0">
                  <c:v>60000.0</c:v>
                </c:pt>
                <c:pt idx="1">
                  <c:v>96073.13082450024</c:v>
                </c:pt>
              </c:numCache>
            </c:numRef>
          </c:val>
        </c:ser>
        <c:ser>
          <c:idx val="2"/>
          <c:order val="2"/>
          <c:tx>
            <c:strRef>
              <c:f>'Value Growth'!$B$50</c:f>
              <c:strCache>
                <c:ptCount val="1"/>
                <c:pt idx="0">
                  <c:v>Option 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Growth'!$E$50,'Value Growth'!$H$50)</c:f>
              <c:numCache>
                <c:formatCode>_(\$* #,##0_);_(\$* \(#,##0\);_(\$* "-"??_);_(@_)</c:formatCode>
                <c:ptCount val="2"/>
                <c:pt idx="0">
                  <c:v>1.05E6</c:v>
                </c:pt>
                <c:pt idx="1">
                  <c:v>2.88219392473501E6</c:v>
                </c:pt>
              </c:numCache>
            </c:numRef>
          </c:val>
        </c:ser>
        <c:ser>
          <c:idx val="3"/>
          <c:order val="3"/>
          <c:tx>
            <c:strRef>
              <c:f>'Value Growth'!$B$51</c:f>
              <c:strCache>
                <c:ptCount val="1"/>
                <c:pt idx="0">
                  <c:v>Angel Investors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Growth'!$E$51,'Value Growth'!$H$51)</c:f>
              <c:numCache>
                <c:formatCode>_(\$* #,##0_);_(\$* \(#,##0\);_(\$* "-"??_);_(@_)</c:formatCode>
                <c:ptCount val="2"/>
                <c:pt idx="0">
                  <c:v>1.80369863013699E6</c:v>
                </c:pt>
                <c:pt idx="1">
                  <c:v>2.88811624101871E6</c:v>
                </c:pt>
              </c:numCache>
            </c:numRef>
          </c:val>
        </c:ser>
        <c:ser>
          <c:idx val="4"/>
          <c:order val="4"/>
          <c:tx>
            <c:strRef>
              <c:f>'Value Growth'!$B$52</c:f>
              <c:strCache>
                <c:ptCount val="1"/>
                <c:pt idx="0">
                  <c:v>Srs A Investors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Growth'!$E$52,'Value Growth'!$H$52)</c:f>
              <c:numCache>
                <c:formatCode>_(\$* #,##0_);_(\$* \(#,##0\);_(\$* "-"??_);_(@_)</c:formatCode>
                <c:ptCount val="2"/>
                <c:pt idx="0">
                  <c:v>3.0E6</c:v>
                </c:pt>
                <c:pt idx="1">
                  <c:v>5.80365654122501E6</c:v>
                </c:pt>
              </c:numCache>
            </c:numRef>
          </c:val>
        </c:ser>
        <c:ser>
          <c:idx val="5"/>
          <c:order val="5"/>
          <c:tx>
            <c:strRef>
              <c:f>'Value Growth'!$B$53</c:f>
              <c:strCache>
                <c:ptCount val="1"/>
                <c:pt idx="0">
                  <c:v>Srs B Investors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('Value Growth'!$C$46,'Value Growth'!$F$46)</c:f>
              <c:strCache>
                <c:ptCount val="2"/>
                <c:pt idx="0">
                  <c:v>Series A </c:v>
                </c:pt>
                <c:pt idx="1">
                  <c:v>Series B</c:v>
                </c:pt>
              </c:strCache>
            </c:strRef>
          </c:cat>
          <c:val>
            <c:numRef>
              <c:f>('Value Growth'!$E$53,'Value Growth'!$H$53)</c:f>
              <c:numCache>
                <c:formatCode>_(\$* #,##0_);_(\$* \(#,##0\);_(\$* "-"??_);_(@_)</c:formatCode>
                <c:ptCount val="2"/>
                <c:pt idx="0">
                  <c:v>0.0</c:v>
                </c:pt>
                <c:pt idx="1">
                  <c:v>8.5E6</c:v>
                </c:pt>
              </c:numCache>
            </c:numRef>
          </c:val>
        </c:ser>
        <c:dLbls/>
        <c:overlap val="100"/>
        <c:axId val="330430440"/>
        <c:axId val="331358328"/>
      </c:barChart>
      <c:catAx>
        <c:axId val="330430440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1358328"/>
        <c:crosses val="autoZero"/>
        <c:auto val="1"/>
        <c:lblAlgn val="ctr"/>
        <c:lblOffset val="100"/>
      </c:catAx>
      <c:valAx>
        <c:axId val="331358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 ($)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043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2</xdr:row>
      <xdr:rowOff>9525</xdr:rowOff>
    </xdr:from>
    <xdr:to>
      <xdr:col>1</xdr:col>
      <xdr:colOff>4724400</xdr:colOff>
      <xdr:row>7</xdr:row>
      <xdr:rowOff>10795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90725" y="333375"/>
          <a:ext cx="2838450" cy="810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2</xdr:col>
      <xdr:colOff>111919</xdr:colOff>
      <xdr:row>4</xdr:row>
      <xdr:rowOff>85696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812"/>
          <a:ext cx="2836069" cy="804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2382</xdr:rowOff>
    </xdr:from>
    <xdr:to>
      <xdr:col>3</xdr:col>
      <xdr:colOff>28574</xdr:colOff>
      <xdr:row>4</xdr:row>
      <xdr:rowOff>133350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2382"/>
          <a:ext cx="2867025" cy="7786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13230</xdr:colOff>
      <xdr:row>0</xdr:row>
      <xdr:rowOff>7937</xdr:rowOff>
    </xdr:from>
    <xdr:to>
      <xdr:col>2</xdr:col>
      <xdr:colOff>125149</xdr:colOff>
      <xdr:row>4</xdr:row>
      <xdr:rowOff>71144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0" y="7937"/>
          <a:ext cx="2842419" cy="7934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117210</xdr:colOff>
      <xdr:row>4</xdr:row>
      <xdr:rowOff>61884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837127" cy="792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5</xdr:row>
      <xdr:rowOff>123825</xdr:rowOff>
    </xdr:from>
    <xdr:to>
      <xdr:col>13</xdr:col>
      <xdr:colOff>152400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602985</xdr:colOff>
      <xdr:row>4</xdr:row>
      <xdr:rowOff>157134</xdr:rowOff>
    </xdr:to>
    <xdr:pic>
      <xdr:nvPicPr>
        <xdr:cNvPr id="8" name="Picture 7" descr="s3vc_logo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2831835" cy="804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5</xdr:row>
      <xdr:rowOff>14259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838450" cy="823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438150</xdr:colOff>
      <xdr:row>5</xdr:row>
      <xdr:rowOff>14259</xdr:rowOff>
    </xdr:to>
    <xdr:pic>
      <xdr:nvPicPr>
        <xdr:cNvPr id="2" name="Picture 1" descr="s3vc_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838450" cy="823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5" tint="-0.249977111117893"/>
    <pageSetUpPr autoPageBreaks="0" fitToPage="1"/>
  </sheetPr>
  <dimension ref="B14:B18"/>
  <sheetViews>
    <sheetView showGridLines="0" tabSelected="1" zoomScale="110" zoomScaleNormal="110" zoomScalePageLayoutView="110" workbookViewId="0"/>
  </sheetViews>
  <sheetFormatPr baseColWidth="10" defaultColWidth="8.7109375" defaultRowHeight="13"/>
  <cols>
    <col min="1" max="1" width="1.42578125" customWidth="1"/>
    <col min="2" max="2" width="85.28515625" customWidth="1"/>
  </cols>
  <sheetData>
    <row r="14" spans="2:2" ht="33.75" customHeight="1" thickBot="1">
      <c r="B14" s="3" t="s">
        <v>59</v>
      </c>
    </row>
    <row r="17" spans="2:2">
      <c r="B17" s="2" t="s">
        <v>84</v>
      </c>
    </row>
    <row r="18" spans="2:2">
      <c r="B18" s="1" t="s">
        <v>51</v>
      </c>
    </row>
  </sheetData>
  <sheetCalcPr fullCalcOnLoad="1"/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3" tint="-0.499984740745262"/>
  </sheetPr>
  <dimension ref="A1:O34"/>
  <sheetViews>
    <sheetView showGridLines="0" workbookViewId="0"/>
  </sheetViews>
  <sheetFormatPr baseColWidth="10" defaultColWidth="9" defaultRowHeight="12"/>
  <cols>
    <col min="1" max="1" width="22.7109375" style="7" customWidth="1"/>
    <col min="2" max="5" width="13" style="7" customWidth="1"/>
    <col min="6" max="6" width="2.85546875" style="6" customWidth="1"/>
    <col min="7" max="9" width="13" style="7" customWidth="1"/>
    <col min="10" max="14" width="9" style="7"/>
    <col min="15" max="15" width="12.42578125" style="7" customWidth="1"/>
    <col min="16" max="16384" width="9" style="7"/>
  </cols>
  <sheetData>
    <row r="1" spans="1:6" ht="18">
      <c r="A1" s="4"/>
      <c r="B1" s="5"/>
      <c r="C1" s="5"/>
      <c r="D1" s="5"/>
      <c r="E1" s="5"/>
    </row>
    <row r="2" spans="1:6">
      <c r="A2" s="8"/>
      <c r="B2" s="5"/>
      <c r="C2" s="5"/>
      <c r="D2" s="5"/>
      <c r="E2" s="5"/>
    </row>
    <row r="3" spans="1:6">
      <c r="A3" s="5"/>
      <c r="B3" s="5"/>
      <c r="C3" s="5"/>
      <c r="D3" s="5"/>
      <c r="E3" s="5"/>
    </row>
    <row r="4" spans="1:6">
      <c r="A4" s="5"/>
      <c r="B4" s="5"/>
      <c r="C4" s="5"/>
      <c r="D4" s="5"/>
      <c r="E4" s="5"/>
    </row>
    <row r="5" spans="1:6" ht="13.75">
      <c r="A5" s="9"/>
      <c r="B5" s="6"/>
      <c r="C5" s="6"/>
      <c r="D5" s="6"/>
      <c r="E5" s="6"/>
    </row>
    <row r="6" spans="1:6" ht="15" customHeight="1" thickBot="1">
      <c r="A6" s="10"/>
      <c r="B6" s="11"/>
      <c r="C6" s="11"/>
      <c r="D6" s="11"/>
      <c r="E6" s="11"/>
      <c r="F6" s="11"/>
    </row>
    <row r="7" spans="1:6" ht="13.75">
      <c r="A7" s="318" t="s">
        <v>43</v>
      </c>
      <c r="B7" s="318"/>
      <c r="C7" s="318"/>
      <c r="D7" s="318"/>
      <c r="E7" s="319"/>
      <c r="F7" s="14"/>
    </row>
    <row r="8" spans="1:6" ht="15" customHeight="1">
      <c r="A8" s="345" t="s">
        <v>54</v>
      </c>
      <c r="B8" s="15" t="s">
        <v>55</v>
      </c>
      <c r="C8" s="15" t="s">
        <v>55</v>
      </c>
      <c r="D8" s="15"/>
      <c r="E8" s="102"/>
      <c r="F8" s="16"/>
    </row>
    <row r="9" spans="1:6" ht="15" customHeight="1">
      <c r="A9" s="346"/>
      <c r="B9" s="17" t="s">
        <v>57</v>
      </c>
      <c r="C9" s="17" t="s">
        <v>63</v>
      </c>
      <c r="D9" s="17" t="s">
        <v>96</v>
      </c>
      <c r="E9" s="103" t="s">
        <v>114</v>
      </c>
      <c r="F9" s="16"/>
    </row>
    <row r="10" spans="1:6" s="6" customFormat="1" ht="15" customHeight="1">
      <c r="A10" s="115" t="s">
        <v>60</v>
      </c>
      <c r="B10" s="123">
        <v>7500000</v>
      </c>
      <c r="C10" s="18">
        <v>0</v>
      </c>
      <c r="D10" s="19">
        <f>B10+C10</f>
        <v>7500000</v>
      </c>
      <c r="E10" s="104">
        <f t="shared" ref="E10:E18" si="0">D10/$D$18</f>
        <v>0.42857142857142855</v>
      </c>
      <c r="F10" s="20"/>
    </row>
    <row r="11" spans="1:6" s="6" customFormat="1" ht="15" customHeight="1">
      <c r="A11" s="115" t="s">
        <v>61</v>
      </c>
      <c r="B11" s="18">
        <v>1750000</v>
      </c>
      <c r="C11" s="18">
        <v>2500000</v>
      </c>
      <c r="D11" s="19">
        <f t="shared" ref="D11:D17" si="1">B11+C11</f>
        <v>4250000</v>
      </c>
      <c r="E11" s="104">
        <f t="shared" si="0"/>
        <v>0.24285714285714285</v>
      </c>
      <c r="F11" s="20"/>
    </row>
    <row r="12" spans="1:6" s="6" customFormat="1" ht="15" customHeight="1">
      <c r="A12" s="115" t="s">
        <v>62</v>
      </c>
      <c r="B12" s="18">
        <v>0</v>
      </c>
      <c r="C12" s="18">
        <v>2000000</v>
      </c>
      <c r="D12" s="19">
        <f t="shared" si="1"/>
        <v>2000000</v>
      </c>
      <c r="E12" s="104">
        <f t="shared" si="0"/>
        <v>0.11428571428571428</v>
      </c>
      <c r="F12" s="20"/>
    </row>
    <row r="13" spans="1:6" s="6" customFormat="1" ht="15" customHeight="1">
      <c r="A13" s="115" t="s">
        <v>33</v>
      </c>
      <c r="B13" s="18">
        <v>750000</v>
      </c>
      <c r="C13" s="18">
        <v>1800000</v>
      </c>
      <c r="D13" s="19">
        <f>B13+C13</f>
        <v>2550000</v>
      </c>
      <c r="E13" s="104">
        <f t="shared" si="0"/>
        <v>0.14571428571428571</v>
      </c>
      <c r="F13" s="20"/>
    </row>
    <row r="14" spans="1:6" s="6" customFormat="1" ht="15" customHeight="1">
      <c r="A14" s="115" t="s">
        <v>135</v>
      </c>
      <c r="B14" s="18">
        <v>0</v>
      </c>
      <c r="C14" s="18">
        <v>50000</v>
      </c>
      <c r="D14" s="19">
        <f t="shared" si="1"/>
        <v>50000</v>
      </c>
      <c r="E14" s="104">
        <f t="shared" si="0"/>
        <v>2.8571428571428571E-3</v>
      </c>
      <c r="F14" s="20"/>
    </row>
    <row r="15" spans="1:6" s="6" customFormat="1" ht="15" customHeight="1">
      <c r="A15" s="115" t="s">
        <v>136</v>
      </c>
      <c r="B15" s="18">
        <v>0</v>
      </c>
      <c r="C15" s="18">
        <v>50000</v>
      </c>
      <c r="D15" s="19">
        <f t="shared" si="1"/>
        <v>50000</v>
      </c>
      <c r="E15" s="104">
        <f t="shared" si="0"/>
        <v>2.8571428571428571E-3</v>
      </c>
      <c r="F15" s="20"/>
    </row>
    <row r="16" spans="1:6" s="6" customFormat="1" ht="15" customHeight="1">
      <c r="A16" s="115" t="s">
        <v>137</v>
      </c>
      <c r="B16" s="18">
        <v>0</v>
      </c>
      <c r="C16" s="18">
        <v>100000</v>
      </c>
      <c r="D16" s="19">
        <f t="shared" si="1"/>
        <v>100000</v>
      </c>
      <c r="E16" s="104">
        <f t="shared" si="0"/>
        <v>5.7142857142857143E-3</v>
      </c>
      <c r="F16" s="20"/>
    </row>
    <row r="17" spans="1:15" s="6" customFormat="1" ht="15" customHeight="1" thickBot="1">
      <c r="A17" s="115" t="s">
        <v>3</v>
      </c>
      <c r="B17" s="18">
        <v>0</v>
      </c>
      <c r="C17" s="18">
        <v>1000000</v>
      </c>
      <c r="D17" s="19">
        <f t="shared" si="1"/>
        <v>1000000</v>
      </c>
      <c r="E17" s="104">
        <f t="shared" si="0"/>
        <v>5.7142857142857141E-2</v>
      </c>
      <c r="F17" s="20"/>
    </row>
    <row r="18" spans="1:15" s="6" customFormat="1" ht="15" customHeight="1" thickBot="1">
      <c r="A18" s="116" t="s">
        <v>52</v>
      </c>
      <c r="B18" s="111">
        <f>SUM(B10:B17)</f>
        <v>10000000</v>
      </c>
      <c r="C18" s="111">
        <f>SUM(C10:C17)</f>
        <v>7500000</v>
      </c>
      <c r="D18" s="111">
        <f>SUM(D10:D17)</f>
        <v>17500000</v>
      </c>
      <c r="E18" s="112">
        <f t="shared" si="0"/>
        <v>1</v>
      </c>
      <c r="F18" s="21"/>
    </row>
    <row r="19" spans="1:15" ht="15" customHeight="1" thickBot="1">
      <c r="A19" s="13"/>
      <c r="B19" s="13"/>
      <c r="C19" s="13"/>
      <c r="D19" s="13"/>
      <c r="E19" s="13"/>
      <c r="F19" s="10"/>
    </row>
    <row r="20" spans="1:15" ht="13.75">
      <c r="A20" s="320" t="s">
        <v>113</v>
      </c>
      <c r="B20" s="321"/>
      <c r="C20" s="322"/>
      <c r="D20" s="13"/>
      <c r="E20" s="13"/>
      <c r="F20" s="10"/>
    </row>
    <row r="21" spans="1:15" ht="13.75">
      <c r="A21" s="133" t="s">
        <v>54</v>
      </c>
      <c r="B21" s="134" t="s">
        <v>96</v>
      </c>
      <c r="C21" s="135" t="s">
        <v>114</v>
      </c>
      <c r="D21" s="13"/>
      <c r="E21" s="13"/>
      <c r="F21" s="10"/>
    </row>
    <row r="22" spans="1:15" ht="13.75">
      <c r="A22" s="84" t="s">
        <v>66</v>
      </c>
      <c r="B22" s="126">
        <f>+SUM(D10:D13)</f>
        <v>16300000</v>
      </c>
      <c r="C22" s="124">
        <f>B22/$B$25</f>
        <v>0.93142857142857138</v>
      </c>
      <c r="D22" s="13"/>
      <c r="E22" s="13"/>
      <c r="F22" s="10"/>
    </row>
    <row r="23" spans="1:15" ht="13.75">
      <c r="A23" s="85" t="s">
        <v>34</v>
      </c>
      <c r="B23" s="127">
        <f>+SUM(D14:D16)</f>
        <v>200000</v>
      </c>
      <c r="C23" s="124">
        <f>B23/$B$25</f>
        <v>1.1428571428571429E-2</v>
      </c>
      <c r="D23" s="13"/>
      <c r="E23" s="13"/>
      <c r="F23" s="10"/>
    </row>
    <row r="24" spans="1:15" ht="14" thickBot="1">
      <c r="A24" s="85" t="s">
        <v>67</v>
      </c>
      <c r="B24" s="127">
        <f>D17</f>
        <v>1000000</v>
      </c>
      <c r="C24" s="124">
        <f>B24/$B$25</f>
        <v>5.7142857142857141E-2</v>
      </c>
      <c r="D24" s="13"/>
      <c r="E24" s="13"/>
      <c r="F24" s="10"/>
    </row>
    <row r="25" spans="1:15" ht="14" thickBot="1">
      <c r="A25" s="128" t="s">
        <v>69</v>
      </c>
      <c r="B25" s="129">
        <f>SUM(B22:B24)</f>
        <v>17500000</v>
      </c>
      <c r="C25" s="130">
        <f>SUM(C22:C24)</f>
        <v>1</v>
      </c>
      <c r="D25" s="13"/>
      <c r="E25" s="13"/>
      <c r="F25" s="10"/>
    </row>
    <row r="26" spans="1:15" ht="14" thickBot="1">
      <c r="A26" s="13"/>
      <c r="B26" s="13"/>
      <c r="C26" s="13"/>
      <c r="D26" s="13"/>
      <c r="E26" s="13"/>
      <c r="F26" s="10"/>
    </row>
    <row r="27" spans="1:15" ht="13.75">
      <c r="A27" s="245" t="s">
        <v>27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7"/>
    </row>
    <row r="28" spans="1:15" ht="13.75">
      <c r="A28" s="248" t="s">
        <v>28</v>
      </c>
      <c r="B28" s="89"/>
      <c r="C28" s="89"/>
      <c r="D28" s="89"/>
      <c r="E28" s="89"/>
      <c r="F28" s="10"/>
      <c r="G28" s="22"/>
      <c r="H28" s="22"/>
      <c r="I28" s="22"/>
      <c r="J28" s="22"/>
      <c r="K28" s="22"/>
      <c r="L28" s="22"/>
      <c r="M28" s="22"/>
      <c r="N28" s="22"/>
      <c r="O28" s="249"/>
    </row>
    <row r="29" spans="1:15" ht="13.75">
      <c r="A29" s="248" t="s">
        <v>30</v>
      </c>
      <c r="B29" s="89"/>
      <c r="C29" s="89"/>
      <c r="D29" s="89"/>
      <c r="E29" s="89"/>
      <c r="F29" s="10"/>
      <c r="G29" s="22"/>
      <c r="H29" s="22"/>
      <c r="I29" s="22"/>
      <c r="J29" s="22"/>
      <c r="K29" s="22"/>
      <c r="L29" s="22"/>
      <c r="M29" s="22"/>
      <c r="N29" s="22"/>
      <c r="O29" s="249"/>
    </row>
    <row r="30" spans="1:15" ht="14" thickBot="1">
      <c r="A30" s="171" t="s">
        <v>29</v>
      </c>
      <c r="B30" s="250"/>
      <c r="C30" s="250"/>
      <c r="D30" s="250"/>
      <c r="E30" s="250"/>
      <c r="F30" s="250"/>
      <c r="G30" s="262"/>
      <c r="H30" s="262"/>
      <c r="I30" s="262"/>
      <c r="J30" s="262"/>
      <c r="K30" s="262"/>
      <c r="L30" s="262"/>
      <c r="M30" s="262"/>
      <c r="N30" s="262"/>
      <c r="O30" s="263"/>
    </row>
    <row r="31" spans="1:15" ht="13.75">
      <c r="A31" s="13"/>
      <c r="B31" s="13"/>
      <c r="C31" s="13"/>
      <c r="D31" s="13"/>
      <c r="E31" s="13"/>
      <c r="F31" s="10"/>
    </row>
    <row r="32" spans="1:15" ht="13.75">
      <c r="A32" s="13"/>
      <c r="B32" s="13"/>
      <c r="C32" s="13"/>
      <c r="D32" s="13"/>
      <c r="E32" s="13"/>
      <c r="F32" s="10"/>
    </row>
    <row r="33" spans="1:6" ht="13.75">
      <c r="A33" s="13"/>
      <c r="B33" s="13"/>
      <c r="C33" s="13"/>
      <c r="D33" s="13"/>
      <c r="E33" s="13"/>
      <c r="F33" s="10"/>
    </row>
    <row r="34" spans="1:6" ht="13.75">
      <c r="A34" s="13"/>
      <c r="B34" s="13"/>
      <c r="C34" s="13"/>
      <c r="D34" s="13"/>
      <c r="E34" s="13"/>
      <c r="F34" s="10"/>
    </row>
  </sheetData>
  <sheetCalcPr fullCalcOnLoad="1"/>
  <mergeCells count="1">
    <mergeCell ref="A8:A9"/>
  </mergeCells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9" tint="-0.249977111117893"/>
  </sheetPr>
  <dimension ref="A6:AB53"/>
  <sheetViews>
    <sheetView showGridLines="0" workbookViewId="0"/>
  </sheetViews>
  <sheetFormatPr baseColWidth="10" defaultColWidth="9" defaultRowHeight="12"/>
  <cols>
    <col min="1" max="1" width="16.42578125" style="7" customWidth="1"/>
    <col min="2" max="2" width="11.140625" style="7" customWidth="1"/>
    <col min="3" max="4" width="9.85546875" style="7" customWidth="1"/>
    <col min="5" max="6" width="9.85546875" style="5" customWidth="1"/>
    <col min="7" max="7" width="2.42578125" style="5" customWidth="1"/>
    <col min="8" max="8" width="9" style="7" customWidth="1"/>
    <col min="9" max="9" width="9.42578125" style="7" customWidth="1"/>
    <col min="10" max="10" width="9.5703125" style="7" customWidth="1"/>
    <col min="11" max="11" width="12.42578125" style="7" customWidth="1"/>
    <col min="12" max="12" width="2.42578125" style="5" customWidth="1"/>
    <col min="13" max="17" width="12.42578125" style="5" customWidth="1"/>
    <col min="18" max="19" width="12.42578125" style="7" customWidth="1"/>
    <col min="20" max="20" width="13.7109375" style="5" customWidth="1"/>
    <col min="21" max="21" width="0.7109375" style="5" customWidth="1"/>
    <col min="22" max="24" width="12.42578125" style="5" customWidth="1"/>
    <col min="25" max="25" width="13.7109375" style="5" customWidth="1"/>
    <col min="26" max="27" width="2.42578125" style="5" customWidth="1"/>
    <col min="28" max="28" width="12.42578125" style="7" customWidth="1"/>
    <col min="29" max="29" width="13.42578125" style="7" customWidth="1"/>
    <col min="30" max="16384" width="9" style="7"/>
  </cols>
  <sheetData>
    <row r="6" spans="1:28" ht="13" thickBot="1"/>
    <row r="7" spans="1:28" ht="13.75">
      <c r="A7" s="318" t="s">
        <v>132</v>
      </c>
      <c r="B7" s="172"/>
      <c r="C7" s="172"/>
      <c r="D7" s="172"/>
      <c r="E7" s="172"/>
      <c r="F7" s="173"/>
      <c r="G7" s="10"/>
      <c r="H7" s="318" t="s">
        <v>134</v>
      </c>
      <c r="I7" s="172"/>
      <c r="J7" s="172"/>
      <c r="K7" s="173"/>
      <c r="L7" s="10"/>
      <c r="M7" s="23"/>
      <c r="N7" s="23"/>
      <c r="O7" s="23"/>
      <c r="P7" s="23"/>
      <c r="T7" s="165"/>
      <c r="AB7" s="5"/>
    </row>
    <row r="8" spans="1:28" s="62" customFormat="1" ht="26">
      <c r="A8" s="324" t="s">
        <v>87</v>
      </c>
      <c r="B8" s="325" t="s">
        <v>124</v>
      </c>
      <c r="C8" s="325" t="s">
        <v>130</v>
      </c>
      <c r="D8" s="325" t="s">
        <v>125</v>
      </c>
      <c r="E8" s="325" t="s">
        <v>126</v>
      </c>
      <c r="F8" s="326" t="s">
        <v>131</v>
      </c>
      <c r="G8" s="174"/>
      <c r="H8" s="327" t="s">
        <v>128</v>
      </c>
      <c r="I8" s="328" t="s">
        <v>133</v>
      </c>
      <c r="J8" s="328" t="s">
        <v>127</v>
      </c>
      <c r="K8" s="329" t="s">
        <v>129</v>
      </c>
      <c r="L8" s="174"/>
      <c r="M8" s="13"/>
      <c r="N8" s="13"/>
      <c r="O8" s="13"/>
      <c r="P8" s="13"/>
    </row>
    <row r="9" spans="1:28" s="62" customFormat="1" ht="15" customHeight="1">
      <c r="A9" s="179" t="s">
        <v>4</v>
      </c>
      <c r="B9" s="195">
        <v>250000</v>
      </c>
      <c r="C9" s="204">
        <v>42005</v>
      </c>
      <c r="D9" s="207">
        <v>0.08</v>
      </c>
      <c r="E9" s="208">
        <v>0.2</v>
      </c>
      <c r="F9" s="196">
        <v>4000000</v>
      </c>
      <c r="G9" s="175"/>
      <c r="H9" s="184">
        <f>+'Series A Cap Table'!$E$7</f>
        <v>42430</v>
      </c>
      <c r="I9" s="185">
        <f>H9-C9</f>
        <v>425</v>
      </c>
      <c r="J9" s="199">
        <f>B9*(D9*(I9/365))</f>
        <v>23287.671232876713</v>
      </c>
      <c r="K9" s="200">
        <f>J9+B9</f>
        <v>273287.67123287672</v>
      </c>
      <c r="L9" s="175"/>
      <c r="M9" s="13"/>
      <c r="N9" s="13"/>
      <c r="O9" s="13"/>
      <c r="P9" s="13"/>
    </row>
    <row r="10" spans="1:28" s="62" customFormat="1" ht="15" customHeight="1">
      <c r="A10" s="179" t="s">
        <v>5</v>
      </c>
      <c r="B10" s="195">
        <v>250000</v>
      </c>
      <c r="C10" s="204">
        <v>42005</v>
      </c>
      <c r="D10" s="207">
        <v>0.08</v>
      </c>
      <c r="E10" s="208">
        <v>0.2</v>
      </c>
      <c r="F10" s="196">
        <v>4000000</v>
      </c>
      <c r="G10" s="175"/>
      <c r="H10" s="184">
        <f>+'Series A Cap Table'!$E$7</f>
        <v>42430</v>
      </c>
      <c r="I10" s="185">
        <f>H10-C10</f>
        <v>425</v>
      </c>
      <c r="J10" s="199">
        <f t="shared" ref="J10:J18" si="0">B10*(D10*(I10/365))</f>
        <v>23287.671232876713</v>
      </c>
      <c r="K10" s="200">
        <f>J10+B10</f>
        <v>273287.67123287672</v>
      </c>
      <c r="L10" s="175"/>
      <c r="M10" s="13"/>
      <c r="N10" s="13"/>
      <c r="O10" s="13"/>
      <c r="P10" s="13"/>
    </row>
    <row r="11" spans="1:28" s="62" customFormat="1" ht="15" customHeight="1">
      <c r="A11" s="179" t="s">
        <v>6</v>
      </c>
      <c r="B11" s="195">
        <v>250000</v>
      </c>
      <c r="C11" s="204">
        <v>42005</v>
      </c>
      <c r="D11" s="207">
        <v>0.08</v>
      </c>
      <c r="E11" s="208">
        <v>0.2</v>
      </c>
      <c r="F11" s="196">
        <v>4000000</v>
      </c>
      <c r="G11" s="175"/>
      <c r="H11" s="184">
        <f>+'Series A Cap Table'!$E$7</f>
        <v>42430</v>
      </c>
      <c r="I11" s="185">
        <f>H11-C11</f>
        <v>425</v>
      </c>
      <c r="J11" s="199">
        <f t="shared" si="0"/>
        <v>23287.671232876713</v>
      </c>
      <c r="K11" s="200">
        <f>J11+B11</f>
        <v>273287.67123287672</v>
      </c>
      <c r="L11" s="175"/>
      <c r="M11" s="13"/>
      <c r="N11" s="13"/>
      <c r="O11" s="13"/>
      <c r="P11" s="13"/>
    </row>
    <row r="12" spans="1:28" s="61" customFormat="1" ht="15" customHeight="1">
      <c r="A12" s="179" t="s">
        <v>7</v>
      </c>
      <c r="B12" s="195">
        <v>50000</v>
      </c>
      <c r="C12" s="204">
        <v>42005</v>
      </c>
      <c r="D12" s="207">
        <v>0.08</v>
      </c>
      <c r="E12" s="208">
        <v>0.2</v>
      </c>
      <c r="F12" s="196">
        <v>4000000</v>
      </c>
      <c r="G12" s="175"/>
      <c r="H12" s="184">
        <f>+'Series A Cap Table'!$E$7</f>
        <v>42430</v>
      </c>
      <c r="I12" s="185">
        <f t="shared" ref="I12:I18" si="1">H12-C12</f>
        <v>425</v>
      </c>
      <c r="J12" s="199">
        <f t="shared" si="0"/>
        <v>4657.5342465753429</v>
      </c>
      <c r="K12" s="200">
        <f t="shared" ref="K12:K18" si="2">J12+B12</f>
        <v>54657.534246575342</v>
      </c>
      <c r="L12" s="175"/>
      <c r="M12" s="186"/>
      <c r="N12" s="187"/>
      <c r="O12" s="89"/>
      <c r="P12" s="89"/>
    </row>
    <row r="13" spans="1:28" s="62" customFormat="1" ht="15" customHeight="1">
      <c r="A13" s="179" t="s">
        <v>8</v>
      </c>
      <c r="B13" s="195">
        <v>50000</v>
      </c>
      <c r="C13" s="204">
        <v>42005</v>
      </c>
      <c r="D13" s="209">
        <f>+D12</f>
        <v>0.08</v>
      </c>
      <c r="E13" s="209">
        <f>+E12</f>
        <v>0.2</v>
      </c>
      <c r="F13" s="197">
        <f>+F12</f>
        <v>4000000</v>
      </c>
      <c r="G13" s="175"/>
      <c r="H13" s="184">
        <f>+'Series A Cap Table'!$E$7</f>
        <v>42430</v>
      </c>
      <c r="I13" s="185">
        <f t="shared" si="1"/>
        <v>425</v>
      </c>
      <c r="J13" s="199">
        <f t="shared" si="0"/>
        <v>4657.5342465753429</v>
      </c>
      <c r="K13" s="200">
        <f t="shared" si="2"/>
        <v>54657.534246575342</v>
      </c>
      <c r="L13" s="175"/>
      <c r="M13" s="186"/>
      <c r="N13" s="187"/>
      <c r="O13" s="13"/>
      <c r="P13" s="13"/>
    </row>
    <row r="14" spans="1:28" s="62" customFormat="1" ht="15" customHeight="1">
      <c r="A14" s="179" t="s">
        <v>9</v>
      </c>
      <c r="B14" s="195">
        <v>50000</v>
      </c>
      <c r="C14" s="204">
        <v>42005</v>
      </c>
      <c r="D14" s="209">
        <f t="shared" ref="D14:D18" si="3">+D13</f>
        <v>0.08</v>
      </c>
      <c r="E14" s="209">
        <f>+E13</f>
        <v>0.2</v>
      </c>
      <c r="F14" s="197">
        <f t="shared" ref="F14:F18" si="4">+F13</f>
        <v>4000000</v>
      </c>
      <c r="G14" s="175"/>
      <c r="H14" s="184">
        <f>+'Series A Cap Table'!$E$7</f>
        <v>42430</v>
      </c>
      <c r="I14" s="185">
        <f t="shared" si="1"/>
        <v>425</v>
      </c>
      <c r="J14" s="199">
        <f t="shared" si="0"/>
        <v>4657.5342465753429</v>
      </c>
      <c r="K14" s="200">
        <f t="shared" si="2"/>
        <v>54657.534246575342</v>
      </c>
      <c r="L14" s="175"/>
      <c r="M14" s="186"/>
      <c r="N14" s="187"/>
      <c r="O14" s="13"/>
      <c r="P14" s="13"/>
    </row>
    <row r="15" spans="1:28" s="62" customFormat="1" ht="15" customHeight="1">
      <c r="A15" s="179" t="s">
        <v>10</v>
      </c>
      <c r="B15" s="195">
        <v>50000</v>
      </c>
      <c r="C15" s="204">
        <v>42005</v>
      </c>
      <c r="D15" s="209">
        <f t="shared" si="3"/>
        <v>0.08</v>
      </c>
      <c r="E15" s="209">
        <f>+E14</f>
        <v>0.2</v>
      </c>
      <c r="F15" s="197">
        <f t="shared" si="4"/>
        <v>4000000</v>
      </c>
      <c r="G15" s="175"/>
      <c r="H15" s="184">
        <f>+'Series A Cap Table'!$E$7</f>
        <v>42430</v>
      </c>
      <c r="I15" s="185">
        <f t="shared" si="1"/>
        <v>425</v>
      </c>
      <c r="J15" s="199">
        <f t="shared" si="0"/>
        <v>4657.5342465753429</v>
      </c>
      <c r="K15" s="200">
        <f t="shared" si="2"/>
        <v>54657.534246575342</v>
      </c>
      <c r="L15" s="175"/>
      <c r="M15" s="186"/>
      <c r="N15" s="187"/>
      <c r="O15" s="13"/>
      <c r="P15" s="13"/>
    </row>
    <row r="16" spans="1:28" s="62" customFormat="1" ht="15" customHeight="1">
      <c r="A16" s="179" t="s">
        <v>11</v>
      </c>
      <c r="B16" s="195">
        <v>50000</v>
      </c>
      <c r="C16" s="204">
        <v>42005</v>
      </c>
      <c r="D16" s="209">
        <f t="shared" si="3"/>
        <v>0.08</v>
      </c>
      <c r="E16" s="209">
        <f>+E15</f>
        <v>0.2</v>
      </c>
      <c r="F16" s="197">
        <f t="shared" si="4"/>
        <v>4000000</v>
      </c>
      <c r="G16" s="175"/>
      <c r="H16" s="184">
        <f>+'Series A Cap Table'!$E$7</f>
        <v>42430</v>
      </c>
      <c r="I16" s="185">
        <f t="shared" si="1"/>
        <v>425</v>
      </c>
      <c r="J16" s="199">
        <f t="shared" si="0"/>
        <v>4657.5342465753429</v>
      </c>
      <c r="K16" s="200">
        <f t="shared" si="2"/>
        <v>54657.534246575342</v>
      </c>
      <c r="L16" s="175"/>
      <c r="M16" s="186"/>
      <c r="N16" s="187"/>
      <c r="O16" s="13"/>
      <c r="P16" s="13"/>
    </row>
    <row r="17" spans="1:27" s="62" customFormat="1" ht="15" customHeight="1">
      <c r="A17" s="179" t="s">
        <v>12</v>
      </c>
      <c r="B17" s="195">
        <v>50000</v>
      </c>
      <c r="C17" s="204">
        <v>42005</v>
      </c>
      <c r="D17" s="209">
        <f t="shared" si="3"/>
        <v>0.08</v>
      </c>
      <c r="E17" s="209">
        <f>+E16</f>
        <v>0.2</v>
      </c>
      <c r="F17" s="197">
        <f t="shared" si="4"/>
        <v>4000000</v>
      </c>
      <c r="G17" s="175"/>
      <c r="H17" s="184">
        <f>+'Series A Cap Table'!$E$7</f>
        <v>42430</v>
      </c>
      <c r="I17" s="185">
        <f t="shared" si="1"/>
        <v>425</v>
      </c>
      <c r="J17" s="199">
        <f t="shared" si="0"/>
        <v>4657.5342465753429</v>
      </c>
      <c r="K17" s="200">
        <f t="shared" si="2"/>
        <v>54657.534246575342</v>
      </c>
      <c r="L17" s="175"/>
      <c r="M17" s="186"/>
      <c r="N17" s="187"/>
      <c r="O17" s="13"/>
      <c r="P17" s="13"/>
    </row>
    <row r="18" spans="1:27" s="62" customFormat="1" ht="15" customHeight="1" thickBot="1">
      <c r="A18" s="211" t="s">
        <v>13</v>
      </c>
      <c r="B18" s="212">
        <v>50000</v>
      </c>
      <c r="C18" s="213">
        <v>42005</v>
      </c>
      <c r="D18" s="214">
        <f t="shared" si="3"/>
        <v>0.08</v>
      </c>
      <c r="E18" s="214">
        <f>+E17</f>
        <v>0.2</v>
      </c>
      <c r="F18" s="215">
        <f t="shared" si="4"/>
        <v>4000000</v>
      </c>
      <c r="G18" s="175"/>
      <c r="H18" s="184">
        <f>+'Series A Cap Table'!$E$7</f>
        <v>42430</v>
      </c>
      <c r="I18" s="185">
        <f t="shared" si="1"/>
        <v>425</v>
      </c>
      <c r="J18" s="199">
        <f t="shared" si="0"/>
        <v>4657.5342465753429</v>
      </c>
      <c r="K18" s="200">
        <f t="shared" si="2"/>
        <v>54657.534246575342</v>
      </c>
      <c r="L18" s="175"/>
      <c r="M18" s="186"/>
      <c r="N18" s="187"/>
      <c r="O18" s="13"/>
      <c r="P18" s="13"/>
    </row>
    <row r="19" spans="1:27" s="62" customFormat="1" ht="15" customHeight="1" thickBot="1">
      <c r="A19" s="223" t="s">
        <v>52</v>
      </c>
      <c r="B19" s="224">
        <f>SUM(B9:B18)</f>
        <v>1100000</v>
      </c>
      <c r="C19" s="205"/>
      <c r="D19" s="210"/>
      <c r="E19" s="210"/>
      <c r="F19" s="198"/>
      <c r="G19" s="175"/>
      <c r="H19" s="225"/>
      <c r="I19" s="221"/>
      <c r="J19" s="220">
        <f>SUM(J9:J18)</f>
        <v>102465.75342465758</v>
      </c>
      <c r="K19" s="222">
        <f>SUM(K9:K18)</f>
        <v>1202465.7534246575</v>
      </c>
      <c r="L19" s="175"/>
      <c r="M19" s="186"/>
      <c r="N19" s="187"/>
      <c r="O19" s="13"/>
      <c r="P19" s="13"/>
    </row>
    <row r="20" spans="1:27" s="62" customFormat="1" ht="6.75" customHeight="1" thickBot="1">
      <c r="A20" s="188"/>
      <c r="B20" s="180"/>
      <c r="C20" s="181"/>
      <c r="D20" s="182"/>
      <c r="E20" s="183"/>
      <c r="F20" s="189"/>
      <c r="G20" s="175"/>
      <c r="H20" s="190"/>
      <c r="I20" s="185"/>
      <c r="J20" s="176"/>
      <c r="K20" s="176"/>
      <c r="L20" s="175"/>
      <c r="M20" s="13"/>
      <c r="N20" s="13"/>
      <c r="O20" s="13"/>
      <c r="P20" s="13"/>
    </row>
    <row r="21" spans="1:27" s="62" customFormat="1" ht="15">
      <c r="A21" s="237" t="str">
        <f>+A9</f>
        <v>Angel #1</v>
      </c>
      <c r="B21" s="232">
        <f t="shared" ref="B21:F21" si="5">+B9</f>
        <v>250000</v>
      </c>
      <c r="C21" s="238">
        <f t="shared" si="5"/>
        <v>42005</v>
      </c>
      <c r="D21" s="239">
        <f t="shared" si="5"/>
        <v>0.08</v>
      </c>
      <c r="E21" s="239">
        <f t="shared" si="5"/>
        <v>0.2</v>
      </c>
      <c r="F21" s="240">
        <f t="shared" si="5"/>
        <v>4000000</v>
      </c>
      <c r="G21" s="175"/>
      <c r="H21" s="230">
        <f t="shared" ref="H21:K21" si="6">+H9</f>
        <v>42430</v>
      </c>
      <c r="I21" s="231">
        <f t="shared" si="6"/>
        <v>425</v>
      </c>
      <c r="J21" s="232">
        <f t="shared" si="6"/>
        <v>23287.671232876713</v>
      </c>
      <c r="K21" s="233">
        <f t="shared" si="6"/>
        <v>273287.67123287672</v>
      </c>
      <c r="L21" s="175"/>
      <c r="M21" s="13"/>
      <c r="N21" s="13"/>
      <c r="O21" s="13"/>
      <c r="P21" s="13"/>
    </row>
    <row r="22" spans="1:27" s="62" customFormat="1" ht="15">
      <c r="A22" s="169" t="str">
        <f t="shared" ref="A22:F22" si="7">+A10</f>
        <v>Angel #2</v>
      </c>
      <c r="B22" s="199">
        <f t="shared" si="7"/>
        <v>250000</v>
      </c>
      <c r="C22" s="226">
        <f t="shared" si="7"/>
        <v>42005</v>
      </c>
      <c r="D22" s="209">
        <f t="shared" si="7"/>
        <v>0.08</v>
      </c>
      <c r="E22" s="209">
        <f t="shared" si="7"/>
        <v>0.2</v>
      </c>
      <c r="F22" s="197">
        <f t="shared" si="7"/>
        <v>4000000</v>
      </c>
      <c r="G22" s="175"/>
      <c r="H22" s="184">
        <f t="shared" ref="H22:K22" si="8">+H10</f>
        <v>42430</v>
      </c>
      <c r="I22" s="185">
        <f t="shared" si="8"/>
        <v>425</v>
      </c>
      <c r="J22" s="199">
        <f t="shared" si="8"/>
        <v>23287.671232876713</v>
      </c>
      <c r="K22" s="200">
        <f t="shared" si="8"/>
        <v>273287.67123287672</v>
      </c>
      <c r="L22" s="175"/>
      <c r="M22" s="13"/>
      <c r="N22" s="13"/>
      <c r="O22" s="13"/>
      <c r="P22" s="13"/>
    </row>
    <row r="23" spans="1:27" s="62" customFormat="1" ht="15">
      <c r="A23" s="169" t="str">
        <f t="shared" ref="A23:F23" si="9">+A11</f>
        <v>Angel #3</v>
      </c>
      <c r="B23" s="199">
        <f t="shared" si="9"/>
        <v>250000</v>
      </c>
      <c r="C23" s="226">
        <f t="shared" si="9"/>
        <v>42005</v>
      </c>
      <c r="D23" s="209">
        <f t="shared" si="9"/>
        <v>0.08</v>
      </c>
      <c r="E23" s="209">
        <f t="shared" si="9"/>
        <v>0.2</v>
      </c>
      <c r="F23" s="197">
        <f t="shared" si="9"/>
        <v>4000000</v>
      </c>
      <c r="G23" s="175"/>
      <c r="H23" s="184">
        <f t="shared" ref="H23:K23" si="10">+H11</f>
        <v>42430</v>
      </c>
      <c r="I23" s="185">
        <f t="shared" si="10"/>
        <v>425</v>
      </c>
      <c r="J23" s="199">
        <f t="shared" si="10"/>
        <v>23287.671232876713</v>
      </c>
      <c r="K23" s="200">
        <f t="shared" si="10"/>
        <v>273287.67123287672</v>
      </c>
      <c r="L23" s="175"/>
      <c r="M23" s="13"/>
      <c r="N23" s="13"/>
      <c r="O23" s="13"/>
      <c r="P23" s="13"/>
    </row>
    <row r="24" spans="1:27" s="62" customFormat="1" ht="15" customHeight="1">
      <c r="A24" s="211" t="s">
        <v>26</v>
      </c>
      <c r="B24" s="218">
        <f>+SUM(B12:B18)</f>
        <v>350000</v>
      </c>
      <c r="C24" s="261">
        <f>+C12</f>
        <v>42005</v>
      </c>
      <c r="D24" s="214">
        <f>+D12</f>
        <v>0.08</v>
      </c>
      <c r="E24" s="214">
        <f>+E12</f>
        <v>0.2</v>
      </c>
      <c r="F24" s="215">
        <f>+F12</f>
        <v>4000000</v>
      </c>
      <c r="G24" s="175"/>
      <c r="H24" s="216">
        <f>+H12</f>
        <v>42430</v>
      </c>
      <c r="I24" s="217">
        <f>+I12</f>
        <v>425</v>
      </c>
      <c r="J24" s="218">
        <f>+SUM(J12:J18)</f>
        <v>32602.739726027397</v>
      </c>
      <c r="K24" s="219">
        <f>+SUM(K12:K18)</f>
        <v>382602.73972602736</v>
      </c>
      <c r="L24" s="175"/>
      <c r="M24" s="186"/>
      <c r="N24" s="187"/>
      <c r="O24" s="13"/>
      <c r="P24" s="13"/>
    </row>
    <row r="25" spans="1:27" s="229" customFormat="1" ht="16" thickBot="1">
      <c r="A25" s="223" t="s">
        <v>52</v>
      </c>
      <c r="B25" s="224">
        <f>SUM(B21:B24)</f>
        <v>1100000</v>
      </c>
      <c r="C25" s="241"/>
      <c r="D25" s="242"/>
      <c r="E25" s="242"/>
      <c r="F25" s="243"/>
      <c r="G25" s="227"/>
      <c r="H25" s="234"/>
      <c r="I25" s="235"/>
      <c r="J25" s="224">
        <f>SUM(J21:J24)</f>
        <v>102465.75342465754</v>
      </c>
      <c r="K25" s="236">
        <f>SUM(K21:K24)</f>
        <v>1202465.7534246575</v>
      </c>
      <c r="L25" s="227"/>
      <c r="M25" s="228"/>
      <c r="N25" s="228"/>
      <c r="O25" s="228"/>
      <c r="P25" s="228"/>
    </row>
    <row r="26" spans="1:27" s="62" customFormat="1" ht="6.75" customHeight="1">
      <c r="A26" s="188"/>
      <c r="B26" s="180"/>
      <c r="C26" s="181"/>
      <c r="D26" s="182"/>
      <c r="E26" s="183"/>
      <c r="F26" s="189"/>
      <c r="G26" s="175"/>
      <c r="H26" s="190"/>
      <c r="I26" s="185"/>
      <c r="J26" s="176"/>
      <c r="K26" s="176"/>
      <c r="L26" s="175"/>
      <c r="M26" s="13"/>
      <c r="N26" s="13"/>
      <c r="O26" s="13"/>
      <c r="P26" s="13"/>
    </row>
    <row r="27" spans="1:27" s="62" customFormat="1" ht="15">
      <c r="A27" s="94" t="s">
        <v>42</v>
      </c>
      <c r="B27" s="180"/>
      <c r="C27" s="181"/>
      <c r="D27" s="182"/>
      <c r="E27" s="183"/>
      <c r="F27" s="189"/>
      <c r="G27" s="175"/>
      <c r="H27" s="190"/>
      <c r="I27" s="185"/>
      <c r="J27" s="176"/>
      <c r="K27" s="176"/>
      <c r="L27" s="175"/>
      <c r="M27" s="13"/>
      <c r="N27" s="13"/>
      <c r="O27" s="13"/>
      <c r="P27" s="13"/>
    </row>
    <row r="28" spans="1:27" s="62" customFormat="1" ht="15" customHeight="1">
      <c r="A28" s="94" t="s">
        <v>48</v>
      </c>
      <c r="B28" s="191"/>
      <c r="C28" s="191"/>
      <c r="D28" s="89"/>
      <c r="E28" s="23"/>
      <c r="F28" s="23"/>
      <c r="G28" s="23"/>
      <c r="H28" s="13"/>
      <c r="I28" s="89"/>
      <c r="J28" s="89"/>
      <c r="K28" s="13"/>
      <c r="L28" s="23"/>
      <c r="M28" s="23"/>
      <c r="N28" s="23"/>
      <c r="O28" s="23"/>
      <c r="P28" s="23"/>
      <c r="Q28" s="157"/>
      <c r="R28" s="158"/>
      <c r="T28" s="157"/>
      <c r="U28" s="157"/>
      <c r="V28" s="157"/>
      <c r="W28" s="158"/>
      <c r="X28" s="157"/>
      <c r="Y28" s="157"/>
      <c r="Z28" s="157"/>
      <c r="AA28" s="157"/>
    </row>
    <row r="29" spans="1:27" s="62" customFormat="1" ht="15" customHeight="1">
      <c r="A29" s="94" t="s">
        <v>49</v>
      </c>
      <c r="B29" s="191"/>
      <c r="C29" s="191"/>
      <c r="D29" s="89"/>
      <c r="E29" s="23"/>
      <c r="F29" s="23"/>
      <c r="G29" s="23"/>
      <c r="H29" s="13"/>
      <c r="I29" s="89"/>
      <c r="J29" s="89"/>
      <c r="K29" s="13"/>
      <c r="L29" s="23"/>
      <c r="M29" s="23"/>
      <c r="N29" s="23"/>
      <c r="O29" s="23"/>
      <c r="P29" s="23"/>
      <c r="Q29" s="157"/>
      <c r="R29" s="158"/>
      <c r="T29" s="157"/>
      <c r="U29" s="157"/>
      <c r="V29" s="157"/>
      <c r="W29" s="158"/>
      <c r="X29" s="157"/>
      <c r="Y29" s="157"/>
      <c r="Z29" s="157"/>
      <c r="AA29" s="157"/>
    </row>
    <row r="30" spans="1:27" s="62" customFormat="1" ht="15" customHeight="1">
      <c r="A30" s="94" t="s">
        <v>50</v>
      </c>
      <c r="B30" s="192"/>
      <c r="C30" s="192"/>
      <c r="D30" s="13"/>
      <c r="E30" s="23"/>
      <c r="F30" s="23"/>
      <c r="G30" s="23"/>
      <c r="H30" s="13"/>
      <c r="I30" s="13"/>
      <c r="J30" s="13"/>
      <c r="K30" s="13"/>
      <c r="L30" s="23"/>
      <c r="M30" s="23"/>
      <c r="N30" s="23"/>
      <c r="O30" s="23"/>
      <c r="P30" s="23"/>
      <c r="Q30" s="157"/>
      <c r="T30" s="157"/>
      <c r="U30" s="157"/>
      <c r="V30" s="157"/>
      <c r="W30" s="157"/>
      <c r="X30" s="157"/>
      <c r="Y30" s="157"/>
      <c r="Z30" s="157"/>
      <c r="AA30" s="157"/>
    </row>
    <row r="31" spans="1:27" s="62" customFormat="1" ht="15" customHeight="1">
      <c r="A31" s="13"/>
      <c r="B31" s="13"/>
      <c r="C31" s="13"/>
      <c r="D31" s="13"/>
      <c r="E31" s="23"/>
      <c r="F31" s="23"/>
      <c r="G31" s="23"/>
      <c r="H31" s="13"/>
      <c r="I31" s="13"/>
      <c r="J31" s="13"/>
      <c r="K31" s="13"/>
      <c r="L31" s="23"/>
      <c r="M31" s="79"/>
      <c r="N31" s="23"/>
      <c r="O31" s="23"/>
      <c r="P31" s="23"/>
      <c r="Q31" s="157"/>
      <c r="T31" s="157"/>
      <c r="U31" s="157"/>
      <c r="V31" s="157"/>
      <c r="W31" s="157"/>
      <c r="X31" s="157"/>
      <c r="Y31" s="157"/>
      <c r="Z31" s="157"/>
      <c r="AA31" s="157"/>
    </row>
    <row r="32" spans="1:27" s="62" customFormat="1" ht="15" customHeight="1">
      <c r="A32" s="13"/>
      <c r="B32" s="13"/>
      <c r="C32" s="13"/>
      <c r="D32" s="13"/>
      <c r="E32" s="23"/>
      <c r="F32" s="23"/>
      <c r="G32" s="23"/>
      <c r="H32" s="13"/>
      <c r="I32" s="13"/>
      <c r="J32" s="13"/>
      <c r="K32" s="13"/>
      <c r="L32" s="23"/>
      <c r="M32" s="193"/>
      <c r="N32" s="23"/>
      <c r="O32" s="23"/>
      <c r="P32" s="23"/>
      <c r="Q32" s="157"/>
      <c r="T32" s="157"/>
      <c r="U32" s="157"/>
      <c r="V32" s="157"/>
      <c r="W32" s="157"/>
      <c r="X32" s="157"/>
      <c r="Y32" s="157"/>
      <c r="Z32" s="157"/>
      <c r="AA32" s="157"/>
    </row>
    <row r="33" spans="1:27" s="62" customFormat="1" ht="15" customHeight="1">
      <c r="A33" s="194"/>
      <c r="B33" s="194"/>
      <c r="C33" s="194"/>
      <c r="D33" s="13"/>
      <c r="E33" s="23"/>
      <c r="F33" s="23"/>
      <c r="G33" s="23"/>
      <c r="H33" s="13"/>
      <c r="I33" s="13"/>
      <c r="J33" s="13"/>
      <c r="K33" s="13"/>
      <c r="L33" s="23"/>
      <c r="M33" s="193"/>
      <c r="N33" s="23"/>
      <c r="O33" s="23"/>
      <c r="P33" s="23"/>
      <c r="Q33" s="157"/>
      <c r="T33" s="157"/>
      <c r="U33" s="157"/>
      <c r="V33" s="157"/>
      <c r="W33" s="157"/>
      <c r="X33" s="157"/>
      <c r="Y33" s="157"/>
      <c r="Z33" s="157"/>
      <c r="AA33" s="157"/>
    </row>
    <row r="34" spans="1:27" s="62" customFormat="1" ht="15" customHeight="1">
      <c r="A34" s="156"/>
      <c r="B34" s="156"/>
      <c r="C34" s="156"/>
      <c r="E34" s="157"/>
      <c r="F34" s="157"/>
      <c r="G34" s="157"/>
      <c r="L34" s="157"/>
      <c r="M34" s="157"/>
      <c r="N34" s="157"/>
      <c r="O34" s="157"/>
      <c r="P34" s="157"/>
      <c r="Q34" s="157"/>
      <c r="T34" s="157"/>
      <c r="U34" s="157"/>
      <c r="V34" s="157"/>
      <c r="W34" s="157"/>
      <c r="X34" s="157"/>
      <c r="Y34" s="157"/>
      <c r="Z34" s="157"/>
      <c r="AA34" s="157"/>
    </row>
    <row r="35" spans="1:27" s="62" customFormat="1" ht="15" customHeight="1">
      <c r="A35" s="156"/>
      <c r="B35" s="156"/>
      <c r="C35" s="156"/>
      <c r="E35" s="157"/>
      <c r="F35" s="157"/>
      <c r="G35" s="157"/>
      <c r="L35" s="157"/>
      <c r="M35" s="157"/>
      <c r="N35" s="157"/>
      <c r="O35" s="157"/>
      <c r="P35" s="157"/>
      <c r="Q35" s="157"/>
      <c r="T35" s="157"/>
      <c r="U35" s="157"/>
      <c r="V35" s="157"/>
      <c r="W35" s="157"/>
      <c r="X35" s="157"/>
      <c r="Y35" s="157"/>
      <c r="Z35" s="157"/>
      <c r="AA35" s="157"/>
    </row>
    <row r="36" spans="1:27" s="62" customFormat="1" ht="15" customHeight="1">
      <c r="A36" s="156"/>
      <c r="B36" s="156"/>
      <c r="C36" s="156"/>
      <c r="E36" s="157"/>
      <c r="F36" s="157"/>
      <c r="G36" s="157"/>
      <c r="L36" s="157"/>
      <c r="M36" s="157"/>
      <c r="N36" s="157"/>
      <c r="O36" s="157"/>
      <c r="P36" s="157"/>
      <c r="Q36" s="157"/>
      <c r="T36" s="157"/>
      <c r="U36" s="157"/>
      <c r="V36" s="157"/>
      <c r="W36" s="157"/>
      <c r="X36" s="157"/>
      <c r="Y36" s="157"/>
      <c r="Z36" s="157"/>
      <c r="AA36" s="157"/>
    </row>
    <row r="37" spans="1:27" s="62" customFormat="1" ht="15" customHeight="1">
      <c r="A37" s="156"/>
      <c r="B37" s="156"/>
      <c r="C37" s="156"/>
      <c r="E37" s="157"/>
      <c r="F37" s="157"/>
      <c r="G37" s="157"/>
      <c r="L37" s="157"/>
      <c r="M37" s="157"/>
      <c r="N37" s="157"/>
      <c r="O37" s="157"/>
      <c r="P37" s="157"/>
      <c r="Q37" s="157"/>
      <c r="T37" s="157"/>
      <c r="U37" s="157"/>
      <c r="V37" s="157"/>
      <c r="W37" s="157"/>
      <c r="X37" s="157"/>
      <c r="Y37" s="157"/>
      <c r="Z37" s="157"/>
      <c r="AA37" s="157"/>
    </row>
    <row r="38" spans="1:27" s="62" customFormat="1" ht="15" customHeight="1">
      <c r="A38" s="156"/>
      <c r="B38" s="156"/>
      <c r="C38" s="156"/>
      <c r="E38" s="157"/>
      <c r="F38" s="157"/>
      <c r="G38" s="157"/>
      <c r="L38" s="157"/>
      <c r="M38" s="157"/>
      <c r="N38" s="157"/>
      <c r="O38" s="157"/>
      <c r="P38" s="157"/>
      <c r="Q38" s="157"/>
      <c r="T38" s="157"/>
      <c r="U38" s="157"/>
      <c r="V38" s="157"/>
      <c r="W38" s="157"/>
      <c r="X38" s="157"/>
      <c r="Y38" s="157"/>
      <c r="Z38" s="157"/>
      <c r="AA38" s="157"/>
    </row>
    <row r="39" spans="1:27" ht="15" customHeight="1">
      <c r="A39" s="156"/>
      <c r="B39" s="156"/>
      <c r="C39" s="156"/>
    </row>
    <row r="40" spans="1:27" ht="15" customHeight="1">
      <c r="A40" s="156"/>
      <c r="B40" s="156"/>
      <c r="C40" s="156"/>
    </row>
    <row r="41" spans="1:27" ht="12.75" customHeight="1">
      <c r="A41" s="156"/>
      <c r="B41" s="156"/>
      <c r="C41" s="156"/>
    </row>
    <row r="42" spans="1:27" ht="12.75" customHeight="1">
      <c r="A42" s="156"/>
      <c r="B42" s="156"/>
      <c r="C42" s="156"/>
    </row>
    <row r="43" spans="1:27" ht="12.75" customHeight="1">
      <c r="A43" s="156"/>
      <c r="B43" s="156"/>
      <c r="C43" s="156"/>
    </row>
    <row r="44" spans="1:27" ht="12.75" customHeight="1">
      <c r="A44" s="156"/>
      <c r="B44" s="156"/>
      <c r="C44" s="156"/>
    </row>
    <row r="45" spans="1:27" ht="12.75" customHeight="1">
      <c r="A45" s="156"/>
      <c r="B45" s="156"/>
      <c r="C45" s="156"/>
    </row>
    <row r="46" spans="1:27" ht="12.75" customHeight="1">
      <c r="A46" s="156"/>
      <c r="B46" s="156"/>
      <c r="C46" s="156"/>
    </row>
    <row r="47" spans="1:27" ht="12.75" customHeight="1">
      <c r="A47" s="156"/>
      <c r="B47" s="156"/>
      <c r="C47" s="156"/>
    </row>
    <row r="48" spans="1:27" ht="15.75" customHeight="1">
      <c r="A48" s="156"/>
      <c r="B48" s="156"/>
      <c r="C48" s="156"/>
    </row>
    <row r="49" spans="1:3" s="7" customFormat="1" ht="15">
      <c r="A49" s="61"/>
      <c r="B49" s="22"/>
      <c r="C49" s="22"/>
    </row>
    <row r="50" spans="1:3" s="7" customFormat="1" ht="15">
      <c r="A50" s="61"/>
      <c r="B50" s="22"/>
      <c r="C50" s="22"/>
    </row>
    <row r="51" spans="1:3" s="7" customFormat="1" ht="15">
      <c r="A51" s="61"/>
      <c r="B51" s="22"/>
      <c r="C51" s="22"/>
    </row>
    <row r="52" spans="1:3" s="7" customFormat="1" ht="15">
      <c r="A52" s="61"/>
      <c r="B52" s="22"/>
      <c r="C52" s="22"/>
    </row>
    <row r="53" spans="1:3" s="7" customFormat="1" ht="15">
      <c r="A53" s="155"/>
      <c r="B53" s="22"/>
      <c r="C53" s="22"/>
    </row>
  </sheetData>
  <sheetCalcPr fullCalcOnLoad="1"/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6" tint="-0.499984740745262"/>
  </sheetPr>
  <dimension ref="A1:AE68"/>
  <sheetViews>
    <sheetView showGridLines="0" workbookViewId="0">
      <selection activeCell="A30" sqref="A30"/>
    </sheetView>
  </sheetViews>
  <sheetFormatPr baseColWidth="10" defaultColWidth="9" defaultRowHeight="12"/>
  <cols>
    <col min="1" max="1" width="22.7109375" style="7" customWidth="1"/>
    <col min="2" max="16" width="13" style="7" customWidth="1"/>
    <col min="17" max="17" width="15" style="7" customWidth="1"/>
    <col min="18" max="20" width="9" style="7"/>
    <col min="21" max="22" width="13" style="7" customWidth="1"/>
    <col min="23" max="16384" width="9" style="7"/>
  </cols>
  <sheetData>
    <row r="1" spans="1:17" ht="18">
      <c r="A1" s="4"/>
      <c r="B1" s="5"/>
      <c r="C1" s="5"/>
      <c r="F1" s="5"/>
      <c r="G1" s="5"/>
    </row>
    <row r="2" spans="1:17">
      <c r="A2" s="8"/>
      <c r="B2" s="5"/>
      <c r="C2" s="5"/>
      <c r="F2" s="5"/>
      <c r="G2" s="5"/>
    </row>
    <row r="3" spans="1:17">
      <c r="A3" s="5"/>
      <c r="B3" s="5"/>
      <c r="C3" s="5"/>
      <c r="F3" s="5"/>
      <c r="G3" s="5"/>
    </row>
    <row r="4" spans="1:17">
      <c r="A4" s="5"/>
      <c r="B4" s="5"/>
      <c r="C4" s="5"/>
      <c r="D4" s="5"/>
      <c r="E4" s="5"/>
      <c r="F4" s="5"/>
      <c r="G4" s="5"/>
      <c r="H4" s="5"/>
      <c r="I4" s="5"/>
      <c r="J4" s="5"/>
    </row>
    <row r="5" spans="1:17" ht="15" customHeight="1">
      <c r="A5" s="9"/>
      <c r="B5" s="80"/>
      <c r="C5" s="6"/>
      <c r="H5" s="5"/>
      <c r="I5" s="5"/>
      <c r="J5" s="5"/>
    </row>
    <row r="6" spans="1:17" ht="15" customHeight="1">
      <c r="A6" s="65" t="s">
        <v>72</v>
      </c>
      <c r="B6" s="66"/>
      <c r="C6" s="67"/>
      <c r="D6" s="67"/>
      <c r="E6" s="67"/>
      <c r="G6" s="255" t="s">
        <v>102</v>
      </c>
      <c r="H6" s="251" t="s">
        <v>121</v>
      </c>
      <c r="I6" s="252"/>
      <c r="J6" s="253" t="s">
        <v>99</v>
      </c>
      <c r="K6" s="254"/>
      <c r="M6" s="22"/>
    </row>
    <row r="7" spans="1:17" ht="15" customHeight="1">
      <c r="A7" s="24" t="s">
        <v>115</v>
      </c>
      <c r="B7" s="136"/>
      <c r="C7" s="136"/>
      <c r="D7" s="136"/>
      <c r="E7" s="137">
        <v>42430</v>
      </c>
      <c r="G7" s="151" t="s">
        <v>101</v>
      </c>
      <c r="H7" s="145" t="s">
        <v>116</v>
      </c>
      <c r="I7" s="146"/>
      <c r="J7" s="147" t="s">
        <v>117</v>
      </c>
      <c r="K7" s="150"/>
      <c r="M7" s="22"/>
    </row>
    <row r="8" spans="1:17" ht="15" customHeight="1">
      <c r="A8" s="24" t="s">
        <v>90</v>
      </c>
      <c r="B8" s="10"/>
      <c r="C8" s="89"/>
      <c r="D8" s="89"/>
      <c r="E8" s="28">
        <v>6000000</v>
      </c>
      <c r="G8" s="152"/>
      <c r="H8" s="131" t="s">
        <v>96</v>
      </c>
      <c r="I8" s="132" t="s">
        <v>68</v>
      </c>
      <c r="J8" s="34" t="s">
        <v>96</v>
      </c>
      <c r="K8" s="35" t="s">
        <v>68</v>
      </c>
      <c r="M8" s="22"/>
    </row>
    <row r="9" spans="1:17" ht="15" customHeight="1">
      <c r="A9" s="24" t="s">
        <v>122</v>
      </c>
      <c r="B9" s="10"/>
      <c r="C9" s="89"/>
      <c r="D9" s="89"/>
      <c r="E9" s="74">
        <v>2500000</v>
      </c>
      <c r="G9" s="84" t="s">
        <v>66</v>
      </c>
      <c r="H9" s="75">
        <f>SUM(D36:D39)</f>
        <v>16300000</v>
      </c>
      <c r="I9" s="282">
        <f>H9/$H$14</f>
        <v>0.93142857142857138</v>
      </c>
      <c r="J9" s="75">
        <f>SUM(J36:J39)</f>
        <v>16300000</v>
      </c>
      <c r="K9" s="283">
        <f>J9/$J$14</f>
        <v>0.45262276997983952</v>
      </c>
      <c r="M9" s="22"/>
    </row>
    <row r="10" spans="1:17" ht="15" customHeight="1">
      <c r="A10" s="24" t="s">
        <v>45</v>
      </c>
      <c r="E10" s="76">
        <f>+SUM(K43:K44)</f>
        <v>9.7188938339229328E-2</v>
      </c>
      <c r="G10" s="85" t="s">
        <v>34</v>
      </c>
      <c r="H10" s="75">
        <f>SUM(D40:D42)</f>
        <v>200000</v>
      </c>
      <c r="I10" s="283">
        <f>H10/$H$14</f>
        <v>1.1428571428571429E-2</v>
      </c>
      <c r="J10" s="75">
        <f>SUM(J40:J42)</f>
        <v>200000</v>
      </c>
      <c r="K10" s="283">
        <f>J10/$J$14</f>
        <v>5.5536536193845345E-3</v>
      </c>
    </row>
    <row r="11" spans="1:17" ht="15" customHeight="1">
      <c r="A11" s="24" t="s">
        <v>89</v>
      </c>
      <c r="B11" s="10"/>
      <c r="C11" s="89"/>
      <c r="D11" s="89"/>
      <c r="E11" s="25">
        <f>D51</f>
        <v>20000000</v>
      </c>
      <c r="G11" s="85" t="s">
        <v>67</v>
      </c>
      <c r="H11" s="75">
        <f>+D43</f>
        <v>1000000</v>
      </c>
      <c r="I11" s="283">
        <f>H11/$H$14</f>
        <v>5.7142857142857141E-2</v>
      </c>
      <c r="J11" s="75">
        <f>J43+J44</f>
        <v>3500000</v>
      </c>
      <c r="K11" s="283">
        <f>J11/$J$14</f>
        <v>9.7188938339229355E-2</v>
      </c>
    </row>
    <row r="12" spans="1:17" ht="15" customHeight="1">
      <c r="A12" s="24" t="s">
        <v>70</v>
      </c>
      <c r="B12" s="10"/>
      <c r="C12" s="89"/>
      <c r="D12" s="89"/>
      <c r="E12" s="244">
        <f>E8/E11</f>
        <v>0.3</v>
      </c>
      <c r="G12" s="85" t="s">
        <v>93</v>
      </c>
      <c r="H12" s="75"/>
      <c r="I12" s="283"/>
      <c r="J12" s="75">
        <f>SUM(J45:J48)</f>
        <v>6012328.7671232866</v>
      </c>
      <c r="K12" s="283">
        <f>J12/$J$14</f>
        <v>0.16695195709231997</v>
      </c>
      <c r="P12" s="22"/>
    </row>
    <row r="13" spans="1:17" ht="15" customHeight="1">
      <c r="A13" s="24"/>
      <c r="B13" s="10"/>
      <c r="C13" s="89"/>
      <c r="D13" s="89"/>
      <c r="E13" s="26"/>
      <c r="G13" s="85" t="s">
        <v>100</v>
      </c>
      <c r="H13" s="89"/>
      <c r="I13" s="290"/>
      <c r="J13" s="77">
        <f>+SUM(J49:J50)</f>
        <v>10000000</v>
      </c>
      <c r="K13" s="283">
        <f>J13/$J$14</f>
        <v>0.27768268096922671</v>
      </c>
    </row>
    <row r="14" spans="1:17" ht="15" customHeight="1">
      <c r="A14" s="70" t="s">
        <v>87</v>
      </c>
      <c r="B14" s="71"/>
      <c r="C14" s="72" t="s">
        <v>109</v>
      </c>
      <c r="D14" s="142" t="s">
        <v>86</v>
      </c>
      <c r="E14" s="143" t="s">
        <v>88</v>
      </c>
      <c r="G14" s="86" t="s">
        <v>69</v>
      </c>
      <c r="H14" s="78">
        <f>SUM(H9:H13)</f>
        <v>17500000</v>
      </c>
      <c r="I14" s="291">
        <f>SUM(I9:I13)</f>
        <v>1</v>
      </c>
      <c r="J14" s="78">
        <f>SUM(J9:J13)</f>
        <v>36012328.767123282</v>
      </c>
      <c r="K14" s="292">
        <f>SUM(K9:K13)</f>
        <v>1.0000000000000002</v>
      </c>
    </row>
    <row r="15" spans="1:17" ht="15" customHeight="1">
      <c r="A15" s="24" t="str">
        <f>+G19</f>
        <v>Angel #1</v>
      </c>
      <c r="B15" s="45"/>
      <c r="C15" s="69">
        <f>+'Convertible Notes'!B9</f>
        <v>250000</v>
      </c>
      <c r="D15" s="69">
        <f>+D24</f>
        <v>0</v>
      </c>
      <c r="E15" s="30">
        <f t="shared" ref="E15:E20" si="0">+SUM(C15:D15)</f>
        <v>250000</v>
      </c>
      <c r="F15" s="13"/>
      <c r="G15" s="13"/>
      <c r="H15" s="13"/>
      <c r="I15" s="13"/>
      <c r="J15" s="13"/>
      <c r="Q15" s="6"/>
    </row>
    <row r="16" spans="1:17" ht="15" customHeight="1">
      <c r="A16" s="24" t="str">
        <f>+G20</f>
        <v>Angel #2</v>
      </c>
      <c r="B16" s="45"/>
      <c r="C16" s="69">
        <f>+'Convertible Notes'!B10</f>
        <v>250000</v>
      </c>
      <c r="D16" s="69">
        <f>+D25</f>
        <v>0</v>
      </c>
      <c r="E16" s="30">
        <f t="shared" si="0"/>
        <v>250000</v>
      </c>
      <c r="G16" s="332" t="s">
        <v>22</v>
      </c>
      <c r="H16" s="251"/>
      <c r="I16" s="251"/>
      <c r="J16" s="251"/>
      <c r="K16" s="251"/>
      <c r="L16" s="251"/>
      <c r="M16" s="251"/>
      <c r="N16" s="251"/>
      <c r="O16" s="251"/>
      <c r="P16" s="333"/>
      <c r="Q16" s="252"/>
    </row>
    <row r="17" spans="1:28" ht="15" customHeight="1">
      <c r="A17" s="24" t="str">
        <f>+G21</f>
        <v>Angel #3</v>
      </c>
      <c r="B17" s="45"/>
      <c r="C17" s="69">
        <f>+'Convertible Notes'!B11</f>
        <v>250000</v>
      </c>
      <c r="D17" s="69">
        <f>+D26</f>
        <v>0</v>
      </c>
      <c r="E17" s="30">
        <f t="shared" si="0"/>
        <v>250000</v>
      </c>
      <c r="G17" s="334"/>
      <c r="H17" s="323" t="s">
        <v>14</v>
      </c>
      <c r="I17" s="323" t="s">
        <v>16</v>
      </c>
      <c r="J17" s="323" t="s">
        <v>16</v>
      </c>
      <c r="K17" s="323" t="s">
        <v>56</v>
      </c>
      <c r="L17" s="323" t="s">
        <v>25</v>
      </c>
      <c r="M17" s="323" t="s">
        <v>25</v>
      </c>
      <c r="N17" s="323" t="s">
        <v>56</v>
      </c>
      <c r="O17" s="323" t="s">
        <v>24</v>
      </c>
      <c r="P17" s="323" t="s">
        <v>20</v>
      </c>
      <c r="Q17" s="335" t="s">
        <v>31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5" customHeight="1">
      <c r="A18" s="24" t="str">
        <f>+G22</f>
        <v>Angels #4-10</v>
      </c>
      <c r="B18" s="45"/>
      <c r="C18" s="69">
        <f>+'Convertible Notes'!B24</f>
        <v>350000</v>
      </c>
      <c r="D18" s="69">
        <f>D27</f>
        <v>0</v>
      </c>
      <c r="E18" s="30">
        <f t="shared" si="0"/>
        <v>350000</v>
      </c>
      <c r="G18" s="334" t="s">
        <v>87</v>
      </c>
      <c r="H18" s="323" t="s">
        <v>15</v>
      </c>
      <c r="I18" s="323" t="s">
        <v>126</v>
      </c>
      <c r="J18" s="323" t="s">
        <v>131</v>
      </c>
      <c r="K18" s="323" t="s">
        <v>17</v>
      </c>
      <c r="L18" s="323" t="s">
        <v>18</v>
      </c>
      <c r="M18" s="323" t="s">
        <v>19</v>
      </c>
      <c r="N18" s="323" t="s">
        <v>58</v>
      </c>
      <c r="O18" s="323" t="s">
        <v>23</v>
      </c>
      <c r="P18" s="323" t="s">
        <v>21</v>
      </c>
      <c r="Q18" s="335" t="s">
        <v>32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5" customHeight="1">
      <c r="A19" s="24" t="str">
        <f>+A28</f>
        <v>Series A Lead Investor</v>
      </c>
      <c r="B19" s="45"/>
      <c r="C19" s="89"/>
      <c r="D19" s="69">
        <f>+D28</f>
        <v>2500000</v>
      </c>
      <c r="E19" s="30">
        <f t="shared" si="0"/>
        <v>2500000</v>
      </c>
      <c r="G19" s="24" t="str">
        <f>+'Convertible Notes'!A21</f>
        <v>Angel #1</v>
      </c>
      <c r="H19" s="170">
        <f>+'Convertible Notes'!K21</f>
        <v>273287.67123287672</v>
      </c>
      <c r="I19" s="177">
        <f>+'Convertible Notes'!E21</f>
        <v>0.2</v>
      </c>
      <c r="J19" s="69">
        <f>+'Convertible Notes'!F21</f>
        <v>4000000</v>
      </c>
      <c r="K19" s="178">
        <f>'Series A Cap Table'!$E$12</f>
        <v>0.3</v>
      </c>
      <c r="L19" s="178">
        <f>+(1-I19)*K19</f>
        <v>0.24</v>
      </c>
      <c r="M19" s="330">
        <f>+IF(J19/'Series A Cap Table'!$D$51=0,"n/a",J19/'Series A Cap Table'!$D$51)</f>
        <v>0.2</v>
      </c>
      <c r="N19" s="20">
        <f>+IFERROR(H19/MIN(K19,L19,M19),0)</f>
        <v>1366438.3561643835</v>
      </c>
      <c r="O19" s="69">
        <f>+N19*K19</f>
        <v>409931.50684931502</v>
      </c>
      <c r="P19" s="209">
        <f>+IFERROR(IF(MAX(-(M19-K19)/K19,-(L19-K19)/K19,0)=1,"n/a",MAX(-(M19-K19)/K19,-(L19-K19)/K19,0)),"n/a")</f>
        <v>0.33333333333333326</v>
      </c>
      <c r="Q19" s="310">
        <f>IFERROR(O19/'Convertible Notes'!B21,"n/a")</f>
        <v>1.63972602739726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5" customHeight="1">
      <c r="A20" s="24" t="str">
        <f>+A29</f>
        <v>Series A Other Investors</v>
      </c>
      <c r="B20" s="45"/>
      <c r="C20" s="89"/>
      <c r="D20" s="69">
        <f>+D29</f>
        <v>500000</v>
      </c>
      <c r="E20" s="30">
        <f t="shared" si="0"/>
        <v>500000</v>
      </c>
      <c r="G20" s="24" t="str">
        <f>+'Convertible Notes'!A22</f>
        <v>Angel #2</v>
      </c>
      <c r="H20" s="170">
        <f>+'Convertible Notes'!K22</f>
        <v>273287.67123287672</v>
      </c>
      <c r="I20" s="177">
        <f>+'Convertible Notes'!E22</f>
        <v>0.2</v>
      </c>
      <c r="J20" s="69">
        <f>+'Convertible Notes'!F22</f>
        <v>4000000</v>
      </c>
      <c r="K20" s="178">
        <f>'Series A Cap Table'!$E$12</f>
        <v>0.3</v>
      </c>
      <c r="L20" s="178">
        <f t="shared" ref="L20:L22" si="1">+(1-I20)*K20</f>
        <v>0.24</v>
      </c>
      <c r="M20" s="330">
        <f>+IF(J20/'Series A Cap Table'!$D$51=0,"n/a",J20/'Series A Cap Table'!$D$51)</f>
        <v>0.2</v>
      </c>
      <c r="N20" s="20">
        <f t="shared" ref="N20:N22" si="2">+IFERROR(H20/MIN(K20,L20,M20),0)</f>
        <v>1366438.3561643835</v>
      </c>
      <c r="O20" s="69">
        <f t="shared" ref="O20:O22" si="3">+N20*K20</f>
        <v>409931.50684931502</v>
      </c>
      <c r="P20" s="209">
        <f t="shared" ref="P20:P22" si="4">+IFERROR(IF(MAX(-(M20-K20)/K20,-(L20-K20)/K20,0)=1,"n/a",MAX(-(M20-K20)/K20,-(L20-K20)/K20,0)),"n/a")</f>
        <v>0.33333333333333326</v>
      </c>
      <c r="Q20" s="310">
        <f>IFERROR(O20/'Convertible Notes'!B22,"n/a")</f>
        <v>1.63972602739726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5" customHeight="1">
      <c r="A21" s="31" t="s">
        <v>85</v>
      </c>
      <c r="B21" s="64"/>
      <c r="C21" s="201">
        <f>SUM(C15:C20)</f>
        <v>1100000</v>
      </c>
      <c r="D21" s="201">
        <f>SUM(D15:D20)</f>
        <v>3000000</v>
      </c>
      <c r="E21" s="98">
        <f>SUM(E15:E20)</f>
        <v>4100000</v>
      </c>
      <c r="G21" s="24" t="str">
        <f>+'Convertible Notes'!A23</f>
        <v>Angel #3</v>
      </c>
      <c r="H21" s="170">
        <f>+'Convertible Notes'!K23</f>
        <v>273287.67123287672</v>
      </c>
      <c r="I21" s="177">
        <f>+'Convertible Notes'!E23</f>
        <v>0.2</v>
      </c>
      <c r="J21" s="69">
        <f>+'Convertible Notes'!F23</f>
        <v>4000000</v>
      </c>
      <c r="K21" s="178">
        <f>'Series A Cap Table'!$E$12</f>
        <v>0.3</v>
      </c>
      <c r="L21" s="178">
        <f>+(1-I21)*K21</f>
        <v>0.24</v>
      </c>
      <c r="M21" s="330">
        <f>+IF(J21/'Series A Cap Table'!$D$51=0,"n/a",J21/'Series A Cap Table'!$D$51)</f>
        <v>0.2</v>
      </c>
      <c r="N21" s="20">
        <f>+IFERROR(H21/MIN(K21,L21,M21),0)</f>
        <v>1366438.3561643835</v>
      </c>
      <c r="O21" s="69">
        <f>+N21*K21</f>
        <v>409931.50684931502</v>
      </c>
      <c r="P21" s="209">
        <f t="shared" si="4"/>
        <v>0.33333333333333326</v>
      </c>
      <c r="Q21" s="310">
        <f>IFERROR(O21/'Convertible Notes'!B23,"n/a")</f>
        <v>1.63972602739726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5" customHeight="1">
      <c r="A22" s="202"/>
      <c r="B22" s="22"/>
      <c r="C22" s="22"/>
      <c r="D22" s="22"/>
      <c r="E22" s="203"/>
      <c r="G22" s="311" t="str">
        <f>+'Convertible Notes'!A24</f>
        <v>Angels #4-10</v>
      </c>
      <c r="H22" s="312">
        <f>+'Convertible Notes'!K24</f>
        <v>382602.73972602736</v>
      </c>
      <c r="I22" s="313">
        <f>+'Convertible Notes'!E24</f>
        <v>0.2</v>
      </c>
      <c r="J22" s="314">
        <f>+'Convertible Notes'!F24</f>
        <v>4000000</v>
      </c>
      <c r="K22" s="315">
        <f>'Series A Cap Table'!$E$12</f>
        <v>0.3</v>
      </c>
      <c r="L22" s="315">
        <f t="shared" si="1"/>
        <v>0.24</v>
      </c>
      <c r="M22" s="331">
        <f>+IF(J22/'Series A Cap Table'!$D$51=0,"n/a",J22/'Series A Cap Table'!$D$51)</f>
        <v>0.2</v>
      </c>
      <c r="N22" s="316">
        <f t="shared" si="2"/>
        <v>1913013.6986301367</v>
      </c>
      <c r="O22" s="314">
        <f t="shared" si="3"/>
        <v>573904.10958904098</v>
      </c>
      <c r="P22" s="214">
        <f t="shared" si="4"/>
        <v>0.33333333333333326</v>
      </c>
      <c r="Q22" s="317">
        <f>IFERROR(O22/'Convertible Notes'!B24,"n/a")</f>
        <v>1.63972602739726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5" customHeight="1">
      <c r="A23" s="70" t="s">
        <v>87</v>
      </c>
      <c r="B23" s="71"/>
      <c r="C23" s="72" t="s">
        <v>109</v>
      </c>
      <c r="D23" s="142" t="s">
        <v>86</v>
      </c>
      <c r="E23" s="143" t="s">
        <v>88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5" customHeight="1">
      <c r="A24" s="24" t="str">
        <f>+G19</f>
        <v>Angel #1</v>
      </c>
      <c r="B24" s="10"/>
      <c r="C24" s="44">
        <f>+O19</f>
        <v>409931.50684931502</v>
      </c>
      <c r="D24" s="68">
        <v>0</v>
      </c>
      <c r="E24" s="30">
        <f t="shared" ref="E24:E29" si="5">+SUM(C24:D24)</f>
        <v>409931.50684931502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5" customHeight="1">
      <c r="A25" s="24" t="str">
        <f>+G20</f>
        <v>Angel #2</v>
      </c>
      <c r="B25" s="10"/>
      <c r="C25" s="44">
        <f>+O20</f>
        <v>409931.50684931502</v>
      </c>
      <c r="D25" s="68">
        <v>0</v>
      </c>
      <c r="E25" s="30">
        <f t="shared" si="5"/>
        <v>409931.50684931502</v>
      </c>
      <c r="U25" s="13"/>
      <c r="V25" s="13"/>
      <c r="W25" s="13"/>
      <c r="X25" s="13"/>
      <c r="Y25" s="13"/>
      <c r="Z25" s="13"/>
      <c r="AA25" s="13"/>
      <c r="AB25" s="13"/>
    </row>
    <row r="26" spans="1:28" ht="15" customHeight="1">
      <c r="A26" s="24" t="str">
        <f>+G21</f>
        <v>Angel #3</v>
      </c>
      <c r="B26" s="10"/>
      <c r="C26" s="44">
        <f>+O21</f>
        <v>409931.50684931502</v>
      </c>
      <c r="D26" s="68">
        <v>0</v>
      </c>
      <c r="E26" s="30">
        <f t="shared" si="5"/>
        <v>409931.50684931502</v>
      </c>
      <c r="U26" s="13"/>
      <c r="V26" s="13"/>
      <c r="W26" s="13"/>
      <c r="X26" s="13"/>
      <c r="Y26" s="13"/>
      <c r="Z26" s="13"/>
      <c r="AA26" s="13"/>
      <c r="AB26" s="13"/>
    </row>
    <row r="27" spans="1:28" ht="15" customHeight="1">
      <c r="A27" s="24" t="str">
        <f>+G22</f>
        <v>Angels #4-10</v>
      </c>
      <c r="B27" s="10"/>
      <c r="C27" s="44">
        <f>+O22</f>
        <v>573904.10958904098</v>
      </c>
      <c r="D27" s="68">
        <v>0</v>
      </c>
      <c r="E27" s="30">
        <f t="shared" si="5"/>
        <v>573904.10958904098</v>
      </c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5" customHeight="1">
      <c r="A28" s="153" t="s">
        <v>138</v>
      </c>
      <c r="B28" s="10"/>
      <c r="C28" s="89"/>
      <c r="D28" s="68">
        <v>2500000</v>
      </c>
      <c r="E28" s="30">
        <f t="shared" si="5"/>
        <v>2500000</v>
      </c>
      <c r="T28" s="10"/>
      <c r="U28" s="13"/>
      <c r="V28" s="13"/>
      <c r="W28" s="13"/>
      <c r="X28" s="13"/>
      <c r="Y28" s="13"/>
      <c r="Z28" s="13"/>
      <c r="AA28" s="13"/>
      <c r="AB28" s="13"/>
    </row>
    <row r="29" spans="1:28" ht="15" customHeight="1">
      <c r="A29" s="153" t="s">
        <v>0</v>
      </c>
      <c r="B29" s="10"/>
      <c r="C29" s="89"/>
      <c r="D29" s="68">
        <v>500000</v>
      </c>
      <c r="E29" s="30">
        <f t="shared" si="5"/>
        <v>500000</v>
      </c>
      <c r="T29" s="174"/>
      <c r="U29" s="13"/>
      <c r="V29" s="13"/>
      <c r="W29" s="13"/>
      <c r="X29" s="13"/>
      <c r="Y29" s="13"/>
      <c r="Z29" s="13"/>
      <c r="AA29" s="13"/>
      <c r="AB29" s="13"/>
    </row>
    <row r="30" spans="1:28" ht="15" customHeight="1">
      <c r="A30" s="29" t="s">
        <v>75</v>
      </c>
      <c r="B30" s="64"/>
      <c r="C30" s="201">
        <f>SUM(C24:C29)</f>
        <v>1803698.630136986</v>
      </c>
      <c r="D30" s="201">
        <f>SUM(D24:D29)</f>
        <v>3000000</v>
      </c>
      <c r="E30" s="98">
        <f>SUM(E24:E29)</f>
        <v>4803698.6301369863</v>
      </c>
      <c r="T30" s="175"/>
      <c r="U30" s="13"/>
      <c r="V30" s="13"/>
      <c r="W30" s="13"/>
      <c r="X30" s="13"/>
      <c r="Y30" s="13"/>
      <c r="Z30" s="13"/>
      <c r="AA30" s="13"/>
      <c r="AB30" s="13"/>
    </row>
    <row r="31" spans="1:28" ht="15" customHeight="1">
      <c r="A31" s="161" t="s">
        <v>53</v>
      </c>
      <c r="B31" s="162"/>
      <c r="C31" s="163"/>
      <c r="D31" s="163"/>
      <c r="E31" s="164">
        <f>J51*E12</f>
        <v>10803698.630136987</v>
      </c>
      <c r="T31" s="175"/>
      <c r="U31" s="13"/>
      <c r="V31" s="13"/>
      <c r="W31" s="13"/>
      <c r="X31" s="13"/>
      <c r="Y31" s="13"/>
      <c r="Z31" s="13"/>
      <c r="AA31" s="13"/>
      <c r="AB31" s="13"/>
    </row>
    <row r="32" spans="1:28" ht="15" customHeight="1" thickBot="1">
      <c r="A32" s="79"/>
      <c r="B32" s="13"/>
      <c r="C32" s="13"/>
      <c r="D32" s="13"/>
      <c r="E32" s="13"/>
      <c r="F32" s="12"/>
      <c r="G32" s="23"/>
      <c r="H32" s="23"/>
      <c r="I32" s="23"/>
      <c r="J32" s="2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13" ht="15" customHeight="1">
      <c r="A33" s="266" t="s">
        <v>55</v>
      </c>
      <c r="B33" s="267"/>
      <c r="C33" s="267"/>
      <c r="D33" s="267"/>
      <c r="E33" s="268"/>
      <c r="F33" s="264" t="s">
        <v>56</v>
      </c>
      <c r="G33" s="265"/>
      <c r="H33" s="265"/>
      <c r="I33" s="265"/>
      <c r="J33" s="276" t="s">
        <v>44</v>
      </c>
      <c r="K33" s="273"/>
    </row>
    <row r="34" spans="1:13" s="6" customFormat="1" ht="15" customHeight="1">
      <c r="A34" s="345" t="s">
        <v>54</v>
      </c>
      <c r="B34" s="15" t="s">
        <v>55</v>
      </c>
      <c r="C34" s="15" t="s">
        <v>55</v>
      </c>
      <c r="D34" s="15" t="s">
        <v>37</v>
      </c>
      <c r="E34" s="102" t="s">
        <v>95</v>
      </c>
      <c r="F34" s="106" t="s">
        <v>91</v>
      </c>
      <c r="G34" s="33" t="s">
        <v>35</v>
      </c>
      <c r="H34" s="33" t="s">
        <v>56</v>
      </c>
      <c r="I34" s="33" t="s">
        <v>94</v>
      </c>
      <c r="J34" s="277" t="s">
        <v>52</v>
      </c>
      <c r="K34" s="274" t="s">
        <v>64</v>
      </c>
    </row>
    <row r="35" spans="1:13" s="6" customFormat="1" ht="15" customHeight="1">
      <c r="A35" s="346"/>
      <c r="B35" s="17" t="s">
        <v>57</v>
      </c>
      <c r="C35" s="17" t="s">
        <v>63</v>
      </c>
      <c r="D35" s="17" t="s">
        <v>36</v>
      </c>
      <c r="E35" s="103" t="s">
        <v>36</v>
      </c>
      <c r="F35" s="107" t="s">
        <v>92</v>
      </c>
      <c r="G35" s="34" t="s">
        <v>23</v>
      </c>
      <c r="H35" s="34" t="s">
        <v>58</v>
      </c>
      <c r="I35" s="34" t="s">
        <v>56</v>
      </c>
      <c r="J35" s="278" t="s">
        <v>36</v>
      </c>
      <c r="K35" s="275" t="s">
        <v>65</v>
      </c>
    </row>
    <row r="36" spans="1:13" s="6" customFormat="1" ht="15" customHeight="1">
      <c r="A36" s="113" t="str">
        <f>'Pre-Investment Cap Table'!A10</f>
        <v>Employee #1</v>
      </c>
      <c r="B36" s="105">
        <f>'Pre-Investment Cap Table'!B10</f>
        <v>7500000</v>
      </c>
      <c r="C36" s="36">
        <f>'Pre-Investment Cap Table'!C10</f>
        <v>0</v>
      </c>
      <c r="D36" s="19">
        <f>B36+C36</f>
        <v>7500000</v>
      </c>
      <c r="E36" s="104">
        <f t="shared" ref="E36:E50" si="6">D36/$D$51</f>
        <v>0.375</v>
      </c>
      <c r="F36" s="338">
        <v>0</v>
      </c>
      <c r="G36" s="336">
        <v>0</v>
      </c>
      <c r="H36" s="37">
        <f t="shared" ref="H36:H44" si="7">(G36)/$E$12</f>
        <v>0</v>
      </c>
      <c r="I36" s="295">
        <f t="shared" ref="I36:I50" si="8">H36/$H$51</f>
        <v>0</v>
      </c>
      <c r="J36" s="279">
        <f t="shared" ref="J36:J50" si="9">H36+D36</f>
        <v>7500000</v>
      </c>
      <c r="K36" s="293">
        <f t="shared" ref="K36:K50" si="10">J36/$J$51</f>
        <v>0.20826201072691999</v>
      </c>
    </row>
    <row r="37" spans="1:13" s="6" customFormat="1" ht="15" customHeight="1">
      <c r="A37" s="114" t="str">
        <f>'Pre-Investment Cap Table'!A11</f>
        <v>Employee #2</v>
      </c>
      <c r="B37" s="50">
        <f>'Pre-Investment Cap Table'!B11</f>
        <v>1750000</v>
      </c>
      <c r="C37" s="36">
        <f>'Pre-Investment Cap Table'!C11</f>
        <v>2500000</v>
      </c>
      <c r="D37" s="19">
        <f t="shared" ref="D37:D50" si="11">B37+C37</f>
        <v>4250000</v>
      </c>
      <c r="E37" s="104">
        <f t="shared" si="6"/>
        <v>0.21249999999999999</v>
      </c>
      <c r="F37" s="108">
        <v>0</v>
      </c>
      <c r="G37" s="336">
        <v>0</v>
      </c>
      <c r="H37" s="37">
        <f t="shared" si="7"/>
        <v>0</v>
      </c>
      <c r="I37" s="295">
        <f t="shared" si="8"/>
        <v>0</v>
      </c>
      <c r="J37" s="279">
        <f t="shared" si="9"/>
        <v>4250000</v>
      </c>
      <c r="K37" s="293">
        <f t="shared" si="10"/>
        <v>0.11801513941192134</v>
      </c>
    </row>
    <row r="38" spans="1:13" s="6" customFormat="1" ht="15" customHeight="1">
      <c r="A38" s="114" t="str">
        <f>'Pre-Investment Cap Table'!A12</f>
        <v>Employee #3</v>
      </c>
      <c r="B38" s="50">
        <f>'Pre-Investment Cap Table'!B12</f>
        <v>0</v>
      </c>
      <c r="C38" s="36">
        <f>'Pre-Investment Cap Table'!C12</f>
        <v>2000000</v>
      </c>
      <c r="D38" s="19">
        <f t="shared" si="11"/>
        <v>2000000</v>
      </c>
      <c r="E38" s="104">
        <f t="shared" si="6"/>
        <v>0.1</v>
      </c>
      <c r="F38" s="108">
        <v>0</v>
      </c>
      <c r="G38" s="336">
        <v>0</v>
      </c>
      <c r="H38" s="37">
        <f t="shared" si="7"/>
        <v>0</v>
      </c>
      <c r="I38" s="295">
        <f t="shared" si="8"/>
        <v>0</v>
      </c>
      <c r="J38" s="279">
        <f t="shared" si="9"/>
        <v>2000000</v>
      </c>
      <c r="K38" s="293">
        <f t="shared" si="10"/>
        <v>5.5536536193845333E-2</v>
      </c>
    </row>
    <row r="39" spans="1:13" s="6" customFormat="1" ht="15" customHeight="1">
      <c r="A39" s="114" t="str">
        <f>'Pre-Investment Cap Table'!A13</f>
        <v>Other Employees</v>
      </c>
      <c r="B39" s="50">
        <f>'Pre-Investment Cap Table'!B13</f>
        <v>750000</v>
      </c>
      <c r="C39" s="36">
        <f>'Pre-Investment Cap Table'!C13</f>
        <v>1800000</v>
      </c>
      <c r="D39" s="19">
        <f>B39+C39</f>
        <v>2550000</v>
      </c>
      <c r="E39" s="104">
        <f t="shared" si="6"/>
        <v>0.1275</v>
      </c>
      <c r="F39" s="108">
        <v>0</v>
      </c>
      <c r="G39" s="336">
        <v>0</v>
      </c>
      <c r="H39" s="37">
        <f t="shared" si="7"/>
        <v>0</v>
      </c>
      <c r="I39" s="295">
        <f t="shared" si="8"/>
        <v>0</v>
      </c>
      <c r="J39" s="279">
        <f t="shared" si="9"/>
        <v>2550000</v>
      </c>
      <c r="K39" s="293">
        <f t="shared" si="10"/>
        <v>7.0809083647152798E-2</v>
      </c>
      <c r="M39" s="63"/>
    </row>
    <row r="40" spans="1:13" s="6" customFormat="1" ht="15" customHeight="1">
      <c r="A40" s="114" t="str">
        <f>'Pre-Investment Cap Table'!A14</f>
        <v>Advisor #1</v>
      </c>
      <c r="B40" s="50">
        <f>'Pre-Investment Cap Table'!B14</f>
        <v>0</v>
      </c>
      <c r="C40" s="36">
        <f>'Pre-Investment Cap Table'!C14</f>
        <v>50000</v>
      </c>
      <c r="D40" s="19">
        <f t="shared" si="11"/>
        <v>50000</v>
      </c>
      <c r="E40" s="104">
        <f t="shared" si="6"/>
        <v>2.5000000000000001E-3</v>
      </c>
      <c r="F40" s="108">
        <v>0</v>
      </c>
      <c r="G40" s="336">
        <v>0</v>
      </c>
      <c r="H40" s="37">
        <f t="shared" si="7"/>
        <v>0</v>
      </c>
      <c r="I40" s="295">
        <f t="shared" si="8"/>
        <v>0</v>
      </c>
      <c r="J40" s="279">
        <f t="shared" si="9"/>
        <v>50000</v>
      </c>
      <c r="K40" s="293">
        <f t="shared" si="10"/>
        <v>1.3884134048461332E-3</v>
      </c>
    </row>
    <row r="41" spans="1:13" s="6" customFormat="1" ht="15" customHeight="1">
      <c r="A41" s="114" t="str">
        <f>'Pre-Investment Cap Table'!A15</f>
        <v>Advisor #2</v>
      </c>
      <c r="B41" s="50">
        <f>'Pre-Investment Cap Table'!B15</f>
        <v>0</v>
      </c>
      <c r="C41" s="36">
        <f>'Pre-Investment Cap Table'!C15</f>
        <v>50000</v>
      </c>
      <c r="D41" s="19">
        <f t="shared" si="11"/>
        <v>50000</v>
      </c>
      <c r="E41" s="104">
        <f t="shared" si="6"/>
        <v>2.5000000000000001E-3</v>
      </c>
      <c r="F41" s="108">
        <v>0</v>
      </c>
      <c r="G41" s="336">
        <v>0</v>
      </c>
      <c r="H41" s="37">
        <f t="shared" si="7"/>
        <v>0</v>
      </c>
      <c r="I41" s="295">
        <f t="shared" si="8"/>
        <v>0</v>
      </c>
      <c r="J41" s="279">
        <f t="shared" si="9"/>
        <v>50000</v>
      </c>
      <c r="K41" s="293">
        <f t="shared" si="10"/>
        <v>1.3884134048461332E-3</v>
      </c>
    </row>
    <row r="42" spans="1:13" s="6" customFormat="1" ht="15" customHeight="1">
      <c r="A42" s="114" t="str">
        <f>'Pre-Investment Cap Table'!A16</f>
        <v>Consultant #1</v>
      </c>
      <c r="B42" s="50">
        <f>'Pre-Investment Cap Table'!B16</f>
        <v>0</v>
      </c>
      <c r="C42" s="36">
        <f>'Pre-Investment Cap Table'!C16</f>
        <v>100000</v>
      </c>
      <c r="D42" s="19">
        <f t="shared" si="11"/>
        <v>100000</v>
      </c>
      <c r="E42" s="104">
        <f t="shared" si="6"/>
        <v>5.0000000000000001E-3</v>
      </c>
      <c r="F42" s="108">
        <v>0</v>
      </c>
      <c r="G42" s="336">
        <v>0</v>
      </c>
      <c r="H42" s="37">
        <f t="shared" si="7"/>
        <v>0</v>
      </c>
      <c r="I42" s="295">
        <f t="shared" si="8"/>
        <v>0</v>
      </c>
      <c r="J42" s="279">
        <f t="shared" si="9"/>
        <v>100000</v>
      </c>
      <c r="K42" s="293">
        <f t="shared" si="10"/>
        <v>2.7768268096922664E-3</v>
      </c>
      <c r="L42" s="159"/>
    </row>
    <row r="43" spans="1:13" s="6" customFormat="1" ht="15" customHeight="1">
      <c r="A43" s="114" t="str">
        <f>'Pre-Investment Cap Table'!A17</f>
        <v>Pre-Investment Option Pool</v>
      </c>
      <c r="B43" s="50">
        <f>'Pre-Investment Cap Table'!B17</f>
        <v>0</v>
      </c>
      <c r="C43" s="36">
        <f>'Pre-Investment Cap Table'!C17</f>
        <v>1000000</v>
      </c>
      <c r="D43" s="19">
        <f t="shared" si="11"/>
        <v>1000000</v>
      </c>
      <c r="E43" s="104">
        <f t="shared" si="6"/>
        <v>0.05</v>
      </c>
      <c r="F43" s="108">
        <v>0</v>
      </c>
      <c r="G43" s="336">
        <v>0</v>
      </c>
      <c r="H43" s="37">
        <f t="shared" si="7"/>
        <v>0</v>
      </c>
      <c r="I43" s="295">
        <f t="shared" si="8"/>
        <v>0</v>
      </c>
      <c r="J43" s="279">
        <f t="shared" si="9"/>
        <v>1000000</v>
      </c>
      <c r="K43" s="293">
        <f t="shared" si="10"/>
        <v>2.7768268096922667E-2</v>
      </c>
      <c r="M43" s="63"/>
    </row>
    <row r="44" spans="1:13" s="6" customFormat="1" ht="15" customHeight="1">
      <c r="A44" s="114" t="s">
        <v>105</v>
      </c>
      <c r="B44" s="39">
        <v>0</v>
      </c>
      <c r="C44" s="39">
        <f>E9</f>
        <v>2500000</v>
      </c>
      <c r="D44" s="19">
        <f t="shared" si="11"/>
        <v>2500000</v>
      </c>
      <c r="E44" s="104">
        <f t="shared" si="6"/>
        <v>0.125</v>
      </c>
      <c r="F44" s="108">
        <v>0</v>
      </c>
      <c r="G44" s="336">
        <v>0</v>
      </c>
      <c r="H44" s="37">
        <f t="shared" si="7"/>
        <v>0</v>
      </c>
      <c r="I44" s="295">
        <f t="shared" si="8"/>
        <v>0</v>
      </c>
      <c r="J44" s="279">
        <f t="shared" si="9"/>
        <v>2500000</v>
      </c>
      <c r="K44" s="293">
        <f t="shared" si="10"/>
        <v>6.9420670242306665E-2</v>
      </c>
      <c r="M44" s="63"/>
    </row>
    <row r="45" spans="1:13" s="6" customFormat="1" ht="15" customHeight="1">
      <c r="A45" s="154" t="str">
        <f t="shared" ref="A45:A50" si="12">+A24</f>
        <v>Angel #1</v>
      </c>
      <c r="B45" s="39">
        <v>0</v>
      </c>
      <c r="C45" s="39">
        <v>0</v>
      </c>
      <c r="D45" s="19">
        <f t="shared" si="11"/>
        <v>0</v>
      </c>
      <c r="E45" s="104">
        <f t="shared" si="6"/>
        <v>0</v>
      </c>
      <c r="F45" s="108">
        <f t="shared" ref="F45:F50" si="13">+E15</f>
        <v>250000</v>
      </c>
      <c r="G45" s="336">
        <f t="shared" ref="G45:G50" si="14">E24</f>
        <v>409931.50684931502</v>
      </c>
      <c r="H45" s="37">
        <f>(G45)/$E$12</f>
        <v>1366438.3561643835</v>
      </c>
      <c r="I45" s="295">
        <f t="shared" si="8"/>
        <v>8.5336641286679782E-2</v>
      </c>
      <c r="J45" s="279">
        <f t="shared" si="9"/>
        <v>1366438.3561643835</v>
      </c>
      <c r="K45" s="293">
        <f t="shared" si="10"/>
        <v>3.79436266118909E-2</v>
      </c>
      <c r="M45" s="63"/>
    </row>
    <row r="46" spans="1:13" s="6" customFormat="1" ht="15" customHeight="1">
      <c r="A46" s="154" t="str">
        <f t="shared" si="12"/>
        <v>Angel #2</v>
      </c>
      <c r="B46" s="39">
        <v>0</v>
      </c>
      <c r="C46" s="39">
        <v>0</v>
      </c>
      <c r="D46" s="19">
        <f t="shared" si="11"/>
        <v>0</v>
      </c>
      <c r="E46" s="104">
        <f t="shared" si="6"/>
        <v>0</v>
      </c>
      <c r="F46" s="108">
        <f t="shared" si="13"/>
        <v>250000</v>
      </c>
      <c r="G46" s="336">
        <f t="shared" si="14"/>
        <v>409931.50684931502</v>
      </c>
      <c r="H46" s="37">
        <f t="shared" ref="H46:H50" si="15">(G46)/$E$12</f>
        <v>1366438.3561643835</v>
      </c>
      <c r="I46" s="295">
        <f t="shared" si="8"/>
        <v>8.5336641286679782E-2</v>
      </c>
      <c r="J46" s="279">
        <f t="shared" si="9"/>
        <v>1366438.3561643835</v>
      </c>
      <c r="K46" s="293">
        <f t="shared" si="10"/>
        <v>3.79436266118909E-2</v>
      </c>
      <c r="M46" s="63"/>
    </row>
    <row r="47" spans="1:13" s="6" customFormat="1" ht="15" customHeight="1">
      <c r="A47" s="154" t="str">
        <f t="shared" si="12"/>
        <v>Angel #3</v>
      </c>
      <c r="B47" s="39">
        <v>0</v>
      </c>
      <c r="C47" s="39">
        <v>0</v>
      </c>
      <c r="D47" s="19">
        <f>B47+C47</f>
        <v>0</v>
      </c>
      <c r="E47" s="104">
        <f t="shared" si="6"/>
        <v>0</v>
      </c>
      <c r="F47" s="108">
        <f t="shared" si="13"/>
        <v>250000</v>
      </c>
      <c r="G47" s="336">
        <f t="shared" si="14"/>
        <v>409931.50684931502</v>
      </c>
      <c r="H47" s="37">
        <f t="shared" si="15"/>
        <v>1366438.3561643835</v>
      </c>
      <c r="I47" s="295">
        <f t="shared" si="8"/>
        <v>8.5336641286679782E-2</v>
      </c>
      <c r="J47" s="279">
        <f t="shared" si="9"/>
        <v>1366438.3561643835</v>
      </c>
      <c r="K47" s="293">
        <f t="shared" si="10"/>
        <v>3.79436266118909E-2</v>
      </c>
      <c r="M47" s="63"/>
    </row>
    <row r="48" spans="1:13" s="6" customFormat="1" ht="15" customHeight="1">
      <c r="A48" s="154" t="str">
        <f t="shared" si="12"/>
        <v>Angels #4-10</v>
      </c>
      <c r="B48" s="39">
        <v>0</v>
      </c>
      <c r="C48" s="39">
        <v>0</v>
      </c>
      <c r="D48" s="19">
        <f>B48+C48</f>
        <v>0</v>
      </c>
      <c r="E48" s="104">
        <f t="shared" si="6"/>
        <v>0</v>
      </c>
      <c r="F48" s="108">
        <f t="shared" si="13"/>
        <v>350000</v>
      </c>
      <c r="G48" s="336">
        <f t="shared" si="14"/>
        <v>573904.10958904098</v>
      </c>
      <c r="H48" s="37">
        <f t="shared" si="15"/>
        <v>1913013.6986301367</v>
      </c>
      <c r="I48" s="295">
        <f t="shared" si="8"/>
        <v>0.11947129780135168</v>
      </c>
      <c r="J48" s="279">
        <f t="shared" si="9"/>
        <v>1913013.6986301367</v>
      </c>
      <c r="K48" s="293">
        <f t="shared" si="10"/>
        <v>5.3121077256647255E-2</v>
      </c>
    </row>
    <row r="49" spans="1:31" s="6" customFormat="1" ht="15" customHeight="1">
      <c r="A49" s="154" t="str">
        <f t="shared" si="12"/>
        <v>Series A Lead Investor</v>
      </c>
      <c r="B49" s="39">
        <v>0</v>
      </c>
      <c r="C49" s="39">
        <v>0</v>
      </c>
      <c r="D49" s="19">
        <f t="shared" si="11"/>
        <v>0</v>
      </c>
      <c r="E49" s="104">
        <f t="shared" si="6"/>
        <v>0</v>
      </c>
      <c r="F49" s="108">
        <f t="shared" si="13"/>
        <v>2500000</v>
      </c>
      <c r="G49" s="336">
        <f t="shared" si="14"/>
        <v>2500000</v>
      </c>
      <c r="H49" s="37">
        <f t="shared" si="15"/>
        <v>8333333.333333334</v>
      </c>
      <c r="I49" s="295">
        <f t="shared" si="8"/>
        <v>0.52043231528217415</v>
      </c>
      <c r="J49" s="279">
        <f t="shared" si="9"/>
        <v>8333333.333333334</v>
      </c>
      <c r="K49" s="293">
        <f t="shared" si="10"/>
        <v>0.23140223414102223</v>
      </c>
    </row>
    <row r="50" spans="1:31" s="6" customFormat="1" ht="15" customHeight="1" thickBot="1">
      <c r="A50" s="154" t="str">
        <f t="shared" si="12"/>
        <v>Series A Other Investors</v>
      </c>
      <c r="B50" s="39">
        <v>0</v>
      </c>
      <c r="C50" s="39">
        <v>0</v>
      </c>
      <c r="D50" s="19">
        <f t="shared" si="11"/>
        <v>0</v>
      </c>
      <c r="E50" s="104">
        <f t="shared" si="6"/>
        <v>0</v>
      </c>
      <c r="F50" s="108">
        <f t="shared" si="13"/>
        <v>500000</v>
      </c>
      <c r="G50" s="336">
        <f t="shared" si="14"/>
        <v>500000</v>
      </c>
      <c r="H50" s="37">
        <f t="shared" si="15"/>
        <v>1666666.6666666667</v>
      </c>
      <c r="I50" s="295">
        <f t="shared" si="8"/>
        <v>0.10408646305643483</v>
      </c>
      <c r="J50" s="279">
        <f t="shared" si="9"/>
        <v>1666666.6666666667</v>
      </c>
      <c r="K50" s="293">
        <f t="shared" si="10"/>
        <v>4.6280446828204445E-2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5" customHeight="1" thickBot="1">
      <c r="A51" s="116" t="s">
        <v>52</v>
      </c>
      <c r="B51" s="111">
        <f>SUM(B36:B43)</f>
        <v>10000000</v>
      </c>
      <c r="C51" s="111">
        <f>SUM(C36:C44)</f>
        <v>10000000</v>
      </c>
      <c r="D51" s="111">
        <f>SUM(D36:D50)</f>
        <v>20000000</v>
      </c>
      <c r="E51" s="112">
        <f>SUM(E36:E50)</f>
        <v>0.99999999999999989</v>
      </c>
      <c r="F51" s="109">
        <f t="shared" ref="F51:K51" si="16">SUM(F36:F50)</f>
        <v>4100000</v>
      </c>
      <c r="G51" s="337">
        <f t="shared" si="16"/>
        <v>4803698.6301369863</v>
      </c>
      <c r="H51" s="110">
        <f t="shared" si="16"/>
        <v>16012328.767123288</v>
      </c>
      <c r="I51" s="296">
        <f t="shared" si="16"/>
        <v>1</v>
      </c>
      <c r="J51" s="280">
        <f t="shared" si="16"/>
        <v>36012328.767123289</v>
      </c>
      <c r="K51" s="294">
        <f t="shared" si="16"/>
        <v>1</v>
      </c>
    </row>
    <row r="52" spans="1:31" ht="15" customHeight="1">
      <c r="A52" s="79"/>
      <c r="D52" s="13"/>
      <c r="E52" s="13"/>
      <c r="I52" s="13"/>
      <c r="J52" s="13"/>
      <c r="K52" s="13"/>
    </row>
    <row r="53" spans="1:31" ht="15" customHeight="1">
      <c r="D53" s="13"/>
      <c r="E53" s="13"/>
      <c r="I53" s="40"/>
      <c r="J53" s="13"/>
      <c r="K53" s="13"/>
    </row>
    <row r="54" spans="1:31" ht="15" customHeight="1">
      <c r="D54" s="13"/>
      <c r="E54" s="13"/>
      <c r="I54" s="40"/>
      <c r="J54" s="13"/>
      <c r="K54" s="13"/>
    </row>
    <row r="55" spans="1:31" ht="13.75">
      <c r="D55" s="13"/>
      <c r="E55" s="13"/>
      <c r="I55" s="13"/>
      <c r="J55" s="13"/>
      <c r="K55" s="13"/>
    </row>
    <row r="56" spans="1:31" ht="13.75">
      <c r="D56" s="13"/>
      <c r="E56" s="13"/>
      <c r="I56" s="13"/>
      <c r="J56" s="13"/>
      <c r="K56" s="13"/>
    </row>
    <row r="57" spans="1:31" ht="13.75">
      <c r="D57" s="13"/>
      <c r="E57" s="13"/>
      <c r="I57" s="13"/>
      <c r="J57" s="13"/>
      <c r="K57" s="13"/>
    </row>
    <row r="58" spans="1:31" ht="13.75">
      <c r="A58" s="13"/>
      <c r="B58" s="13"/>
      <c r="C58" s="13"/>
      <c r="D58" s="13"/>
      <c r="E58" s="13"/>
      <c r="I58" s="13"/>
      <c r="J58" s="13"/>
    </row>
    <row r="59" spans="1:31" ht="13.75">
      <c r="B59" s="13"/>
      <c r="C59" s="13"/>
      <c r="D59" s="13"/>
      <c r="E59" s="13"/>
      <c r="I59" s="13"/>
      <c r="J59" s="13"/>
    </row>
    <row r="68" spans="4:4">
      <c r="D68" s="43"/>
    </row>
  </sheetData>
  <sheetCalcPr fullCalcOnLoad="1"/>
  <mergeCells count="1">
    <mergeCell ref="A34:A35"/>
  </mergeCells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5" tint="-0.249977111117893"/>
  </sheetPr>
  <dimension ref="A1:Q57"/>
  <sheetViews>
    <sheetView showGridLines="0" workbookViewId="0"/>
  </sheetViews>
  <sheetFormatPr baseColWidth="10" defaultColWidth="9" defaultRowHeight="12"/>
  <cols>
    <col min="1" max="1" width="22.5703125" style="7" customWidth="1"/>
    <col min="2" max="16" width="13" style="7" customWidth="1"/>
    <col min="17" max="16384" width="9" style="7"/>
  </cols>
  <sheetData>
    <row r="1" spans="1:16" ht="18">
      <c r="A1" s="4"/>
      <c r="B1" s="5"/>
      <c r="C1" s="5"/>
      <c r="D1" s="5"/>
      <c r="E1" s="5"/>
      <c r="F1" s="5"/>
      <c r="G1" s="5"/>
      <c r="H1" s="5"/>
      <c r="I1" s="5"/>
      <c r="J1" s="5"/>
      <c r="L1" s="5"/>
      <c r="M1" s="5"/>
      <c r="N1" s="5"/>
      <c r="O1" s="5"/>
      <c r="P1" s="5"/>
    </row>
    <row r="2" spans="1:16">
      <c r="A2" s="8"/>
      <c r="B2" s="5"/>
      <c r="C2" s="5"/>
      <c r="D2" s="5"/>
      <c r="E2" s="5"/>
      <c r="F2" s="5"/>
      <c r="G2" s="5"/>
      <c r="H2" s="5"/>
      <c r="I2" s="5"/>
      <c r="J2" s="5"/>
      <c r="L2" s="5"/>
      <c r="M2" s="5"/>
      <c r="N2" s="5"/>
      <c r="O2" s="5"/>
      <c r="P2" s="5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L3" s="5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L4" s="5"/>
      <c r="M4" s="5"/>
      <c r="N4" s="5"/>
      <c r="O4" s="5"/>
      <c r="P4" s="5"/>
    </row>
    <row r="5" spans="1:16" ht="13.75">
      <c r="A5" s="9"/>
      <c r="B5" s="6"/>
      <c r="C5" s="6"/>
      <c r="D5" s="6"/>
      <c r="E5" s="160"/>
      <c r="F5" s="5"/>
      <c r="G5" s="5"/>
      <c r="H5" s="5"/>
      <c r="I5" s="5"/>
      <c r="J5" s="5"/>
      <c r="L5" s="5"/>
      <c r="M5" s="5"/>
      <c r="N5" s="5"/>
      <c r="O5" s="5"/>
      <c r="P5" s="5"/>
    </row>
    <row r="6" spans="1:16" ht="15" customHeight="1">
      <c r="A6" s="81" t="s">
        <v>74</v>
      </c>
      <c r="B6" s="81"/>
      <c r="C6" s="81"/>
      <c r="D6" s="82"/>
      <c r="E6" s="12"/>
      <c r="F6" s="87" t="s">
        <v>102</v>
      </c>
      <c r="G6" s="251" t="s">
        <v>118</v>
      </c>
      <c r="H6" s="252"/>
      <c r="I6" s="253" t="s">
        <v>119</v>
      </c>
      <c r="J6" s="254"/>
      <c r="K6" s="257" t="s">
        <v>104</v>
      </c>
      <c r="L6" s="258"/>
      <c r="M6" s="13"/>
      <c r="N6" s="23"/>
      <c r="O6" s="23"/>
    </row>
    <row r="7" spans="1:16" ht="15" customHeight="1">
      <c r="A7" s="24" t="s">
        <v>110</v>
      </c>
      <c r="B7" s="12"/>
      <c r="C7" s="12"/>
      <c r="D7" s="27">
        <f>'Series A Cap Table'!E31</f>
        <v>10803698.630136987</v>
      </c>
      <c r="F7" s="87" t="s">
        <v>101</v>
      </c>
      <c r="G7" s="145" t="s">
        <v>116</v>
      </c>
      <c r="H7" s="146"/>
      <c r="I7" s="147" t="s">
        <v>120</v>
      </c>
      <c r="J7" s="150"/>
      <c r="K7" s="148" t="s">
        <v>117</v>
      </c>
      <c r="L7" s="149"/>
      <c r="M7" s="13"/>
      <c r="N7" s="23"/>
      <c r="O7" s="23"/>
    </row>
    <row r="8" spans="1:16" ht="15" customHeight="1">
      <c r="A8" s="24" t="s">
        <v>111</v>
      </c>
      <c r="B8" s="12"/>
      <c r="C8" s="12"/>
      <c r="D8" s="168">
        <f>(D9-D7)/D7</f>
        <v>0.71237653264356438</v>
      </c>
      <c r="E8" s="12"/>
      <c r="F8" s="88"/>
      <c r="G8" s="131" t="s">
        <v>96</v>
      </c>
      <c r="H8" s="132" t="s">
        <v>68</v>
      </c>
      <c r="I8" s="34" t="s">
        <v>96</v>
      </c>
      <c r="J8" s="35" t="s">
        <v>68</v>
      </c>
      <c r="K8" s="47" t="s">
        <v>96</v>
      </c>
      <c r="L8" s="48" t="s">
        <v>68</v>
      </c>
      <c r="M8" s="13"/>
      <c r="N8" s="23"/>
      <c r="O8" s="23"/>
    </row>
    <row r="9" spans="1:16" ht="15" customHeight="1">
      <c r="A9" s="24" t="s">
        <v>112</v>
      </c>
      <c r="B9" s="89"/>
      <c r="C9" s="89"/>
      <c r="D9" s="167">
        <v>18500000</v>
      </c>
      <c r="E9" s="12"/>
      <c r="F9" s="84" t="s">
        <v>66</v>
      </c>
      <c r="G9" s="75">
        <f>SUM(D30:D33)</f>
        <v>16300000</v>
      </c>
      <c r="H9" s="282">
        <f>G9/$G$15</f>
        <v>0.93142857142857138</v>
      </c>
      <c r="I9" s="75">
        <f>'Series A Cap Table'!J9</f>
        <v>16300000</v>
      </c>
      <c r="J9" s="286">
        <f t="shared" ref="J9:J14" si="0">I9/$I$15</f>
        <v>0.45262276997983952</v>
      </c>
      <c r="K9" s="271">
        <f>+SUM(K30:K33)</f>
        <v>16300000</v>
      </c>
      <c r="L9" s="283">
        <f t="shared" ref="L9:L14" si="1">K9/$K$15</f>
        <v>0.27964143436417038</v>
      </c>
      <c r="M9" s="13"/>
      <c r="N9" s="23"/>
      <c r="O9" s="23"/>
    </row>
    <row r="10" spans="1:16" ht="15" customHeight="1">
      <c r="A10" s="24" t="s">
        <v>123</v>
      </c>
      <c r="B10" s="89"/>
      <c r="C10" s="89"/>
      <c r="D10" s="74">
        <v>2500000</v>
      </c>
      <c r="E10" s="12"/>
      <c r="F10" s="85" t="s">
        <v>34</v>
      </c>
      <c r="G10" s="75">
        <f>SUM(D34:D36)</f>
        <v>200000</v>
      </c>
      <c r="H10" s="283">
        <f>G10/$G$15</f>
        <v>1.1428571428571429E-2</v>
      </c>
      <c r="I10" s="75">
        <f>'Series A Cap Table'!J10</f>
        <v>200000</v>
      </c>
      <c r="J10" s="286">
        <f t="shared" si="0"/>
        <v>5.5536536193845345E-3</v>
      </c>
      <c r="K10" s="271">
        <f>+SUM(K34:K36)</f>
        <v>200000</v>
      </c>
      <c r="L10" s="283">
        <f t="shared" si="1"/>
        <v>3.4311832437321521E-3</v>
      </c>
      <c r="M10" s="13"/>
      <c r="N10" s="23"/>
      <c r="O10" s="23"/>
    </row>
    <row r="11" spans="1:16" ht="15" customHeight="1">
      <c r="A11" s="24" t="s">
        <v>45</v>
      </c>
      <c r="B11" s="22"/>
      <c r="C11" s="22"/>
      <c r="D11" s="168">
        <f>L11</f>
        <v>0.10293549731196457</v>
      </c>
      <c r="E11" s="12"/>
      <c r="F11" s="85" t="s">
        <v>67</v>
      </c>
      <c r="G11" s="75">
        <f>+D37</f>
        <v>1000000</v>
      </c>
      <c r="H11" s="283">
        <f>G11/$G$15</f>
        <v>5.7142857142857141E-2</v>
      </c>
      <c r="I11" s="75">
        <f>'Series A Cap Table'!J11</f>
        <v>3500000</v>
      </c>
      <c r="J11" s="286">
        <f t="shared" si="0"/>
        <v>9.7188938339229355E-2</v>
      </c>
      <c r="K11" s="271">
        <f>+SUM(K37:K39)</f>
        <v>6000000</v>
      </c>
      <c r="L11" s="283">
        <f t="shared" si="1"/>
        <v>0.10293549731196457</v>
      </c>
      <c r="M11" s="13"/>
      <c r="N11" s="23"/>
      <c r="O11" s="23"/>
    </row>
    <row r="12" spans="1:16" ht="15" customHeight="1">
      <c r="A12" s="24" t="s">
        <v>97</v>
      </c>
      <c r="B12" s="89"/>
      <c r="C12" s="89"/>
      <c r="D12" s="25">
        <f>D48+F48</f>
        <v>38512328.767123289</v>
      </c>
      <c r="E12" s="13"/>
      <c r="F12" s="85" t="s">
        <v>93</v>
      </c>
      <c r="G12" s="75"/>
      <c r="H12" s="283"/>
      <c r="I12" s="75">
        <f>'Series A Cap Table'!J12</f>
        <v>6012328.7671232866</v>
      </c>
      <c r="J12" s="286">
        <f t="shared" si="0"/>
        <v>0.16695195709231997</v>
      </c>
      <c r="K12" s="271">
        <f>+SUM(K40:K43)</f>
        <v>6012328.7671232866</v>
      </c>
      <c r="L12" s="283">
        <f t="shared" si="1"/>
        <v>0.10314700860781105</v>
      </c>
      <c r="M12" s="13"/>
      <c r="N12" s="23"/>
      <c r="O12" s="23"/>
    </row>
    <row r="13" spans="1:16" ht="15" customHeight="1">
      <c r="A13" s="24" t="s">
        <v>70</v>
      </c>
      <c r="B13" s="89"/>
      <c r="C13" s="89"/>
      <c r="D13" s="26">
        <f>D9/D12</f>
        <v>0.48036565412250121</v>
      </c>
      <c r="E13" s="13"/>
      <c r="F13" s="85" t="s">
        <v>100</v>
      </c>
      <c r="G13" s="75"/>
      <c r="H13" s="283"/>
      <c r="I13" s="75">
        <f>'Series A Cap Table'!J13</f>
        <v>10000000</v>
      </c>
      <c r="J13" s="286">
        <f t="shared" si="0"/>
        <v>0.27768268096922671</v>
      </c>
      <c r="K13" s="271">
        <f>+SUM(K44:K45)</f>
        <v>12081747.500925584</v>
      </c>
      <c r="L13" s="283">
        <f t="shared" si="1"/>
        <v>0.20727344790089333</v>
      </c>
      <c r="M13" s="13"/>
      <c r="N13" s="23"/>
      <c r="O13" s="23"/>
    </row>
    <row r="14" spans="1:16" ht="15" customHeight="1">
      <c r="A14" s="202"/>
      <c r="B14" s="22"/>
      <c r="C14" s="22"/>
      <c r="D14" s="203"/>
      <c r="E14" s="13"/>
      <c r="F14" s="85" t="s">
        <v>103</v>
      </c>
      <c r="G14" s="101"/>
      <c r="H14" s="284"/>
      <c r="I14" s="75">
        <v>0</v>
      </c>
      <c r="J14" s="287">
        <f t="shared" si="0"/>
        <v>0</v>
      </c>
      <c r="K14" s="101">
        <f>+SUM(K46:K47)</f>
        <v>17694853.757867459</v>
      </c>
      <c r="L14" s="284">
        <f t="shared" si="1"/>
        <v>0.30357142857142866</v>
      </c>
      <c r="M14" s="13"/>
      <c r="N14" s="23"/>
      <c r="O14" s="23"/>
    </row>
    <row r="15" spans="1:16" ht="15" customHeight="1">
      <c r="A15" s="70" t="s">
        <v>87</v>
      </c>
      <c r="B15" s="206"/>
      <c r="C15" s="206"/>
      <c r="D15" s="143" t="s">
        <v>86</v>
      </c>
      <c r="E15" s="13"/>
      <c r="F15" s="86" t="s">
        <v>69</v>
      </c>
      <c r="G15" s="100">
        <f t="shared" ref="G15:L15" si="2">SUM(G9:G14)</f>
        <v>17500000</v>
      </c>
      <c r="H15" s="285">
        <f t="shared" si="2"/>
        <v>1</v>
      </c>
      <c r="I15" s="256">
        <f t="shared" si="2"/>
        <v>36012328.767123282</v>
      </c>
      <c r="J15" s="288">
        <f t="shared" si="2"/>
        <v>1.0000000000000002</v>
      </c>
      <c r="K15" s="272">
        <f t="shared" si="2"/>
        <v>58288930.025916323</v>
      </c>
      <c r="L15" s="289">
        <f t="shared" si="2"/>
        <v>1.0000000000000002</v>
      </c>
      <c r="M15" s="13"/>
      <c r="N15" s="23"/>
      <c r="O15" s="23"/>
    </row>
    <row r="16" spans="1:16" ht="15" customHeight="1">
      <c r="A16" s="24" t="str">
        <f t="shared" ref="A16:A21" si="3">+A40</f>
        <v>Angel #1</v>
      </c>
      <c r="B16" s="89"/>
      <c r="C16" s="89"/>
      <c r="D16" s="28">
        <v>0</v>
      </c>
      <c r="E16" s="13"/>
      <c r="N16" s="13"/>
      <c r="O16" s="23"/>
      <c r="P16" s="23"/>
    </row>
    <row r="17" spans="1:17" ht="15" customHeight="1">
      <c r="A17" s="24" t="str">
        <f t="shared" si="3"/>
        <v>Angel #2</v>
      </c>
      <c r="B17" s="89"/>
      <c r="C17" s="89"/>
      <c r="D17" s="28">
        <v>0</v>
      </c>
      <c r="E17" s="13"/>
      <c r="N17" s="13"/>
      <c r="O17" s="23"/>
      <c r="P17" s="23"/>
    </row>
    <row r="18" spans="1:17" ht="15" customHeight="1">
      <c r="A18" s="24" t="str">
        <f t="shared" si="3"/>
        <v>Angel #3</v>
      </c>
      <c r="B18" s="89"/>
      <c r="C18" s="89"/>
      <c r="D18" s="28">
        <v>0</v>
      </c>
      <c r="E18" s="13"/>
      <c r="N18" s="13"/>
      <c r="O18" s="23"/>
      <c r="P18" s="23"/>
    </row>
    <row r="19" spans="1:17" ht="15" customHeight="1">
      <c r="A19" s="24" t="str">
        <f t="shared" si="3"/>
        <v>Angels #4-10</v>
      </c>
      <c r="B19" s="89"/>
      <c r="C19" s="89"/>
      <c r="D19" s="28">
        <v>0</v>
      </c>
      <c r="E19" s="13"/>
      <c r="F19" s="13"/>
      <c r="G19" s="166"/>
      <c r="H19" s="13"/>
      <c r="I19" s="13"/>
      <c r="J19" s="13"/>
      <c r="K19" s="13"/>
      <c r="L19" s="13"/>
      <c r="M19" s="13"/>
      <c r="N19" s="13"/>
      <c r="O19" s="23"/>
      <c r="P19" s="23"/>
    </row>
    <row r="20" spans="1:17" ht="15" customHeight="1">
      <c r="A20" s="24" t="str">
        <f t="shared" si="3"/>
        <v>Series A Lead Investor</v>
      </c>
      <c r="B20" s="89"/>
      <c r="C20" s="89"/>
      <c r="D20" s="28">
        <v>500000</v>
      </c>
      <c r="E20" s="13"/>
      <c r="F20" s="10"/>
      <c r="G20" s="44"/>
      <c r="H20" s="23"/>
      <c r="I20" s="23"/>
      <c r="J20" s="23"/>
      <c r="K20" s="13"/>
      <c r="L20" s="13"/>
      <c r="M20" s="13"/>
      <c r="N20" s="13"/>
      <c r="O20" s="23"/>
      <c r="P20" s="23"/>
    </row>
    <row r="21" spans="1:17" ht="15" customHeight="1">
      <c r="A21" s="24" t="str">
        <f t="shared" si="3"/>
        <v>Series A Other Investors</v>
      </c>
      <c r="B21" s="89"/>
      <c r="C21" s="89"/>
      <c r="D21" s="28">
        <v>500000</v>
      </c>
      <c r="E21" s="13"/>
      <c r="F21" s="10"/>
      <c r="G21" s="46"/>
      <c r="H21" s="23"/>
      <c r="I21" s="23"/>
      <c r="J21" s="23"/>
      <c r="K21" s="13"/>
      <c r="L21" s="10"/>
      <c r="M21" s="73"/>
      <c r="N21" s="32"/>
      <c r="O21" s="23"/>
      <c r="P21" s="23"/>
    </row>
    <row r="22" spans="1:17" ht="15" customHeight="1">
      <c r="A22" s="153" t="s">
        <v>1</v>
      </c>
      <c r="B22" s="89"/>
      <c r="C22" s="89"/>
      <c r="D22" s="28">
        <v>7500000</v>
      </c>
      <c r="E22" s="13"/>
      <c r="F22" s="10"/>
      <c r="G22" s="46"/>
      <c r="H22" s="23"/>
      <c r="I22" s="23"/>
      <c r="J22" s="23"/>
      <c r="K22" s="13"/>
      <c r="L22" s="10"/>
      <c r="M22" s="73"/>
      <c r="N22" s="32"/>
      <c r="O22" s="23"/>
      <c r="P22" s="23"/>
    </row>
    <row r="23" spans="1:17" ht="15" customHeight="1">
      <c r="A23" s="153" t="s">
        <v>2</v>
      </c>
      <c r="B23" s="144"/>
      <c r="C23" s="144"/>
      <c r="D23" s="83">
        <v>1000000</v>
      </c>
      <c r="E23" s="13"/>
      <c r="F23" s="10"/>
      <c r="G23" s="46"/>
      <c r="H23" s="23"/>
      <c r="I23" s="23"/>
      <c r="J23" s="23"/>
      <c r="K23" s="13"/>
      <c r="L23" s="10"/>
      <c r="M23" s="73"/>
      <c r="N23" s="32"/>
      <c r="O23" s="23"/>
      <c r="P23" s="23"/>
    </row>
    <row r="24" spans="1:17" ht="15" customHeight="1">
      <c r="A24" s="29" t="s">
        <v>98</v>
      </c>
      <c r="B24" s="89"/>
      <c r="C24" s="89"/>
      <c r="D24" s="99">
        <f>SUM(D16:D23)</f>
        <v>9500000</v>
      </c>
      <c r="E24" s="13"/>
      <c r="F24" s="10"/>
      <c r="G24" s="46"/>
      <c r="H24" s="23"/>
      <c r="I24" s="23"/>
      <c r="J24" s="23"/>
      <c r="K24" s="13"/>
      <c r="L24" s="10"/>
      <c r="M24" s="73"/>
      <c r="N24" s="32"/>
      <c r="O24" s="23"/>
      <c r="P24" s="23"/>
    </row>
    <row r="25" spans="1:17" ht="15" customHeight="1">
      <c r="A25" s="161" t="s">
        <v>53</v>
      </c>
      <c r="B25" s="163"/>
      <c r="C25" s="163"/>
      <c r="D25" s="164">
        <f>K48*D13</f>
        <v>28000000</v>
      </c>
      <c r="E25" s="13"/>
      <c r="F25" s="10"/>
      <c r="G25" s="46"/>
      <c r="H25" s="23"/>
      <c r="I25" s="23"/>
      <c r="J25" s="23"/>
      <c r="K25" s="13"/>
      <c r="L25" s="10"/>
      <c r="M25" s="73"/>
      <c r="N25" s="32"/>
      <c r="O25" s="23"/>
      <c r="P25" s="23"/>
    </row>
    <row r="26" spans="1:17" ht="15" customHeight="1" thickBot="1">
      <c r="A26" s="79"/>
      <c r="B26" s="13"/>
      <c r="C26" s="13"/>
      <c r="D26" s="13"/>
      <c r="E26" s="13"/>
      <c r="G26" s="23"/>
      <c r="H26" s="23"/>
      <c r="I26" s="23"/>
      <c r="J26" s="23"/>
      <c r="K26" s="13"/>
      <c r="L26" s="12"/>
      <c r="M26" s="23"/>
      <c r="N26" s="23"/>
      <c r="O26" s="23"/>
      <c r="P26" s="23"/>
    </row>
    <row r="27" spans="1:17" ht="15" customHeight="1">
      <c r="A27" s="266" t="s">
        <v>55</v>
      </c>
      <c r="B27" s="267"/>
      <c r="C27" s="267"/>
      <c r="D27" s="267"/>
      <c r="E27" s="268"/>
      <c r="F27" s="264" t="s">
        <v>56</v>
      </c>
      <c r="G27" s="265"/>
      <c r="H27" s="269" t="s">
        <v>73</v>
      </c>
      <c r="I27" s="270"/>
      <c r="J27" s="270"/>
      <c r="K27" s="276" t="s">
        <v>44</v>
      </c>
      <c r="L27" s="273"/>
    </row>
    <row r="28" spans="1:17" ht="15" customHeight="1">
      <c r="A28" s="345" t="s">
        <v>54</v>
      </c>
      <c r="B28" s="15" t="s">
        <v>55</v>
      </c>
      <c r="C28" s="15" t="s">
        <v>55</v>
      </c>
      <c r="D28" s="15" t="s">
        <v>37</v>
      </c>
      <c r="E28" s="102" t="s">
        <v>95</v>
      </c>
      <c r="F28" s="33" t="s">
        <v>56</v>
      </c>
      <c r="G28" s="33" t="s">
        <v>94</v>
      </c>
      <c r="H28" s="120" t="s">
        <v>73</v>
      </c>
      <c r="I28" s="47" t="s">
        <v>38</v>
      </c>
      <c r="J28" s="47" t="s">
        <v>94</v>
      </c>
      <c r="K28" s="277" t="s">
        <v>52</v>
      </c>
      <c r="L28" s="274" t="s">
        <v>64</v>
      </c>
    </row>
    <row r="29" spans="1:17" s="6" customFormat="1" ht="15" customHeight="1">
      <c r="A29" s="346"/>
      <c r="B29" s="17" t="s">
        <v>57</v>
      </c>
      <c r="C29" s="17" t="s">
        <v>63</v>
      </c>
      <c r="D29" s="17" t="s">
        <v>36</v>
      </c>
      <c r="E29" s="103" t="s">
        <v>36</v>
      </c>
      <c r="F29" s="34" t="s">
        <v>58</v>
      </c>
      <c r="G29" s="34" t="s">
        <v>56</v>
      </c>
      <c r="H29" s="121" t="s">
        <v>71</v>
      </c>
      <c r="I29" s="49" t="s">
        <v>58</v>
      </c>
      <c r="J29" s="49" t="s">
        <v>38</v>
      </c>
      <c r="K29" s="278" t="s">
        <v>36</v>
      </c>
      <c r="L29" s="275" t="s">
        <v>65</v>
      </c>
      <c r="Q29" s="7"/>
    </row>
    <row r="30" spans="1:17" s="6" customFormat="1" ht="15" customHeight="1">
      <c r="A30" s="113" t="str">
        <f>'Series A Cap Table'!A36</f>
        <v>Employee #1</v>
      </c>
      <c r="B30" s="105">
        <f>+'Series A Cap Table'!B36</f>
        <v>7500000</v>
      </c>
      <c r="C30" s="105">
        <f>+'Series A Cap Table'!C36</f>
        <v>0</v>
      </c>
      <c r="D30" s="117">
        <f t="shared" ref="D30:D40" si="4">B30+C30</f>
        <v>7500000</v>
      </c>
      <c r="E30" s="118">
        <f t="shared" ref="E30:E47" si="5">D30/$D$48</f>
        <v>0.33333333333333331</v>
      </c>
      <c r="F30" s="39">
        <f>+'Series A Cap Table'!H36</f>
        <v>0</v>
      </c>
      <c r="G30" s="299">
        <f t="shared" ref="G30:G47" si="6">+F30/$F$48</f>
        <v>0</v>
      </c>
      <c r="H30" s="108">
        <v>0</v>
      </c>
      <c r="I30" s="37">
        <f t="shared" ref="I30:I39" si="7">(H30/$D$13)</f>
        <v>0</v>
      </c>
      <c r="J30" s="298">
        <f t="shared" ref="J30:J47" si="8">I30/$I$48</f>
        <v>0</v>
      </c>
      <c r="K30" s="38">
        <f>I30+F30+D30</f>
        <v>7500000</v>
      </c>
      <c r="L30" s="297">
        <f t="shared" ref="L30:L47" si="9">K30/$K$48</f>
        <v>0.12866937163995568</v>
      </c>
    </row>
    <row r="31" spans="1:17" s="6" customFormat="1" ht="15" customHeight="1">
      <c r="A31" s="114" t="str">
        <f>'Series A Cap Table'!A37</f>
        <v>Employee #2</v>
      </c>
      <c r="B31" s="50">
        <f>+'Series A Cap Table'!B37</f>
        <v>1750000</v>
      </c>
      <c r="C31" s="50">
        <f>+'Series A Cap Table'!C37</f>
        <v>2500000</v>
      </c>
      <c r="D31" s="39">
        <f t="shared" si="4"/>
        <v>4250000</v>
      </c>
      <c r="E31" s="104">
        <f t="shared" si="5"/>
        <v>0.18888888888888888</v>
      </c>
      <c r="F31" s="39">
        <f>+'Series A Cap Table'!H37</f>
        <v>0</v>
      </c>
      <c r="G31" s="299">
        <f t="shared" si="6"/>
        <v>0</v>
      </c>
      <c r="H31" s="108">
        <v>0</v>
      </c>
      <c r="I31" s="37">
        <f t="shared" si="7"/>
        <v>0</v>
      </c>
      <c r="J31" s="295">
        <f t="shared" si="8"/>
        <v>0</v>
      </c>
      <c r="K31" s="38">
        <f t="shared" ref="K31:K47" si="10">I31+F31+D31</f>
        <v>4250000</v>
      </c>
      <c r="L31" s="293">
        <f t="shared" si="9"/>
        <v>7.2912643929308227E-2</v>
      </c>
    </row>
    <row r="32" spans="1:17" s="6" customFormat="1" ht="15" customHeight="1">
      <c r="A32" s="114" t="str">
        <f>'Series A Cap Table'!A38</f>
        <v>Employee #3</v>
      </c>
      <c r="B32" s="50">
        <f>+'Series A Cap Table'!B38</f>
        <v>0</v>
      </c>
      <c r="C32" s="50">
        <f>+'Series A Cap Table'!C38</f>
        <v>2000000</v>
      </c>
      <c r="D32" s="39">
        <f t="shared" si="4"/>
        <v>2000000</v>
      </c>
      <c r="E32" s="104">
        <f t="shared" si="5"/>
        <v>8.8888888888888892E-2</v>
      </c>
      <c r="F32" s="39">
        <f>+'Series A Cap Table'!H38</f>
        <v>0</v>
      </c>
      <c r="G32" s="299">
        <f t="shared" si="6"/>
        <v>0</v>
      </c>
      <c r="H32" s="108">
        <v>0</v>
      </c>
      <c r="I32" s="37">
        <f t="shared" si="7"/>
        <v>0</v>
      </c>
      <c r="J32" s="295">
        <f t="shared" si="8"/>
        <v>0</v>
      </c>
      <c r="K32" s="38">
        <f t="shared" si="10"/>
        <v>2000000</v>
      </c>
      <c r="L32" s="293">
        <f t="shared" si="9"/>
        <v>3.4311832437321513E-2</v>
      </c>
    </row>
    <row r="33" spans="1:17" s="6" customFormat="1" ht="15" customHeight="1">
      <c r="A33" s="114" t="str">
        <f>'Series A Cap Table'!A39</f>
        <v>Other Employees</v>
      </c>
      <c r="B33" s="50">
        <f>+'Series A Cap Table'!B39</f>
        <v>750000</v>
      </c>
      <c r="C33" s="50">
        <f>+'Series A Cap Table'!C39</f>
        <v>1800000</v>
      </c>
      <c r="D33" s="39">
        <f>B33+C33</f>
        <v>2550000</v>
      </c>
      <c r="E33" s="104">
        <f t="shared" si="5"/>
        <v>0.11333333333333333</v>
      </c>
      <c r="F33" s="39">
        <f>+'Series A Cap Table'!H39</f>
        <v>0</v>
      </c>
      <c r="G33" s="299">
        <f t="shared" si="6"/>
        <v>0</v>
      </c>
      <c r="H33" s="108">
        <v>0</v>
      </c>
      <c r="I33" s="37">
        <f t="shared" si="7"/>
        <v>0</v>
      </c>
      <c r="J33" s="295">
        <f t="shared" si="8"/>
        <v>0</v>
      </c>
      <c r="K33" s="38">
        <f t="shared" si="10"/>
        <v>2550000</v>
      </c>
      <c r="L33" s="293">
        <f t="shared" si="9"/>
        <v>4.3747586357584932E-2</v>
      </c>
    </row>
    <row r="34" spans="1:17" s="6" customFormat="1" ht="15" customHeight="1">
      <c r="A34" s="114" t="str">
        <f>'Series A Cap Table'!A40</f>
        <v>Advisor #1</v>
      </c>
      <c r="B34" s="50">
        <f>+'Series A Cap Table'!B40</f>
        <v>0</v>
      </c>
      <c r="C34" s="50">
        <f>+'Series A Cap Table'!C40</f>
        <v>50000</v>
      </c>
      <c r="D34" s="39">
        <f t="shared" si="4"/>
        <v>50000</v>
      </c>
      <c r="E34" s="104">
        <f t="shared" si="5"/>
        <v>2.2222222222222222E-3</v>
      </c>
      <c r="F34" s="39">
        <f>+'Series A Cap Table'!H40</f>
        <v>0</v>
      </c>
      <c r="G34" s="299">
        <f t="shared" si="6"/>
        <v>0</v>
      </c>
      <c r="H34" s="108">
        <v>0</v>
      </c>
      <c r="I34" s="37">
        <f t="shared" si="7"/>
        <v>0</v>
      </c>
      <c r="J34" s="295">
        <f t="shared" si="8"/>
        <v>0</v>
      </c>
      <c r="K34" s="38">
        <f t="shared" si="10"/>
        <v>50000</v>
      </c>
      <c r="L34" s="293">
        <f t="shared" si="9"/>
        <v>8.5779581093303791E-4</v>
      </c>
    </row>
    <row r="35" spans="1:17" s="6" customFormat="1" ht="15" customHeight="1">
      <c r="A35" s="114" t="str">
        <f>'Series A Cap Table'!A41</f>
        <v>Advisor #2</v>
      </c>
      <c r="B35" s="50">
        <f>+'Series A Cap Table'!B41</f>
        <v>0</v>
      </c>
      <c r="C35" s="50">
        <f>+'Series A Cap Table'!C41</f>
        <v>50000</v>
      </c>
      <c r="D35" s="39">
        <f t="shared" si="4"/>
        <v>50000</v>
      </c>
      <c r="E35" s="104">
        <f t="shared" si="5"/>
        <v>2.2222222222222222E-3</v>
      </c>
      <c r="F35" s="39">
        <f>+'Series A Cap Table'!H41</f>
        <v>0</v>
      </c>
      <c r="G35" s="299">
        <f t="shared" si="6"/>
        <v>0</v>
      </c>
      <c r="H35" s="108">
        <v>0</v>
      </c>
      <c r="I35" s="37">
        <f t="shared" si="7"/>
        <v>0</v>
      </c>
      <c r="J35" s="295">
        <f t="shared" si="8"/>
        <v>0</v>
      </c>
      <c r="K35" s="38">
        <f t="shared" si="10"/>
        <v>50000</v>
      </c>
      <c r="L35" s="293">
        <f t="shared" si="9"/>
        <v>8.5779581093303791E-4</v>
      </c>
    </row>
    <row r="36" spans="1:17" s="6" customFormat="1" ht="15" customHeight="1">
      <c r="A36" s="114" t="str">
        <f>'Series A Cap Table'!A42</f>
        <v>Consultant #1</v>
      </c>
      <c r="B36" s="50">
        <f>+'Series A Cap Table'!B42</f>
        <v>0</v>
      </c>
      <c r="C36" s="50">
        <f>+'Series A Cap Table'!C42</f>
        <v>100000</v>
      </c>
      <c r="D36" s="39">
        <f t="shared" si="4"/>
        <v>100000</v>
      </c>
      <c r="E36" s="104">
        <f t="shared" si="5"/>
        <v>4.4444444444444444E-3</v>
      </c>
      <c r="F36" s="39">
        <f>+'Series A Cap Table'!H42</f>
        <v>0</v>
      </c>
      <c r="G36" s="299">
        <f t="shared" si="6"/>
        <v>0</v>
      </c>
      <c r="H36" s="108">
        <v>0</v>
      </c>
      <c r="I36" s="37">
        <f t="shared" si="7"/>
        <v>0</v>
      </c>
      <c r="J36" s="295">
        <f t="shared" si="8"/>
        <v>0</v>
      </c>
      <c r="K36" s="38">
        <f t="shared" si="10"/>
        <v>100000</v>
      </c>
      <c r="L36" s="293">
        <f t="shared" si="9"/>
        <v>1.7155916218660758E-3</v>
      </c>
    </row>
    <row r="37" spans="1:17" s="6" customFormat="1" ht="15" customHeight="1">
      <c r="A37" s="114" t="str">
        <f>'Series A Cap Table'!A43</f>
        <v>Pre-Investment Option Pool</v>
      </c>
      <c r="B37" s="50">
        <f>'Series A Cap Table'!B43</f>
        <v>0</v>
      </c>
      <c r="C37" s="50">
        <f>'Series A Cap Table'!C43</f>
        <v>1000000</v>
      </c>
      <c r="D37" s="39">
        <f t="shared" si="4"/>
        <v>1000000</v>
      </c>
      <c r="E37" s="104">
        <f t="shared" si="5"/>
        <v>4.4444444444444446E-2</v>
      </c>
      <c r="F37" s="39">
        <f>+'Series A Cap Table'!H43</f>
        <v>0</v>
      </c>
      <c r="G37" s="299">
        <f t="shared" si="6"/>
        <v>0</v>
      </c>
      <c r="H37" s="108">
        <v>0</v>
      </c>
      <c r="I37" s="37">
        <f t="shared" si="7"/>
        <v>0</v>
      </c>
      <c r="J37" s="295">
        <f t="shared" si="8"/>
        <v>0</v>
      </c>
      <c r="K37" s="38">
        <f t="shared" si="10"/>
        <v>1000000</v>
      </c>
      <c r="L37" s="293">
        <f t="shared" si="9"/>
        <v>1.7155916218660756E-2</v>
      </c>
    </row>
    <row r="38" spans="1:17" s="6" customFormat="1" ht="15" customHeight="1">
      <c r="A38" s="114" t="str">
        <f>'Series A Cap Table'!A44</f>
        <v>Srs A Option Pool Expansion</v>
      </c>
      <c r="B38" s="50">
        <f>'Series A Cap Table'!B44</f>
        <v>0</v>
      </c>
      <c r="C38" s="50">
        <f>+'Series A Cap Table'!C44</f>
        <v>2500000</v>
      </c>
      <c r="D38" s="39">
        <f t="shared" si="4"/>
        <v>2500000</v>
      </c>
      <c r="E38" s="104">
        <f t="shared" si="5"/>
        <v>0.1111111111111111</v>
      </c>
      <c r="F38" s="39">
        <f>+'Series A Cap Table'!H44</f>
        <v>0</v>
      </c>
      <c r="G38" s="299">
        <f t="shared" si="6"/>
        <v>0</v>
      </c>
      <c r="H38" s="108">
        <v>0</v>
      </c>
      <c r="I38" s="37">
        <f t="shared" si="7"/>
        <v>0</v>
      </c>
      <c r="J38" s="295">
        <f t="shared" si="8"/>
        <v>0</v>
      </c>
      <c r="K38" s="38">
        <f t="shared" si="10"/>
        <v>2500000</v>
      </c>
      <c r="L38" s="293">
        <f t="shared" si="9"/>
        <v>4.2889790546651894E-2</v>
      </c>
    </row>
    <row r="39" spans="1:17" s="6" customFormat="1" ht="15" customHeight="1">
      <c r="A39" s="119" t="s">
        <v>106</v>
      </c>
      <c r="B39" s="50">
        <v>0</v>
      </c>
      <c r="C39" s="50">
        <f>'Series B Cap Table'!D10</f>
        <v>2500000</v>
      </c>
      <c r="D39" s="39">
        <f t="shared" si="4"/>
        <v>2500000</v>
      </c>
      <c r="E39" s="104">
        <f t="shared" si="5"/>
        <v>0.1111111111111111</v>
      </c>
      <c r="F39" s="39"/>
      <c r="G39" s="299">
        <f t="shared" si="6"/>
        <v>0</v>
      </c>
      <c r="H39" s="108">
        <v>0</v>
      </c>
      <c r="I39" s="37">
        <f t="shared" si="7"/>
        <v>0</v>
      </c>
      <c r="J39" s="295">
        <f t="shared" si="8"/>
        <v>0</v>
      </c>
      <c r="K39" s="38">
        <f t="shared" si="10"/>
        <v>2500000</v>
      </c>
      <c r="L39" s="293">
        <f t="shared" si="9"/>
        <v>4.2889790546651894E-2</v>
      </c>
    </row>
    <row r="40" spans="1:17" s="6" customFormat="1" ht="15" customHeight="1">
      <c r="A40" s="114" t="str">
        <f>'Series A Cap Table'!A45</f>
        <v>Angel #1</v>
      </c>
      <c r="B40" s="50">
        <f>+'Series A Cap Table'!B45</f>
        <v>0</v>
      </c>
      <c r="C40" s="50">
        <f>+'Series A Cap Table'!C45</f>
        <v>0</v>
      </c>
      <c r="D40" s="39">
        <f t="shared" si="4"/>
        <v>0</v>
      </c>
      <c r="E40" s="104">
        <f t="shared" si="5"/>
        <v>0</v>
      </c>
      <c r="F40" s="39">
        <f>+'Series A Cap Table'!H45</f>
        <v>1366438.3561643835</v>
      </c>
      <c r="G40" s="299">
        <f t="shared" si="6"/>
        <v>8.5336641286679782E-2</v>
      </c>
      <c r="H40" s="108">
        <f>+D16</f>
        <v>0</v>
      </c>
      <c r="I40" s="37">
        <f>(H40/$D$13)</f>
        <v>0</v>
      </c>
      <c r="J40" s="295">
        <f t="shared" si="8"/>
        <v>0</v>
      </c>
      <c r="K40" s="38">
        <f t="shared" si="10"/>
        <v>1366438.3561643835</v>
      </c>
      <c r="L40" s="293">
        <f t="shared" si="9"/>
        <v>2.344250195632069E-2</v>
      </c>
    </row>
    <row r="41" spans="1:17" s="6" customFormat="1" ht="15" customHeight="1">
      <c r="A41" s="114" t="str">
        <f>'Series A Cap Table'!A46</f>
        <v>Angel #2</v>
      </c>
      <c r="B41" s="50">
        <f>+'Series A Cap Table'!B46</f>
        <v>0</v>
      </c>
      <c r="C41" s="50">
        <f>+'Series A Cap Table'!C46</f>
        <v>0</v>
      </c>
      <c r="D41" s="39">
        <f t="shared" ref="D41:D46" si="11">B41+C41</f>
        <v>0</v>
      </c>
      <c r="E41" s="104">
        <f t="shared" si="5"/>
        <v>0</v>
      </c>
      <c r="F41" s="39">
        <f>+'Series A Cap Table'!H46</f>
        <v>1366438.3561643835</v>
      </c>
      <c r="G41" s="299">
        <f t="shared" si="6"/>
        <v>8.5336641286679782E-2</v>
      </c>
      <c r="H41" s="108">
        <f t="shared" ref="H41:H47" si="12">+D17</f>
        <v>0</v>
      </c>
      <c r="I41" s="37">
        <f t="shared" ref="I41:I47" si="13">(H41/$D$13)</f>
        <v>0</v>
      </c>
      <c r="J41" s="295">
        <f t="shared" si="8"/>
        <v>0</v>
      </c>
      <c r="K41" s="38">
        <f t="shared" si="10"/>
        <v>1366438.3561643835</v>
      </c>
      <c r="L41" s="293">
        <f t="shared" si="9"/>
        <v>2.344250195632069E-2</v>
      </c>
    </row>
    <row r="42" spans="1:17" s="6" customFormat="1" ht="15" customHeight="1">
      <c r="A42" s="114" t="str">
        <f>'Series A Cap Table'!A47</f>
        <v>Angel #3</v>
      </c>
      <c r="B42" s="50">
        <f>+'Series A Cap Table'!B47</f>
        <v>0</v>
      </c>
      <c r="C42" s="50">
        <f>+'Series A Cap Table'!C47</f>
        <v>0</v>
      </c>
      <c r="D42" s="39">
        <f>B42+C42</f>
        <v>0</v>
      </c>
      <c r="E42" s="104">
        <f t="shared" si="5"/>
        <v>0</v>
      </c>
      <c r="F42" s="39">
        <f>+'Series A Cap Table'!H47</f>
        <v>1366438.3561643835</v>
      </c>
      <c r="G42" s="299">
        <f t="shared" si="6"/>
        <v>8.5336641286679782E-2</v>
      </c>
      <c r="H42" s="108">
        <f t="shared" si="12"/>
        <v>0</v>
      </c>
      <c r="I42" s="37">
        <f t="shared" si="13"/>
        <v>0</v>
      </c>
      <c r="J42" s="295">
        <f t="shared" si="8"/>
        <v>0</v>
      </c>
      <c r="K42" s="38">
        <f t="shared" si="10"/>
        <v>1366438.3561643835</v>
      </c>
      <c r="L42" s="293">
        <f t="shared" si="9"/>
        <v>2.344250195632069E-2</v>
      </c>
    </row>
    <row r="43" spans="1:17" s="6" customFormat="1" ht="15" customHeight="1">
      <c r="A43" s="114" t="str">
        <f>'Series A Cap Table'!A48</f>
        <v>Angels #4-10</v>
      </c>
      <c r="B43" s="50">
        <f>+'Series A Cap Table'!B48</f>
        <v>0</v>
      </c>
      <c r="C43" s="50">
        <f>+'Series A Cap Table'!C48</f>
        <v>0</v>
      </c>
      <c r="D43" s="39">
        <f>B43+C43</f>
        <v>0</v>
      </c>
      <c r="E43" s="104">
        <f t="shared" si="5"/>
        <v>0</v>
      </c>
      <c r="F43" s="39">
        <f>+'Series A Cap Table'!H48</f>
        <v>1913013.6986301367</v>
      </c>
      <c r="G43" s="299">
        <f t="shared" si="6"/>
        <v>0.11947129780135168</v>
      </c>
      <c r="H43" s="108">
        <f t="shared" si="12"/>
        <v>0</v>
      </c>
      <c r="I43" s="37">
        <f t="shared" si="13"/>
        <v>0</v>
      </c>
      <c r="J43" s="295">
        <f t="shared" si="8"/>
        <v>0</v>
      </c>
      <c r="K43" s="38">
        <f t="shared" si="10"/>
        <v>1913013.6986301367</v>
      </c>
      <c r="L43" s="293">
        <f t="shared" si="9"/>
        <v>3.2819502738848962E-2</v>
      </c>
    </row>
    <row r="44" spans="1:17" s="6" customFormat="1" ht="15" customHeight="1">
      <c r="A44" s="114" t="str">
        <f>'Series A Cap Table'!A49</f>
        <v>Series A Lead Investor</v>
      </c>
      <c r="B44" s="50">
        <f>+'Series A Cap Table'!B49</f>
        <v>0</v>
      </c>
      <c r="C44" s="50">
        <f>+'Series A Cap Table'!C49</f>
        <v>0</v>
      </c>
      <c r="D44" s="39">
        <f t="shared" si="11"/>
        <v>0</v>
      </c>
      <c r="E44" s="104">
        <f t="shared" si="5"/>
        <v>0</v>
      </c>
      <c r="F44" s="39">
        <f>+'Series A Cap Table'!H49</f>
        <v>8333333.333333334</v>
      </c>
      <c r="G44" s="299">
        <f t="shared" si="6"/>
        <v>0.52043231528217415</v>
      </c>
      <c r="H44" s="108">
        <f t="shared" si="12"/>
        <v>500000</v>
      </c>
      <c r="I44" s="37">
        <f t="shared" si="13"/>
        <v>1040873.7504627916</v>
      </c>
      <c r="J44" s="295">
        <f t="shared" si="8"/>
        <v>5.2631578947368425E-2</v>
      </c>
      <c r="K44" s="38">
        <f t="shared" si="10"/>
        <v>9374207.0837961249</v>
      </c>
      <c r="L44" s="293">
        <f t="shared" si="9"/>
        <v>0.16082311134598251</v>
      </c>
    </row>
    <row r="45" spans="1:17" s="6" customFormat="1" ht="15" customHeight="1">
      <c r="A45" s="114" t="str">
        <f>'Series A Cap Table'!A50</f>
        <v>Series A Other Investors</v>
      </c>
      <c r="B45" s="50">
        <f>+'Series A Cap Table'!B50</f>
        <v>0</v>
      </c>
      <c r="C45" s="50">
        <f>+'Series A Cap Table'!C50</f>
        <v>0</v>
      </c>
      <c r="D45" s="39">
        <f t="shared" si="11"/>
        <v>0</v>
      </c>
      <c r="E45" s="104">
        <f t="shared" si="5"/>
        <v>0</v>
      </c>
      <c r="F45" s="39">
        <f>+'Series A Cap Table'!H50</f>
        <v>1666666.6666666667</v>
      </c>
      <c r="G45" s="299">
        <f t="shared" si="6"/>
        <v>0.10408646305643483</v>
      </c>
      <c r="H45" s="108">
        <f t="shared" si="12"/>
        <v>500000</v>
      </c>
      <c r="I45" s="37">
        <f t="shared" si="13"/>
        <v>1040873.7504627916</v>
      </c>
      <c r="J45" s="295">
        <f t="shared" si="8"/>
        <v>5.2631578947368425E-2</v>
      </c>
      <c r="K45" s="38">
        <f t="shared" si="10"/>
        <v>2707540.4171294584</v>
      </c>
      <c r="L45" s="293">
        <f t="shared" si="9"/>
        <v>4.6450336554910786E-2</v>
      </c>
    </row>
    <row r="46" spans="1:17" s="6" customFormat="1" ht="15" customHeight="1">
      <c r="A46" s="114" t="str">
        <f>+A22</f>
        <v>Series B Lead Investor</v>
      </c>
      <c r="B46" s="50">
        <v>0</v>
      </c>
      <c r="C46" s="50">
        <v>0</v>
      </c>
      <c r="D46" s="39">
        <f t="shared" si="11"/>
        <v>0</v>
      </c>
      <c r="E46" s="104">
        <f t="shared" si="5"/>
        <v>0</v>
      </c>
      <c r="F46" s="39">
        <v>0</v>
      </c>
      <c r="G46" s="299">
        <f t="shared" si="6"/>
        <v>0</v>
      </c>
      <c r="H46" s="108">
        <f t="shared" si="12"/>
        <v>7500000</v>
      </c>
      <c r="I46" s="37">
        <f t="shared" si="13"/>
        <v>15613106.256941875</v>
      </c>
      <c r="J46" s="295">
        <f t="shared" si="8"/>
        <v>0.78947368421052633</v>
      </c>
      <c r="K46" s="38">
        <f t="shared" si="10"/>
        <v>15613106.256941875</v>
      </c>
      <c r="L46" s="293">
        <f t="shared" si="9"/>
        <v>0.2678571428571429</v>
      </c>
    </row>
    <row r="47" spans="1:17" s="6" customFormat="1" ht="15" customHeight="1" thickBot="1">
      <c r="A47" s="114" t="str">
        <f>+A23</f>
        <v>Series B Other Investors</v>
      </c>
      <c r="B47" s="39">
        <v>0</v>
      </c>
      <c r="C47" s="39">
        <v>0</v>
      </c>
      <c r="D47" s="39">
        <f>B47+C47</f>
        <v>0</v>
      </c>
      <c r="E47" s="104">
        <f t="shared" si="5"/>
        <v>0</v>
      </c>
      <c r="F47" s="39">
        <v>0</v>
      </c>
      <c r="G47" s="299">
        <f t="shared" si="6"/>
        <v>0</v>
      </c>
      <c r="H47" s="108">
        <f t="shared" si="12"/>
        <v>1000000</v>
      </c>
      <c r="I47" s="37">
        <f t="shared" si="13"/>
        <v>2081747.5009255833</v>
      </c>
      <c r="J47" s="295">
        <f t="shared" si="8"/>
        <v>0.10526315789473685</v>
      </c>
      <c r="K47" s="38">
        <f t="shared" si="10"/>
        <v>2081747.5009255833</v>
      </c>
      <c r="L47" s="293">
        <f t="shared" si="9"/>
        <v>3.5714285714285712E-2</v>
      </c>
    </row>
    <row r="48" spans="1:17" ht="14" thickBot="1">
      <c r="A48" s="116" t="s">
        <v>52</v>
      </c>
      <c r="B48" s="111">
        <f>SUM(B30:B37)</f>
        <v>10000000</v>
      </c>
      <c r="C48" s="111">
        <f>SUM(C30:C39)</f>
        <v>12500000</v>
      </c>
      <c r="D48" s="111">
        <f>SUM(D30:D47)</f>
        <v>22500000</v>
      </c>
      <c r="E48" s="112">
        <f>SUM(E30:E47)</f>
        <v>1</v>
      </c>
      <c r="F48" s="110">
        <f t="shared" ref="F48:L48" si="14">SUM(F30:F47)</f>
        <v>16012328.767123288</v>
      </c>
      <c r="G48" s="300">
        <f t="shared" si="14"/>
        <v>1</v>
      </c>
      <c r="H48" s="109">
        <f t="shared" si="14"/>
        <v>9500000</v>
      </c>
      <c r="I48" s="110">
        <f t="shared" si="14"/>
        <v>19776601.258793041</v>
      </c>
      <c r="J48" s="296">
        <f t="shared" si="14"/>
        <v>1</v>
      </c>
      <c r="K48" s="281">
        <f t="shared" si="14"/>
        <v>58288930.025916331</v>
      </c>
      <c r="L48" s="294">
        <f t="shared" si="14"/>
        <v>1</v>
      </c>
      <c r="Q48" s="6"/>
    </row>
    <row r="49" spans="1:16" ht="13.75">
      <c r="A49" s="79"/>
      <c r="B49" s="13"/>
      <c r="C49" s="13"/>
      <c r="D49" s="42"/>
      <c r="E49" s="13"/>
      <c r="F49" s="95"/>
      <c r="G49" s="42"/>
      <c r="H49" s="13"/>
      <c r="I49" s="13"/>
      <c r="J49" s="13"/>
      <c r="K49" s="13"/>
      <c r="L49" s="13"/>
      <c r="M49" s="13"/>
      <c r="N49" s="13"/>
      <c r="O49" s="13"/>
      <c r="P49" s="13"/>
    </row>
    <row r="50" spans="1:16" ht="13.75">
      <c r="P50" s="13"/>
    </row>
    <row r="51" spans="1:16" ht="13.75">
      <c r="P51" s="13"/>
    </row>
    <row r="52" spans="1:16" ht="13.75">
      <c r="P52" s="13"/>
    </row>
    <row r="53" spans="1:16" ht="13.75">
      <c r="P53" s="13"/>
    </row>
    <row r="54" spans="1:16" ht="13.75">
      <c r="P54" s="13"/>
    </row>
    <row r="55" spans="1:16" ht="13.75">
      <c r="P55" s="13"/>
    </row>
    <row r="56" spans="1:16" ht="13.75">
      <c r="P56" s="13"/>
    </row>
    <row r="57" spans="1:16" ht="13.75">
      <c r="P57" s="13"/>
    </row>
  </sheetData>
  <sheetCalcPr fullCalcOnLoad="1"/>
  <mergeCells count="1">
    <mergeCell ref="A28:A29"/>
  </mergeCells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0070C0"/>
  </sheetPr>
  <dimension ref="B45:J54"/>
  <sheetViews>
    <sheetView showGridLines="0" zoomScale="80" zoomScaleNormal="80" zoomScalePageLayoutView="80" workbookViewId="0"/>
  </sheetViews>
  <sheetFormatPr baseColWidth="10" defaultColWidth="8.7109375" defaultRowHeight="13"/>
  <cols>
    <col min="1" max="1" width="1.5703125" customWidth="1"/>
    <col min="2" max="2" width="14.5703125" bestFit="1" customWidth="1"/>
    <col min="3" max="10" width="13" customWidth="1"/>
    <col min="11" max="11" width="12.42578125" bestFit="1" customWidth="1"/>
  </cols>
  <sheetData>
    <row r="45" spans="2:8" ht="14" thickBot="1"/>
    <row r="46" spans="2:8" ht="13.75">
      <c r="B46" s="305" t="s">
        <v>40</v>
      </c>
      <c r="C46" s="347" t="s">
        <v>39</v>
      </c>
      <c r="D46" s="347"/>
      <c r="E46" s="348"/>
      <c r="F46" s="349" t="s">
        <v>38</v>
      </c>
      <c r="G46" s="350"/>
      <c r="H46" s="351"/>
    </row>
    <row r="47" spans="2:8" ht="13.75">
      <c r="B47" s="306" t="s">
        <v>41</v>
      </c>
      <c r="C47" s="34" t="s">
        <v>96</v>
      </c>
      <c r="D47" s="34" t="s">
        <v>68</v>
      </c>
      <c r="E47" s="35" t="s">
        <v>23</v>
      </c>
      <c r="F47" s="259" t="s">
        <v>96</v>
      </c>
      <c r="G47" s="47" t="s">
        <v>68</v>
      </c>
      <c r="H47" s="122" t="s">
        <v>23</v>
      </c>
    </row>
    <row r="48" spans="2:8" ht="13.75">
      <c r="B48" s="125" t="str">
        <f>'Series B Cap Table'!F9</f>
        <v>Employees</v>
      </c>
      <c r="C48" s="75">
        <f>'Series B Cap Table'!I9</f>
        <v>16300000</v>
      </c>
      <c r="D48" s="308">
        <f t="shared" ref="D48:D51" si="0">+C48/C$54</f>
        <v>0.45262276997983952</v>
      </c>
      <c r="E48" s="260">
        <f>C48*'Series A Cap Table'!$E$12</f>
        <v>4890000</v>
      </c>
      <c r="F48" s="75">
        <f>'Series B Cap Table'!K9</f>
        <v>16300000</v>
      </c>
      <c r="G48" s="308">
        <f t="shared" ref="G48:G51" si="1">+F48/F$54</f>
        <v>0.27964143436417038</v>
      </c>
      <c r="H48" s="307">
        <f>F48*'Series B Cap Table'!$D$13</f>
        <v>7829960.1621967694</v>
      </c>
    </row>
    <row r="49" spans="2:10" ht="13.75">
      <c r="B49" s="125" t="str">
        <f>'Series B Cap Table'!F10</f>
        <v>Advisors</v>
      </c>
      <c r="C49" s="75">
        <f>'Series B Cap Table'!I10</f>
        <v>200000</v>
      </c>
      <c r="D49" s="177">
        <f t="shared" si="0"/>
        <v>5.5536536193845345E-3</v>
      </c>
      <c r="E49" s="260">
        <f>C49*'Series A Cap Table'!$E$12</f>
        <v>60000</v>
      </c>
      <c r="F49" s="75">
        <f>'Series B Cap Table'!K10</f>
        <v>200000</v>
      </c>
      <c r="G49" s="177">
        <f t="shared" si="1"/>
        <v>3.4311832437321521E-3</v>
      </c>
      <c r="H49" s="307">
        <f>F49*'Series B Cap Table'!$D$13</f>
        <v>96073.130824500244</v>
      </c>
    </row>
    <row r="50" spans="2:10" ht="13.75">
      <c r="B50" s="125" t="str">
        <f>'Series B Cap Table'!F11</f>
        <v>Option Pool</v>
      </c>
      <c r="C50" s="75">
        <f>'Series B Cap Table'!I11</f>
        <v>3500000</v>
      </c>
      <c r="D50" s="177">
        <f t="shared" si="0"/>
        <v>9.7188938339229355E-2</v>
      </c>
      <c r="E50" s="260">
        <f>C50*'Series A Cap Table'!$E$12</f>
        <v>1050000</v>
      </c>
      <c r="F50" s="75">
        <f>'Series B Cap Table'!K11</f>
        <v>6000000</v>
      </c>
      <c r="G50" s="177">
        <f t="shared" si="1"/>
        <v>0.10293549731196457</v>
      </c>
      <c r="H50" s="307">
        <f>F50*'Series B Cap Table'!$D$13</f>
        <v>2882193.9247350073</v>
      </c>
    </row>
    <row r="51" spans="2:10" ht="13.75">
      <c r="B51" s="125" t="str">
        <f>'Series B Cap Table'!F12</f>
        <v>Angel Investors</v>
      </c>
      <c r="C51" s="75">
        <f>'Series B Cap Table'!I12</f>
        <v>6012328.7671232866</v>
      </c>
      <c r="D51" s="177">
        <f t="shared" si="0"/>
        <v>0.16695195709231997</v>
      </c>
      <c r="E51" s="260">
        <f>C51*'Series A Cap Table'!$E$12</f>
        <v>1803698.630136986</v>
      </c>
      <c r="F51" s="75">
        <f>'Series B Cap Table'!K12</f>
        <v>6012328.7671232866</v>
      </c>
      <c r="G51" s="177">
        <f t="shared" si="1"/>
        <v>0.10314700860781105</v>
      </c>
      <c r="H51" s="307">
        <f>F51*'Series B Cap Table'!$D$13</f>
        <v>2888116.2410187088</v>
      </c>
    </row>
    <row r="52" spans="2:10" ht="13.75">
      <c r="B52" s="125" t="str">
        <f>'Series B Cap Table'!F13</f>
        <v>Srs A Investors</v>
      </c>
      <c r="C52" s="75">
        <f>'Series B Cap Table'!I13</f>
        <v>10000000</v>
      </c>
      <c r="D52" s="177">
        <f>+C52/C$54</f>
        <v>0.27768268096922671</v>
      </c>
      <c r="E52" s="260">
        <f>C52*'Series A Cap Table'!$E$12</f>
        <v>3000000</v>
      </c>
      <c r="F52" s="75">
        <f>'Series B Cap Table'!K13</f>
        <v>12081747.500925584</v>
      </c>
      <c r="G52" s="177">
        <f>+F52/F$54</f>
        <v>0.20727344790089333</v>
      </c>
      <c r="H52" s="307">
        <f>F52*'Series B Cap Table'!$D$13</f>
        <v>5803656.5412250124</v>
      </c>
      <c r="J52" s="339"/>
    </row>
    <row r="53" spans="2:10" ht="14" thickBot="1">
      <c r="B53" s="125" t="str">
        <f>'Series B Cap Table'!F14</f>
        <v>Srs B Investors</v>
      </c>
      <c r="C53" s="75">
        <f>'Series B Cap Table'!I14</f>
        <v>0</v>
      </c>
      <c r="D53" s="177">
        <f t="shared" ref="D53" si="2">+C53/C$54</f>
        <v>0</v>
      </c>
      <c r="E53" s="260">
        <f>C53*'Series A Cap Table'!$E$12</f>
        <v>0</v>
      </c>
      <c r="F53" s="75">
        <f>'Series B Cap Table'!K14</f>
        <v>17694853.757867459</v>
      </c>
      <c r="G53" s="177">
        <f t="shared" ref="G53" si="3">+F53/F$54</f>
        <v>0.30357142857142866</v>
      </c>
      <c r="H53" s="307">
        <f>F53*'Series B Cap Table'!$D$13</f>
        <v>8500000</v>
      </c>
    </row>
    <row r="54" spans="2:10" ht="14" thickBot="1">
      <c r="B54" s="128" t="s">
        <v>69</v>
      </c>
      <c r="C54" s="301">
        <f t="shared" ref="C54:H54" si="4">SUM(C48:C53)</f>
        <v>36012328.767123282</v>
      </c>
      <c r="D54" s="309">
        <f t="shared" si="4"/>
        <v>1.0000000000000002</v>
      </c>
      <c r="E54" s="302">
        <f t="shared" si="4"/>
        <v>10803698.630136985</v>
      </c>
      <c r="F54" s="303">
        <f t="shared" si="4"/>
        <v>58288930.025916323</v>
      </c>
      <c r="G54" s="309">
        <f t="shared" si="4"/>
        <v>1.0000000000000002</v>
      </c>
      <c r="H54" s="304">
        <f t="shared" si="4"/>
        <v>28000000</v>
      </c>
    </row>
  </sheetData>
  <sheetCalcPr fullCalcOnLoad="1"/>
  <mergeCells count="2">
    <mergeCell ref="C46:E46"/>
    <mergeCell ref="F46:H46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1"/>
  </sheetPr>
  <dimension ref="A6:I25"/>
  <sheetViews>
    <sheetView showGridLines="0" workbookViewId="0"/>
  </sheetViews>
  <sheetFormatPr baseColWidth="10" defaultColWidth="9" defaultRowHeight="12"/>
  <cols>
    <col min="1" max="1" width="19.5703125" style="7" customWidth="1"/>
    <col min="2" max="7" width="11" style="7" customWidth="1"/>
    <col min="8" max="16384" width="9" style="7"/>
  </cols>
  <sheetData>
    <row r="6" spans="1:9" ht="13" thickBot="1"/>
    <row r="7" spans="1:9" ht="13" thickBot="1">
      <c r="A7" s="340" t="s">
        <v>46</v>
      </c>
      <c r="B7" s="341"/>
      <c r="C7" s="341"/>
      <c r="D7" s="341"/>
      <c r="E7" s="341"/>
      <c r="F7" s="341"/>
      <c r="G7" s="342"/>
    </row>
    <row r="8" spans="1:9" ht="25" thickBot="1">
      <c r="A8" s="51" t="s">
        <v>54</v>
      </c>
      <c r="B8" s="52" t="s">
        <v>76</v>
      </c>
      <c r="C8" s="53" t="s">
        <v>77</v>
      </c>
      <c r="D8" s="52" t="s">
        <v>78</v>
      </c>
      <c r="E8" s="53" t="s">
        <v>79</v>
      </c>
      <c r="F8" s="52" t="s">
        <v>80</v>
      </c>
      <c r="G8" s="53" t="s">
        <v>83</v>
      </c>
    </row>
    <row r="9" spans="1:9">
      <c r="A9" s="139" t="str">
        <f>+'Series A Cap Table'!A36</f>
        <v>Employee #1</v>
      </c>
      <c r="B9" s="138">
        <f>+'Series A Cap Table'!B36</f>
        <v>7500000</v>
      </c>
      <c r="C9" s="54">
        <f>+'Series A Cap Table'!C36</f>
        <v>0</v>
      </c>
      <c r="D9" s="55">
        <f>'Series A Cap Table'!H36</f>
        <v>0</v>
      </c>
      <c r="E9" s="56">
        <f t="shared" ref="E9:E10" si="0">D9/$D$24</f>
        <v>0</v>
      </c>
      <c r="F9" s="57">
        <f t="shared" ref="F9:F23" si="1">D9+C9+B9</f>
        <v>7500000</v>
      </c>
      <c r="G9" s="56">
        <f t="shared" ref="G9:G23" si="2">F9/$F$24</f>
        <v>0.20826201072691999</v>
      </c>
      <c r="I9" s="41"/>
    </row>
    <row r="10" spans="1:9">
      <c r="A10" s="140" t="str">
        <f>+'Series A Cap Table'!A37</f>
        <v>Employee #2</v>
      </c>
      <c r="B10" s="57">
        <f>+'Series A Cap Table'!B37</f>
        <v>1750000</v>
      </c>
      <c r="C10" s="54">
        <f>+'Series A Cap Table'!C37</f>
        <v>2500000</v>
      </c>
      <c r="D10" s="55">
        <f>'Series A Cap Table'!H37</f>
        <v>0</v>
      </c>
      <c r="E10" s="56">
        <f t="shared" si="0"/>
        <v>0</v>
      </c>
      <c r="F10" s="57">
        <f t="shared" si="1"/>
        <v>4250000</v>
      </c>
      <c r="G10" s="56">
        <f t="shared" si="2"/>
        <v>0.11801513941192134</v>
      </c>
      <c r="I10" s="41"/>
    </row>
    <row r="11" spans="1:9">
      <c r="A11" s="140" t="str">
        <f>+'Series A Cap Table'!A38</f>
        <v>Employee #3</v>
      </c>
      <c r="B11" s="57">
        <f>+'Series A Cap Table'!B38</f>
        <v>0</v>
      </c>
      <c r="C11" s="54">
        <f>+'Series A Cap Table'!C38</f>
        <v>2000000</v>
      </c>
      <c r="D11" s="55">
        <f>'Series A Cap Table'!H38</f>
        <v>0</v>
      </c>
      <c r="E11" s="56">
        <f t="shared" ref="E11:E23" si="3">D11/$D$24</f>
        <v>0</v>
      </c>
      <c r="F11" s="57">
        <f t="shared" si="1"/>
        <v>2000000</v>
      </c>
      <c r="G11" s="56">
        <f t="shared" si="2"/>
        <v>5.5536536193845333E-2</v>
      </c>
      <c r="I11" s="41"/>
    </row>
    <row r="12" spans="1:9">
      <c r="A12" s="140" t="str">
        <f>+'Series A Cap Table'!A40</f>
        <v>Advisor #1</v>
      </c>
      <c r="B12" s="57">
        <f>+'Series A Cap Table'!B40</f>
        <v>0</v>
      </c>
      <c r="C12" s="54">
        <f>+'Series A Cap Table'!C40</f>
        <v>50000</v>
      </c>
      <c r="D12" s="55">
        <f>'Series A Cap Table'!H40</f>
        <v>0</v>
      </c>
      <c r="E12" s="56">
        <f t="shared" si="3"/>
        <v>0</v>
      </c>
      <c r="F12" s="57">
        <f t="shared" si="1"/>
        <v>50000</v>
      </c>
      <c r="G12" s="56">
        <f t="shared" si="2"/>
        <v>1.3884134048461332E-3</v>
      </c>
      <c r="I12" s="41"/>
    </row>
    <row r="13" spans="1:9">
      <c r="A13" s="140" t="str">
        <f>+'Series A Cap Table'!A41</f>
        <v>Advisor #2</v>
      </c>
      <c r="B13" s="57">
        <f>+'Series A Cap Table'!B41</f>
        <v>0</v>
      </c>
      <c r="C13" s="54">
        <f>+'Series A Cap Table'!C41</f>
        <v>50000</v>
      </c>
      <c r="D13" s="55">
        <f>'Series A Cap Table'!H41</f>
        <v>0</v>
      </c>
      <c r="E13" s="56">
        <f t="shared" si="3"/>
        <v>0</v>
      </c>
      <c r="F13" s="57">
        <f t="shared" si="1"/>
        <v>50000</v>
      </c>
      <c r="G13" s="56">
        <f t="shared" si="2"/>
        <v>1.3884134048461332E-3</v>
      </c>
      <c r="I13" s="41"/>
    </row>
    <row r="14" spans="1:9">
      <c r="A14" s="140" t="str">
        <f>+'Series A Cap Table'!A42</f>
        <v>Consultant #1</v>
      </c>
      <c r="B14" s="57">
        <f>+'Series A Cap Table'!B42</f>
        <v>0</v>
      </c>
      <c r="C14" s="54">
        <f>+'Series A Cap Table'!C42</f>
        <v>100000</v>
      </c>
      <c r="D14" s="55">
        <f>'Series A Cap Table'!H42</f>
        <v>0</v>
      </c>
      <c r="E14" s="56">
        <f t="shared" si="3"/>
        <v>0</v>
      </c>
      <c r="F14" s="57">
        <f t="shared" si="1"/>
        <v>100000</v>
      </c>
      <c r="G14" s="56">
        <f t="shared" si="2"/>
        <v>2.7768268096922664E-3</v>
      </c>
      <c r="I14" s="41"/>
    </row>
    <row r="15" spans="1:9">
      <c r="A15" s="140" t="str">
        <f>+'Series A Cap Table'!A39</f>
        <v>Other Employees</v>
      </c>
      <c r="B15" s="57">
        <f>+'Series A Cap Table'!B39</f>
        <v>750000</v>
      </c>
      <c r="C15" s="54">
        <f>+'Series A Cap Table'!C39</f>
        <v>1800000</v>
      </c>
      <c r="D15" s="55">
        <f>'Series A Cap Table'!H39</f>
        <v>0</v>
      </c>
      <c r="E15" s="56">
        <f t="shared" si="3"/>
        <v>0</v>
      </c>
      <c r="F15" s="57">
        <f t="shared" si="1"/>
        <v>2550000</v>
      </c>
      <c r="G15" s="56">
        <f t="shared" si="2"/>
        <v>7.0809083647152798E-2</v>
      </c>
      <c r="I15" s="41"/>
    </row>
    <row r="16" spans="1:9">
      <c r="A16" s="140" t="str">
        <f>+'Series A Cap Table'!A43</f>
        <v>Pre-Investment Option Pool</v>
      </c>
      <c r="B16" s="57">
        <f>+'Series A Cap Table'!B43</f>
        <v>0</v>
      </c>
      <c r="C16" s="54">
        <f>+'Series A Cap Table'!C43</f>
        <v>1000000</v>
      </c>
      <c r="D16" s="55">
        <f>'Series A Cap Table'!H43</f>
        <v>0</v>
      </c>
      <c r="E16" s="56">
        <f t="shared" si="3"/>
        <v>0</v>
      </c>
      <c r="F16" s="57">
        <f t="shared" si="1"/>
        <v>1000000</v>
      </c>
      <c r="G16" s="56">
        <f>F16/$F$24</f>
        <v>2.7768268096922667E-2</v>
      </c>
      <c r="I16" s="41"/>
    </row>
    <row r="17" spans="1:9">
      <c r="A17" s="140" t="str">
        <f>+'Series A Cap Table'!A44</f>
        <v>Srs A Option Pool Expansion</v>
      </c>
      <c r="B17" s="57">
        <f>+'Series A Cap Table'!B44</f>
        <v>0</v>
      </c>
      <c r="C17" s="54">
        <f>+'Series A Cap Table'!C44</f>
        <v>2500000</v>
      </c>
      <c r="D17" s="55">
        <f>'Series A Cap Table'!H44</f>
        <v>0</v>
      </c>
      <c r="E17" s="56">
        <f t="shared" si="3"/>
        <v>0</v>
      </c>
      <c r="F17" s="57">
        <f t="shared" si="1"/>
        <v>2500000</v>
      </c>
      <c r="G17" s="56">
        <f>F17/$F$24</f>
        <v>6.9420670242306665E-2</v>
      </c>
      <c r="I17" s="41"/>
    </row>
    <row r="18" spans="1:9">
      <c r="A18" s="140" t="str">
        <f>+'Series A Cap Table'!A45</f>
        <v>Angel #1</v>
      </c>
      <c r="B18" s="57">
        <f>+'Series A Cap Table'!B45</f>
        <v>0</v>
      </c>
      <c r="C18" s="54">
        <f>+'Series A Cap Table'!C45</f>
        <v>0</v>
      </c>
      <c r="D18" s="55">
        <f>'Series A Cap Table'!H45</f>
        <v>1366438.3561643835</v>
      </c>
      <c r="E18" s="56">
        <f t="shared" si="3"/>
        <v>8.5336641286679782E-2</v>
      </c>
      <c r="F18" s="57">
        <f t="shared" si="1"/>
        <v>1366438.3561643835</v>
      </c>
      <c r="G18" s="56">
        <f t="shared" si="2"/>
        <v>3.79436266118909E-2</v>
      </c>
      <c r="I18" s="41"/>
    </row>
    <row r="19" spans="1:9">
      <c r="A19" s="140" t="str">
        <f>+'Series A Cap Table'!A46</f>
        <v>Angel #2</v>
      </c>
      <c r="B19" s="57">
        <f>+'Series A Cap Table'!B46</f>
        <v>0</v>
      </c>
      <c r="C19" s="54">
        <f>+'Series A Cap Table'!C46</f>
        <v>0</v>
      </c>
      <c r="D19" s="55">
        <f>'Series A Cap Table'!H46</f>
        <v>1366438.3561643835</v>
      </c>
      <c r="E19" s="56">
        <f t="shared" si="3"/>
        <v>8.5336641286679782E-2</v>
      </c>
      <c r="F19" s="57">
        <f t="shared" si="1"/>
        <v>1366438.3561643835</v>
      </c>
      <c r="G19" s="56">
        <f t="shared" si="2"/>
        <v>3.79436266118909E-2</v>
      </c>
      <c r="I19" s="41"/>
    </row>
    <row r="20" spans="1:9">
      <c r="A20" s="140" t="str">
        <f>+'Series A Cap Table'!A47</f>
        <v>Angel #3</v>
      </c>
      <c r="B20" s="57">
        <f>+'Series A Cap Table'!B47</f>
        <v>0</v>
      </c>
      <c r="C20" s="54">
        <f>+'Series A Cap Table'!C47</f>
        <v>0</v>
      </c>
      <c r="D20" s="55">
        <f>'Series A Cap Table'!H47</f>
        <v>1366438.3561643835</v>
      </c>
      <c r="E20" s="56">
        <f t="shared" si="3"/>
        <v>8.5336641286679782E-2</v>
      </c>
      <c r="F20" s="57">
        <f t="shared" si="1"/>
        <v>1366438.3561643835</v>
      </c>
      <c r="G20" s="56">
        <f t="shared" si="2"/>
        <v>3.79436266118909E-2</v>
      </c>
      <c r="I20" s="41"/>
    </row>
    <row r="21" spans="1:9">
      <c r="A21" s="140" t="str">
        <f>+'Series A Cap Table'!A48</f>
        <v>Angels #4-10</v>
      </c>
      <c r="B21" s="57">
        <f>+'Series A Cap Table'!B48</f>
        <v>0</v>
      </c>
      <c r="C21" s="54">
        <f>+'Series A Cap Table'!C48</f>
        <v>0</v>
      </c>
      <c r="D21" s="55">
        <f>'Series A Cap Table'!H48</f>
        <v>1913013.6986301367</v>
      </c>
      <c r="E21" s="56">
        <f t="shared" si="3"/>
        <v>0.11947129780135168</v>
      </c>
      <c r="F21" s="57">
        <f t="shared" si="1"/>
        <v>1913013.6986301367</v>
      </c>
      <c r="G21" s="56">
        <f t="shared" si="2"/>
        <v>5.3121077256647255E-2</v>
      </c>
      <c r="I21" s="41"/>
    </row>
    <row r="22" spans="1:9">
      <c r="A22" s="140" t="str">
        <f>+'Series A Cap Table'!A49</f>
        <v>Series A Lead Investor</v>
      </c>
      <c r="B22" s="57">
        <f>+'Series A Cap Table'!B49</f>
        <v>0</v>
      </c>
      <c r="C22" s="54">
        <f>+'Series A Cap Table'!C49</f>
        <v>0</v>
      </c>
      <c r="D22" s="55">
        <f>'Series A Cap Table'!H49</f>
        <v>8333333.333333334</v>
      </c>
      <c r="E22" s="56">
        <f t="shared" si="3"/>
        <v>0.52043231528217415</v>
      </c>
      <c r="F22" s="57">
        <f t="shared" si="1"/>
        <v>8333333.333333334</v>
      </c>
      <c r="G22" s="56">
        <f t="shared" si="2"/>
        <v>0.23140223414102223</v>
      </c>
      <c r="I22" s="41"/>
    </row>
    <row r="23" spans="1:9" ht="13" thickBot="1">
      <c r="A23" s="140" t="str">
        <f>+'Series A Cap Table'!A50</f>
        <v>Series A Other Investors</v>
      </c>
      <c r="B23" s="57">
        <f>+'Series A Cap Table'!B50</f>
        <v>0</v>
      </c>
      <c r="C23" s="54">
        <f>+'Series A Cap Table'!C50</f>
        <v>0</v>
      </c>
      <c r="D23" s="55">
        <f>'Series A Cap Table'!H50</f>
        <v>1666666.6666666667</v>
      </c>
      <c r="E23" s="56">
        <f t="shared" si="3"/>
        <v>0.10408646305643483</v>
      </c>
      <c r="F23" s="57">
        <f t="shared" si="1"/>
        <v>1666666.6666666667</v>
      </c>
      <c r="G23" s="56">
        <f t="shared" si="2"/>
        <v>4.6280446828204445E-2</v>
      </c>
      <c r="I23" s="41"/>
    </row>
    <row r="24" spans="1:9" ht="13" thickBot="1">
      <c r="A24" s="141" t="str">
        <f>'Series A Cap Table'!A51</f>
        <v>Total</v>
      </c>
      <c r="B24" s="93">
        <f t="shared" ref="B24:G24" si="4">SUM(B9:B23)</f>
        <v>10000000</v>
      </c>
      <c r="C24" s="90">
        <f t="shared" si="4"/>
        <v>10000000</v>
      </c>
      <c r="D24" s="91">
        <f>SUM(D9:D23)</f>
        <v>16012328.767123288</v>
      </c>
      <c r="E24" s="92">
        <f>SUM(E9:E23)</f>
        <v>1</v>
      </c>
      <c r="F24" s="93">
        <f t="shared" si="4"/>
        <v>36012328.767123289</v>
      </c>
      <c r="G24" s="92">
        <f t="shared" si="4"/>
        <v>1</v>
      </c>
    </row>
    <row r="25" spans="1:9">
      <c r="A25" s="22"/>
      <c r="B25" s="22"/>
      <c r="C25" s="22"/>
      <c r="D25" s="22"/>
      <c r="E25" s="22"/>
      <c r="F25" s="22"/>
      <c r="G25" s="22"/>
    </row>
  </sheetData>
  <sheetCalcPr fullCalcOnLoad="1"/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theme="1"/>
  </sheetPr>
  <dimension ref="A6:J27"/>
  <sheetViews>
    <sheetView showGridLines="0" workbookViewId="0"/>
  </sheetViews>
  <sheetFormatPr baseColWidth="10" defaultColWidth="9" defaultRowHeight="12"/>
  <cols>
    <col min="1" max="1" width="20.42578125" style="7" customWidth="1"/>
    <col min="2" max="10" width="11" style="7" customWidth="1"/>
    <col min="11" max="16384" width="9" style="7"/>
  </cols>
  <sheetData>
    <row r="6" spans="1:10" ht="13" thickBot="1"/>
    <row r="7" spans="1:10" ht="13" thickBot="1">
      <c r="A7" s="343" t="s">
        <v>47</v>
      </c>
      <c r="B7" s="343"/>
      <c r="C7" s="343"/>
      <c r="D7" s="343"/>
      <c r="E7" s="343"/>
      <c r="F7" s="343"/>
      <c r="G7" s="343"/>
      <c r="H7" s="343"/>
      <c r="I7" s="343"/>
      <c r="J7" s="344"/>
    </row>
    <row r="8" spans="1:10" ht="25" thickBot="1">
      <c r="A8" s="51" t="s">
        <v>54</v>
      </c>
      <c r="B8" s="52" t="s">
        <v>76</v>
      </c>
      <c r="C8" s="53" t="s">
        <v>77</v>
      </c>
      <c r="D8" s="52" t="s">
        <v>78</v>
      </c>
      <c r="E8" s="53" t="s">
        <v>79</v>
      </c>
      <c r="F8" s="52" t="s">
        <v>81</v>
      </c>
      <c r="G8" s="53" t="s">
        <v>82</v>
      </c>
      <c r="H8" s="58" t="s">
        <v>107</v>
      </c>
      <c r="I8" s="52" t="s">
        <v>80</v>
      </c>
      <c r="J8" s="53" t="s">
        <v>108</v>
      </c>
    </row>
    <row r="9" spans="1:10">
      <c r="A9" s="139" t="str">
        <f>+'Series B Cap Table'!A30</f>
        <v>Employee #1</v>
      </c>
      <c r="B9" s="138">
        <f>+'Series B Cap Table'!B30</f>
        <v>7500000</v>
      </c>
      <c r="C9" s="54">
        <f>+'Series B Cap Table'!C30</f>
        <v>0</v>
      </c>
      <c r="D9" s="55">
        <f>+'Series B Cap Table'!F30</f>
        <v>0</v>
      </c>
      <c r="E9" s="56">
        <f t="shared" ref="E9:E26" si="0">D9/$D$27</f>
        <v>0</v>
      </c>
      <c r="F9" s="55">
        <f>+'Series B Cap Table'!I30</f>
        <v>0</v>
      </c>
      <c r="G9" s="59">
        <f t="shared" ref="G9:G26" si="1">F9/$F$27</f>
        <v>0</v>
      </c>
      <c r="H9" s="60">
        <f t="shared" ref="H9:H26" si="2">(F9+D9)/($F$27+$D$27)</f>
        <v>0</v>
      </c>
      <c r="I9" s="57">
        <f t="shared" ref="I9:I26" si="3">D9+C9+B9+F9</f>
        <v>7500000</v>
      </c>
      <c r="J9" s="56">
        <f t="shared" ref="J9:J26" si="4">I9/$I$27</f>
        <v>0.12866937163995568</v>
      </c>
    </row>
    <row r="10" spans="1:10">
      <c r="A10" s="140" t="str">
        <f>+'Series B Cap Table'!A31</f>
        <v>Employee #2</v>
      </c>
      <c r="B10" s="57">
        <f>+'Series B Cap Table'!B31</f>
        <v>1750000</v>
      </c>
      <c r="C10" s="54">
        <f>+'Series B Cap Table'!C31</f>
        <v>2500000</v>
      </c>
      <c r="D10" s="55">
        <f>+'Series B Cap Table'!F31</f>
        <v>0</v>
      </c>
      <c r="E10" s="56">
        <f t="shared" si="0"/>
        <v>0</v>
      </c>
      <c r="F10" s="55">
        <f>+'Series B Cap Table'!I31</f>
        <v>0</v>
      </c>
      <c r="G10" s="59">
        <f t="shared" si="1"/>
        <v>0</v>
      </c>
      <c r="H10" s="60">
        <f t="shared" si="2"/>
        <v>0</v>
      </c>
      <c r="I10" s="57">
        <f t="shared" si="3"/>
        <v>4250000</v>
      </c>
      <c r="J10" s="56">
        <f t="shared" si="4"/>
        <v>7.2912643929308227E-2</v>
      </c>
    </row>
    <row r="11" spans="1:10">
      <c r="A11" s="140" t="str">
        <f>+'Series B Cap Table'!A32</f>
        <v>Employee #3</v>
      </c>
      <c r="B11" s="57">
        <f>+'Series B Cap Table'!B32</f>
        <v>0</v>
      </c>
      <c r="C11" s="54">
        <f>+'Series B Cap Table'!C32</f>
        <v>2000000</v>
      </c>
      <c r="D11" s="55">
        <f>+'Series B Cap Table'!F32</f>
        <v>0</v>
      </c>
      <c r="E11" s="56">
        <f t="shared" si="0"/>
        <v>0</v>
      </c>
      <c r="F11" s="55">
        <f>+'Series B Cap Table'!I32</f>
        <v>0</v>
      </c>
      <c r="G11" s="59">
        <f t="shared" si="1"/>
        <v>0</v>
      </c>
      <c r="H11" s="60">
        <f t="shared" si="2"/>
        <v>0</v>
      </c>
      <c r="I11" s="57">
        <f t="shared" si="3"/>
        <v>2000000</v>
      </c>
      <c r="J11" s="56">
        <f t="shared" si="4"/>
        <v>3.4311832437321513E-2</v>
      </c>
    </row>
    <row r="12" spans="1:10">
      <c r="A12" s="140" t="str">
        <f>+'Series B Cap Table'!A34</f>
        <v>Advisor #1</v>
      </c>
      <c r="B12" s="57">
        <f>+'Series B Cap Table'!B34</f>
        <v>0</v>
      </c>
      <c r="C12" s="54">
        <f>+'Series B Cap Table'!C34</f>
        <v>50000</v>
      </c>
      <c r="D12" s="55">
        <f>+'Series B Cap Table'!F34</f>
        <v>0</v>
      </c>
      <c r="E12" s="56">
        <f t="shared" si="0"/>
        <v>0</v>
      </c>
      <c r="F12" s="55">
        <f>+'Series B Cap Table'!I34</f>
        <v>0</v>
      </c>
      <c r="G12" s="59">
        <f t="shared" si="1"/>
        <v>0</v>
      </c>
      <c r="H12" s="60">
        <f t="shared" si="2"/>
        <v>0</v>
      </c>
      <c r="I12" s="57">
        <f t="shared" si="3"/>
        <v>50000</v>
      </c>
      <c r="J12" s="56">
        <f t="shared" si="4"/>
        <v>8.5779581093303791E-4</v>
      </c>
    </row>
    <row r="13" spans="1:10">
      <c r="A13" s="140" t="str">
        <f>+'Series B Cap Table'!A35</f>
        <v>Advisor #2</v>
      </c>
      <c r="B13" s="57">
        <f>+'Series B Cap Table'!B35</f>
        <v>0</v>
      </c>
      <c r="C13" s="54">
        <f>+'Series B Cap Table'!C35</f>
        <v>50000</v>
      </c>
      <c r="D13" s="55">
        <f>+'Series B Cap Table'!F35</f>
        <v>0</v>
      </c>
      <c r="E13" s="56">
        <f t="shared" si="0"/>
        <v>0</v>
      </c>
      <c r="F13" s="55">
        <f>+'Series B Cap Table'!I35</f>
        <v>0</v>
      </c>
      <c r="G13" s="59">
        <f t="shared" si="1"/>
        <v>0</v>
      </c>
      <c r="H13" s="60">
        <f t="shared" si="2"/>
        <v>0</v>
      </c>
      <c r="I13" s="57">
        <f t="shared" si="3"/>
        <v>50000</v>
      </c>
      <c r="J13" s="56">
        <f t="shared" si="4"/>
        <v>8.5779581093303791E-4</v>
      </c>
    </row>
    <row r="14" spans="1:10">
      <c r="A14" s="140" t="str">
        <f>+'Series B Cap Table'!A36</f>
        <v>Consultant #1</v>
      </c>
      <c r="B14" s="57">
        <f>+'Series B Cap Table'!B36</f>
        <v>0</v>
      </c>
      <c r="C14" s="54">
        <f>+'Series B Cap Table'!C36</f>
        <v>100000</v>
      </c>
      <c r="D14" s="55">
        <f>+'Series B Cap Table'!F36</f>
        <v>0</v>
      </c>
      <c r="E14" s="56">
        <f t="shared" si="0"/>
        <v>0</v>
      </c>
      <c r="F14" s="55">
        <f>+'Series B Cap Table'!I36</f>
        <v>0</v>
      </c>
      <c r="G14" s="59">
        <f t="shared" si="1"/>
        <v>0</v>
      </c>
      <c r="H14" s="60">
        <f t="shared" si="2"/>
        <v>0</v>
      </c>
      <c r="I14" s="57">
        <f t="shared" si="3"/>
        <v>100000</v>
      </c>
      <c r="J14" s="56">
        <f t="shared" si="4"/>
        <v>1.7155916218660758E-3</v>
      </c>
    </row>
    <row r="15" spans="1:10">
      <c r="A15" s="140" t="str">
        <f>+'Series B Cap Table'!A33</f>
        <v>Other Employees</v>
      </c>
      <c r="B15" s="57">
        <f>+'Series B Cap Table'!B33</f>
        <v>750000</v>
      </c>
      <c r="C15" s="54">
        <f>+'Series B Cap Table'!C33</f>
        <v>1800000</v>
      </c>
      <c r="D15" s="55">
        <f>+'Series B Cap Table'!F33</f>
        <v>0</v>
      </c>
      <c r="E15" s="56">
        <f t="shared" si="0"/>
        <v>0</v>
      </c>
      <c r="F15" s="55">
        <f>+'Series B Cap Table'!I33</f>
        <v>0</v>
      </c>
      <c r="G15" s="59">
        <f t="shared" si="1"/>
        <v>0</v>
      </c>
      <c r="H15" s="60">
        <f t="shared" si="2"/>
        <v>0</v>
      </c>
      <c r="I15" s="57">
        <f t="shared" si="3"/>
        <v>2550000</v>
      </c>
      <c r="J15" s="56">
        <f t="shared" si="4"/>
        <v>4.3747586357584932E-2</v>
      </c>
    </row>
    <row r="16" spans="1:10">
      <c r="A16" s="140" t="str">
        <f>+'Series B Cap Table'!A37</f>
        <v>Pre-Investment Option Pool</v>
      </c>
      <c r="B16" s="57">
        <f>+'Series B Cap Table'!B37</f>
        <v>0</v>
      </c>
      <c r="C16" s="54">
        <f>+'Series B Cap Table'!C37</f>
        <v>1000000</v>
      </c>
      <c r="D16" s="55">
        <f>+'Series B Cap Table'!F37</f>
        <v>0</v>
      </c>
      <c r="E16" s="56">
        <f t="shared" si="0"/>
        <v>0</v>
      </c>
      <c r="F16" s="55">
        <f>+'Series B Cap Table'!I37</f>
        <v>0</v>
      </c>
      <c r="G16" s="59">
        <f t="shared" si="1"/>
        <v>0</v>
      </c>
      <c r="H16" s="60">
        <f t="shared" si="2"/>
        <v>0</v>
      </c>
      <c r="I16" s="57">
        <f t="shared" si="3"/>
        <v>1000000</v>
      </c>
      <c r="J16" s="56">
        <f t="shared" si="4"/>
        <v>1.7155916218660756E-2</v>
      </c>
    </row>
    <row r="17" spans="1:10">
      <c r="A17" s="140" t="str">
        <f>+'Series B Cap Table'!A38</f>
        <v>Srs A Option Pool Expansion</v>
      </c>
      <c r="B17" s="57">
        <f>+'Series B Cap Table'!B38</f>
        <v>0</v>
      </c>
      <c r="C17" s="54">
        <f>+'Series B Cap Table'!C38</f>
        <v>2500000</v>
      </c>
      <c r="D17" s="55">
        <f>+'Series B Cap Table'!F38</f>
        <v>0</v>
      </c>
      <c r="E17" s="56">
        <f t="shared" si="0"/>
        <v>0</v>
      </c>
      <c r="F17" s="55">
        <f>+'Series B Cap Table'!I38</f>
        <v>0</v>
      </c>
      <c r="G17" s="59">
        <f t="shared" si="1"/>
        <v>0</v>
      </c>
      <c r="H17" s="60">
        <f t="shared" si="2"/>
        <v>0</v>
      </c>
      <c r="I17" s="57">
        <f t="shared" si="3"/>
        <v>2500000</v>
      </c>
      <c r="J17" s="56">
        <f t="shared" si="4"/>
        <v>4.2889790546651894E-2</v>
      </c>
    </row>
    <row r="18" spans="1:10">
      <c r="A18" s="140" t="str">
        <f>+'Series B Cap Table'!A39</f>
        <v>Srs B Option Pool Expansion</v>
      </c>
      <c r="B18" s="57">
        <f>+'Series B Cap Table'!B39</f>
        <v>0</v>
      </c>
      <c r="C18" s="54">
        <f>+'Series B Cap Table'!C39</f>
        <v>2500000</v>
      </c>
      <c r="D18" s="55">
        <f>+'Series B Cap Table'!F39</f>
        <v>0</v>
      </c>
      <c r="E18" s="56">
        <f t="shared" si="0"/>
        <v>0</v>
      </c>
      <c r="F18" s="55">
        <f>+'Series B Cap Table'!I39</f>
        <v>0</v>
      </c>
      <c r="G18" s="59">
        <f t="shared" si="1"/>
        <v>0</v>
      </c>
      <c r="H18" s="60">
        <f t="shared" si="2"/>
        <v>0</v>
      </c>
      <c r="I18" s="57">
        <f t="shared" si="3"/>
        <v>2500000</v>
      </c>
      <c r="J18" s="56">
        <f t="shared" si="4"/>
        <v>4.2889790546651894E-2</v>
      </c>
    </row>
    <row r="19" spans="1:10">
      <c r="A19" s="140" t="str">
        <f>+'Series B Cap Table'!A40</f>
        <v>Angel #1</v>
      </c>
      <c r="B19" s="57">
        <f>+'Series B Cap Table'!B40</f>
        <v>0</v>
      </c>
      <c r="C19" s="54">
        <f>+'Series B Cap Table'!C40</f>
        <v>0</v>
      </c>
      <c r="D19" s="55">
        <f>+'Series B Cap Table'!F40</f>
        <v>1366438.3561643835</v>
      </c>
      <c r="E19" s="56">
        <f t="shared" si="0"/>
        <v>8.5336641286679782E-2</v>
      </c>
      <c r="F19" s="55">
        <f>+'Series B Cap Table'!I40</f>
        <v>0</v>
      </c>
      <c r="G19" s="59">
        <f t="shared" si="1"/>
        <v>0</v>
      </c>
      <c r="H19" s="60">
        <f t="shared" si="2"/>
        <v>3.8180475224458672E-2</v>
      </c>
      <c r="I19" s="57">
        <f t="shared" si="3"/>
        <v>1366438.3561643835</v>
      </c>
      <c r="J19" s="56">
        <f t="shared" si="4"/>
        <v>2.344250195632069E-2</v>
      </c>
    </row>
    <row r="20" spans="1:10">
      <c r="A20" s="140" t="str">
        <f>+'Series B Cap Table'!A41</f>
        <v>Angel #2</v>
      </c>
      <c r="B20" s="57">
        <f>+'Series B Cap Table'!B41</f>
        <v>0</v>
      </c>
      <c r="C20" s="54">
        <f>+'Series B Cap Table'!C41</f>
        <v>0</v>
      </c>
      <c r="D20" s="55">
        <f>+'Series B Cap Table'!F41</f>
        <v>1366438.3561643835</v>
      </c>
      <c r="E20" s="56">
        <f t="shared" si="0"/>
        <v>8.5336641286679782E-2</v>
      </c>
      <c r="F20" s="55">
        <f>+'Series B Cap Table'!I41</f>
        <v>0</v>
      </c>
      <c r="G20" s="59">
        <f t="shared" si="1"/>
        <v>0</v>
      </c>
      <c r="H20" s="60">
        <f t="shared" si="2"/>
        <v>3.8180475224458672E-2</v>
      </c>
      <c r="I20" s="57">
        <f t="shared" si="3"/>
        <v>1366438.3561643835</v>
      </c>
      <c r="J20" s="56">
        <f t="shared" si="4"/>
        <v>2.344250195632069E-2</v>
      </c>
    </row>
    <row r="21" spans="1:10">
      <c r="A21" s="140" t="str">
        <f>+'Series B Cap Table'!A42</f>
        <v>Angel #3</v>
      </c>
      <c r="B21" s="57">
        <f>+'Series B Cap Table'!B42</f>
        <v>0</v>
      </c>
      <c r="C21" s="54">
        <f>+'Series B Cap Table'!C42</f>
        <v>0</v>
      </c>
      <c r="D21" s="55">
        <f>+'Series B Cap Table'!F42</f>
        <v>1366438.3561643835</v>
      </c>
      <c r="E21" s="56">
        <f t="shared" si="0"/>
        <v>8.5336641286679782E-2</v>
      </c>
      <c r="F21" s="55">
        <f>+'Series B Cap Table'!I42</f>
        <v>0</v>
      </c>
      <c r="G21" s="59">
        <f t="shared" si="1"/>
        <v>0</v>
      </c>
      <c r="H21" s="60">
        <f t="shared" si="2"/>
        <v>3.8180475224458672E-2</v>
      </c>
      <c r="I21" s="57">
        <f t="shared" si="3"/>
        <v>1366438.3561643835</v>
      </c>
      <c r="J21" s="56">
        <f t="shared" si="4"/>
        <v>2.344250195632069E-2</v>
      </c>
    </row>
    <row r="22" spans="1:10">
      <c r="A22" s="140" t="str">
        <f>+'Series B Cap Table'!A43</f>
        <v>Angels #4-10</v>
      </c>
      <c r="B22" s="57">
        <f>+'Series B Cap Table'!B43</f>
        <v>0</v>
      </c>
      <c r="C22" s="54">
        <f>+'Series B Cap Table'!C43</f>
        <v>0</v>
      </c>
      <c r="D22" s="55">
        <f>+'Series B Cap Table'!F43</f>
        <v>1913013.6986301367</v>
      </c>
      <c r="E22" s="56">
        <f t="shared" si="0"/>
        <v>0.11947129780135168</v>
      </c>
      <c r="F22" s="55">
        <f>+'Series B Cap Table'!I43</f>
        <v>0</v>
      </c>
      <c r="G22" s="59">
        <f t="shared" si="1"/>
        <v>0</v>
      </c>
      <c r="H22" s="60">
        <f t="shared" si="2"/>
        <v>5.3452665314242136E-2</v>
      </c>
      <c r="I22" s="57">
        <f t="shared" si="3"/>
        <v>1913013.6986301367</v>
      </c>
      <c r="J22" s="56">
        <f t="shared" si="4"/>
        <v>3.2819502738848962E-2</v>
      </c>
    </row>
    <row r="23" spans="1:10">
      <c r="A23" s="140" t="str">
        <f>+'Series B Cap Table'!A44</f>
        <v>Series A Lead Investor</v>
      </c>
      <c r="B23" s="57">
        <f>+'Series B Cap Table'!B44</f>
        <v>0</v>
      </c>
      <c r="C23" s="54">
        <f>+'Series B Cap Table'!C44</f>
        <v>0</v>
      </c>
      <c r="D23" s="55">
        <f>+'Series B Cap Table'!F44</f>
        <v>8333333.333333334</v>
      </c>
      <c r="E23" s="56">
        <f t="shared" si="0"/>
        <v>0.52043231528217415</v>
      </c>
      <c r="F23" s="55">
        <f>+'Series B Cap Table'!I44</f>
        <v>1040873.7504627916</v>
      </c>
      <c r="G23" s="59">
        <f t="shared" si="1"/>
        <v>5.2631578947368425E-2</v>
      </c>
      <c r="H23" s="60">
        <f t="shared" si="2"/>
        <v>0.26193035324073255</v>
      </c>
      <c r="I23" s="57">
        <f t="shared" si="3"/>
        <v>9374207.0837961249</v>
      </c>
      <c r="J23" s="56">
        <f t="shared" si="4"/>
        <v>0.16082311134598251</v>
      </c>
    </row>
    <row r="24" spans="1:10">
      <c r="A24" s="140" t="str">
        <f>+'Series B Cap Table'!A45</f>
        <v>Series A Other Investors</v>
      </c>
      <c r="B24" s="57">
        <f>+'Series B Cap Table'!B45</f>
        <v>0</v>
      </c>
      <c r="C24" s="54">
        <f>+'Series B Cap Table'!C45</f>
        <v>0</v>
      </c>
      <c r="D24" s="55">
        <f>+'Series B Cap Table'!F45</f>
        <v>1666666.6666666667</v>
      </c>
      <c r="E24" s="56">
        <f t="shared" si="0"/>
        <v>0.10408646305643483</v>
      </c>
      <c r="F24" s="55">
        <f>+'Series B Cap Table'!I45</f>
        <v>1040873.7504627916</v>
      </c>
      <c r="G24" s="59">
        <f t="shared" si="1"/>
        <v>5.2631578947368425E-2</v>
      </c>
      <c r="H24" s="60">
        <f t="shared" si="2"/>
        <v>7.5653013799764621E-2</v>
      </c>
      <c r="I24" s="57">
        <f t="shared" si="3"/>
        <v>2707540.4171294584</v>
      </c>
      <c r="J24" s="56">
        <f t="shared" si="4"/>
        <v>4.6450336554910786E-2</v>
      </c>
    </row>
    <row r="25" spans="1:10">
      <c r="A25" s="140" t="str">
        <f>+'Series B Cap Table'!A46</f>
        <v>Series B Lead Investor</v>
      </c>
      <c r="B25" s="57">
        <f>+'Series B Cap Table'!B46</f>
        <v>0</v>
      </c>
      <c r="C25" s="54">
        <f>+'Series B Cap Table'!C46</f>
        <v>0</v>
      </c>
      <c r="D25" s="55">
        <f>+'Series B Cap Table'!F46</f>
        <v>0</v>
      </c>
      <c r="E25" s="56">
        <f t="shared" si="0"/>
        <v>0</v>
      </c>
      <c r="F25" s="55">
        <f>+'Series B Cap Table'!I46</f>
        <v>15613106.256941875</v>
      </c>
      <c r="G25" s="59">
        <f t="shared" si="1"/>
        <v>0.78947368421052633</v>
      </c>
      <c r="H25" s="60">
        <f t="shared" si="2"/>
        <v>0.43625518409283937</v>
      </c>
      <c r="I25" s="57">
        <f t="shared" si="3"/>
        <v>15613106.256941875</v>
      </c>
      <c r="J25" s="56">
        <f t="shared" si="4"/>
        <v>0.2678571428571429</v>
      </c>
    </row>
    <row r="26" spans="1:10" ht="13" thickBot="1">
      <c r="A26" s="140" t="str">
        <f>+'Series B Cap Table'!A47</f>
        <v>Series B Other Investors</v>
      </c>
      <c r="B26" s="57">
        <f>+'Series B Cap Table'!B47</f>
        <v>0</v>
      </c>
      <c r="C26" s="54">
        <f>+'Series B Cap Table'!C47</f>
        <v>0</v>
      </c>
      <c r="D26" s="55">
        <f>+'Series B Cap Table'!F47</f>
        <v>0</v>
      </c>
      <c r="E26" s="56">
        <f t="shared" si="0"/>
        <v>0</v>
      </c>
      <c r="F26" s="55">
        <f>+'Series B Cap Table'!I47</f>
        <v>2081747.5009255833</v>
      </c>
      <c r="G26" s="59">
        <f t="shared" si="1"/>
        <v>0.10526315789473685</v>
      </c>
      <c r="H26" s="60">
        <f t="shared" si="2"/>
        <v>5.8167357879045249E-2</v>
      </c>
      <c r="I26" s="57">
        <f t="shared" si="3"/>
        <v>2081747.5009255833</v>
      </c>
      <c r="J26" s="56">
        <f t="shared" si="4"/>
        <v>3.5714285714285712E-2</v>
      </c>
    </row>
    <row r="27" spans="1:10" ht="13" thickBot="1">
      <c r="A27" s="141" t="str">
        <f>'Series A Cap Table'!A51</f>
        <v>Total</v>
      </c>
      <c r="B27" s="93">
        <f t="shared" ref="B27:J27" si="5">SUM(B9:B26)</f>
        <v>10000000</v>
      </c>
      <c r="C27" s="90">
        <f t="shared" si="5"/>
        <v>12500000</v>
      </c>
      <c r="D27" s="91">
        <f t="shared" si="5"/>
        <v>16012328.767123288</v>
      </c>
      <c r="E27" s="92">
        <f t="shared" si="5"/>
        <v>1</v>
      </c>
      <c r="F27" s="91">
        <f t="shared" si="5"/>
        <v>19776601.258793041</v>
      </c>
      <c r="G27" s="96">
        <f t="shared" si="5"/>
        <v>1</v>
      </c>
      <c r="H27" s="97">
        <f t="shared" si="5"/>
        <v>1</v>
      </c>
      <c r="I27" s="93">
        <f t="shared" si="5"/>
        <v>58288930.025916331</v>
      </c>
      <c r="J27" s="92">
        <f t="shared" si="5"/>
        <v>1</v>
      </c>
    </row>
  </sheetData>
  <phoneticPr fontId="25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Pre-Investment Cap Table</vt:lpstr>
      <vt:lpstr>Convertible Notes</vt:lpstr>
      <vt:lpstr>Series A Cap Table</vt:lpstr>
      <vt:lpstr>Series B Cap Table</vt:lpstr>
      <vt:lpstr>Value Growth</vt:lpstr>
      <vt:lpstr>Series A_Print Version</vt:lpstr>
      <vt:lpstr>Series B_Print 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S3 Ventures</dc:creator>
  <cp:lastModifiedBy>NIKHIL</cp:lastModifiedBy>
  <cp:lastPrinted>2016-08-01T16:39:06Z</cp:lastPrinted>
  <dcterms:created xsi:type="dcterms:W3CDTF">2012-01-06T17:01:19Z</dcterms:created>
  <dcterms:modified xsi:type="dcterms:W3CDTF">2018-03-06T19:39:05Z</dcterms:modified>
</cp:coreProperties>
</file>