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480" yWindow="100" windowWidth="25280" windowHeight="14340"/>
  </bookViews>
  <sheets>
    <sheet name="Cap Table" sheetId="10" r:id="rId1"/>
  </sheets>
  <definedNames>
    <definedName name="Acquis.table">#REF!</definedName>
    <definedName name="OUPTotal" localSheetId="0">#REF!</definedName>
    <definedName name="OUPTotal">#REF!</definedName>
    <definedName name="perform.table">#REF!</definedName>
    <definedName name="Pref" localSheetId="0">#REF!</definedName>
    <definedName name="Pref">#REF!</definedName>
    <definedName name="_xlnm.Print_Area">#REF!</definedName>
    <definedName name="_xlnm.Print_Titles">#REF!</definedName>
    <definedName name="PRINT_TITLES_MI">#REF!</definedName>
    <definedName name="SharesA">#REF!</definedName>
    <definedName name="SharesAll">#REF!</definedName>
    <definedName name="SharesB">#REF!</definedName>
    <definedName name="SharesCommon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0" l="1"/>
  <c r="F13" i="10"/>
  <c r="D5" i="10"/>
  <c r="W9" i="10"/>
  <c r="I13" i="10"/>
  <c r="G3" i="10"/>
  <c r="N13" i="10"/>
  <c r="S13" i="10"/>
  <c r="E10" i="10"/>
  <c r="Q4" i="10"/>
  <c r="Q3" i="10"/>
  <c r="Q5" i="10"/>
  <c r="D3" i="10"/>
  <c r="G6" i="10"/>
  <c r="G4" i="10"/>
  <c r="G7" i="10"/>
  <c r="G8" i="10"/>
  <c r="G5" i="10"/>
  <c r="D6" i="10"/>
  <c r="D4" i="10"/>
  <c r="D7" i="10"/>
  <c r="D8" i="10"/>
  <c r="B10" i="10"/>
  <c r="C9" i="10"/>
  <c r="C17" i="10"/>
  <c r="F16" i="10"/>
  <c r="F17" i="10"/>
  <c r="C8" i="10"/>
  <c r="C7" i="10"/>
  <c r="C6" i="10"/>
  <c r="C5" i="10"/>
  <c r="C4" i="10"/>
  <c r="D10" i="10"/>
  <c r="G10" i="10"/>
  <c r="I9" i="10"/>
  <c r="C3" i="10"/>
  <c r="I5" i="10"/>
  <c r="I8" i="10"/>
  <c r="I7" i="10"/>
  <c r="I4" i="10"/>
  <c r="I6" i="10"/>
  <c r="C10" i="10"/>
  <c r="F9" i="10"/>
  <c r="F3" i="10"/>
  <c r="F8" i="10"/>
  <c r="F7" i="10"/>
  <c r="F6" i="10"/>
  <c r="F5" i="10"/>
  <c r="F4" i="10"/>
  <c r="F10" i="10"/>
  <c r="H9" i="10"/>
  <c r="H10" i="10"/>
  <c r="I3" i="10"/>
  <c r="J9" i="10"/>
  <c r="I16" i="10"/>
  <c r="I10" i="10"/>
  <c r="J10" i="10"/>
  <c r="I17" i="10"/>
  <c r="K3" i="10"/>
  <c r="K5" i="10"/>
  <c r="K8" i="10"/>
  <c r="K6" i="10"/>
  <c r="M6" i="10"/>
  <c r="M7" i="10"/>
  <c r="K7" i="10"/>
  <c r="K4" i="10"/>
  <c r="L8" i="10"/>
  <c r="L4" i="10"/>
  <c r="M9" i="10"/>
  <c r="K10" i="10"/>
  <c r="L7" i="10"/>
  <c r="L5" i="10"/>
  <c r="L6" i="10"/>
  <c r="M10" i="10"/>
  <c r="L3" i="10"/>
  <c r="L10" i="10"/>
  <c r="N8" i="10"/>
  <c r="N5" i="10"/>
  <c r="N6" i="10"/>
  <c r="N3" i="10"/>
  <c r="N9" i="10"/>
  <c r="O9" i="10"/>
  <c r="N4" i="10"/>
  <c r="N7" i="10"/>
  <c r="O10" i="10"/>
  <c r="N16" i="10"/>
  <c r="N17" i="10"/>
  <c r="N10" i="10"/>
  <c r="P5" i="10"/>
  <c r="P7" i="10"/>
  <c r="R7" i="10"/>
  <c r="Q7" i="10"/>
  <c r="P8" i="10"/>
  <c r="P4" i="10"/>
  <c r="P6" i="10"/>
  <c r="R6" i="10"/>
  <c r="Q6" i="10"/>
  <c r="P3" i="10"/>
  <c r="R8" i="10"/>
  <c r="Q8" i="10"/>
  <c r="P10" i="10"/>
  <c r="Q9" i="10"/>
  <c r="Q10" i="10"/>
  <c r="R10" i="10"/>
  <c r="S4" i="10"/>
  <c r="S8" i="10"/>
  <c r="S6" i="10"/>
  <c r="S5" i="10"/>
  <c r="S9" i="10"/>
  <c r="T9" i="10"/>
  <c r="S16" i="10"/>
  <c r="S17" i="10"/>
  <c r="S7" i="10"/>
  <c r="S3" i="10"/>
  <c r="S10" i="10"/>
  <c r="T10" i="10"/>
  <c r="U6" i="10"/>
  <c r="W6" i="10"/>
  <c r="X6" i="10"/>
  <c r="U3" i="10"/>
  <c r="W3" i="10"/>
  <c r="U4" i="10"/>
  <c r="W4" i="10"/>
  <c r="U7" i="10"/>
  <c r="W7" i="10"/>
  <c r="X7" i="10"/>
  <c r="U5" i="10"/>
  <c r="W5" i="10"/>
  <c r="X5" i="10"/>
  <c r="U8" i="10"/>
  <c r="W8" i="10"/>
  <c r="X8" i="10"/>
  <c r="U10" i="10"/>
  <c r="W10" i="10"/>
</calcChain>
</file>

<file path=xl/sharedStrings.xml><?xml version="1.0" encoding="utf-8"?>
<sst xmlns="http://schemas.openxmlformats.org/spreadsheetml/2006/main" count="61" uniqueCount="32">
  <si>
    <t xml:space="preserve">Common </t>
  </si>
  <si>
    <t>%ownership</t>
  </si>
  <si>
    <t>Series A</t>
  </si>
  <si>
    <t>Series B</t>
  </si>
  <si>
    <t>Cost$</t>
  </si>
  <si>
    <t>Series C</t>
  </si>
  <si>
    <t>Option Pool</t>
  </si>
  <si>
    <t>Total Shares</t>
  </si>
  <si>
    <t>Multiple(x)</t>
  </si>
  <si>
    <t>Price/share</t>
  </si>
  <si>
    <t>$/Share</t>
  </si>
  <si>
    <t>$Raise</t>
  </si>
  <si>
    <t>Pre-Money</t>
  </si>
  <si>
    <t>Post-Money</t>
  </si>
  <si>
    <t>Angels</t>
  </si>
  <si>
    <t>PostMoney</t>
  </si>
  <si>
    <t>Series A Lead - VC</t>
  </si>
  <si>
    <t>Series B Lead - VC</t>
  </si>
  <si>
    <t>Seed</t>
  </si>
  <si>
    <t>Series C Lead - VC</t>
  </si>
  <si>
    <t>Founders</t>
  </si>
  <si>
    <t>University</t>
  </si>
  <si>
    <t>Founding</t>
  </si>
  <si>
    <t>Seed Round</t>
  </si>
  <si>
    <t>Series A Round - VC</t>
  </si>
  <si>
    <t>Series B - VC</t>
  </si>
  <si>
    <t>Series C - VC</t>
  </si>
  <si>
    <t xml:space="preserve">Option Pool </t>
  </si>
  <si>
    <t>Sale Price</t>
  </si>
  <si>
    <t>Proceeds</t>
  </si>
  <si>
    <t>Acquisition/IPO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</si>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</sst>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%"/>
    <numFmt numFmtId="169" formatCode="_(* #,##0_);_(* \(#,##0\);_(* &quot;-&quot;??_);_(@_)"/>
    <numFmt numFmtId="170" formatCode="_(&quot;$&quot;* #,##0_);_(&quot;$&quot;* \(#,##0\);_(&quot;$&quot;* &quot;-&quot;??_);_(@_)"/>
    <numFmt numFmtId="171" formatCode="0.0\x"/>
    <numFmt numFmtId="172" formatCode="_(* #,##0.0000_);_(* \(#,##0.0000\);_(* &quot;-&quot;??_);_(@_)"/>
    <numFmt numFmtId="173" formatCode="0.000_)"/>
    <numFmt numFmtId="174" formatCode="0.00_)"/>
    <numFmt numFmtId="175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1"/>
      <name val="Tms Rmn"/>
      <charset val="178"/>
    </font>
    <font>
      <sz val="10"/>
      <name val="Arabic Transparent"/>
      <charset val="178"/>
    </font>
    <font>
      <b/>
      <i/>
      <sz val="16"/>
      <name val="Helv"/>
      <charset val="178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5" fillId="0" borderId="0"/>
    <xf numFmtId="0" fontId="6" fillId="0" borderId="0"/>
    <xf numFmtId="16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3" fontId="8" fillId="0" borderId="0"/>
    <xf numFmtId="173" fontId="8" fillId="0" borderId="0"/>
    <xf numFmtId="173" fontId="8" fillId="0" borderId="0"/>
    <xf numFmtId="173" fontId="8" fillId="0" borderId="0"/>
    <xf numFmtId="173" fontId="8" fillId="0" borderId="0"/>
    <xf numFmtId="173" fontId="8" fillId="0" borderId="0"/>
    <xf numFmtId="173" fontId="8" fillId="0" borderId="0"/>
    <xf numFmtId="173" fontId="8" fillId="0" borderId="0"/>
    <xf numFmtId="0" fontId="9" fillId="0" borderId="0" applyNumberFormat="0">
      <alignment horizontal="right"/>
    </xf>
    <xf numFmtId="174" fontId="10" fillId="0" borderId="0"/>
  </cellStyleXfs>
  <cellXfs count="119">
    <xf numFmtId="0" fontId="0" fillId="0" borderId="0" xfId="0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170" fontId="2" fillId="0" borderId="0" xfId="2" applyNumberFormat="1" applyFont="1" applyFill="1" applyBorder="1"/>
    <xf numFmtId="10" fontId="2" fillId="0" borderId="0" xfId="3" applyNumberFormat="1" applyFont="1" applyFill="1" applyBorder="1"/>
    <xf numFmtId="0" fontId="0" fillId="0" borderId="0" xfId="0" applyFill="1" applyBorder="1"/>
    <xf numFmtId="3" fontId="2" fillId="0" borderId="0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0" fillId="0" borderId="1" xfId="0" applyFont="1" applyBorder="1"/>
    <xf numFmtId="0" fontId="12" fillId="2" borderId="1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0" fillId="0" borderId="1" xfId="4" applyFont="1" applyBorder="1"/>
    <xf numFmtId="168" fontId="0" fillId="0" borderId="0" xfId="3" applyNumberFormat="1" applyFont="1" applyBorder="1" applyAlignment="1">
      <alignment horizontal="center"/>
    </xf>
    <xf numFmtId="169" fontId="0" fillId="0" borderId="1" xfId="1" applyNumberFormat="1" applyFont="1" applyBorder="1" applyAlignment="1">
      <alignment horizontal="center"/>
    </xf>
    <xf numFmtId="168" fontId="0" fillId="0" borderId="2" xfId="3" applyNumberFormat="1" applyFont="1" applyBorder="1" applyAlignment="1">
      <alignment horizontal="center"/>
    </xf>
    <xf numFmtId="170" fontId="0" fillId="0" borderId="0" xfId="1" applyNumberFormat="1" applyFont="1" applyBorder="1" applyAlignment="1"/>
    <xf numFmtId="168" fontId="0" fillId="0" borderId="1" xfId="3" applyNumberFormat="1" applyFont="1" applyFill="1" applyBorder="1" applyAlignment="1">
      <alignment horizontal="center"/>
    </xf>
    <xf numFmtId="0" fontId="0" fillId="4" borderId="1" xfId="4" applyFont="1" applyFill="1" applyBorder="1"/>
    <xf numFmtId="168" fontId="0" fillId="4" borderId="0" xfId="3" applyNumberFormat="1" applyFont="1" applyFill="1" applyBorder="1" applyAlignment="1">
      <alignment horizontal="center"/>
    </xf>
    <xf numFmtId="169" fontId="0" fillId="4" borderId="1" xfId="1" applyNumberFormat="1" applyFont="1" applyFill="1" applyBorder="1" applyAlignment="1">
      <alignment horizontal="center"/>
    </xf>
    <xf numFmtId="168" fontId="0" fillId="4" borderId="2" xfId="3" applyNumberFormat="1" applyFont="1" applyFill="1" applyBorder="1" applyAlignment="1">
      <alignment horizontal="center"/>
    </xf>
    <xf numFmtId="170" fontId="0" fillId="4" borderId="0" xfId="1" applyNumberFormat="1" applyFont="1" applyFill="1" applyBorder="1" applyAlignment="1"/>
    <xf numFmtId="0" fontId="0" fillId="0" borderId="7" xfId="4" applyFont="1" applyBorder="1"/>
    <xf numFmtId="168" fontId="0" fillId="0" borderId="5" xfId="3" applyNumberFormat="1" applyFont="1" applyBorder="1" applyAlignment="1">
      <alignment horizontal="center"/>
    </xf>
    <xf numFmtId="169" fontId="0" fillId="0" borderId="4" xfId="1" applyNumberFormat="1" applyFont="1" applyBorder="1" applyAlignment="1">
      <alignment horizontal="center"/>
    </xf>
    <xf numFmtId="168" fontId="0" fillId="0" borderId="6" xfId="3" applyNumberFormat="1" applyFont="1" applyBorder="1" applyAlignment="1">
      <alignment horizontal="center"/>
    </xf>
    <xf numFmtId="170" fontId="0" fillId="0" borderId="5" xfId="1" applyNumberFormat="1" applyFont="1" applyBorder="1" applyAlignment="1"/>
    <xf numFmtId="169" fontId="12" fillId="0" borderId="4" xfId="1" applyNumberFormat="1" applyFont="1" applyFill="1" applyBorder="1" applyAlignment="1">
      <alignment horizontal="center"/>
    </xf>
    <xf numFmtId="0" fontId="12" fillId="0" borderId="1" xfId="0" applyFont="1" applyBorder="1"/>
    <xf numFmtId="169" fontId="0" fillId="2" borderId="1" xfId="0" applyNumberFormat="1" applyFont="1" applyFill="1" applyBorder="1" applyAlignment="1">
      <alignment horizontal="center"/>
    </xf>
    <xf numFmtId="9" fontId="0" fillId="2" borderId="0" xfId="0" applyNumberFormat="1" applyFont="1" applyFill="1" applyBorder="1" applyAlignment="1">
      <alignment horizontal="center"/>
    </xf>
    <xf numFmtId="169" fontId="0" fillId="3" borderId="1" xfId="0" applyNumberFormat="1" applyFont="1" applyFill="1" applyBorder="1" applyAlignment="1">
      <alignment horizontal="center"/>
    </xf>
    <xf numFmtId="169" fontId="0" fillId="3" borderId="0" xfId="0" applyNumberFormat="1" applyFont="1" applyFill="1" applyBorder="1" applyAlignment="1">
      <alignment horizontal="center"/>
    </xf>
    <xf numFmtId="9" fontId="0" fillId="3" borderId="0" xfId="0" applyNumberFormat="1" applyFont="1" applyFill="1" applyBorder="1" applyAlignment="1">
      <alignment horizontal="center"/>
    </xf>
    <xf numFmtId="9" fontId="0" fillId="2" borderId="2" xfId="0" applyNumberFormat="1" applyFont="1" applyFill="1" applyBorder="1" applyAlignment="1">
      <alignment horizontal="center"/>
    </xf>
    <xf numFmtId="9" fontId="0" fillId="0" borderId="1" xfId="0" applyNumberFormat="1" applyFont="1" applyFill="1" applyBorder="1" applyAlignment="1">
      <alignment horizontal="center"/>
    </xf>
    <xf numFmtId="167" fontId="0" fillId="0" borderId="1" xfId="0" applyNumberFormat="1" applyFont="1" applyFill="1" applyBorder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9" fontId="0" fillId="0" borderId="2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169" fontId="0" fillId="0" borderId="0" xfId="0" applyNumberFormat="1" applyFont="1" applyFill="1" applyBorder="1" applyAlignment="1">
      <alignment horizontal="center"/>
    </xf>
    <xf numFmtId="167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12" fillId="5" borderId="0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4" fontId="12" fillId="5" borderId="2" xfId="0" applyNumberFormat="1" applyFont="1" applyFill="1" applyBorder="1" applyAlignment="1">
      <alignment horizontal="center"/>
    </xf>
    <xf numFmtId="0" fontId="0" fillId="0" borderId="0" xfId="0" applyFont="1" applyBorder="1"/>
    <xf numFmtId="172" fontId="0" fillId="0" borderId="0" xfId="0" applyNumberFormat="1" applyFont="1" applyBorder="1" applyAlignment="1">
      <alignment horizontal="center"/>
    </xf>
    <xf numFmtId="172" fontId="0" fillId="0" borderId="2" xfId="0" applyNumberFormat="1" applyFont="1" applyBorder="1" applyAlignment="1">
      <alignment horizontal="center"/>
    </xf>
    <xf numFmtId="172" fontId="0" fillId="0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75" fontId="0" fillId="0" borderId="0" xfId="0" applyNumberFormat="1" applyFont="1" applyBorder="1" applyAlignment="1">
      <alignment horizontal="center"/>
    </xf>
    <xf numFmtId="3" fontId="12" fillId="0" borderId="0" xfId="0" applyNumberFormat="1" applyFont="1" applyFill="1" applyBorder="1" applyAlignment="1">
      <alignment horizontal="center"/>
    </xf>
    <xf numFmtId="164" fontId="12" fillId="0" borderId="0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175" fontId="0" fillId="0" borderId="3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165" fontId="0" fillId="0" borderId="3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6" fontId="2" fillId="0" borderId="0" xfId="2" applyFont="1" applyFill="1" applyBorder="1"/>
    <xf numFmtId="3" fontId="3" fillId="0" borderId="0" xfId="0" applyNumberFormat="1" applyFont="1" applyFill="1" applyBorder="1" applyAlignment="1">
      <alignment horizontal="right" vertical="center" textRotation="90"/>
    </xf>
    <xf numFmtId="170" fontId="2" fillId="0" borderId="0" xfId="2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70" fontId="0" fillId="0" borderId="2" xfId="1" applyNumberFormat="1" applyFont="1" applyBorder="1" applyAlignment="1"/>
    <xf numFmtId="170" fontId="0" fillId="4" borderId="2" xfId="1" applyNumberFormat="1" applyFont="1" applyFill="1" applyBorder="1" applyAlignment="1"/>
    <xf numFmtId="171" fontId="12" fillId="4" borderId="2" xfId="1" applyNumberFormat="1" applyFont="1" applyFill="1" applyBorder="1" applyAlignment="1">
      <alignment horizontal="center"/>
    </xf>
    <xf numFmtId="170" fontId="0" fillId="0" borderId="6" xfId="1" applyNumberFormat="1" applyFont="1" applyBorder="1" applyAlignment="1"/>
    <xf numFmtId="169" fontId="0" fillId="3" borderId="2" xfId="0" applyNumberFormat="1" applyFont="1" applyFill="1" applyBorder="1" applyAlignment="1">
      <alignment horizontal="center"/>
    </xf>
    <xf numFmtId="167" fontId="0" fillId="0" borderId="2" xfId="0" applyNumberFormat="1" applyFont="1" applyFill="1" applyBorder="1" applyAlignment="1">
      <alignment horizontal="center"/>
    </xf>
    <xf numFmtId="0" fontId="11" fillId="6" borderId="4" xfId="0" applyFont="1" applyFill="1" applyBorder="1"/>
    <xf numFmtId="0" fontId="0" fillId="0" borderId="1" xfId="4" applyFont="1" applyFill="1" applyBorder="1"/>
    <xf numFmtId="168" fontId="0" fillId="0" borderId="0" xfId="3" applyNumberFormat="1" applyFont="1" applyFill="1" applyBorder="1" applyAlignment="1">
      <alignment horizontal="center"/>
    </xf>
    <xf numFmtId="169" fontId="0" fillId="0" borderId="1" xfId="1" applyNumberFormat="1" applyFont="1" applyFill="1" applyBorder="1" applyAlignment="1">
      <alignment horizontal="center"/>
    </xf>
    <xf numFmtId="168" fontId="0" fillId="0" borderId="2" xfId="3" applyNumberFormat="1" applyFont="1" applyFill="1" applyBorder="1" applyAlignment="1">
      <alignment horizontal="center"/>
    </xf>
    <xf numFmtId="170" fontId="0" fillId="0" borderId="0" xfId="1" applyNumberFormat="1" applyFont="1" applyFill="1" applyBorder="1" applyAlignment="1"/>
    <xf numFmtId="171" fontId="12" fillId="0" borderId="2" xfId="1" applyNumberFormat="1" applyFont="1" applyFill="1" applyBorder="1" applyAlignment="1">
      <alignment horizontal="center"/>
    </xf>
    <xf numFmtId="0" fontId="0" fillId="4" borderId="9" xfId="4" applyFont="1" applyFill="1" applyBorder="1"/>
    <xf numFmtId="169" fontId="0" fillId="3" borderId="1" xfId="5" applyNumberFormat="1" applyFont="1" applyFill="1" applyBorder="1" applyAlignment="1">
      <alignment horizontal="center"/>
    </xf>
    <xf numFmtId="167" fontId="0" fillId="3" borderId="1" xfId="5" applyFont="1" applyFill="1" applyBorder="1" applyAlignment="1">
      <alignment horizontal="center"/>
    </xf>
    <xf numFmtId="169" fontId="0" fillId="3" borderId="4" xfId="5" applyNumberFormat="1" applyFont="1" applyFill="1" applyBorder="1" applyAlignment="1">
      <alignment horizontal="center"/>
    </xf>
    <xf numFmtId="169" fontId="0" fillId="3" borderId="0" xfId="1" applyNumberFormat="1" applyFont="1" applyFill="1" applyBorder="1" applyAlignment="1">
      <alignment horizontal="center"/>
    </xf>
    <xf numFmtId="169" fontId="0" fillId="3" borderId="5" xfId="1" applyNumberFormat="1" applyFont="1" applyFill="1" applyBorder="1" applyAlignment="1">
      <alignment horizontal="center"/>
    </xf>
    <xf numFmtId="170" fontId="0" fillId="3" borderId="0" xfId="1" applyNumberFormat="1" applyFont="1" applyFill="1" applyBorder="1" applyAlignment="1"/>
    <xf numFmtId="170" fontId="0" fillId="3" borderId="5" xfId="1" applyNumberFormat="1" applyFont="1" applyFill="1" applyBorder="1" applyAlignment="1"/>
    <xf numFmtId="0" fontId="11" fillId="6" borderId="4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right" vertical="center" textRotation="90"/>
    </xf>
  </cellXfs>
  <cellStyles count="21">
    <cellStyle name="Comma" xfId="1" builtinId="3"/>
    <cellStyle name="Comma  - Style1" xfId="11"/>
    <cellStyle name="Comma  - Style2" xfId="12"/>
    <cellStyle name="Comma  - Style3" xfId="13"/>
    <cellStyle name="Comma  - Style4" xfId="14"/>
    <cellStyle name="Comma  - Style5" xfId="15"/>
    <cellStyle name="Comma  - Style6" xfId="16"/>
    <cellStyle name="Comma  - Style7" xfId="17"/>
    <cellStyle name="Comma  - Style8" xfId="18"/>
    <cellStyle name="Comma 2" xfId="5"/>
    <cellStyle name="Comma 3" xfId="8"/>
    <cellStyle name="Currency" xfId="2" builtinId="4"/>
    <cellStyle name="Currency 2" xfId="10"/>
    <cellStyle name="MS_Arabic" xfId="19"/>
    <cellStyle name="Normal" xfId="0" builtinId="0"/>
    <cellStyle name="Normal - Style1" xfId="20"/>
    <cellStyle name="Normal 2" xfId="4"/>
    <cellStyle name="Normal 3" xfId="6"/>
    <cellStyle name="Normal 4" xfId="7"/>
    <cellStyle name="Percent" xfId="3" builtinId="5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showGridLines="0" tabSelected="1" workbookViewId="0">
      <selection activeCell="A4" sqref="A4"/>
    </sheetView>
  </sheetViews>
  <sheetFormatPr baseColWidth="10" defaultColWidth="8.83203125" defaultRowHeight="14" x14ac:dyDescent="0"/>
  <cols>
    <col min="1" max="1" width="19.33203125" customWidth="1"/>
    <col min="2" max="2" width="11.1640625" customWidth="1"/>
    <col min="3" max="3" width="12" customWidth="1"/>
    <col min="4" max="4" width="11.1640625" customWidth="1"/>
    <col min="5" max="5" width="11.6640625" customWidth="1"/>
    <col min="6" max="6" width="12" customWidth="1"/>
    <col min="7" max="7" width="10.5" customWidth="1"/>
    <col min="8" max="8" width="11.6640625" customWidth="1"/>
    <col min="9" max="9" width="12" customWidth="1"/>
    <col min="10" max="10" width="11.5" customWidth="1"/>
    <col min="11" max="11" width="12" customWidth="1"/>
    <col min="12" max="12" width="13.33203125" customWidth="1"/>
    <col min="13" max="13" width="11.6640625" customWidth="1"/>
    <col min="14" max="14" width="14.5" customWidth="1"/>
    <col min="15" max="15" width="11.5" customWidth="1"/>
    <col min="16" max="16" width="12" customWidth="1"/>
    <col min="17" max="17" width="11.5" bestFit="1" customWidth="1"/>
    <col min="18" max="18" width="12.5" bestFit="1" customWidth="1"/>
    <col min="19" max="19" width="15.5" bestFit="1" customWidth="1"/>
    <col min="20" max="20" width="11.5" bestFit="1" customWidth="1"/>
    <col min="21" max="21" width="12" bestFit="1" customWidth="1"/>
    <col min="22" max="22" width="9.5" bestFit="1" customWidth="1"/>
    <col min="23" max="23" width="12.83203125" bestFit="1" customWidth="1"/>
    <col min="24" max="24" width="7" bestFit="1" customWidth="1"/>
    <col min="25" max="25" width="9.5" bestFit="1" customWidth="1"/>
  </cols>
  <sheetData>
    <row r="1" spans="1:29" ht="19.5" customHeight="1">
      <c r="A1" s="97"/>
      <c r="B1" s="112" t="s">
        <v>22</v>
      </c>
      <c r="C1" s="114"/>
      <c r="D1" s="112" t="s">
        <v>23</v>
      </c>
      <c r="E1" s="113"/>
      <c r="F1" s="114"/>
      <c r="G1" s="112" t="s">
        <v>24</v>
      </c>
      <c r="H1" s="113"/>
      <c r="I1" s="113"/>
      <c r="J1" s="113"/>
      <c r="K1" s="114"/>
      <c r="L1" s="112" t="s">
        <v>25</v>
      </c>
      <c r="M1" s="113"/>
      <c r="N1" s="113"/>
      <c r="O1" s="113"/>
      <c r="P1" s="114"/>
      <c r="Q1" s="112" t="s">
        <v>26</v>
      </c>
      <c r="R1" s="113"/>
      <c r="S1" s="113"/>
      <c r="T1" s="113"/>
      <c r="U1" s="114"/>
      <c r="V1" s="112" t="s">
        <v>30</v>
      </c>
      <c r="W1" s="113"/>
      <c r="X1" s="114"/>
      <c r="Y1" s="10"/>
      <c r="Z1" s="11"/>
      <c r="AA1" s="12"/>
      <c r="AB1" s="12"/>
      <c r="AC1" s="12"/>
    </row>
    <row r="2" spans="1:29">
      <c r="A2" s="13"/>
      <c r="B2" s="14" t="s">
        <v>0</v>
      </c>
      <c r="C2" s="15" t="s">
        <v>1</v>
      </c>
      <c r="D2" s="88" t="s">
        <v>18</v>
      </c>
      <c r="E2" s="89" t="s">
        <v>4</v>
      </c>
      <c r="F2" s="89" t="s">
        <v>1</v>
      </c>
      <c r="G2" s="88" t="s">
        <v>2</v>
      </c>
      <c r="H2" s="89" t="s">
        <v>4</v>
      </c>
      <c r="I2" s="89" t="s">
        <v>1</v>
      </c>
      <c r="J2" s="14" t="s">
        <v>6</v>
      </c>
      <c r="K2" s="16" t="s">
        <v>1</v>
      </c>
      <c r="L2" s="88" t="s">
        <v>3</v>
      </c>
      <c r="M2" s="89" t="s">
        <v>4</v>
      </c>
      <c r="N2" s="89" t="s">
        <v>1</v>
      </c>
      <c r="O2" s="14" t="s">
        <v>6</v>
      </c>
      <c r="P2" s="16" t="s">
        <v>1</v>
      </c>
      <c r="Q2" s="88" t="s">
        <v>5</v>
      </c>
      <c r="R2" s="89" t="s">
        <v>4</v>
      </c>
      <c r="S2" s="89" t="s">
        <v>1</v>
      </c>
      <c r="T2" s="14" t="s">
        <v>6</v>
      </c>
      <c r="U2" s="16" t="s">
        <v>1</v>
      </c>
      <c r="V2" s="115" t="s">
        <v>29</v>
      </c>
      <c r="W2" s="116"/>
      <c r="X2" s="90" t="s">
        <v>31</v>
      </c>
      <c r="Y2" s="17"/>
      <c r="Z2" s="11"/>
      <c r="AA2" s="12"/>
      <c r="AB2" s="12"/>
      <c r="AC2" s="12"/>
    </row>
    <row r="3" spans="1:29">
      <c r="A3" s="18" t="s">
        <v>20</v>
      </c>
      <c r="B3" s="105">
        <v>1050000</v>
      </c>
      <c r="C3" s="19">
        <f t="shared" ref="C3:C9" si="0">B3/$B$10</f>
        <v>0.7</v>
      </c>
      <c r="D3" s="20">
        <f t="shared" ref="D3:D8" si="1">E3/$F$13</f>
        <v>0</v>
      </c>
      <c r="E3" s="108">
        <v>0</v>
      </c>
      <c r="F3" s="21">
        <f t="shared" ref="F3:F9" si="2">SUM(D3,B3)/D$10</f>
        <v>0.5</v>
      </c>
      <c r="G3" s="20">
        <f t="shared" ref="G3:G8" si="3">H3/$I$13</f>
        <v>0</v>
      </c>
      <c r="H3" s="110">
        <v>0</v>
      </c>
      <c r="I3" s="21">
        <f t="shared" ref="I3:I9" si="4">SUM(G3,D3,B3)/G$10</f>
        <v>0.26119402985074625</v>
      </c>
      <c r="J3" s="20">
        <v>0</v>
      </c>
      <c r="K3" s="19">
        <f t="shared" ref="K3:K8" si="5">SUM(J3,G3,D3,B3)/J$10</f>
        <v>0.23991935483870966</v>
      </c>
      <c r="L3" s="20">
        <f t="shared" ref="L3:L8" si="6">M3/$N$13</f>
        <v>0</v>
      </c>
      <c r="M3" s="110">
        <v>0</v>
      </c>
      <c r="N3" s="21">
        <f t="shared" ref="N3:N9" si="7">SUM(L3,J3,G3,D3,B3)/L$10</f>
        <v>0.11442307692307692</v>
      </c>
      <c r="O3" s="20">
        <v>0</v>
      </c>
      <c r="P3" s="21">
        <f t="shared" ref="P3:P8" si="8">SUM(L3,J3,G3,D3,B3,O3)/O$10</f>
        <v>0.11091549295774648</v>
      </c>
      <c r="Q3" s="20">
        <f t="shared" ref="Q3:Q9" si="9">R3/$S$13</f>
        <v>0</v>
      </c>
      <c r="R3" s="110">
        <v>0</v>
      </c>
      <c r="S3" s="21">
        <f t="shared" ref="S3:S9" si="10">SUM(L3,J3,G3,D3,B3,O3,Q3)/Q$10</f>
        <v>7.797029702970297E-2</v>
      </c>
      <c r="T3" s="20">
        <v>0</v>
      </c>
      <c r="U3" s="21">
        <f t="shared" ref="U3:U8" si="11">SUM(L3,J3,G3,D3,B3,O3,Q3,T3)/T$10</f>
        <v>7.7156549520766782E-2</v>
      </c>
      <c r="V3" s="22"/>
      <c r="W3" s="22">
        <f t="shared" ref="W3:W9" si="12">U3*$W$12</f>
        <v>15431309.904153356</v>
      </c>
      <c r="X3" s="91"/>
      <c r="Y3" s="23"/>
      <c r="Z3" s="11"/>
      <c r="AA3" s="12"/>
      <c r="AB3" s="12"/>
      <c r="AC3" s="12"/>
    </row>
    <row r="4" spans="1:29">
      <c r="A4" s="24" t="s">
        <v>21</v>
      </c>
      <c r="B4" s="105">
        <v>150000</v>
      </c>
      <c r="C4" s="25">
        <f t="shared" si="0"/>
        <v>0.1</v>
      </c>
      <c r="D4" s="26">
        <f t="shared" si="1"/>
        <v>0</v>
      </c>
      <c r="E4" s="108">
        <v>0</v>
      </c>
      <c r="F4" s="27">
        <f t="shared" si="2"/>
        <v>7.1428571428571425E-2</v>
      </c>
      <c r="G4" s="26">
        <f t="shared" si="3"/>
        <v>0</v>
      </c>
      <c r="H4" s="110">
        <v>0</v>
      </c>
      <c r="I4" s="27">
        <f t="shared" si="4"/>
        <v>3.7313432835820892E-2</v>
      </c>
      <c r="J4" s="26">
        <v>0</v>
      </c>
      <c r="K4" s="27">
        <f t="shared" si="5"/>
        <v>3.4274193548387094E-2</v>
      </c>
      <c r="L4" s="26">
        <f t="shared" si="6"/>
        <v>0</v>
      </c>
      <c r="M4" s="110">
        <v>0</v>
      </c>
      <c r="N4" s="27">
        <f t="shared" si="7"/>
        <v>1.6346153846153847E-2</v>
      </c>
      <c r="O4" s="26">
        <v>0</v>
      </c>
      <c r="P4" s="25">
        <f t="shared" si="8"/>
        <v>1.5845070422535211E-2</v>
      </c>
      <c r="Q4" s="26">
        <f t="shared" si="9"/>
        <v>0</v>
      </c>
      <c r="R4" s="110">
        <v>0</v>
      </c>
      <c r="S4" s="27">
        <f t="shared" si="10"/>
        <v>1.113861386138614E-2</v>
      </c>
      <c r="T4" s="26">
        <v>0</v>
      </c>
      <c r="U4" s="27">
        <f t="shared" si="11"/>
        <v>1.1022364217252396E-2</v>
      </c>
      <c r="V4" s="28"/>
      <c r="W4" s="28">
        <f t="shared" si="12"/>
        <v>2204472.8434504792</v>
      </c>
      <c r="X4" s="92"/>
      <c r="Y4" s="23"/>
      <c r="Z4" s="11"/>
      <c r="AA4" s="12"/>
      <c r="AB4" s="12"/>
      <c r="AC4" s="12"/>
    </row>
    <row r="5" spans="1:29">
      <c r="A5" s="98" t="s">
        <v>14</v>
      </c>
      <c r="B5" s="106">
        <v>0</v>
      </c>
      <c r="C5" s="99">
        <f t="shared" si="0"/>
        <v>0</v>
      </c>
      <c r="D5" s="100">
        <f>E5/$F$13</f>
        <v>600000</v>
      </c>
      <c r="E5" s="108">
        <v>750000</v>
      </c>
      <c r="F5" s="101">
        <f t="shared" si="2"/>
        <v>0.2857142857142857</v>
      </c>
      <c r="G5" s="100">
        <f t="shared" si="3"/>
        <v>0</v>
      </c>
      <c r="H5" s="110">
        <v>0</v>
      </c>
      <c r="I5" s="101">
        <f t="shared" si="4"/>
        <v>0.14925373134328357</v>
      </c>
      <c r="J5" s="100">
        <v>0</v>
      </c>
      <c r="K5" s="101">
        <f t="shared" si="5"/>
        <v>0.13709677419354838</v>
      </c>
      <c r="L5" s="100">
        <f t="shared" si="6"/>
        <v>0</v>
      </c>
      <c r="M5" s="110">
        <v>0</v>
      </c>
      <c r="N5" s="101">
        <f t="shared" si="7"/>
        <v>6.5384615384615388E-2</v>
      </c>
      <c r="O5" s="100">
        <v>0</v>
      </c>
      <c r="P5" s="99">
        <f t="shared" si="8"/>
        <v>6.3380281690140844E-2</v>
      </c>
      <c r="Q5" s="100">
        <f t="shared" si="9"/>
        <v>0</v>
      </c>
      <c r="R5" s="110">
        <v>0</v>
      </c>
      <c r="S5" s="101">
        <f t="shared" si="10"/>
        <v>4.4554455445544559E-2</v>
      </c>
      <c r="T5" s="100">
        <v>0</v>
      </c>
      <c r="U5" s="101">
        <f t="shared" si="11"/>
        <v>4.4089456869009586E-2</v>
      </c>
      <c r="V5" s="102"/>
      <c r="W5" s="102">
        <f t="shared" si="12"/>
        <v>8817891.3738019168</v>
      </c>
      <c r="X5" s="103">
        <f>W5/E5</f>
        <v>11.757188498402556</v>
      </c>
      <c r="Y5" s="23"/>
      <c r="Z5" s="11"/>
      <c r="AA5" s="12"/>
      <c r="AB5" s="12"/>
      <c r="AC5" s="12"/>
    </row>
    <row r="6" spans="1:29">
      <c r="A6" s="24" t="s">
        <v>16</v>
      </c>
      <c r="B6" s="106">
        <v>0</v>
      </c>
      <c r="C6" s="25">
        <f t="shared" si="0"/>
        <v>0</v>
      </c>
      <c r="D6" s="26">
        <f t="shared" si="1"/>
        <v>0</v>
      </c>
      <c r="E6" s="108">
        <v>0</v>
      </c>
      <c r="F6" s="27">
        <f t="shared" si="2"/>
        <v>0</v>
      </c>
      <c r="G6" s="26">
        <f t="shared" si="3"/>
        <v>1920000</v>
      </c>
      <c r="H6" s="110">
        <f>I14-H5</f>
        <v>3000000</v>
      </c>
      <c r="I6" s="27">
        <f t="shared" si="4"/>
        <v>0.47761194029850745</v>
      </c>
      <c r="J6" s="26">
        <v>0</v>
      </c>
      <c r="K6" s="27">
        <f t="shared" si="5"/>
        <v>0.43870967741935479</v>
      </c>
      <c r="L6" s="26">
        <f t="shared" si="6"/>
        <v>2105806.4516129028</v>
      </c>
      <c r="M6" s="110">
        <f>N14*K6</f>
        <v>6580645.1612903215</v>
      </c>
      <c r="N6" s="27">
        <f t="shared" si="7"/>
        <v>0.43870967741935479</v>
      </c>
      <c r="O6" s="26">
        <v>0</v>
      </c>
      <c r="P6" s="27">
        <f t="shared" si="8"/>
        <v>0.42526124488868694</v>
      </c>
      <c r="Q6" s="26">
        <f t="shared" si="9"/>
        <v>1701044.9795547477</v>
      </c>
      <c r="R6" s="110">
        <f>P6*S14</f>
        <v>10631531.122217173</v>
      </c>
      <c r="S6" s="27">
        <f t="shared" si="10"/>
        <v>0.425261244888687</v>
      </c>
      <c r="T6" s="26">
        <v>0</v>
      </c>
      <c r="U6" s="27">
        <f t="shared" si="11"/>
        <v>0.42082294861615327</v>
      </c>
      <c r="V6" s="28"/>
      <c r="W6" s="28">
        <f t="shared" si="12"/>
        <v>84164589.72323066</v>
      </c>
      <c r="X6" s="93">
        <f>W6/SUM(R6,M6,H6)</f>
        <v>4.1640538130427025</v>
      </c>
      <c r="Y6" s="23"/>
      <c r="Z6" s="11"/>
      <c r="AA6" s="12"/>
      <c r="AB6" s="12"/>
      <c r="AC6" s="12"/>
    </row>
    <row r="7" spans="1:29">
      <c r="A7" s="98" t="s">
        <v>17</v>
      </c>
      <c r="B7" s="106">
        <v>0</v>
      </c>
      <c r="C7" s="99">
        <f t="shared" si="0"/>
        <v>0</v>
      </c>
      <c r="D7" s="100">
        <f t="shared" si="1"/>
        <v>0</v>
      </c>
      <c r="E7" s="108">
        <v>0</v>
      </c>
      <c r="F7" s="101">
        <f t="shared" si="2"/>
        <v>0</v>
      </c>
      <c r="G7" s="100">
        <f t="shared" si="3"/>
        <v>0</v>
      </c>
      <c r="H7" s="110">
        <v>0</v>
      </c>
      <c r="I7" s="101">
        <f t="shared" si="4"/>
        <v>0</v>
      </c>
      <c r="J7" s="100">
        <v>0</v>
      </c>
      <c r="K7" s="101">
        <f t="shared" si="5"/>
        <v>0</v>
      </c>
      <c r="L7" s="100">
        <f t="shared" si="6"/>
        <v>2694193.5483870972</v>
      </c>
      <c r="M7" s="110">
        <f>N14-M6</f>
        <v>8419354.8387096785</v>
      </c>
      <c r="N7" s="101">
        <f t="shared" si="7"/>
        <v>0.29359801488833748</v>
      </c>
      <c r="O7" s="100">
        <v>0</v>
      </c>
      <c r="P7" s="101">
        <f t="shared" si="8"/>
        <v>0.28459791004089058</v>
      </c>
      <c r="Q7" s="100">
        <f t="shared" si="9"/>
        <v>1138391.6401635623</v>
      </c>
      <c r="R7" s="110">
        <f>P7*S14</f>
        <v>7114947.7510222644</v>
      </c>
      <c r="S7" s="101">
        <f t="shared" si="10"/>
        <v>0.28459791004089058</v>
      </c>
      <c r="T7" s="100">
        <v>0</v>
      </c>
      <c r="U7" s="101">
        <f t="shared" si="11"/>
        <v>0.28162766561234881</v>
      </c>
      <c r="V7" s="102"/>
      <c r="W7" s="102">
        <f t="shared" si="12"/>
        <v>56325533.12246976</v>
      </c>
      <c r="X7" s="103">
        <f>W7/SUM(R7,M7)</f>
        <v>3.6258810330951396</v>
      </c>
      <c r="Y7" s="23"/>
      <c r="Z7" s="11"/>
      <c r="AA7" s="12"/>
      <c r="AB7" s="12"/>
      <c r="AC7" s="12"/>
    </row>
    <row r="8" spans="1:29">
      <c r="A8" s="104" t="s">
        <v>19</v>
      </c>
      <c r="B8" s="105">
        <v>0</v>
      </c>
      <c r="C8" s="25">
        <f t="shared" si="0"/>
        <v>0</v>
      </c>
      <c r="D8" s="26">
        <f t="shared" si="1"/>
        <v>0</v>
      </c>
      <c r="E8" s="108">
        <v>0</v>
      </c>
      <c r="F8" s="27">
        <f t="shared" si="2"/>
        <v>0</v>
      </c>
      <c r="G8" s="26">
        <f t="shared" si="3"/>
        <v>0</v>
      </c>
      <c r="H8" s="110">
        <v>0</v>
      </c>
      <c r="I8" s="27">
        <f t="shared" si="4"/>
        <v>0</v>
      </c>
      <c r="J8" s="26">
        <v>0</v>
      </c>
      <c r="K8" s="27">
        <f t="shared" si="5"/>
        <v>0</v>
      </c>
      <c r="L8" s="26">
        <f t="shared" si="6"/>
        <v>0</v>
      </c>
      <c r="M8" s="110">
        <v>0</v>
      </c>
      <c r="N8" s="27">
        <f t="shared" si="7"/>
        <v>0</v>
      </c>
      <c r="O8" s="26">
        <v>0</v>
      </c>
      <c r="P8" s="27">
        <f t="shared" si="8"/>
        <v>0</v>
      </c>
      <c r="Q8" s="26">
        <f t="shared" si="9"/>
        <v>1160563.38028169</v>
      </c>
      <c r="R8" s="110">
        <f>S14-R7-R6</f>
        <v>7253521.1267605629</v>
      </c>
      <c r="S8" s="27">
        <f t="shared" si="10"/>
        <v>8.6180449030818576E-2</v>
      </c>
      <c r="T8" s="26">
        <v>0</v>
      </c>
      <c r="U8" s="27">
        <f t="shared" si="11"/>
        <v>8.5281015164469245E-2</v>
      </c>
      <c r="V8" s="28"/>
      <c r="W8" s="28">
        <f t="shared" si="12"/>
        <v>17056203.032893848</v>
      </c>
      <c r="X8" s="93">
        <f>W8/R8</f>
        <v>2.3514376996805111</v>
      </c>
      <c r="Y8" s="23"/>
      <c r="Z8" s="11"/>
      <c r="AA8" s="12"/>
      <c r="AB8" s="12"/>
      <c r="AC8" s="12"/>
    </row>
    <row r="9" spans="1:29">
      <c r="A9" s="29" t="s">
        <v>27</v>
      </c>
      <c r="B9" s="107">
        <v>300000</v>
      </c>
      <c r="C9" s="30">
        <f t="shared" si="0"/>
        <v>0.2</v>
      </c>
      <c r="D9" s="31">
        <v>0</v>
      </c>
      <c r="E9" s="109"/>
      <c r="F9" s="32">
        <f t="shared" si="2"/>
        <v>0.14285714285714285</v>
      </c>
      <c r="G9" s="31">
        <v>0</v>
      </c>
      <c r="H9" s="111">
        <f>G9*$I$13</f>
        <v>0</v>
      </c>
      <c r="I9" s="32">
        <f t="shared" si="4"/>
        <v>7.4626865671641784E-2</v>
      </c>
      <c r="J9" s="34">
        <f>(K9-I9)*(G10/(1-K9))</f>
        <v>356470.58823529416</v>
      </c>
      <c r="K9" s="32">
        <v>0.15</v>
      </c>
      <c r="L9" s="31">
        <v>0</v>
      </c>
      <c r="M9" s="111">
        <f>L9*$N$13</f>
        <v>0</v>
      </c>
      <c r="N9" s="32">
        <f t="shared" si="7"/>
        <v>7.1538461538461551E-2</v>
      </c>
      <c r="O9" s="34">
        <f>(P9-N9)*(L10/(1-P9))</f>
        <v>290196.07843137247</v>
      </c>
      <c r="P9" s="32">
        <v>0.1</v>
      </c>
      <c r="Q9" s="31">
        <f t="shared" si="9"/>
        <v>0</v>
      </c>
      <c r="R9" s="111">
        <v>0</v>
      </c>
      <c r="S9" s="32">
        <f t="shared" si="10"/>
        <v>7.0297029702970304E-2</v>
      </c>
      <c r="T9" s="34">
        <f>(U9-S9)*(Q10/(1-U9))</f>
        <v>142028.98550724628</v>
      </c>
      <c r="U9" s="32">
        <v>0.08</v>
      </c>
      <c r="V9" s="33"/>
      <c r="W9" s="33">
        <f t="shared" si="12"/>
        <v>16000000</v>
      </c>
      <c r="X9" s="94"/>
      <c r="Y9" s="23"/>
      <c r="Z9" s="11"/>
      <c r="AA9" s="12"/>
      <c r="AB9" s="12"/>
      <c r="AC9" s="12"/>
    </row>
    <row r="10" spans="1:29">
      <c r="A10" s="35" t="s">
        <v>7</v>
      </c>
      <c r="B10" s="36">
        <f>SUM(B3:B9)</f>
        <v>1500000</v>
      </c>
      <c r="C10" s="37">
        <f>SUM(C3:C9)</f>
        <v>1</v>
      </c>
      <c r="D10" s="38">
        <f>B10+SUM(D3:D9)</f>
        <v>2100000</v>
      </c>
      <c r="E10" s="39">
        <f>SUM(E3:E9)</f>
        <v>750000</v>
      </c>
      <c r="F10" s="40">
        <f>SUM(F3:F9)</f>
        <v>1</v>
      </c>
      <c r="G10" s="38">
        <f>D10+SUM(G3:G9)</f>
        <v>4020000</v>
      </c>
      <c r="H10" s="39">
        <f>SUM(H3:H9)</f>
        <v>3000000</v>
      </c>
      <c r="I10" s="40">
        <f>SUM(I3:I9)</f>
        <v>1</v>
      </c>
      <c r="J10" s="36">
        <f>G10+SUM(J3:J9)</f>
        <v>4376470.5882352944</v>
      </c>
      <c r="K10" s="37">
        <f>SUM(K3:K9)</f>
        <v>0.99999999999999989</v>
      </c>
      <c r="L10" s="38">
        <f>J10+SUM(L3:L9)</f>
        <v>9176470.5882352944</v>
      </c>
      <c r="M10" s="39">
        <f>SUM(M3:M9)</f>
        <v>15000000</v>
      </c>
      <c r="N10" s="40">
        <f>SUM(N3:N9)</f>
        <v>1</v>
      </c>
      <c r="O10" s="36">
        <f>L10+SUM(O3:O9)</f>
        <v>9466666.666666666</v>
      </c>
      <c r="P10" s="37">
        <f>SUM(P3:P9)</f>
        <v>1.0000000000000002</v>
      </c>
      <c r="Q10" s="38">
        <f>O10+SUM(Q3:Q9)</f>
        <v>13466666.666666666</v>
      </c>
      <c r="R10" s="39">
        <f>SUM(R3:R9)</f>
        <v>25000000</v>
      </c>
      <c r="S10" s="40">
        <f>SUM(S3:S9)</f>
        <v>1</v>
      </c>
      <c r="T10" s="36">
        <f>Q10+SUM(T3:T9)</f>
        <v>13608695.652173912</v>
      </c>
      <c r="U10" s="41">
        <f>SUM(U3:U9)</f>
        <v>1</v>
      </c>
      <c r="V10" s="39"/>
      <c r="W10" s="39">
        <f>SUM(W3:W9)</f>
        <v>200000000</v>
      </c>
      <c r="X10" s="95"/>
      <c r="Y10" s="42"/>
      <c r="Z10" s="11"/>
      <c r="AA10" s="12"/>
      <c r="AB10" s="12"/>
      <c r="AC10" s="12"/>
    </row>
    <row r="11" spans="1:29">
      <c r="A11" s="35"/>
      <c r="B11" s="43"/>
      <c r="C11" s="44"/>
      <c r="D11" s="43"/>
      <c r="E11" s="45"/>
      <c r="F11" s="44"/>
      <c r="G11" s="13"/>
      <c r="H11" s="45"/>
      <c r="I11" s="44"/>
      <c r="J11" s="45"/>
      <c r="K11" s="44"/>
      <c r="L11" s="43"/>
      <c r="M11" s="45"/>
      <c r="N11" s="44"/>
      <c r="O11" s="45"/>
      <c r="P11" s="44"/>
      <c r="Q11" s="43"/>
      <c r="R11" s="45"/>
      <c r="S11" s="44"/>
      <c r="T11" s="45"/>
      <c r="U11" s="46"/>
      <c r="V11" s="45"/>
      <c r="W11" s="44"/>
      <c r="X11" s="96"/>
      <c r="Y11" s="42"/>
      <c r="Z11" s="11"/>
      <c r="AA11" s="12"/>
      <c r="AB11" s="12"/>
      <c r="AC11" s="12"/>
    </row>
    <row r="12" spans="1:29">
      <c r="A12" s="13"/>
      <c r="B12" s="47"/>
      <c r="C12" s="48"/>
      <c r="D12" s="47"/>
      <c r="E12" s="48" t="s">
        <v>8</v>
      </c>
      <c r="F12" s="49">
        <v>1.25</v>
      </c>
      <c r="G12" s="43"/>
      <c r="H12" s="48" t="s">
        <v>8</v>
      </c>
      <c r="I12" s="49">
        <v>1.25</v>
      </c>
      <c r="J12" s="50"/>
      <c r="K12" s="48"/>
      <c r="L12" s="51"/>
      <c r="M12" s="48" t="s">
        <v>8</v>
      </c>
      <c r="N12" s="49">
        <v>2</v>
      </c>
      <c r="O12" s="48"/>
      <c r="P12" s="48"/>
      <c r="Q12" s="51"/>
      <c r="R12" s="48" t="s">
        <v>8</v>
      </c>
      <c r="S12" s="49">
        <v>2</v>
      </c>
      <c r="T12" s="48"/>
      <c r="U12" s="52"/>
      <c r="V12" s="53" t="s">
        <v>28</v>
      </c>
      <c r="W12" s="54">
        <v>200000000</v>
      </c>
      <c r="X12" s="67"/>
      <c r="Y12" s="55"/>
      <c r="Z12" s="11"/>
      <c r="AA12" s="12"/>
      <c r="AB12" s="12"/>
      <c r="AC12" s="12"/>
    </row>
    <row r="13" spans="1:29">
      <c r="A13" s="13"/>
      <c r="B13" s="47" t="s">
        <v>9</v>
      </c>
      <c r="C13" s="56">
        <v>1</v>
      </c>
      <c r="D13" s="47" t="s">
        <v>9</v>
      </c>
      <c r="E13" s="48"/>
      <c r="F13" s="57">
        <f>F12*C13</f>
        <v>1.25</v>
      </c>
      <c r="G13" s="13"/>
      <c r="H13" s="53" t="s">
        <v>10</v>
      </c>
      <c r="I13" s="57">
        <f>I12*F13</f>
        <v>1.5625</v>
      </c>
      <c r="J13" s="53"/>
      <c r="K13" s="53"/>
      <c r="L13" s="55"/>
      <c r="M13" s="53" t="s">
        <v>10</v>
      </c>
      <c r="N13" s="58">
        <f>I13*N12</f>
        <v>3.125</v>
      </c>
      <c r="O13" s="53"/>
      <c r="P13" s="48"/>
      <c r="Q13" s="55"/>
      <c r="R13" s="53" t="s">
        <v>10</v>
      </c>
      <c r="S13" s="58">
        <f>N13*S12</f>
        <v>6.25</v>
      </c>
      <c r="T13" s="53"/>
      <c r="U13" s="52"/>
      <c r="V13" s="53"/>
      <c r="W13" s="58"/>
      <c r="X13" s="67"/>
      <c r="Y13" s="55"/>
      <c r="Z13" s="11"/>
      <c r="AA13" s="12"/>
      <c r="AB13" s="12"/>
      <c r="AC13" s="12"/>
    </row>
    <row r="14" spans="1:29">
      <c r="A14" s="13"/>
      <c r="B14" s="47" t="s">
        <v>11</v>
      </c>
      <c r="C14" s="48">
        <v>0</v>
      </c>
      <c r="D14" s="47" t="s">
        <v>11</v>
      </c>
      <c r="E14" s="53" t="s">
        <v>11</v>
      </c>
      <c r="F14" s="59">
        <v>750000</v>
      </c>
      <c r="G14" s="47"/>
      <c r="H14" s="53" t="s">
        <v>11</v>
      </c>
      <c r="I14" s="54">
        <v>3000000</v>
      </c>
      <c r="J14" s="60"/>
      <c r="K14" s="53"/>
      <c r="L14" s="55"/>
      <c r="M14" s="53" t="s">
        <v>11</v>
      </c>
      <c r="N14" s="54">
        <v>15000000</v>
      </c>
      <c r="O14" s="53"/>
      <c r="P14" s="61"/>
      <c r="Q14" s="55"/>
      <c r="R14" s="53" t="s">
        <v>11</v>
      </c>
      <c r="S14" s="54">
        <v>25000000</v>
      </c>
      <c r="T14" s="53"/>
      <c r="U14" s="62"/>
      <c r="V14" s="60"/>
      <c r="W14" s="60"/>
      <c r="X14" s="67"/>
      <c r="Y14" s="63"/>
      <c r="Z14" s="11"/>
      <c r="AA14" s="12"/>
      <c r="AB14" s="12"/>
      <c r="AC14" s="12"/>
    </row>
    <row r="15" spans="1:29">
      <c r="A15" s="13"/>
      <c r="B15" s="47"/>
      <c r="C15" s="48"/>
      <c r="D15" s="47"/>
      <c r="E15" s="48"/>
      <c r="F15" s="48"/>
      <c r="G15" s="47"/>
      <c r="H15" s="53"/>
      <c r="I15" s="64"/>
      <c r="J15" s="53"/>
      <c r="K15" s="53"/>
      <c r="L15" s="55"/>
      <c r="M15" s="53"/>
      <c r="N15" s="64"/>
      <c r="O15" s="53"/>
      <c r="P15" s="65"/>
      <c r="Q15" s="55"/>
      <c r="R15" s="53"/>
      <c r="S15" s="64"/>
      <c r="T15" s="53"/>
      <c r="U15" s="66"/>
      <c r="V15" s="53"/>
      <c r="W15" s="64"/>
      <c r="X15" s="67"/>
      <c r="Y15" s="68"/>
      <c r="Z15" s="11"/>
      <c r="AA15" s="12"/>
      <c r="AB15" s="12"/>
      <c r="AC15" s="12"/>
    </row>
    <row r="16" spans="1:29">
      <c r="A16" s="13"/>
      <c r="B16" s="47"/>
      <c r="C16" s="69"/>
      <c r="D16" s="47"/>
      <c r="E16" s="53" t="s">
        <v>12</v>
      </c>
      <c r="F16" s="70">
        <f>C17*F12</f>
        <v>1875000</v>
      </c>
      <c r="G16" s="47"/>
      <c r="H16" s="53" t="s">
        <v>12</v>
      </c>
      <c r="I16" s="70">
        <f>I12*F17+J9*I12</f>
        <v>3726838.2352941176</v>
      </c>
      <c r="J16" s="58"/>
      <c r="K16" s="64"/>
      <c r="L16" s="55"/>
      <c r="M16" s="53" t="s">
        <v>12</v>
      </c>
      <c r="N16" s="71">
        <f>N12*I17+O9*N12</f>
        <v>14034068.62745098</v>
      </c>
      <c r="O16" s="53"/>
      <c r="P16" s="56"/>
      <c r="Q16" s="55"/>
      <c r="R16" s="53" t="s">
        <v>12</v>
      </c>
      <c r="S16" s="71">
        <f>N17*S12+T9*S12</f>
        <v>58352195.225916453</v>
      </c>
      <c r="T16" s="53"/>
      <c r="U16" s="72"/>
      <c r="V16" s="53"/>
      <c r="W16" s="71"/>
      <c r="X16" s="67"/>
      <c r="Y16" s="64"/>
      <c r="Z16" s="11"/>
      <c r="AA16" s="12"/>
      <c r="AB16" s="12"/>
      <c r="AC16" s="12"/>
    </row>
    <row r="17" spans="1:29">
      <c r="A17" s="73"/>
      <c r="B17" s="74" t="s">
        <v>15</v>
      </c>
      <c r="C17" s="75">
        <f>B10*C13</f>
        <v>1500000</v>
      </c>
      <c r="D17" s="74"/>
      <c r="E17" s="76" t="s">
        <v>13</v>
      </c>
      <c r="F17" s="77">
        <f>F16+F14</f>
        <v>2625000</v>
      </c>
      <c r="G17" s="74"/>
      <c r="H17" s="76" t="s">
        <v>13</v>
      </c>
      <c r="I17" s="77">
        <f>I16+I14</f>
        <v>6726838.2352941176</v>
      </c>
      <c r="J17" s="76"/>
      <c r="K17" s="78"/>
      <c r="L17" s="79"/>
      <c r="M17" s="76" t="s">
        <v>13</v>
      </c>
      <c r="N17" s="78">
        <f>N16+N14</f>
        <v>29034068.62745098</v>
      </c>
      <c r="O17" s="76"/>
      <c r="P17" s="80"/>
      <c r="Q17" s="79"/>
      <c r="R17" s="76" t="s">
        <v>13</v>
      </c>
      <c r="S17" s="78">
        <f>S16+S14</f>
        <v>83352195.225916445</v>
      </c>
      <c r="T17" s="76"/>
      <c r="U17" s="81"/>
      <c r="V17" s="76"/>
      <c r="W17" s="78"/>
      <c r="X17" s="82"/>
      <c r="Y17" s="58"/>
      <c r="Z17" s="11"/>
      <c r="AA17" s="12"/>
      <c r="AB17" s="12"/>
      <c r="AC17" s="12"/>
    </row>
    <row r="18" spans="1:29">
      <c r="A18" s="12"/>
      <c r="B18" s="83"/>
      <c r="C18" s="83"/>
      <c r="D18" s="83"/>
      <c r="E18" s="48"/>
      <c r="F18" s="48"/>
      <c r="G18" s="53"/>
      <c r="H18" s="53"/>
      <c r="I18" s="53"/>
      <c r="J18" s="53"/>
      <c r="K18" s="53"/>
      <c r="L18" s="53"/>
      <c r="M18" s="53"/>
      <c r="N18" s="84"/>
      <c r="O18" s="83"/>
      <c r="P18" s="12"/>
      <c r="Q18" s="12"/>
      <c r="R18" s="12"/>
      <c r="S18" s="12"/>
      <c r="T18" s="12"/>
      <c r="U18" s="12"/>
      <c r="V18" s="12"/>
      <c r="W18" s="12"/>
      <c r="X18" s="11"/>
      <c r="Y18" s="11"/>
      <c r="Z18" s="11"/>
      <c r="AA18" s="12"/>
      <c r="AB18" s="12"/>
      <c r="AC18" s="12"/>
    </row>
    <row r="19" spans="1:29">
      <c r="A19" s="12"/>
      <c r="B19" s="83"/>
      <c r="C19" s="83"/>
      <c r="D19" s="83"/>
      <c r="E19" s="83"/>
      <c r="F19" s="83"/>
      <c r="G19" s="83"/>
      <c r="H19" s="83"/>
      <c r="I19" s="83"/>
      <c r="J19" s="84"/>
      <c r="K19" s="84"/>
      <c r="L19" s="84"/>
      <c r="M19" s="84"/>
      <c r="N19" s="84"/>
      <c r="O19" s="84"/>
      <c r="P19" s="84"/>
      <c r="Q19" s="84"/>
      <c r="R19" s="83"/>
      <c r="S19" s="12"/>
      <c r="T19" s="12"/>
      <c r="U19" s="12"/>
      <c r="V19" s="12"/>
      <c r="W19" s="12"/>
      <c r="X19" s="11"/>
      <c r="Y19" s="11"/>
      <c r="Z19" s="11"/>
      <c r="AA19" s="12"/>
      <c r="AB19" s="12"/>
      <c r="AC19" s="12"/>
    </row>
    <row r="20" spans="1:29">
      <c r="B20" s="5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5"/>
      <c r="O20" s="4"/>
      <c r="P20" s="4"/>
      <c r="Q20" s="4"/>
      <c r="R20" s="1"/>
    </row>
    <row r="21" spans="1:29">
      <c r="A21" s="8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5"/>
      <c r="O21" s="4"/>
      <c r="P21" s="4"/>
      <c r="Q21" s="4"/>
      <c r="R21" s="1"/>
    </row>
    <row r="22" spans="1:29">
      <c r="A22" s="118"/>
      <c r="B22" s="8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/>
      <c r="O22" s="4"/>
      <c r="P22" s="4"/>
      <c r="Q22" s="4"/>
      <c r="R22" s="1"/>
    </row>
    <row r="23" spans="1:29">
      <c r="A23" s="118"/>
      <c r="B23" s="8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/>
      <c r="O23" s="1"/>
      <c r="P23" s="1"/>
      <c r="Q23" s="1"/>
      <c r="R23" s="1"/>
    </row>
    <row r="24" spans="1:29">
      <c r="A24" s="118"/>
      <c r="B24" s="8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5"/>
      <c r="O24" s="1"/>
      <c r="P24" s="1"/>
      <c r="Q24" s="1"/>
      <c r="R24" s="1"/>
    </row>
    <row r="25" spans="1:29">
      <c r="A25" s="118"/>
      <c r="B25" s="8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/>
      <c r="O25" s="1"/>
      <c r="P25" s="1"/>
      <c r="Q25" s="1"/>
      <c r="R25" s="1"/>
    </row>
    <row r="26" spans="1:29">
      <c r="A26" s="118"/>
      <c r="B26" s="8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/>
      <c r="O26" s="1"/>
      <c r="P26" s="1"/>
      <c r="Q26" s="1"/>
      <c r="R26" s="1"/>
    </row>
    <row r="27" spans="1:29">
      <c r="A27" s="118"/>
      <c r="B27" s="8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5"/>
      <c r="O27" s="1"/>
      <c r="P27" s="1"/>
      <c r="Q27" s="1"/>
      <c r="R27" s="1"/>
    </row>
    <row r="28" spans="1:29">
      <c r="A28" s="118"/>
      <c r="B28" s="8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/>
      <c r="O28" s="1"/>
      <c r="P28" s="1"/>
      <c r="Q28" s="1"/>
      <c r="R28" s="1"/>
    </row>
    <row r="29" spans="1:29">
      <c r="A29" s="118"/>
      <c r="B29" s="8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/>
      <c r="O29" s="2"/>
      <c r="P29" s="2"/>
      <c r="Q29" s="2"/>
      <c r="R29" s="2"/>
    </row>
    <row r="30" spans="1:29">
      <c r="A30" s="118"/>
      <c r="B30" s="8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5"/>
      <c r="O30" s="2"/>
      <c r="P30" s="2"/>
      <c r="Q30" s="2"/>
      <c r="R30" s="2"/>
    </row>
    <row r="31" spans="1:29">
      <c r="A31" s="118"/>
      <c r="B31" s="8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"/>
      <c r="O31" s="2"/>
      <c r="P31" s="2"/>
      <c r="Q31" s="2"/>
      <c r="R31" s="2"/>
    </row>
    <row r="32" spans="1:29">
      <c r="A32" s="118"/>
      <c r="B32" s="8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/>
      <c r="O32" s="2"/>
      <c r="P32" s="2"/>
      <c r="Q32" s="2"/>
      <c r="R32" s="2"/>
    </row>
    <row r="33" spans="1:18">
      <c r="A33" s="86"/>
      <c r="B33" s="8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5"/>
      <c r="O33" s="2"/>
      <c r="P33" s="2"/>
      <c r="Q33" s="2"/>
      <c r="R33" s="2"/>
    </row>
    <row r="34" spans="1:18">
      <c r="A34" s="86"/>
      <c r="B34" s="8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/>
      <c r="O34" s="2"/>
      <c r="P34" s="2"/>
      <c r="Q34" s="2"/>
      <c r="R34" s="2"/>
    </row>
    <row r="35" spans="1:18">
      <c r="A35" s="86"/>
      <c r="B35" s="8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"/>
      <c r="O35" s="2"/>
      <c r="P35" s="2"/>
      <c r="Q35" s="2"/>
      <c r="R35" s="2"/>
    </row>
    <row r="36" spans="1:18">
      <c r="A36" s="86"/>
      <c r="B36" s="8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5"/>
      <c r="O36" s="2"/>
      <c r="P36" s="2"/>
      <c r="Q36" s="2"/>
      <c r="R36" s="2"/>
    </row>
    <row r="37" spans="1:18">
      <c r="A37" s="86"/>
      <c r="B37" s="8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/>
      <c r="O37" s="2"/>
      <c r="P37" s="2"/>
      <c r="Q37" s="2"/>
      <c r="R37" s="2"/>
    </row>
    <row r="38" spans="1:18">
      <c r="A38" s="9"/>
      <c r="B38" s="9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9"/>
      <c r="O38" s="2"/>
      <c r="P38" s="2"/>
      <c r="Q38" s="2"/>
      <c r="R38" s="2"/>
    </row>
    <row r="39" spans="1:18">
      <c r="A39" s="9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9"/>
      <c r="O39" s="2"/>
      <c r="P39" s="2"/>
      <c r="Q39" s="2"/>
      <c r="R39" s="2"/>
    </row>
    <row r="40" spans="1:18">
      <c r="A40" s="9"/>
      <c r="B40" s="8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9"/>
      <c r="O40" s="2"/>
      <c r="P40" s="2"/>
      <c r="Q40" s="2"/>
      <c r="R40" s="2"/>
    </row>
    <row r="41" spans="1:18">
      <c r="A41" s="9"/>
      <c r="B41" s="8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9"/>
      <c r="O41" s="2"/>
      <c r="P41" s="2"/>
      <c r="Q41" s="2"/>
      <c r="R41" s="2"/>
    </row>
    <row r="42" spans="1:18">
      <c r="A42" s="9"/>
      <c r="B42" s="8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9"/>
      <c r="O42" s="2"/>
      <c r="P42" s="2"/>
      <c r="Q42" s="2"/>
      <c r="R42" s="2"/>
    </row>
    <row r="43" spans="1:18">
      <c r="A43" s="9"/>
      <c r="B43" s="8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9"/>
      <c r="O43" s="2"/>
      <c r="P43" s="2"/>
      <c r="Q43" s="2"/>
      <c r="R43" s="2"/>
    </row>
    <row r="44" spans="1:18">
      <c r="A44" s="9"/>
      <c r="B44" s="8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9"/>
      <c r="O44" s="2"/>
      <c r="P44" s="2"/>
      <c r="Q44" s="2"/>
      <c r="R44" s="2"/>
    </row>
    <row r="45" spans="1:18">
      <c r="A45" s="9"/>
      <c r="B45" s="8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9"/>
      <c r="O45" s="2"/>
      <c r="P45" s="2"/>
      <c r="Q45" s="2"/>
      <c r="R45" s="2"/>
    </row>
    <row r="46" spans="1:18">
      <c r="A46" s="8"/>
      <c r="B46" s="8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9"/>
      <c r="O46" s="2"/>
      <c r="P46" s="2"/>
      <c r="Q46" s="2"/>
      <c r="R46" s="2"/>
    </row>
    <row r="47" spans="1:18">
      <c r="A47" s="8"/>
      <c r="B47" s="8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9"/>
      <c r="O47" s="2"/>
      <c r="P47" s="2"/>
      <c r="Q47" s="2"/>
      <c r="R47" s="2"/>
    </row>
    <row r="48" spans="1:18">
      <c r="A48" s="8"/>
      <c r="B48" s="8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9"/>
      <c r="O48" s="2"/>
      <c r="P48" s="2"/>
      <c r="Q48" s="2"/>
      <c r="R48" s="2"/>
    </row>
    <row r="49" spans="1:18">
      <c r="A49" s="8"/>
      <c r="B49" s="8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9"/>
      <c r="O49" s="2"/>
      <c r="P49" s="2"/>
      <c r="Q49" s="2"/>
      <c r="R49" s="2"/>
    </row>
    <row r="50" spans="1:18">
      <c r="A50" s="8"/>
      <c r="B50" s="8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9"/>
      <c r="O50" s="2"/>
      <c r="P50" s="2"/>
      <c r="Q50" s="2"/>
      <c r="R50" s="2"/>
    </row>
    <row r="51" spans="1:18">
      <c r="A51" s="8"/>
      <c r="B51" s="8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9"/>
      <c r="O51" s="2"/>
      <c r="P51" s="2"/>
      <c r="Q51" s="2"/>
      <c r="R51" s="2"/>
    </row>
    <row r="52" spans="1:18">
      <c r="A52" s="8"/>
      <c r="B52" s="8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9"/>
      <c r="O52" s="2"/>
      <c r="P52" s="2"/>
      <c r="Q52" s="2"/>
      <c r="R52" s="2"/>
    </row>
    <row r="53" spans="1:18">
      <c r="A53" s="8"/>
      <c r="B53" s="8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9"/>
      <c r="O53" s="2"/>
      <c r="P53" s="2"/>
      <c r="Q53" s="2"/>
      <c r="R53" s="2"/>
    </row>
    <row r="54" spans="1:18">
      <c r="A54" s="8"/>
      <c r="B54" s="8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8"/>
    </row>
    <row r="55" spans="1:18">
      <c r="A55" s="8"/>
      <c r="B55" s="8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8"/>
    </row>
    <row r="56" spans="1:18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8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8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8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8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8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</sheetData>
  <mergeCells count="9">
    <mergeCell ref="Q1:U1"/>
    <mergeCell ref="V2:W2"/>
    <mergeCell ref="V1:X1"/>
    <mergeCell ref="C20:M20"/>
    <mergeCell ref="A22:A32"/>
    <mergeCell ref="B1:C1"/>
    <mergeCell ref="D1:F1"/>
    <mergeCell ref="G1:K1"/>
    <mergeCell ref="L1:P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Matthew Price</cp:lastModifiedBy>
  <dcterms:created xsi:type="dcterms:W3CDTF">2013-05-29T15:38:55Z</dcterms:created>
  <dcterms:modified xsi:type="dcterms:W3CDTF">2016-11-22T21:35:01Z</dcterms:modified>
</cp:coreProperties>
</file>