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.reynolds\Desktop\"/>
    </mc:Choice>
  </mc:AlternateContent>
  <bookViews>
    <workbookView xWindow="0" yWindow="0" windowWidth="25125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1" l="1"/>
  <c r="C47" i="1" s="1"/>
  <c r="G28" i="1" l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F28" i="1"/>
  <c r="G21" i="1"/>
  <c r="G27" i="1" s="1"/>
  <c r="H21" i="1"/>
  <c r="H27" i="1" s="1"/>
  <c r="H29" i="1" s="1"/>
  <c r="I21" i="1"/>
  <c r="I27" i="1" s="1"/>
  <c r="J21" i="1"/>
  <c r="J27" i="1" s="1"/>
  <c r="J29" i="1" s="1"/>
  <c r="K21" i="1"/>
  <c r="K27" i="1" s="1"/>
  <c r="L21" i="1"/>
  <c r="L27" i="1" s="1"/>
  <c r="L29" i="1" s="1"/>
  <c r="M21" i="1"/>
  <c r="M27" i="1" s="1"/>
  <c r="N21" i="1"/>
  <c r="N27" i="1" s="1"/>
  <c r="N29" i="1" s="1"/>
  <c r="O21" i="1"/>
  <c r="O27" i="1" s="1"/>
  <c r="P21" i="1"/>
  <c r="P27" i="1" s="1"/>
  <c r="P29" i="1" s="1"/>
  <c r="Q21" i="1"/>
  <c r="Q27" i="1" s="1"/>
  <c r="R21" i="1"/>
  <c r="R27" i="1" s="1"/>
  <c r="R29" i="1" s="1"/>
  <c r="S21" i="1"/>
  <c r="S27" i="1" s="1"/>
  <c r="T21" i="1"/>
  <c r="T27" i="1" s="1"/>
  <c r="T29" i="1" s="1"/>
  <c r="U21" i="1"/>
  <c r="U27" i="1" s="1"/>
  <c r="V21" i="1"/>
  <c r="V27" i="1" s="1"/>
  <c r="W21" i="1"/>
  <c r="W27" i="1" s="1"/>
  <c r="X21" i="1"/>
  <c r="X27" i="1" s="1"/>
  <c r="X29" i="1" s="1"/>
  <c r="Y21" i="1"/>
  <c r="Y27" i="1" s="1"/>
  <c r="F21" i="1"/>
  <c r="F27" i="1" s="1"/>
  <c r="F19" i="1"/>
  <c r="G19" i="1" s="1"/>
  <c r="K11" i="1"/>
  <c r="K7" i="1" s="1"/>
  <c r="K6" i="1" s="1"/>
  <c r="E36" i="1" l="1"/>
  <c r="Y29" i="1"/>
  <c r="U29" i="1"/>
  <c r="Q29" i="1"/>
  <c r="M29" i="1"/>
  <c r="I29" i="1"/>
  <c r="W29" i="1"/>
  <c r="S29" i="1"/>
  <c r="O29" i="1"/>
  <c r="K29" i="1"/>
  <c r="G29" i="1"/>
  <c r="F29" i="1"/>
  <c r="V29" i="1"/>
  <c r="F18" i="1"/>
  <c r="G18" i="1"/>
  <c r="H19" i="1"/>
  <c r="F22" i="1" l="1"/>
  <c r="F23" i="1" s="1"/>
  <c r="F31" i="1" s="1"/>
  <c r="F34" i="1"/>
  <c r="G22" i="1"/>
  <c r="G23" i="1" s="1"/>
  <c r="G31" i="1" s="1"/>
  <c r="G34" i="1"/>
  <c r="I19" i="1"/>
  <c r="H18" i="1"/>
  <c r="F36" i="1" l="1"/>
  <c r="G36" i="1"/>
  <c r="H22" i="1"/>
  <c r="H23" i="1" s="1"/>
  <c r="H31" i="1" s="1"/>
  <c r="H34" i="1"/>
  <c r="J19" i="1"/>
  <c r="I18" i="1"/>
  <c r="H36" i="1" l="1"/>
  <c r="I22" i="1"/>
  <c r="I23" i="1" s="1"/>
  <c r="I31" i="1" s="1"/>
  <c r="I34" i="1"/>
  <c r="K19" i="1"/>
  <c r="J18" i="1"/>
  <c r="I36" i="1" l="1"/>
  <c r="J22" i="1"/>
  <c r="J23" i="1" s="1"/>
  <c r="J31" i="1" s="1"/>
  <c r="J34" i="1"/>
  <c r="L19" i="1"/>
  <c r="K18" i="1"/>
  <c r="J36" i="1" l="1"/>
  <c r="K22" i="1"/>
  <c r="K23" i="1" s="1"/>
  <c r="K31" i="1" s="1"/>
  <c r="K34" i="1"/>
  <c r="M19" i="1"/>
  <c r="L18" i="1"/>
  <c r="K36" i="1" l="1"/>
  <c r="L22" i="1"/>
  <c r="L23" i="1" s="1"/>
  <c r="L31" i="1" s="1"/>
  <c r="L34" i="1"/>
  <c r="N19" i="1"/>
  <c r="M18" i="1"/>
  <c r="L36" i="1" l="1"/>
  <c r="M22" i="1"/>
  <c r="M23" i="1" s="1"/>
  <c r="M31" i="1" s="1"/>
  <c r="M34" i="1"/>
  <c r="O19" i="1"/>
  <c r="N18" i="1"/>
  <c r="M36" i="1" l="1"/>
  <c r="N22" i="1"/>
  <c r="N23" i="1" s="1"/>
  <c r="N31" i="1" s="1"/>
  <c r="N34" i="1"/>
  <c r="P19" i="1"/>
  <c r="O18" i="1"/>
  <c r="N36" i="1" l="1"/>
  <c r="O22" i="1"/>
  <c r="O23" i="1" s="1"/>
  <c r="O31" i="1" s="1"/>
  <c r="O34" i="1"/>
  <c r="Q19" i="1"/>
  <c r="P18" i="1"/>
  <c r="O36" i="1" l="1"/>
  <c r="P22" i="1"/>
  <c r="P23" i="1" s="1"/>
  <c r="P31" i="1" s="1"/>
  <c r="P34" i="1"/>
  <c r="R19" i="1"/>
  <c r="Q18" i="1"/>
  <c r="P36" i="1" l="1"/>
  <c r="Q22" i="1"/>
  <c r="Q23" i="1" s="1"/>
  <c r="Q31" i="1" s="1"/>
  <c r="Q34" i="1"/>
  <c r="S19" i="1"/>
  <c r="R18" i="1"/>
  <c r="Q36" i="1" l="1"/>
  <c r="R22" i="1"/>
  <c r="R23" i="1" s="1"/>
  <c r="R31" i="1" s="1"/>
  <c r="R34" i="1"/>
  <c r="T19" i="1"/>
  <c r="S18" i="1"/>
  <c r="R36" i="1" l="1"/>
  <c r="S22" i="1"/>
  <c r="S23" i="1" s="1"/>
  <c r="S31" i="1" s="1"/>
  <c r="S34" i="1"/>
  <c r="U19" i="1"/>
  <c r="T18" i="1"/>
  <c r="S36" i="1" l="1"/>
  <c r="T22" i="1"/>
  <c r="T23" i="1" s="1"/>
  <c r="T31" i="1" s="1"/>
  <c r="T34" i="1"/>
  <c r="V19" i="1"/>
  <c r="U18" i="1"/>
  <c r="T36" i="1" l="1"/>
  <c r="U22" i="1"/>
  <c r="U23" i="1" s="1"/>
  <c r="U31" i="1" s="1"/>
  <c r="U34" i="1"/>
  <c r="W19" i="1"/>
  <c r="V18" i="1"/>
  <c r="U36" i="1" l="1"/>
  <c r="V22" i="1"/>
  <c r="V23" i="1" s="1"/>
  <c r="V31" i="1" s="1"/>
  <c r="V34" i="1"/>
  <c r="X19" i="1"/>
  <c r="W18" i="1"/>
  <c r="V36" i="1" l="1"/>
  <c r="W22" i="1"/>
  <c r="W23" i="1" s="1"/>
  <c r="W31" i="1" s="1"/>
  <c r="W34" i="1"/>
  <c r="Y19" i="1"/>
  <c r="Y18" i="1" s="1"/>
  <c r="X18" i="1"/>
  <c r="W36" i="1" l="1"/>
  <c r="Y22" i="1"/>
  <c r="Y23" i="1" s="1"/>
  <c r="Y31" i="1" s="1"/>
  <c r="Y34" i="1"/>
  <c r="X22" i="1"/>
  <c r="X23" i="1" s="1"/>
  <c r="X31" i="1" s="1"/>
  <c r="X34" i="1"/>
  <c r="X36" i="1" l="1"/>
  <c r="Y36" i="1"/>
  <c r="E39" i="1" l="1"/>
  <c r="E38" i="1"/>
  <c r="C44" i="1" s="1"/>
</calcChain>
</file>

<file path=xl/sharedStrings.xml><?xml version="1.0" encoding="utf-8"?>
<sst xmlns="http://schemas.openxmlformats.org/spreadsheetml/2006/main" count="46" uniqueCount="44">
  <si>
    <t>Project Finance - Sample Model</t>
  </si>
  <si>
    <t>MIT Energy Ventures</t>
  </si>
  <si>
    <t>Assumptions</t>
  </si>
  <si>
    <t>Term</t>
  </si>
  <si>
    <t>Offtaker</t>
  </si>
  <si>
    <t>Offtake Price</t>
  </si>
  <si>
    <t>Escelation</t>
  </si>
  <si>
    <t>Capital Cost</t>
  </si>
  <si>
    <t>Capacity</t>
  </si>
  <si>
    <t>NEP</t>
  </si>
  <si>
    <t>MW</t>
  </si>
  <si>
    <t>/MWh</t>
  </si>
  <si>
    <t>years</t>
  </si>
  <si>
    <t>Utility XYZ</t>
  </si>
  <si>
    <t>/Mwh</t>
  </si>
  <si>
    <t>Opex - Variable</t>
  </si>
  <si>
    <t>Opex - Fixed</t>
  </si>
  <si>
    <t>/year</t>
  </si>
  <si>
    <t>Sources of Funds:</t>
  </si>
  <si>
    <t>Uses of Funds:</t>
  </si>
  <si>
    <t>Debt</t>
  </si>
  <si>
    <t>Equity</t>
  </si>
  <si>
    <t>Total Sources</t>
  </si>
  <si>
    <t>Total Uses</t>
  </si>
  <si>
    <t>Proforma Cashflow</t>
  </si>
  <si>
    <t>Residual Value</t>
  </si>
  <si>
    <t>of Capex</t>
  </si>
  <si>
    <t>Revenue</t>
  </si>
  <si>
    <t>PPA Price</t>
  </si>
  <si>
    <t>Total Revenue</t>
  </si>
  <si>
    <t>Production (MWh)</t>
  </si>
  <si>
    <t>Expenses</t>
  </si>
  <si>
    <t>Variable OpeX</t>
  </si>
  <si>
    <t>Fixed Opex</t>
  </si>
  <si>
    <t>Total Residual Asset Value</t>
  </si>
  <si>
    <t>Total EBITDA</t>
  </si>
  <si>
    <t>Total Cashflow for Investors</t>
  </si>
  <si>
    <t>IRR</t>
  </si>
  <si>
    <t>Return on Capital</t>
  </si>
  <si>
    <t>PPA Price ($/MWh)</t>
  </si>
  <si>
    <t>Project IRR</t>
  </si>
  <si>
    <t>Capacity Factor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</si>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</sst>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&quot;$&quot;#,##0.0_);[Red]\(&quot;$&quot;#,##0.0\)"/>
    <numFmt numFmtId="165" formatCode="0.0%"/>
    <numFmt numFmtId="166" formatCode="#,##0.00\ \x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33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 quotePrefix="1"/>
    <xf numFmtId="164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2" xfId="0" applyFont="1" applyBorder="1"/>
    <xf numFmtId="3" fontId="1" fillId="0" borderId="2" xfId="0" applyNumberFormat="1" applyFont="1" applyBorder="1"/>
    <xf numFmtId="6" fontId="1" fillId="0" borderId="2" xfId="0" applyNumberFormat="1" applyFont="1" applyBorder="1"/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3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8" fontId="5" fillId="0" borderId="0" xfId="0" applyNumberFormat="1" applyFont="1" applyAlignment="1">
      <alignment horizontal="right"/>
    </xf>
    <xf numFmtId="6" fontId="5" fillId="0" borderId="0" xfId="0" applyNumberFormat="1" applyFont="1" applyAlignment="1">
      <alignment horizontal="right"/>
    </xf>
    <xf numFmtId="0" fontId="5" fillId="0" borderId="0" xfId="0" applyFont="1"/>
    <xf numFmtId="9" fontId="5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164" fontId="5" fillId="0" borderId="1" xfId="0" applyNumberFormat="1" applyFont="1" applyBorder="1" applyAlignment="1">
      <alignment horizontal="right"/>
    </xf>
    <xf numFmtId="165" fontId="3" fillId="0" borderId="0" xfId="0" applyNumberFormat="1" applyFont="1"/>
    <xf numFmtId="165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9" fontId="1" fillId="0" borderId="3" xfId="0" applyNumberFormat="1" applyFont="1" applyBorder="1"/>
    <xf numFmtId="0" fontId="1" fillId="0" borderId="1" xfId="0" applyFont="1" applyBorder="1"/>
    <xf numFmtId="0" fontId="1" fillId="0" borderId="0" xfId="0" applyFont="1" applyAlignment="1">
      <alignment textRotation="90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showGridLines="0" tabSelected="1" workbookViewId="0">
      <selection activeCell="F14" sqref="F14"/>
    </sheetView>
  </sheetViews>
  <sheetFormatPr defaultRowHeight="15" x14ac:dyDescent="0.25"/>
  <cols>
    <col min="1" max="1" width="2.375" customWidth="1"/>
    <col min="2" max="2" width="5.625" customWidth="1"/>
    <col min="3" max="3" width="4.25" style="1" customWidth="1"/>
    <col min="4" max="4" width="19.125" customWidth="1"/>
    <col min="5" max="5" width="15.125" bestFit="1" customWidth="1"/>
    <col min="6" max="6" width="13.75" bestFit="1" customWidth="1"/>
    <col min="7" max="9" width="12.5" bestFit="1" customWidth="1"/>
    <col min="10" max="10" width="11.625" customWidth="1"/>
    <col min="11" max="24" width="12.5" bestFit="1" customWidth="1"/>
    <col min="25" max="25" width="14.125" bestFit="1" customWidth="1"/>
  </cols>
  <sheetData>
    <row r="1" spans="1:11" ht="18.75" x14ac:dyDescent="0.3">
      <c r="A1" s="15" t="s">
        <v>0</v>
      </c>
      <c r="B1" s="15"/>
    </row>
    <row r="2" spans="1:11" ht="18.75" x14ac:dyDescent="0.3">
      <c r="A2" s="15" t="s">
        <v>1</v>
      </c>
      <c r="B2" s="15"/>
    </row>
    <row r="3" spans="1:11" x14ac:dyDescent="0.25">
      <c r="C3" s="2"/>
      <c r="E3" s="2" t="s">
        <v>2</v>
      </c>
    </row>
    <row r="4" spans="1:11" x14ac:dyDescent="0.25">
      <c r="E4" t="s">
        <v>8</v>
      </c>
      <c r="F4" s="16">
        <v>75</v>
      </c>
      <c r="G4" t="s">
        <v>10</v>
      </c>
      <c r="J4" s="2" t="s">
        <v>18</v>
      </c>
    </row>
    <row r="5" spans="1:11" x14ac:dyDescent="0.25">
      <c r="E5" t="s">
        <v>9</v>
      </c>
      <c r="F5" s="17">
        <v>0.35</v>
      </c>
      <c r="J5" t="s">
        <v>20</v>
      </c>
      <c r="K5" s="23">
        <v>0</v>
      </c>
    </row>
    <row r="6" spans="1:11" x14ac:dyDescent="0.25">
      <c r="E6" t="s">
        <v>4</v>
      </c>
      <c r="F6" s="18" t="s">
        <v>13</v>
      </c>
      <c r="J6" s="25" t="s">
        <v>21</v>
      </c>
      <c r="K6" s="26">
        <f>+K7-K5</f>
        <v>150</v>
      </c>
    </row>
    <row r="7" spans="1:11" x14ac:dyDescent="0.25">
      <c r="E7" t="s">
        <v>5</v>
      </c>
      <c r="F7" s="19">
        <v>75</v>
      </c>
      <c r="G7" s="4" t="s">
        <v>11</v>
      </c>
      <c r="J7" t="s">
        <v>22</v>
      </c>
      <c r="K7" s="5">
        <f>+K11</f>
        <v>150</v>
      </c>
    </row>
    <row r="8" spans="1:11" x14ac:dyDescent="0.25">
      <c r="E8" t="s">
        <v>3</v>
      </c>
      <c r="F8" s="18">
        <v>20</v>
      </c>
      <c r="G8" t="s">
        <v>12</v>
      </c>
    </row>
    <row r="9" spans="1:11" x14ac:dyDescent="0.25">
      <c r="E9" t="s">
        <v>6</v>
      </c>
      <c r="F9" s="20">
        <v>1.4999999999999999E-2</v>
      </c>
      <c r="J9" s="2" t="s">
        <v>19</v>
      </c>
    </row>
    <row r="10" spans="1:11" x14ac:dyDescent="0.25">
      <c r="F10" s="18"/>
      <c r="J10" s="25" t="s">
        <v>7</v>
      </c>
      <c r="K10" s="27">
        <v>150</v>
      </c>
    </row>
    <row r="11" spans="1:11" x14ac:dyDescent="0.25">
      <c r="E11" t="s">
        <v>15</v>
      </c>
      <c r="F11" s="21">
        <v>1.5</v>
      </c>
      <c r="G11" s="4" t="s">
        <v>14</v>
      </c>
      <c r="J11" t="s">
        <v>23</v>
      </c>
      <c r="K11" s="5">
        <f>SUM(K9:K10)</f>
        <v>150</v>
      </c>
    </row>
    <row r="12" spans="1:11" x14ac:dyDescent="0.25">
      <c r="E12" t="s">
        <v>16</v>
      </c>
      <c r="F12" s="22">
        <v>250000</v>
      </c>
      <c r="G12" s="4" t="s">
        <v>17</v>
      </c>
    </row>
    <row r="13" spans="1:11" x14ac:dyDescent="0.25">
      <c r="F13" s="23"/>
    </row>
    <row r="14" spans="1:11" x14ac:dyDescent="0.25">
      <c r="E14" t="s">
        <v>25</v>
      </c>
      <c r="F14" s="24">
        <v>0.1</v>
      </c>
      <c r="G14" t="s">
        <v>26</v>
      </c>
    </row>
    <row r="17" spans="2:25" x14ac:dyDescent="0.25">
      <c r="B17" s="1"/>
      <c r="C17" s="1" t="s">
        <v>24</v>
      </c>
      <c r="D17" s="1"/>
    </row>
    <row r="18" spans="2:25" x14ac:dyDescent="0.25">
      <c r="D18" s="7" t="s">
        <v>42</v>
      </c>
      <c r="E18" s="8">
        <v>0</v>
      </c>
      <c r="F18" s="8">
        <f t="shared" ref="F18:Y18" si="0">+YEARFRAC($E$19,F19)</f>
        <v>1</v>
      </c>
      <c r="G18" s="8">
        <f t="shared" si="0"/>
        <v>2</v>
      </c>
      <c r="H18" s="8">
        <f t="shared" si="0"/>
        <v>3</v>
      </c>
      <c r="I18" s="8">
        <f t="shared" si="0"/>
        <v>4</v>
      </c>
      <c r="J18" s="8">
        <f t="shared" si="0"/>
        <v>5</v>
      </c>
      <c r="K18" s="8">
        <f t="shared" si="0"/>
        <v>6</v>
      </c>
      <c r="L18" s="8">
        <f t="shared" si="0"/>
        <v>7</v>
      </c>
      <c r="M18" s="8">
        <f t="shared" si="0"/>
        <v>8</v>
      </c>
      <c r="N18" s="8">
        <f t="shared" si="0"/>
        <v>9</v>
      </c>
      <c r="O18" s="8">
        <f t="shared" si="0"/>
        <v>10</v>
      </c>
      <c r="P18" s="8">
        <f t="shared" si="0"/>
        <v>11</v>
      </c>
      <c r="Q18" s="8">
        <f t="shared" si="0"/>
        <v>12</v>
      </c>
      <c r="R18" s="8">
        <f t="shared" si="0"/>
        <v>13</v>
      </c>
      <c r="S18" s="8">
        <f t="shared" si="0"/>
        <v>14</v>
      </c>
      <c r="T18" s="8">
        <f t="shared" si="0"/>
        <v>15</v>
      </c>
      <c r="U18" s="8">
        <f t="shared" si="0"/>
        <v>16</v>
      </c>
      <c r="V18" s="8">
        <f t="shared" si="0"/>
        <v>17</v>
      </c>
      <c r="W18" s="8">
        <f t="shared" si="0"/>
        <v>18</v>
      </c>
      <c r="X18" s="8">
        <f t="shared" si="0"/>
        <v>19</v>
      </c>
      <c r="Y18" s="8">
        <f t="shared" si="0"/>
        <v>20</v>
      </c>
    </row>
    <row r="19" spans="2:25" x14ac:dyDescent="0.25">
      <c r="D19" s="7" t="s">
        <v>43</v>
      </c>
      <c r="E19" s="9">
        <v>42735</v>
      </c>
      <c r="F19" s="9">
        <f>+EOMONTH(E19,12)</f>
        <v>43100</v>
      </c>
      <c r="G19" s="9">
        <f t="shared" ref="G19:Y19" si="1">+EOMONTH(F19,12)</f>
        <v>43465</v>
      </c>
      <c r="H19" s="9">
        <f t="shared" si="1"/>
        <v>43830</v>
      </c>
      <c r="I19" s="9">
        <f t="shared" si="1"/>
        <v>44196</v>
      </c>
      <c r="J19" s="9">
        <f t="shared" si="1"/>
        <v>44561</v>
      </c>
      <c r="K19" s="9">
        <f t="shared" si="1"/>
        <v>44926</v>
      </c>
      <c r="L19" s="9">
        <f t="shared" si="1"/>
        <v>45291</v>
      </c>
      <c r="M19" s="9">
        <f t="shared" si="1"/>
        <v>45657</v>
      </c>
      <c r="N19" s="9">
        <f t="shared" si="1"/>
        <v>46022</v>
      </c>
      <c r="O19" s="9">
        <f t="shared" si="1"/>
        <v>46387</v>
      </c>
      <c r="P19" s="9">
        <f t="shared" si="1"/>
        <v>46752</v>
      </c>
      <c r="Q19" s="9">
        <f t="shared" si="1"/>
        <v>47118</v>
      </c>
      <c r="R19" s="9">
        <f t="shared" si="1"/>
        <v>47483</v>
      </c>
      <c r="S19" s="9">
        <f t="shared" si="1"/>
        <v>47848</v>
      </c>
      <c r="T19" s="9">
        <f t="shared" si="1"/>
        <v>48213</v>
      </c>
      <c r="U19" s="9">
        <f t="shared" si="1"/>
        <v>48579</v>
      </c>
      <c r="V19" s="9">
        <f t="shared" si="1"/>
        <v>48944</v>
      </c>
      <c r="W19" s="9">
        <f t="shared" si="1"/>
        <v>49309</v>
      </c>
      <c r="X19" s="9">
        <f t="shared" si="1"/>
        <v>49674</v>
      </c>
      <c r="Y19" s="9">
        <f t="shared" si="1"/>
        <v>50040</v>
      </c>
    </row>
    <row r="20" spans="2:25" x14ac:dyDescent="0.25">
      <c r="C20" s="1" t="s">
        <v>27</v>
      </c>
    </row>
    <row r="21" spans="2:25" x14ac:dyDescent="0.25">
      <c r="D21" t="s">
        <v>30</v>
      </c>
      <c r="F21" s="3">
        <f>+$F$4*365*24*$F$5</f>
        <v>229949.99999999997</v>
      </c>
      <c r="G21" s="3">
        <f t="shared" ref="G21:Y21" si="2">+$F$4*365*24*$F$5</f>
        <v>229949.99999999997</v>
      </c>
      <c r="H21" s="3">
        <f t="shared" si="2"/>
        <v>229949.99999999997</v>
      </c>
      <c r="I21" s="3">
        <f t="shared" si="2"/>
        <v>229949.99999999997</v>
      </c>
      <c r="J21" s="3">
        <f t="shared" si="2"/>
        <v>229949.99999999997</v>
      </c>
      <c r="K21" s="3">
        <f t="shared" si="2"/>
        <v>229949.99999999997</v>
      </c>
      <c r="L21" s="3">
        <f t="shared" si="2"/>
        <v>229949.99999999997</v>
      </c>
      <c r="M21" s="3">
        <f t="shared" si="2"/>
        <v>229949.99999999997</v>
      </c>
      <c r="N21" s="3">
        <f t="shared" si="2"/>
        <v>229949.99999999997</v>
      </c>
      <c r="O21" s="3">
        <f t="shared" si="2"/>
        <v>229949.99999999997</v>
      </c>
      <c r="P21" s="3">
        <f t="shared" si="2"/>
        <v>229949.99999999997</v>
      </c>
      <c r="Q21" s="3">
        <f t="shared" si="2"/>
        <v>229949.99999999997</v>
      </c>
      <c r="R21" s="3">
        <f t="shared" si="2"/>
        <v>229949.99999999997</v>
      </c>
      <c r="S21" s="3">
        <f t="shared" si="2"/>
        <v>229949.99999999997</v>
      </c>
      <c r="T21" s="3">
        <f t="shared" si="2"/>
        <v>229949.99999999997</v>
      </c>
      <c r="U21" s="3">
        <f t="shared" si="2"/>
        <v>229949.99999999997</v>
      </c>
      <c r="V21" s="3">
        <f t="shared" si="2"/>
        <v>229949.99999999997</v>
      </c>
      <c r="W21" s="3">
        <f t="shared" si="2"/>
        <v>229949.99999999997</v>
      </c>
      <c r="X21" s="3">
        <f t="shared" si="2"/>
        <v>229949.99999999997</v>
      </c>
      <c r="Y21" s="3">
        <f t="shared" si="2"/>
        <v>229949.99999999997</v>
      </c>
    </row>
    <row r="22" spans="2:25" x14ac:dyDescent="0.25">
      <c r="D22" t="s">
        <v>39</v>
      </c>
      <c r="F22" s="5">
        <f>+$F$7*(1+$F$9)^(F18-1)</f>
        <v>75</v>
      </c>
      <c r="G22" s="5">
        <f t="shared" ref="G22:Y22" si="3">+$F$7*(1+$F$9)^(G18-1)</f>
        <v>76.124999999999986</v>
      </c>
      <c r="H22" s="5">
        <f t="shared" si="3"/>
        <v>77.266874999999985</v>
      </c>
      <c r="I22" s="5">
        <f t="shared" si="3"/>
        <v>78.425878124999969</v>
      </c>
      <c r="J22" s="5">
        <f t="shared" si="3"/>
        <v>79.602266296874959</v>
      </c>
      <c r="K22" s="5">
        <f t="shared" si="3"/>
        <v>80.796300291328066</v>
      </c>
      <c r="L22" s="5">
        <f t="shared" si="3"/>
        <v>82.008244795697976</v>
      </c>
      <c r="M22" s="5">
        <f t="shared" si="3"/>
        <v>83.238368467633435</v>
      </c>
      <c r="N22" s="5">
        <f t="shared" si="3"/>
        <v>84.48694399464793</v>
      </c>
      <c r="O22" s="5">
        <f t="shared" si="3"/>
        <v>85.754248154567634</v>
      </c>
      <c r="P22" s="5">
        <f t="shared" si="3"/>
        <v>87.040561876886144</v>
      </c>
      <c r="Q22" s="5">
        <f t="shared" si="3"/>
        <v>88.346170305039422</v>
      </c>
      <c r="R22" s="5">
        <f t="shared" si="3"/>
        <v>89.671362859615002</v>
      </c>
      <c r="S22" s="5">
        <f t="shared" si="3"/>
        <v>91.016433302509213</v>
      </c>
      <c r="T22" s="5">
        <f t="shared" si="3"/>
        <v>92.381679802046833</v>
      </c>
      <c r="U22" s="5">
        <f t="shared" si="3"/>
        <v>93.767404999077513</v>
      </c>
      <c r="V22" s="5">
        <f t="shared" si="3"/>
        <v>95.173916074063669</v>
      </c>
      <c r="W22" s="5">
        <f t="shared" si="3"/>
        <v>96.601524815174614</v>
      </c>
      <c r="X22" s="5">
        <f t="shared" si="3"/>
        <v>98.050547687402229</v>
      </c>
      <c r="Y22" s="5">
        <f t="shared" si="3"/>
        <v>99.521305902713252</v>
      </c>
    </row>
    <row r="23" spans="2:25" x14ac:dyDescent="0.25">
      <c r="D23" s="10" t="s">
        <v>29</v>
      </c>
      <c r="E23" s="10"/>
      <c r="F23" s="11">
        <f>+F21*F22</f>
        <v>17246249.999999996</v>
      </c>
      <c r="G23" s="11">
        <f t="shared" ref="G23:Y23" si="4">+G21*G22</f>
        <v>17504943.749999996</v>
      </c>
      <c r="H23" s="11">
        <f t="shared" si="4"/>
        <v>17767517.906249993</v>
      </c>
      <c r="I23" s="11">
        <f t="shared" si="4"/>
        <v>18034030.67484374</v>
      </c>
      <c r="J23" s="11">
        <f t="shared" si="4"/>
        <v>18304541.134966396</v>
      </c>
      <c r="K23" s="11">
        <f t="shared" si="4"/>
        <v>18579109.251990888</v>
      </c>
      <c r="L23" s="11">
        <f t="shared" si="4"/>
        <v>18857795.890770748</v>
      </c>
      <c r="M23" s="11">
        <f t="shared" si="4"/>
        <v>19140662.829132307</v>
      </c>
      <c r="N23" s="11">
        <f t="shared" si="4"/>
        <v>19427772.771569289</v>
      </c>
      <c r="O23" s="11">
        <f t="shared" si="4"/>
        <v>19719189.363142826</v>
      </c>
      <c r="P23" s="11">
        <f t="shared" si="4"/>
        <v>20014977.203589965</v>
      </c>
      <c r="Q23" s="11">
        <f t="shared" si="4"/>
        <v>20315201.861643814</v>
      </c>
      <c r="R23" s="11">
        <f t="shared" si="4"/>
        <v>20619929.889568467</v>
      </c>
      <c r="S23" s="11">
        <f t="shared" si="4"/>
        <v>20929228.83791199</v>
      </c>
      <c r="T23" s="11">
        <f t="shared" si="4"/>
        <v>21243167.270480666</v>
      </c>
      <c r="U23" s="11">
        <f t="shared" si="4"/>
        <v>21561814.779537871</v>
      </c>
      <c r="V23" s="11">
        <f t="shared" si="4"/>
        <v>21885242.001230936</v>
      </c>
      <c r="W23" s="11">
        <f t="shared" si="4"/>
        <v>22213520.631249398</v>
      </c>
      <c r="X23" s="11">
        <f t="shared" si="4"/>
        <v>22546723.44071814</v>
      </c>
      <c r="Y23" s="11">
        <f t="shared" si="4"/>
        <v>22884924.292328909</v>
      </c>
    </row>
    <row r="26" spans="2:25" x14ac:dyDescent="0.25">
      <c r="C26" s="1" t="s">
        <v>31</v>
      </c>
    </row>
    <row r="27" spans="2:25" x14ac:dyDescent="0.25">
      <c r="D27" t="s">
        <v>32</v>
      </c>
      <c r="F27" s="6">
        <f>+$F$11*-F21</f>
        <v>-344924.99999999994</v>
      </c>
      <c r="G27" s="6">
        <f t="shared" ref="G27:Y27" si="5">+$F$11*-G21</f>
        <v>-344924.99999999994</v>
      </c>
      <c r="H27" s="6">
        <f t="shared" si="5"/>
        <v>-344924.99999999994</v>
      </c>
      <c r="I27" s="6">
        <f t="shared" si="5"/>
        <v>-344924.99999999994</v>
      </c>
      <c r="J27" s="6">
        <f t="shared" si="5"/>
        <v>-344924.99999999994</v>
      </c>
      <c r="K27" s="6">
        <f t="shared" si="5"/>
        <v>-344924.99999999994</v>
      </c>
      <c r="L27" s="6">
        <f t="shared" si="5"/>
        <v>-344924.99999999994</v>
      </c>
      <c r="M27" s="6">
        <f t="shared" si="5"/>
        <v>-344924.99999999994</v>
      </c>
      <c r="N27" s="6">
        <f t="shared" si="5"/>
        <v>-344924.99999999994</v>
      </c>
      <c r="O27" s="6">
        <f t="shared" si="5"/>
        <v>-344924.99999999994</v>
      </c>
      <c r="P27" s="6">
        <f t="shared" si="5"/>
        <v>-344924.99999999994</v>
      </c>
      <c r="Q27" s="6">
        <f t="shared" si="5"/>
        <v>-344924.99999999994</v>
      </c>
      <c r="R27" s="6">
        <f t="shared" si="5"/>
        <v>-344924.99999999994</v>
      </c>
      <c r="S27" s="6">
        <f t="shared" si="5"/>
        <v>-344924.99999999994</v>
      </c>
      <c r="T27" s="6">
        <f t="shared" si="5"/>
        <v>-344924.99999999994</v>
      </c>
      <c r="U27" s="6">
        <f t="shared" si="5"/>
        <v>-344924.99999999994</v>
      </c>
      <c r="V27" s="6">
        <f t="shared" si="5"/>
        <v>-344924.99999999994</v>
      </c>
      <c r="W27" s="6">
        <f t="shared" si="5"/>
        <v>-344924.99999999994</v>
      </c>
      <c r="X27" s="6">
        <f t="shared" si="5"/>
        <v>-344924.99999999994</v>
      </c>
      <c r="Y27" s="6">
        <f t="shared" si="5"/>
        <v>-344924.99999999994</v>
      </c>
    </row>
    <row r="28" spans="2:25" x14ac:dyDescent="0.25">
      <c r="D28" t="s">
        <v>33</v>
      </c>
      <c r="F28" s="6">
        <f>+-$F$12</f>
        <v>-250000</v>
      </c>
      <c r="G28" s="6">
        <f t="shared" ref="G28:Y28" si="6">+-$F$12</f>
        <v>-250000</v>
      </c>
      <c r="H28" s="6">
        <f t="shared" si="6"/>
        <v>-250000</v>
      </c>
      <c r="I28" s="6">
        <f t="shared" si="6"/>
        <v>-250000</v>
      </c>
      <c r="J28" s="6">
        <f t="shared" si="6"/>
        <v>-250000</v>
      </c>
      <c r="K28" s="6">
        <f t="shared" si="6"/>
        <v>-250000</v>
      </c>
      <c r="L28" s="6">
        <f t="shared" si="6"/>
        <v>-250000</v>
      </c>
      <c r="M28" s="6">
        <f t="shared" si="6"/>
        <v>-250000</v>
      </c>
      <c r="N28" s="6">
        <f t="shared" si="6"/>
        <v>-250000</v>
      </c>
      <c r="O28" s="6">
        <f t="shared" si="6"/>
        <v>-250000</v>
      </c>
      <c r="P28" s="6">
        <f t="shared" si="6"/>
        <v>-250000</v>
      </c>
      <c r="Q28" s="6">
        <f t="shared" si="6"/>
        <v>-250000</v>
      </c>
      <c r="R28" s="6">
        <f t="shared" si="6"/>
        <v>-250000</v>
      </c>
      <c r="S28" s="6">
        <f t="shared" si="6"/>
        <v>-250000</v>
      </c>
      <c r="T28" s="6">
        <f t="shared" si="6"/>
        <v>-250000</v>
      </c>
      <c r="U28" s="6">
        <f t="shared" si="6"/>
        <v>-250000</v>
      </c>
      <c r="V28" s="6">
        <f t="shared" si="6"/>
        <v>-250000</v>
      </c>
      <c r="W28" s="6">
        <f t="shared" si="6"/>
        <v>-250000</v>
      </c>
      <c r="X28" s="6">
        <f t="shared" si="6"/>
        <v>-250000</v>
      </c>
      <c r="Y28" s="6">
        <f t="shared" si="6"/>
        <v>-250000</v>
      </c>
    </row>
    <row r="29" spans="2:25" x14ac:dyDescent="0.25">
      <c r="D29" s="10" t="s">
        <v>29</v>
      </c>
      <c r="E29" s="10"/>
      <c r="F29" s="12">
        <f>SUM(F27:F28)</f>
        <v>-594925</v>
      </c>
      <c r="G29" s="12">
        <f t="shared" ref="G29:Y29" si="7">SUM(G27:G28)</f>
        <v>-594925</v>
      </c>
      <c r="H29" s="12">
        <f t="shared" si="7"/>
        <v>-594925</v>
      </c>
      <c r="I29" s="12">
        <f t="shared" si="7"/>
        <v>-594925</v>
      </c>
      <c r="J29" s="12">
        <f t="shared" si="7"/>
        <v>-594925</v>
      </c>
      <c r="K29" s="12">
        <f t="shared" si="7"/>
        <v>-594925</v>
      </c>
      <c r="L29" s="12">
        <f t="shared" si="7"/>
        <v>-594925</v>
      </c>
      <c r="M29" s="12">
        <f t="shared" si="7"/>
        <v>-594925</v>
      </c>
      <c r="N29" s="12">
        <f t="shared" si="7"/>
        <v>-594925</v>
      </c>
      <c r="O29" s="12">
        <f t="shared" si="7"/>
        <v>-594925</v>
      </c>
      <c r="P29" s="12">
        <f t="shared" si="7"/>
        <v>-594925</v>
      </c>
      <c r="Q29" s="12">
        <f t="shared" si="7"/>
        <v>-594925</v>
      </c>
      <c r="R29" s="12">
        <f t="shared" si="7"/>
        <v>-594925</v>
      </c>
      <c r="S29" s="12">
        <f t="shared" si="7"/>
        <v>-594925</v>
      </c>
      <c r="T29" s="12">
        <f t="shared" si="7"/>
        <v>-594925</v>
      </c>
      <c r="U29" s="12">
        <f t="shared" si="7"/>
        <v>-594925</v>
      </c>
      <c r="V29" s="12">
        <f t="shared" si="7"/>
        <v>-594925</v>
      </c>
      <c r="W29" s="12">
        <f t="shared" si="7"/>
        <v>-594925</v>
      </c>
      <c r="X29" s="12">
        <f t="shared" si="7"/>
        <v>-594925</v>
      </c>
      <c r="Y29" s="12">
        <f t="shared" si="7"/>
        <v>-594925</v>
      </c>
    </row>
    <row r="31" spans="2:25" x14ac:dyDescent="0.25">
      <c r="D31" s="10" t="s">
        <v>35</v>
      </c>
      <c r="E31" s="10"/>
      <c r="F31" s="12">
        <f>+F23+F29</f>
        <v>16651324.999999996</v>
      </c>
      <c r="G31" s="12">
        <f t="shared" ref="G31:Y31" si="8">+G23+G29</f>
        <v>16910018.749999996</v>
      </c>
      <c r="H31" s="12">
        <f t="shared" si="8"/>
        <v>17172592.906249993</v>
      </c>
      <c r="I31" s="12">
        <f t="shared" si="8"/>
        <v>17439105.67484374</v>
      </c>
      <c r="J31" s="12">
        <f t="shared" si="8"/>
        <v>17709616.134966396</v>
      </c>
      <c r="K31" s="12">
        <f t="shared" si="8"/>
        <v>17984184.251990888</v>
      </c>
      <c r="L31" s="12">
        <f t="shared" si="8"/>
        <v>18262870.890770748</v>
      </c>
      <c r="M31" s="12">
        <f t="shared" si="8"/>
        <v>18545737.829132307</v>
      </c>
      <c r="N31" s="12">
        <f t="shared" si="8"/>
        <v>18832847.771569289</v>
      </c>
      <c r="O31" s="12">
        <f t="shared" si="8"/>
        <v>19124264.363142826</v>
      </c>
      <c r="P31" s="12">
        <f t="shared" si="8"/>
        <v>19420052.203589965</v>
      </c>
      <c r="Q31" s="12">
        <f t="shared" si="8"/>
        <v>19720276.861643814</v>
      </c>
      <c r="R31" s="12">
        <f t="shared" si="8"/>
        <v>20025004.889568467</v>
      </c>
      <c r="S31" s="12">
        <f t="shared" si="8"/>
        <v>20334303.83791199</v>
      </c>
      <c r="T31" s="12">
        <f t="shared" si="8"/>
        <v>20648242.270480666</v>
      </c>
      <c r="U31" s="12">
        <f t="shared" si="8"/>
        <v>20966889.779537871</v>
      </c>
      <c r="V31" s="12">
        <f t="shared" si="8"/>
        <v>21290317.001230936</v>
      </c>
      <c r="W31" s="12">
        <f t="shared" si="8"/>
        <v>21618595.631249398</v>
      </c>
      <c r="X31" s="12">
        <f t="shared" si="8"/>
        <v>21951798.44071814</v>
      </c>
      <c r="Y31" s="12">
        <f t="shared" si="8"/>
        <v>22289999.292328909</v>
      </c>
    </row>
    <row r="33" spans="2:25" x14ac:dyDescent="0.25">
      <c r="C33" s="1" t="s">
        <v>25</v>
      </c>
    </row>
    <row r="34" spans="2:25" x14ac:dyDescent="0.25">
      <c r="D34" t="s">
        <v>34</v>
      </c>
      <c r="F34" s="6">
        <f>+IF(F18=20,$F$14*$K$10,0)*1000000</f>
        <v>0</v>
      </c>
      <c r="G34" s="6">
        <f t="shared" ref="G34:Y34" si="9">+IF(G18=20,$F$14*$K$10,0)*1000000</f>
        <v>0</v>
      </c>
      <c r="H34" s="6">
        <f t="shared" si="9"/>
        <v>0</v>
      </c>
      <c r="I34" s="6">
        <f t="shared" si="9"/>
        <v>0</v>
      </c>
      <c r="J34" s="6">
        <f t="shared" si="9"/>
        <v>0</v>
      </c>
      <c r="K34" s="6">
        <f t="shared" si="9"/>
        <v>0</v>
      </c>
      <c r="L34" s="6">
        <f t="shared" si="9"/>
        <v>0</v>
      </c>
      <c r="M34" s="6">
        <f t="shared" si="9"/>
        <v>0</v>
      </c>
      <c r="N34" s="6">
        <f t="shared" si="9"/>
        <v>0</v>
      </c>
      <c r="O34" s="6">
        <f t="shared" si="9"/>
        <v>0</v>
      </c>
      <c r="P34" s="6">
        <f t="shared" si="9"/>
        <v>0</v>
      </c>
      <c r="Q34" s="6">
        <f t="shared" si="9"/>
        <v>0</v>
      </c>
      <c r="R34" s="6">
        <f t="shared" si="9"/>
        <v>0</v>
      </c>
      <c r="S34" s="6">
        <f t="shared" si="9"/>
        <v>0</v>
      </c>
      <c r="T34" s="6">
        <f t="shared" si="9"/>
        <v>0</v>
      </c>
      <c r="U34" s="6">
        <f t="shared" si="9"/>
        <v>0</v>
      </c>
      <c r="V34" s="6">
        <f t="shared" si="9"/>
        <v>0</v>
      </c>
      <c r="W34" s="6">
        <f t="shared" si="9"/>
        <v>0</v>
      </c>
      <c r="X34" s="6">
        <f t="shared" si="9"/>
        <v>0</v>
      </c>
      <c r="Y34" s="6">
        <f t="shared" si="9"/>
        <v>15000000</v>
      </c>
    </row>
    <row r="36" spans="2:25" x14ac:dyDescent="0.25">
      <c r="C36" s="10" t="s">
        <v>36</v>
      </c>
      <c r="D36" s="10"/>
      <c r="E36" s="12">
        <f>+K7*-1000000</f>
        <v>-150000000</v>
      </c>
      <c r="F36" s="12">
        <f>+F31+F34</f>
        <v>16651324.999999996</v>
      </c>
      <c r="G36" s="12">
        <f t="shared" ref="G36:Y36" si="10">+G31+G34</f>
        <v>16910018.749999996</v>
      </c>
      <c r="H36" s="12">
        <f t="shared" si="10"/>
        <v>17172592.906249993</v>
      </c>
      <c r="I36" s="12">
        <f t="shared" si="10"/>
        <v>17439105.67484374</v>
      </c>
      <c r="J36" s="12">
        <f t="shared" si="10"/>
        <v>17709616.134966396</v>
      </c>
      <c r="K36" s="12">
        <f t="shared" si="10"/>
        <v>17984184.251990888</v>
      </c>
      <c r="L36" s="12">
        <f t="shared" si="10"/>
        <v>18262870.890770748</v>
      </c>
      <c r="M36" s="12">
        <f t="shared" si="10"/>
        <v>18545737.829132307</v>
      </c>
      <c r="N36" s="12">
        <f t="shared" si="10"/>
        <v>18832847.771569289</v>
      </c>
      <c r="O36" s="12">
        <f t="shared" si="10"/>
        <v>19124264.363142826</v>
      </c>
      <c r="P36" s="12">
        <f t="shared" si="10"/>
        <v>19420052.203589965</v>
      </c>
      <c r="Q36" s="12">
        <f t="shared" si="10"/>
        <v>19720276.861643814</v>
      </c>
      <c r="R36" s="12">
        <f t="shared" si="10"/>
        <v>20025004.889568467</v>
      </c>
      <c r="S36" s="12">
        <f t="shared" si="10"/>
        <v>20334303.83791199</v>
      </c>
      <c r="T36" s="12">
        <f t="shared" si="10"/>
        <v>20648242.270480666</v>
      </c>
      <c r="U36" s="12">
        <f t="shared" si="10"/>
        <v>20966889.779537871</v>
      </c>
      <c r="V36" s="12">
        <f t="shared" si="10"/>
        <v>21290317.001230936</v>
      </c>
      <c r="W36" s="12">
        <f t="shared" si="10"/>
        <v>21618595.631249398</v>
      </c>
      <c r="X36" s="12">
        <f t="shared" si="10"/>
        <v>21951798.44071814</v>
      </c>
      <c r="Y36" s="12">
        <f t="shared" si="10"/>
        <v>37289999.292328909</v>
      </c>
    </row>
    <row r="38" spans="2:25" x14ac:dyDescent="0.25">
      <c r="D38" s="7" t="s">
        <v>37</v>
      </c>
      <c r="E38" s="13">
        <f>+IRR(E36:Y36)</f>
        <v>0.10842542951301359</v>
      </c>
    </row>
    <row r="39" spans="2:25" x14ac:dyDescent="0.25">
      <c r="D39" t="s">
        <v>38</v>
      </c>
      <c r="E39" s="14">
        <f>+SUM(F36:Y36)/-E36</f>
        <v>2.6793202918728425</v>
      </c>
    </row>
    <row r="42" spans="2:25" x14ac:dyDescent="0.25">
      <c r="C42" s="1" t="s">
        <v>40</v>
      </c>
    </row>
    <row r="43" spans="2:25" x14ac:dyDescent="0.25">
      <c r="C43"/>
      <c r="D43" s="32"/>
      <c r="E43" s="34" t="s">
        <v>28</v>
      </c>
      <c r="F43" s="32"/>
    </row>
    <row r="44" spans="2:25" x14ac:dyDescent="0.25">
      <c r="B44" s="1"/>
      <c r="C44" s="28">
        <f>+E38</f>
        <v>0.10842542951301359</v>
      </c>
      <c r="D44" s="30">
        <v>70</v>
      </c>
      <c r="E44" s="30">
        <v>75</v>
      </c>
      <c r="F44" s="30">
        <v>80</v>
      </c>
    </row>
    <row r="45" spans="2:25" x14ac:dyDescent="0.25">
      <c r="B45" s="33" t="s">
        <v>41</v>
      </c>
      <c r="C45" s="31">
        <v>0.3</v>
      </c>
      <c r="D45" s="29">
        <f t="dataTable" ref="D45:F47" dt2D="1" dtr="1" r1="F7" r2="F5"/>
        <v>7.8999716551360732E-2</v>
      </c>
      <c r="E45" s="29">
        <v>8.7776320856255863E-2</v>
      </c>
      <c r="F45" s="29">
        <v>9.6329095931098063E-2</v>
      </c>
    </row>
    <row r="46" spans="2:25" x14ac:dyDescent="0.25">
      <c r="B46" s="33"/>
      <c r="C46" s="31">
        <f>+C45+5%</f>
        <v>0.35</v>
      </c>
      <c r="D46" s="29">
        <v>9.8755711055556361E-2</v>
      </c>
      <c r="E46" s="29">
        <v>0.10842542951301359</v>
      </c>
      <c r="F46" s="29">
        <v>0.11787161703503646</v>
      </c>
    </row>
    <row r="47" spans="2:25" x14ac:dyDescent="0.25">
      <c r="B47" s="33"/>
      <c r="C47" s="31">
        <f>+C46+5%</f>
        <v>0.39999999999999997</v>
      </c>
      <c r="D47" s="29">
        <v>0.11750673451548632</v>
      </c>
      <c r="E47" s="29">
        <v>0.128072168509481</v>
      </c>
      <c r="F47" s="29">
        <v>0.13841808254987154</v>
      </c>
    </row>
  </sheetData>
  <mergeCells count="1">
    <mergeCell ref="B45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mike.reynolds</dc:creator>
  <cp:lastModifiedBy>mike.reynolds</cp:lastModifiedBy>
  <dcterms:created xsi:type="dcterms:W3CDTF">2016-10-19T16:06:32Z</dcterms:created>
  <dcterms:modified xsi:type="dcterms:W3CDTF">2016-10-19T19:43:09Z</dcterms:modified>
</cp:coreProperties>
</file>